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5" windowWidth="15750" windowHeight="13020" activeTab="0"/>
  </bookViews>
  <sheets>
    <sheet name="ОСНОВНЕ" sheetId="1" r:id="rId1"/>
  </sheets>
  <definedNames>
    <definedName name="_xlnm.Print_Area" localSheetId="0">'ОСНОВНЕ'!$A$1:$L$242</definedName>
  </definedNames>
  <calcPr fullCalcOnLoad="1"/>
</workbook>
</file>

<file path=xl/sharedStrings.xml><?xml version="1.0" encoding="utf-8"?>
<sst xmlns="http://schemas.openxmlformats.org/spreadsheetml/2006/main" count="484" uniqueCount="210">
  <si>
    <t>у тому числі кошти міського бюджету</t>
  </si>
  <si>
    <t>Всього на виконання програми</t>
  </si>
  <si>
    <t>Всього на виконання підпрограми</t>
  </si>
  <si>
    <t>- громадянам, яким виповнилося 100 і більше років – мешканцям міста Суми (щомісячна стипендія);</t>
  </si>
  <si>
    <t>- надання грошової допомоги на проведення поховання деяких категорій осіб;</t>
  </si>
  <si>
    <t>грн.</t>
  </si>
  <si>
    <t>Підпрограма 5. Соціальні пільги та гарантії громадянам, які мають заслуги перед містом та сім'ям загиблих.</t>
  </si>
  <si>
    <t>Мета: Встановлення додаткових пільг, забезпечення належного соціального захисту окремих категорій громадян міста.</t>
  </si>
  <si>
    <t>Коштів не потребує</t>
  </si>
  <si>
    <t>Кошти під-приємств та підприємців</t>
  </si>
  <si>
    <t>- особам з обмеженими фізичними можливостями (оплата послуг з доступу до інформаційної мережі Інтернет);</t>
  </si>
  <si>
    <t>Міський бюджет</t>
  </si>
  <si>
    <r>
      <t>Підпрограма 1. Турбота про громадян міста,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</si>
  <si>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</si>
  <si>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</si>
  <si>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</si>
  <si>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r>
      <t>Завдання 2.</t>
    </r>
    <r>
      <rPr>
        <sz val="10"/>
        <rFont val="Times New Roman"/>
        <family val="1"/>
      </rPr>
      <t xml:space="preserve"> Продовжити впровадження системи адресної підтримки соціально малозахищених громадян шляхом закріплення їх за підприємствами, організаціями міста та окремими підприємцями.</t>
    </r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</si>
  <si>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</si>
  <si>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</si>
  <si>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</si>
  <si>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t>- ветеранам підпільно-партизанського руху -мешканцям міста Суми (виплата щомісячної стипендії);</t>
  </si>
  <si>
    <t>- громадянам міста, які опинилися в складних життєвих обставинах (надання  матеріальної допомоги);</t>
  </si>
  <si>
    <t>- учасникам бойових дій, які захищали та визволяли місто Суми від фашистських загарбників у період Великої Вітчизняної війни – мешканцям міста Суми (щомісячна виплата);</t>
  </si>
  <si>
    <t>Мета: виплата компенсації за пільговий проїзд електротранспортом окремих категорій громадян.</t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</si>
  <si>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електротранспортом  Почесних донорів України - мешканців міста Суми (100 % пільги).</t>
    </r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</si>
  <si>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</si>
  <si>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</si>
  <si>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</si>
  <si>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</si>
  <si>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</si>
  <si>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2016 рік (план)</t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</si>
  <si>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</si>
  <si>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t>Джерела фінансу-вання</t>
  </si>
  <si>
    <t>Мета: Забезпечення гарантій соціального захисту громадян, які постраждали внаслідок Чорнобильської катастрофи, щодо  безоплатного придбання ліків за рецептами лікарів.</t>
  </si>
  <si>
    <r>
      <t xml:space="preserve">Завдання 1. </t>
    </r>
    <r>
      <rPr>
        <sz val="10"/>
        <rFont val="Times New Roman"/>
        <family val="1"/>
      </rPr>
      <t>Забезпечити безоплатне придбання ліків за рецептами лікарів громадянам, які постраждали внаслідок Чорнобильської катастрофи.</t>
    </r>
  </si>
  <si>
    <t>Підпрограма 6. Компенсаційні виплати на пільговий проїзд електротранспортом окремим категоріям громадян</t>
  </si>
  <si>
    <t>Підпрограма 7. Пільгове медичне обслуговування осіб, які постраждали внаслідок Чорнобильської катастрофи.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</si>
  <si>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</si>
  <si>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t>Підпрограма 12. Надання пільг, встановлених чинним законодавством</t>
  </si>
  <si>
    <t>Перелік завдань міської програми  «Місто Суми - територія добра та милосердя» на 2016-2018 роки»</t>
  </si>
  <si>
    <r>
      <t>ДСЗН</t>
    </r>
    <r>
      <rPr>
        <b/>
        <sz val="10"/>
        <rFont val="Times New Roman"/>
        <family val="1"/>
      </rPr>
      <t xml:space="preserve"> Сумської міської ради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</si>
  <si>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</si>
  <si>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</si>
  <si>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</si>
  <si>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r>
      <t>Завдання 2.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електротранспортом.</t>
    </r>
  </si>
  <si>
    <t xml:space="preserve"> - особам, які мають особливі заслуги перед Батьківщиною (компенсація витрат на автомобільне паливо); </t>
  </si>
  <si>
    <t>Всього на виконання підпрограми:</t>
  </si>
  <si>
    <t>Підпрограма 13.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</si>
  <si>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</si>
  <si>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</si>
  <si>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спеціальний фонд</t>
  </si>
  <si>
    <t>загальний           фонд</t>
  </si>
  <si>
    <t>- дітям з багатодітних сімей,  які вступили до вищих навчальних закладів (надання одноразової матеріальної допомоги);</t>
  </si>
  <si>
    <t>- сім'ям осіб, які загинули під час участі у Революції Гідності          (50 % пільги)</t>
  </si>
  <si>
    <r>
      <t>Завдання 1.</t>
    </r>
    <r>
      <rPr>
        <b/>
        <sz val="11"/>
        <rFont val="Times New Roman"/>
        <family val="1"/>
      </rPr>
      <t xml:space="preserve">  </t>
    </r>
    <r>
      <rPr>
        <sz val="10"/>
        <rFont val="Times New Roman"/>
        <family val="1"/>
      </rPr>
      <t>Забезпечення проведення розрахунків з підприємствами автомобільного транспорту за пільговий проїзд окремих категорій громадян.</t>
    </r>
  </si>
  <si>
    <t>- дітям загиблих при виконанні службового обов'язку під час проведення антитерористичної операції (надання одноразової матеріальної допомоги);</t>
  </si>
  <si>
    <t>- сім'ям загиблих або померлих військовослужбовців, мешканців міста Суми (надання одноразової матеріальної допомоги на виготовлення, встановлення намогильної споруди та елементів благоустрою на могилах);</t>
  </si>
  <si>
    <t>- добровольцям - учасникам антитерористичної операції, мешканцям міста Суми (надання разової грошової допомоги);</t>
  </si>
  <si>
    <t>- матерям дітей  віком до 7 років, батьки яких загинули під час антитерористичної операції (надання одноразової матеріальної допомоги для покриття витрат пов'язаних з перебуванням матері у Дитячому оздоровчому центрі "Червона гвоздика").</t>
  </si>
  <si>
    <t>- сім'ям загиблих при виконанні службового обов'язку або померлих в період проходження військової служби під час проведення антитероритсичної операції (надання матеріальної допомоги на доукомплектування намогильних споруд);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</si>
  <si>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матеріальної допомоги на проведення благоустрою місця поховання);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</si>
  <si>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</si>
  <si>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- сім'ям добровольців - учасників антитерористичної операції - мешканцям міста Суми (75% пільги).</t>
  </si>
  <si>
    <t>- сім'ям загиблих під час проведення антитерористичної операції мешканців міста Суми (50 % пільги, а у разі втрати права на отримання пільг за рахунок коштів державного бюджету - 100% пільги);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</si>
  <si>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одноразової матеріальної допомоги на виготовлення, встановлення намогильної споруди та елементів благоустрою на могилі);</t>
  </si>
  <si>
    <t>Управління освіти і науки Сумської міської ради</t>
  </si>
  <si>
    <t>ДСЗН    Сумської міської ради</t>
  </si>
  <si>
    <r>
      <t xml:space="preserve">Завдання 5. </t>
    </r>
    <r>
      <rPr>
        <sz val="10"/>
        <rFont val="Times New Roman"/>
        <family val="1"/>
      </rPr>
      <t xml:space="preserve">Здійснення соціального замовлення на надання недержавними суб’єктами послуг із соціального супроводу мешканців міста Суми, які живуть з ВІЛ/СНІД, та членів їх сімей. </t>
    </r>
  </si>
  <si>
    <r>
      <t xml:space="preserve">Завдання 6.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</si>
  <si>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</si>
  <si>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</si>
  <si>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t>- сім’ям, в яких виховуються онкохворі діти - мешканцям міста Суми (50 % пільги);</t>
  </si>
  <si>
    <t>- сім’ям учасників антитерористичної операції (100% пільги   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</si>
  <si>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-дітям, мешканцям міста Суми, батьки яких загинули при виконанні службового обов'язку або померли в період проходження військової служби під час антитерористичної операції (щомісячна грошова допомога);</t>
  </si>
  <si>
    <t xml:space="preserve">- дітям до 18 років, мешканцям міста Суми, батьки яких загинули під час проведення антитерористичної операції (надання одноразової матеріальної допомоги до 25 річниці Дня незалежності України); </t>
  </si>
  <si>
    <t xml:space="preserve"> - сім’ям учасників бойових дій та сім’ям загиблих учасників антитерористичної операції - мешканцям міста Суми (щомісячне відшкодування вартості спожитих житлово-комунальних послуг); </t>
  </si>
  <si>
    <t xml:space="preserve"> - учасникам антитерористичної операції, сім'ям загиблих при виконанні службового обов’язку або померлих в період проходження військової служби під час проведення антитерористичної операції мешканцям міста Суми (надання матеріальної допомоги);</t>
  </si>
  <si>
    <t>- відшкодування витрат КП "Спеціалізований комбінат" за організацію та проведення поховання померлого Героя Радянського Союзу, Почесного громадянина міста Суми                    Батєхи В.О.;</t>
  </si>
  <si>
    <t>- відшкодування витрат          КП громадського харчування Сумської обласної ради за послуги по обслуговуванню поминального обіду за померлим Героєм Радянського Союзу, Почесним громадянином міста Суми Батєхою В.О.;</t>
  </si>
  <si>
    <t>- Почесним донорам України - мешканцям міста Суми                 (25 % пільги);</t>
  </si>
  <si>
    <t>- Почесним громадянам міста Суми (компенсація вартості самостійного санаторно-курортного лікування);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</si>
  <si>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загальноосвітніх навчальних закладів, батьки яких безпосередньо беруть, брали участь у проведенні антитерористичної операції або занинули під час проведення антитерористичної операції.</t>
    </r>
  </si>
  <si>
    <t xml:space="preserve"> -  громадянам, які постраждали внаслідок Чорнобильської катастрофи категорії 2 - мешканцям міста Суми (надання одноразової матеріальної допомоги до 30-х роковин Чорнобильської катастрофи);</t>
  </si>
  <si>
    <t>- особам з психічними захворюваннями, розумовою відсталістю, а також хворим на ДЦП (надання матеріальної допомоги для відшкодування вартості оздоровлення);</t>
  </si>
  <si>
    <t>- відшкодування витрат КП "Спеціалізований комбінат" та ПП Лорд за організацію та проведення поховання померлого Почесного громадянина міста Суми Кравченка О.Й.;</t>
  </si>
  <si>
    <t>Підпрограма 10.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</si>
  <si>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</si>
  <si>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r>
      <t xml:space="preserve">Завдання 1. </t>
    </r>
    <r>
      <rPr>
        <sz val="10"/>
        <rFont val="Times New Roman"/>
        <family val="1"/>
      </rPr>
      <t>Надання транспортних послуг "Соціальне таксі" людям з обмеженими фізичними можливостями.</t>
    </r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</si>
  <si>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</si>
  <si>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</si>
  <si>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</si>
  <si>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Почесним донорам України - мешканцям міста Суми (надання одноразової матеріальної допомоги);</t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</si>
  <si>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потребуючих допомоги та підтримки;
- відомості про надання всіх видів допомоги громадянам.</t>
    </r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</si>
  <si>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</si>
  <si>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Підпрограма 11. Забезпечення обробки інформації з нарахування та виплати допомог і компенсацій.</t>
  </si>
  <si>
    <t>Мета: Обробка інформації з нарахування та виплати допомог, компенсацій та субсидій.</t>
  </si>
  <si>
    <r>
      <t xml:space="preserve">Завдання 1. </t>
    </r>
    <r>
      <rPr>
        <sz val="10"/>
        <rFont val="Times New Roman"/>
        <family val="1"/>
      </rPr>
      <t>Забезпечення інформування мешканців міста Суми про прийняте рішення про призначення (непризначення) житлової субсидії.</t>
    </r>
  </si>
  <si>
    <r>
      <t xml:space="preserve">Завдання 2.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</si>
  <si>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t xml:space="preserve"> - Садовському П.Б. (цільова матеріальна допомога  на проведення операції по трансплантації нирки).</t>
  </si>
  <si>
    <t>- сину померлого Героя Радянського Союзу Батехи Василя Панасовича (надання одноразової матеріальної допомоги на виготовлення, встановлення намогильної споруди на місці його поховання та упорядкування місця поховання);</t>
  </si>
  <si>
    <t>- Качан О.Г. (надання цільової матеріальної допомоги для дороговартісного лікування онкологічного захворювання її сина Качана Олександра Васильовича, 1998 року народження, особи з інвалідністю І групи з дитинства);</t>
  </si>
  <si>
    <t>- особі з інвалідністю ІІІ групи з дитинства з ураженням опорно-рухового апарату Перловій А.О. (надання цільової матеріальної допомоги  для ендопротезування лівого кульшового суглобу).</t>
  </si>
  <si>
    <t>- Скляровій Л.О. (надання цільової матеріальної допомоги для дороговартісного лікування кетогенною дієтою її доньки Склярової Карини, 2004 року народження, дитини з інвалідностю);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</si>
  <si>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</si>
  <si>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r>
      <t xml:space="preserve">Завдання 4. </t>
    </r>
    <r>
      <rPr>
        <sz val="10"/>
        <rFont val="Times New Roman"/>
        <family val="1"/>
      </rPr>
      <t>Організація оздоровлення та забезпечення відпочинком дітей, які потребують особливої соціальної уваги та підтримки:</t>
    </r>
  </si>
  <si>
    <r>
      <t xml:space="preserve">Завдання 3. </t>
    </r>
    <r>
      <rPr>
        <sz val="10"/>
        <rFont val="Times New Roman"/>
        <family val="1"/>
      </rPr>
      <t>Забезпечити безкоштовним харчуванням дітей раннього віку дошкільних навчальних закладів:</t>
    </r>
  </si>
  <si>
    <t>- забезпечення безкоштовними путівками до позаміського дитячого закладу оздоровлення та відпочинку дітей, батьки яких загинули або отримали поранення при виконанні службового обов’язку під час антитерористичної операції;</t>
  </si>
  <si>
    <t>- забезпечення безкоштовними путівками до позаміських дитячих закладів оздоровлення та відпочинку (м. Суми) дітей, батьки яких є учасниками бойових дій в Афганістані;</t>
  </si>
  <si>
    <t>- забезпечення безкоштовними путівками до позаміських дитячих закладів оздоровлення та відпочинку  (м. Суми) дітей, батьки яких загинули або отримали тілесні ушкодження під час участі у Революції Гідності.</t>
  </si>
  <si>
    <r>
      <t>Завдання 3.</t>
    </r>
    <r>
      <rPr>
        <sz val="10"/>
        <rFont val="Times New Roman"/>
        <family val="1"/>
      </rPr>
      <t xml:space="preserve"> 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 (вшанування під час проведення в місті святкових заходів, відзначення пам’ятних дат).</t>
    </r>
  </si>
  <si>
    <t>___________</t>
  </si>
  <si>
    <t>Додаток 5</t>
  </si>
  <si>
    <t>до рішення Сумської міської ради                                                         "Про внесення змін до рішення Сумської міської ради від 24 грудня 2015 року             № 148-МР "Про затвердження міської програми "Місто Суми - територія добра та милосердя" на 2016-2018 роки" (зі змінами)</t>
  </si>
  <si>
    <t>Продовження додатка 5</t>
  </si>
  <si>
    <t>ДСЗН Сумської міської ради</t>
  </si>
  <si>
    <t xml:space="preserve"> - Лисенко К.М. (надання цільової матеріальної допомоги для проведення дороговартісного оперативного лікування);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</si>
  <si>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</si>
  <si>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r>
      <t>Завдання 7.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  </r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</si>
  <si>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</si>
  <si>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</si>
  <si>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- мешканцям міста Суми (50 % пільги), а також особам з інвалідністю з дитинства І А групи з діагнозом ДЦП (100% пільги);</t>
  </si>
  <si>
    <t>- дітям, мешканцям міста Суми, батьки яких загинули під час участі у Революції Гідності (щомісячна грошова допомога).</t>
  </si>
  <si>
    <t>КПКВК 0813036 (ДСЗН Сумської міської ради)</t>
  </si>
  <si>
    <t>КПКВК 0813050 (ДСЗН Сумської міської ради)</t>
  </si>
  <si>
    <t>КПКВК 0611010 (Управління освіти і науки Сумської міської ради)</t>
  </si>
  <si>
    <t xml:space="preserve">  - дітей, батьки яких є учасниками бойових дій в Афганістані;</t>
  </si>
  <si>
    <t xml:space="preserve"> - дітей, батьки яких загинули або отримали тілесні ушкодження під час участі у Революції Гідності.</t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</si>
  <si>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вихованців дошкільних  навчальних закладів:</t>
    </r>
  </si>
  <si>
    <t xml:space="preserve"> - дітей, батьки яких безпосередньо беруть, брали участь у проведенні антитерористичної операції або загинули під час проведення антитерористичної операції;</t>
  </si>
  <si>
    <t xml:space="preserve"> - дітей, батьки яких є учасниками бойових дій в Афганістані;</t>
  </si>
  <si>
    <t xml:space="preserve"> - дітей, батьки яких загинули або отримали тілесні ушкодження під час участі у Революції Гідності;</t>
  </si>
  <si>
    <t xml:space="preserve"> - дітей з багатодітних сімей, де виховуються четверо і більше дітей. </t>
  </si>
  <si>
    <t>КПКВК 0611020 (Управління освіти і науки Сумської міської ради)</t>
  </si>
  <si>
    <r>
      <t xml:space="preserve"> - </t>
    </r>
    <r>
      <rPr>
        <sz val="10"/>
        <rFont val="Times New Roman"/>
        <family val="1"/>
      </rPr>
      <t>учнів, батьки яких є учасниками бойових дій в Афганістані;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</si>
  <si>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</si>
  <si>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учнів загальноосвітніх навчальних закладів,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</si>
  <si>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>учнів,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операції.</t>
    </r>
  </si>
  <si>
    <r>
      <t xml:space="preserve"> - </t>
    </r>
    <r>
      <rPr>
        <sz val="10"/>
        <rFont val="Times New Roman"/>
        <family val="1"/>
      </rPr>
      <t>учнів та вихованців, батьки яких є учасниками бойових дій в Афганістані.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</si>
  <si>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</si>
  <si>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</si>
  <si>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t>КПКВК 0613140 (Управління освіти і науки Сумської міської ради)</t>
  </si>
  <si>
    <t>КПКВК 0611070 (Управління освіти і науки Сумської міської ради)</t>
  </si>
  <si>
    <r>
      <rPr>
        <b/>
        <sz val="10"/>
        <rFont val="Times New Roman"/>
        <family val="1"/>
      </rPr>
      <t>Завдання 5.</t>
    </r>
    <r>
      <rPr>
        <sz val="10"/>
        <rFont val="Times New Roman"/>
        <family val="1"/>
      </rPr>
      <t xml:space="preserve"> Забезпечити новорічними подарунками учнів спеціального загальноосвітнього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дітей.</t>
    </r>
  </si>
  <si>
    <t>КПКВК 0813104 (ДСЗН Сумської міської ради)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</si>
  <si>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</si>
  <si>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КПКВК 0813033 (ДСЗН Сумської міської ради)</t>
  </si>
  <si>
    <t>КПКВК 0813032 (ДСЗН Сумської міської ради)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</si>
  <si>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</si>
  <si>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0813031 (ДСЗН Сумської міської ради)</t>
  </si>
  <si>
    <t>КПКВК 0813035 (ДСЗН Сумської міської ради)</t>
  </si>
  <si>
    <t>КПКВК 0819770 (ДСЗН Сумської міської ради)</t>
  </si>
  <si>
    <r>
      <t>Завдання 4.</t>
    </r>
    <r>
      <rPr>
        <sz val="10"/>
        <rFont val="Times New Roman"/>
        <family val="1"/>
      </rPr>
      <t xml:space="preserve"> Забезпечити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</si>
  <si>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</si>
  <si>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t>- сім'ям загиблих при виконанні службового обов'язку під час проведення антитерористичної операції (надання матеріальної допомоги на вирішення соціально-побутових питань);</t>
  </si>
  <si>
    <t>- проведення капітального ремонту будинків та квартир;</t>
  </si>
  <si>
    <t>КПКВК 0813242 (ДСЗН Сумської міської ради), КПКВК 0213242 (Виконавчий комітет Сумської міської ради)</t>
  </si>
  <si>
    <t>КПКВК 0813192 (ДСЗН Сумської міської ради)</t>
  </si>
  <si>
    <t>КПКВК 0813180 (ДСЗН Сумської міської ради)</t>
  </si>
  <si>
    <t>КПКВК 0813191 (ДСЗН Сумської міської ради)</t>
  </si>
  <si>
    <t>КПКВК 0813200 (ДСЗН Сумської міської ради)</t>
  </si>
  <si>
    <t xml:space="preserve"> - одиноким громадянам похилого віку та особам з інвалідністю (благодійні обіди);</t>
  </si>
  <si>
    <t>- проведення реконструкції жилої квартири, в якій зареєстрована та проживає особа з інвалідністю, що пересувається за допомогою крісла колісного;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</si>
  <si>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</si>
  <si>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</si>
  <si>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  </r>
  </si>
  <si>
    <r>
      <t xml:space="preserve">Завдання 5. </t>
    </r>
    <r>
      <rPr>
        <sz val="10"/>
        <rFont val="Times New Roman"/>
        <family val="1"/>
      </rPr>
      <t>Проведення розрахунків за пільговий проїзд окремих категорій громадян залізничним транспортом приміського сполучення.</t>
    </r>
  </si>
  <si>
    <r>
      <t xml:space="preserve">Завдання 3. </t>
    </r>
    <r>
      <rPr>
        <sz val="10"/>
        <rFont val="Times New Roman"/>
        <family val="1"/>
      </rPr>
      <t xml:space="preserve">Забезпечення надання пільг з оплати послуг зв’язку. </t>
    </r>
  </si>
  <si>
    <r>
      <t xml:space="preserve">Завдання 4. </t>
    </r>
    <r>
      <rPr>
        <sz val="10"/>
        <rFont val="Times New Roman"/>
        <family val="1"/>
      </rPr>
      <t>Забезпечення надання  інших пільг окремим категоріям громадян відповідно до законодавства:</t>
    </r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</si>
  <si>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лікування).</t>
  </si>
  <si>
    <t>- ветеранам  війни (проведення підписки на газети  «Урядовий кур’єр» та «Голос України»);</t>
  </si>
  <si>
    <t>- Моші Л.В. (надання цільової матеріальної допомоги для вирішення соціально-побутових питань у зв'язку з надзвичайною ситуацією (пожежею в будинку);</t>
  </si>
  <si>
    <t>- Житнику І.В. (надання цільової матеріальної допомоги для  невідкладного лікування доньки Житник Карини, 2002 року народження).</t>
  </si>
  <si>
    <t>2017 рік (план)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</si>
  <si>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воїнів-інтернаціоналістів, мешканцям міста Суми (виплата щомісячної грошової допомоги);</t>
  </si>
  <si>
    <t xml:space="preserve"> -  громадянам, які постраждали внаслідок Чорнобильської катастрофи категорії 1, та дітям, інвалідність яких пов'язана з наслідками Чорнобильської катастрофи, мешканцям міста Суми (надання одноразової матеріальної допомоги).</t>
  </si>
  <si>
    <t>- сім'ям осіб з інвалідністю І-ІІ груп по зору - мешканцям міста Суми (50 % пільги);</t>
  </si>
  <si>
    <t>- Бондарєвій К.І. (надання одноразової цільової матеріальної допомоги для проведення невідкладного лікування онкологічного захворювання);</t>
  </si>
  <si>
    <t>- особі з інвалідністю І групи з дитинства Манько О.Б., 1988 р.н. (надання одноразової цільової матеріальної допомоги для поліпшення умов проживання та її доступу до житла);</t>
  </si>
  <si>
    <t>-Артазєю П.М. (надання одноразової цільової матеріальної допомоги для невідкладного лікування доньки Гриценко Н.П., 1975 р.н., якій встановлено діагноз: гостре порушення мозкового кровообігу, розрив мішкоподібної аневризми);</t>
  </si>
  <si>
    <t>Мета: забезпечення надання соціальних гарантій  вихованцям закладів дошкільної освіти, які потребують особливої соціальної уваги.</t>
  </si>
  <si>
    <t>Підпрограма 8. Соціальна підтримка вихованців закладів дошкільної освіти, які потребують особливої соціальної уваги.</t>
  </si>
  <si>
    <t xml:space="preserve"> - дітей, батьки яких є учасниками бойових дій на території інших держав.</t>
  </si>
  <si>
    <r>
      <t xml:space="preserve">Завдання 4.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</si>
  <si>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t>Підпрограма 9. Соціальна підтримка учнів закладів загальної середньої освіти, які потребують особливої соціальної уваги.</t>
  </si>
  <si>
    <t>Мета: забезпечення надання соціальних гарантій  учнів закладів загальної середньої освіти, які потребують особливої соціальної уваги.</t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</si>
  <si>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</si>
  <si>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t xml:space="preserve"> - учнів, батьки яких є учасниками бойових дій на території інших держав.</t>
  </si>
  <si>
    <t>Сумський міський голова</t>
  </si>
  <si>
    <t>О.М. Лисенко</t>
  </si>
  <si>
    <r>
      <t>Мета: Вшанування ветеранів війни та праці, соціальна підтримка 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</si>
  <si>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 xml:space="preserve"> -  громадянам, які постраждали внаслідок Чорнобильської катастрофи категорії 1 та дітям з інвалідністю, захворювання яких пов’язане з Чорнобильською катастрофою - мешканцям міста Суми (надання одноразової матеріальної допомоги до 30-х роковин Чорнобильської катастрофи);</t>
  </si>
  <si>
    <t xml:space="preserve"> - Манько І.О. (цільова матеріальна допомога  на придбання системи кохлеарної імплантації для дитини з інвалідністю Манько Данііла);</t>
  </si>
  <si>
    <t>- Дегтярьову А.О. (цільова матеріальна допомога для лікування дитини з інвалідністю Дегтярьова Олександра);</t>
  </si>
  <si>
    <t>- учасникам бойових дій та особам з інвалідністю внаслідок  війни, яким виповнилося 95 і більше років – мешканцям міста Суми (щомісячна стипендія);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</si>
  <si>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- мешканцям міста Суми (виплата разової грошової допомоги);</t>
  </si>
  <si>
    <t>- особам з інвалідністю внаслідок війни з числа учасників антитерористичної операції, мешканцям міста Суми (надання одноразової матеріальної допомоги до 25 річниці Дня незалежності України);</t>
  </si>
  <si>
    <t xml:space="preserve"> - особам з інвалідністю внаслідок війни та учасникам бойових дій (надання пільг на проїзд на залізничному транспорті у міжміському сполученні); </t>
  </si>
  <si>
    <r>
      <t xml:space="preserve">Завдання 2.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осіб з інвалідністю внаслідок війни,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сполученнях.</t>
    </r>
  </si>
  <si>
    <t>- особі з інвалідністю І групи з дитинства Колдовському І.О., 1987 р.н. (надання одноразової цільової матеріальної допомоги для вирішення соціально-побутових питань (проведення ремонту квартири);</t>
  </si>
  <si>
    <t>- особі з інвалідністю 3 групи з ураженням опорно-рухового апарату Березовській Є.С. (надання одноразової цільової матеріальної допомоги для проведення термінового оперативного лікування);</t>
  </si>
  <si>
    <t>- особі з інвалідністю 3 групи внаслідок загального захворювання Кохану Ю.І. (надання одноразової цільової матеріальної допомоги для проведення термінового оперативного лікування (протезування мітрального клапану, коронарографії));</t>
  </si>
  <si>
    <t>- Ткачовій М.В. (надання одноразової цільової матеріальної допомоги для проведення невідкладного оперативного лікування).</t>
  </si>
  <si>
    <t xml:space="preserve"> -  сім’ям, діти з яких постраждали, та сім’ї, дитина з якої загинула, внаслідок ДТП на території республіки Білорусь 13 травня 2018 року (надання матеріальної допомоги);</t>
  </si>
  <si>
    <t>- Лапшину О.Я. (надання цільової матеріальної допомоги для проведення невідкладного оперативного лікування сина Лапшина Даніла, 2015 р.н.);</t>
  </si>
  <si>
    <t>- особі з інвалідністю І Б групи внаслідок загального захворювання Журавській І.М. (надання цільової матеріальної допомоги для проведення постійного медикаментозного лікування).</t>
  </si>
  <si>
    <t>2018 рік (план)</t>
  </si>
  <si>
    <t>- постраждалим від дорожньо-транспортної події, яка сталася 19 серпня 2018 року на перехресті вулиць Петропавлівська-Перекопська (надання матеріальної допомоги на лікування);</t>
  </si>
  <si>
    <t>- особі з інвалідністю 2 групи внаслідок загального захворювання з ураженням опорно-рухового апарату Шерстюку П.А. (надання одноразової цільової матеріальної допомоги для проведення оперативного лікування (тотального ендопротезування правого кульшового суглобу)).</t>
  </si>
  <si>
    <t>від ___ жовтня 2018 року № ______-МР</t>
  </si>
  <si>
    <t>Виконавець: Масік Т.О.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</si>
</sst>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 shrinkToFit="1"/>
    </xf>
    <xf numFmtId="0" fontId="1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5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209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 shrinkToFit="1"/>
    </xf>
    <xf numFmtId="0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justify" vertical="center" wrapText="1" shrinkToFi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 wrapText="1"/>
    </xf>
    <xf numFmtId="4" fontId="5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justify" vertical="center" wrapText="1" shrinkToFit="1"/>
    </xf>
    <xf numFmtId="49" fontId="1" fillId="32" borderId="10" xfId="0" applyNumberFormat="1" applyFont="1" applyFill="1" applyBorder="1" applyAlignment="1">
      <alignment horizontal="justify" vertical="center" wrapText="1"/>
    </xf>
    <xf numFmtId="0" fontId="52" fillId="32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209" fontId="8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/>
    </xf>
    <xf numFmtId="0" fontId="14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209" fontId="8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3"/>
  <sheetViews>
    <sheetView tabSelected="1" zoomScale="120" zoomScaleNormal="120" zoomScaleSheetLayoutView="100" workbookViewId="0" topLeftCell="A235">
      <selection activeCell="A242" sqref="A242"/>
    </sheetView>
  </sheetViews>
  <sheetFormatPr defaultColWidth="9.140625" defaultRowHeight="12.75"/>
  <cols>
    <col min="1" max="1" width="50.28125" style="16" customWidth="1"/>
    <col min="2" max="2" width="10.421875" style="16" customWidth="1"/>
    <col min="3" max="3" width="13.421875" style="16" customWidth="1"/>
    <col min="4" max="4" width="13.8515625" style="16" customWidth="1"/>
    <col min="5" max="5" width="12.28125" style="16" customWidth="1"/>
    <col min="6" max="6" width="13.28125" style="16" customWidth="1"/>
    <col min="7" max="7" width="12.57421875" style="16" customWidth="1"/>
    <col min="8" max="8" width="12.00390625" style="16" customWidth="1"/>
    <col min="9" max="10" width="12.7109375" style="16" customWidth="1"/>
    <col min="11" max="11" width="12.00390625" style="16" customWidth="1"/>
    <col min="12" max="12" width="13.28125" style="16" customWidth="1"/>
    <col min="13" max="14" width="9.140625" style="16" customWidth="1"/>
    <col min="15" max="15" width="12.7109375" style="16" bestFit="1" customWidth="1"/>
    <col min="16" max="16384" width="9.140625" style="16" customWidth="1"/>
  </cols>
  <sheetData>
    <row r="1" spans="9:12" ht="12.75">
      <c r="I1" s="3"/>
      <c r="J1" s="3"/>
      <c r="K1" s="3"/>
      <c r="L1" s="3"/>
    </row>
    <row r="2" spans="9:12" ht="16.5" customHeight="1">
      <c r="I2" s="100" t="s">
        <v>111</v>
      </c>
      <c r="J2" s="100"/>
      <c r="K2" s="100"/>
      <c r="L2" s="100"/>
    </row>
    <row r="3" spans="1:12" ht="129" customHeight="1">
      <c r="A3" s="3"/>
      <c r="B3" s="3"/>
      <c r="C3" s="3"/>
      <c r="D3" s="3"/>
      <c r="E3" s="3"/>
      <c r="F3" s="3"/>
      <c r="I3" s="99" t="s">
        <v>112</v>
      </c>
      <c r="J3" s="99"/>
      <c r="K3" s="99"/>
      <c r="L3" s="99"/>
    </row>
    <row r="4" spans="9:12" ht="23.25" customHeight="1">
      <c r="I4" s="1" t="s">
        <v>208</v>
      </c>
      <c r="J4" s="2"/>
      <c r="K4" s="2"/>
      <c r="L4" s="3"/>
    </row>
    <row r="5" spans="9:11" ht="17.25" customHeight="1">
      <c r="I5" s="17"/>
      <c r="J5" s="18"/>
      <c r="K5" s="18"/>
    </row>
    <row r="6" ht="18" customHeight="1"/>
    <row r="7" spans="1:12" ht="18.75" customHeight="1">
      <c r="A7" s="88" t="s">
        <v>39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s="15" customFormat="1" ht="12.75">
      <c r="A8" s="19" t="s">
        <v>14</v>
      </c>
      <c r="L8" s="20" t="s">
        <v>5</v>
      </c>
    </row>
    <row r="9" spans="1:12" s="15" customFormat="1" ht="18.75" customHeight="1">
      <c r="A9" s="85" t="s">
        <v>90</v>
      </c>
      <c r="B9" s="85" t="s">
        <v>32</v>
      </c>
      <c r="C9" s="89" t="s">
        <v>30</v>
      </c>
      <c r="D9" s="89"/>
      <c r="E9" s="89"/>
      <c r="F9" s="89" t="s">
        <v>172</v>
      </c>
      <c r="G9" s="89"/>
      <c r="H9" s="89"/>
      <c r="I9" s="89" t="s">
        <v>205</v>
      </c>
      <c r="J9" s="89"/>
      <c r="K9" s="89"/>
      <c r="L9" s="85" t="s">
        <v>18</v>
      </c>
    </row>
    <row r="10" spans="1:12" s="15" customFormat="1" ht="24.75" customHeight="1">
      <c r="A10" s="85"/>
      <c r="B10" s="85"/>
      <c r="C10" s="85" t="s">
        <v>15</v>
      </c>
      <c r="D10" s="85" t="s">
        <v>0</v>
      </c>
      <c r="E10" s="85"/>
      <c r="F10" s="85" t="s">
        <v>15</v>
      </c>
      <c r="G10" s="85" t="s">
        <v>0</v>
      </c>
      <c r="H10" s="85"/>
      <c r="I10" s="85" t="s">
        <v>15</v>
      </c>
      <c r="J10" s="85" t="s">
        <v>0</v>
      </c>
      <c r="K10" s="85"/>
      <c r="L10" s="85"/>
    </row>
    <row r="11" spans="1:12" s="15" customFormat="1" ht="32.25" customHeight="1">
      <c r="A11" s="85"/>
      <c r="B11" s="85"/>
      <c r="C11" s="85"/>
      <c r="D11" s="5" t="s">
        <v>51</v>
      </c>
      <c r="E11" s="5" t="s">
        <v>50</v>
      </c>
      <c r="F11" s="85"/>
      <c r="G11" s="5" t="s">
        <v>51</v>
      </c>
      <c r="H11" s="5" t="s">
        <v>50</v>
      </c>
      <c r="I11" s="85"/>
      <c r="J11" s="5" t="s">
        <v>51</v>
      </c>
      <c r="K11" s="5" t="s">
        <v>50</v>
      </c>
      <c r="L11" s="85"/>
    </row>
    <row r="12" spans="1:12" s="15" customFormat="1" ht="14.2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1">
        <v>10</v>
      </c>
      <c r="K12" s="21">
        <v>11</v>
      </c>
      <c r="L12" s="21">
        <v>12</v>
      </c>
    </row>
    <row r="13" spans="1:15" s="25" customFormat="1" ht="30.75" customHeight="1">
      <c r="A13" s="23" t="s">
        <v>1</v>
      </c>
      <c r="B13" s="21"/>
      <c r="C13" s="6">
        <f>SUM(C16,C22,C103,C107,C121,C148,C153,C205,C209,C214,C157,C177,C235)</f>
        <v>32921871</v>
      </c>
      <c r="D13" s="6">
        <f>SUM(D16,D22,D103,D107,D121,D148,D153,D205,D209,D214,D157,D177,D235)</f>
        <v>32139871</v>
      </c>
      <c r="E13" s="6">
        <f>SUM(E16,E22,E103,E107,E121,E148,E153,E205,E209,E214)</f>
        <v>747000</v>
      </c>
      <c r="F13" s="6">
        <f aca="true" t="shared" si="0" ref="F13:K13">SUM(F16,F22,F103,F107,F121,F148,F153,F205,F209,F214,F157,F177,F235)</f>
        <v>55189374</v>
      </c>
      <c r="G13" s="6">
        <f t="shared" si="0"/>
        <v>54946122</v>
      </c>
      <c r="H13" s="6">
        <f t="shared" si="0"/>
        <v>204612</v>
      </c>
      <c r="I13" s="6">
        <f t="shared" si="0"/>
        <v>73187978</v>
      </c>
      <c r="J13" s="6">
        <f t="shared" si="0"/>
        <v>72825723</v>
      </c>
      <c r="K13" s="6">
        <f t="shared" si="0"/>
        <v>320910</v>
      </c>
      <c r="L13" s="24"/>
      <c r="O13" s="26"/>
    </row>
    <row r="14" spans="1:12" s="15" customFormat="1" ht="22.5" customHeight="1">
      <c r="A14" s="81" t="s">
        <v>12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2" s="15" customFormat="1" ht="33" customHeight="1">
      <c r="A15" s="84" t="s">
        <v>189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s="15" customFormat="1" ht="12.75">
      <c r="A16" s="23" t="s">
        <v>2</v>
      </c>
      <c r="B16" s="21"/>
      <c r="C16" s="6">
        <v>35000</v>
      </c>
      <c r="D16" s="6">
        <f>SUM(D17,D18)</f>
        <v>0</v>
      </c>
      <c r="E16" s="6">
        <f aca="true" t="shared" si="1" ref="E16:K16">SUM(E17,E18)</f>
        <v>0</v>
      </c>
      <c r="F16" s="6">
        <f t="shared" si="1"/>
        <v>38640</v>
      </c>
      <c r="G16" s="6">
        <f t="shared" si="1"/>
        <v>0</v>
      </c>
      <c r="H16" s="6">
        <f t="shared" si="1"/>
        <v>0</v>
      </c>
      <c r="I16" s="6">
        <f t="shared" si="1"/>
        <v>41345</v>
      </c>
      <c r="J16" s="6">
        <f t="shared" si="1"/>
        <v>0</v>
      </c>
      <c r="K16" s="6">
        <f t="shared" si="1"/>
        <v>0</v>
      </c>
      <c r="L16" s="24"/>
    </row>
    <row r="17" spans="1:12" s="15" customFormat="1" ht="82.5" customHeight="1">
      <c r="A17" s="24" t="s">
        <v>92</v>
      </c>
      <c r="B17" s="5" t="s">
        <v>8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10" t="s">
        <v>40</v>
      </c>
    </row>
    <row r="18" spans="1:12" s="15" customFormat="1" ht="57.75" customHeight="1">
      <c r="A18" s="27" t="s">
        <v>16</v>
      </c>
      <c r="B18" s="5" t="s">
        <v>9</v>
      </c>
      <c r="C18" s="6">
        <v>35000</v>
      </c>
      <c r="D18" s="7">
        <v>0</v>
      </c>
      <c r="E18" s="7">
        <v>0</v>
      </c>
      <c r="F18" s="6">
        <f>ROUND(C18*1.104,0)</f>
        <v>38640</v>
      </c>
      <c r="G18" s="7">
        <v>0</v>
      </c>
      <c r="H18" s="7">
        <v>0</v>
      </c>
      <c r="I18" s="6">
        <v>41345</v>
      </c>
      <c r="J18" s="7">
        <v>0</v>
      </c>
      <c r="K18" s="7">
        <v>0</v>
      </c>
      <c r="L18" s="10" t="s">
        <v>41</v>
      </c>
    </row>
    <row r="19" spans="1:12" s="15" customFormat="1" ht="22.5" customHeight="1">
      <c r="A19" s="83" t="s">
        <v>155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s="15" customFormat="1" ht="24" customHeight="1">
      <c r="A20" s="87" t="s">
        <v>13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1:12" s="15" customFormat="1" ht="21.75" customHeight="1">
      <c r="A21" s="84" t="s">
        <v>17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s="15" customFormat="1" ht="24" customHeight="1">
      <c r="A22" s="28" t="s">
        <v>46</v>
      </c>
      <c r="B22" s="29"/>
      <c r="C22" s="9">
        <f>E22+D22</f>
        <v>7015216</v>
      </c>
      <c r="D22" s="9">
        <f>D23+D77+D95+D98+D96+D97</f>
        <v>7015216</v>
      </c>
      <c r="E22" s="9">
        <f>E23+E77+E95+E98</f>
        <v>0</v>
      </c>
      <c r="F22" s="9">
        <f>+G22</f>
        <v>7361800</v>
      </c>
      <c r="G22" s="9">
        <f>G23+G77+G95+G98+G96+G97+G99</f>
        <v>7361800</v>
      </c>
      <c r="H22" s="9">
        <f>H23+H77+H95+H98</f>
        <v>0</v>
      </c>
      <c r="I22" s="6">
        <f>J22+K22</f>
        <v>12234605</v>
      </c>
      <c r="J22" s="6">
        <f>J23+J77+J95+J98+J99</f>
        <v>12159605</v>
      </c>
      <c r="K22" s="6">
        <f>K23+K77+K95+K98</f>
        <v>75000</v>
      </c>
      <c r="L22" s="30"/>
    </row>
    <row r="23" spans="1:12" s="15" customFormat="1" ht="27" customHeight="1">
      <c r="A23" s="24" t="s">
        <v>19</v>
      </c>
      <c r="B23" s="29"/>
      <c r="C23" s="9">
        <f>D23+E23</f>
        <v>6380696</v>
      </c>
      <c r="D23" s="9">
        <f>+D27+D28+D29+D30+D31+D32+D33+D34+D35+D36+D37+D44+D45+D46+D38+D42+D43+D56</f>
        <v>6380696</v>
      </c>
      <c r="E23" s="9">
        <f>+E27+E28+E29+E30+E31+E32+E33+E34+E35+E36+E37+E44+E45+E46</f>
        <v>0</v>
      </c>
      <c r="F23" s="6">
        <f>G23+H23</f>
        <v>6849951</v>
      </c>
      <c r="G23" s="9">
        <f>+G27+G28+G29+G30+G31+G32+G33+G34+G35+G36+G37+G44+G45+G46+G47+G48+G49+G50+G51+G52+G53+G54+G55+G56</f>
        <v>6849951</v>
      </c>
      <c r="H23" s="9">
        <f>+H27+H28+H29+H30+H31+H32+H33+H34+H35+H36+H37+H44+H45+H46</f>
        <v>0</v>
      </c>
      <c r="I23" s="6">
        <f>J23+K23</f>
        <v>11297519</v>
      </c>
      <c r="J23" s="9">
        <f>+J27+J28+J29+J30+J31+J32+J33+J34+J35+J36+J37+J44+J45+J46+J47+J48+J49+J56+J60+J61+J62+J63+J64+J65+J66+J67+J68+J69+J70+J71+J72+J76</f>
        <v>11297519</v>
      </c>
      <c r="K23" s="9">
        <f>+K27+K28+K29+K30+K31+K32+K33+K34+K35+K36+K37+K44+K45+K46</f>
        <v>0</v>
      </c>
      <c r="L23" s="31"/>
    </row>
    <row r="24" spans="1:12" s="25" customFormat="1" ht="12" customHeight="1">
      <c r="A24" s="32"/>
      <c r="B24" s="33"/>
      <c r="C24" s="34"/>
      <c r="D24" s="35"/>
      <c r="E24" s="35"/>
      <c r="F24" s="36"/>
      <c r="G24" s="37"/>
      <c r="H24" s="35"/>
      <c r="I24" s="34"/>
      <c r="J24" s="37"/>
      <c r="K24" s="35"/>
      <c r="L24" s="38"/>
    </row>
    <row r="25" spans="1:14" s="25" customFormat="1" ht="23.25" customHeight="1">
      <c r="A25" s="39"/>
      <c r="C25" s="40"/>
      <c r="D25" s="40"/>
      <c r="E25" s="40"/>
      <c r="F25" s="40"/>
      <c r="G25" s="40"/>
      <c r="H25" s="40"/>
      <c r="I25" s="90" t="s">
        <v>113</v>
      </c>
      <c r="J25" s="90"/>
      <c r="K25" s="90"/>
      <c r="L25" s="90"/>
      <c r="N25" s="41"/>
    </row>
    <row r="26" spans="1:14" s="25" customFormat="1" ht="14.25">
      <c r="A26" s="10">
        <v>1</v>
      </c>
      <c r="B26" s="42">
        <v>2</v>
      </c>
      <c r="C26" s="43">
        <v>3</v>
      </c>
      <c r="D26" s="43">
        <v>4</v>
      </c>
      <c r="E26" s="43">
        <v>5</v>
      </c>
      <c r="F26" s="43">
        <v>6</v>
      </c>
      <c r="G26" s="43">
        <v>7</v>
      </c>
      <c r="H26" s="43">
        <v>8</v>
      </c>
      <c r="I26" s="43">
        <v>9</v>
      </c>
      <c r="J26" s="43">
        <v>10</v>
      </c>
      <c r="K26" s="43">
        <v>11</v>
      </c>
      <c r="L26" s="43">
        <v>12</v>
      </c>
      <c r="N26" s="41"/>
    </row>
    <row r="27" spans="1:12" s="15" customFormat="1" ht="43.5" customHeight="1">
      <c r="A27" s="44" t="s">
        <v>21</v>
      </c>
      <c r="B27" s="5" t="s">
        <v>11</v>
      </c>
      <c r="C27" s="9">
        <f aca="true" t="shared" si="2" ref="C27:C38">D27+E27</f>
        <v>2190000</v>
      </c>
      <c r="D27" s="8">
        <v>2190000</v>
      </c>
      <c r="E27" s="8">
        <v>0</v>
      </c>
      <c r="F27" s="6">
        <f>+G27+H27</f>
        <v>4300000</v>
      </c>
      <c r="G27" s="7">
        <v>4300000</v>
      </c>
      <c r="H27" s="8">
        <v>0</v>
      </c>
      <c r="I27" s="9">
        <f>J27+K27</f>
        <v>6570000</v>
      </c>
      <c r="J27" s="7">
        <f>3500000+1000000+1000000+70000+1000000</f>
        <v>6570000</v>
      </c>
      <c r="K27" s="8">
        <v>0</v>
      </c>
      <c r="L27" s="10" t="s">
        <v>41</v>
      </c>
    </row>
    <row r="28" spans="1:12" s="25" customFormat="1" ht="39.75" customHeight="1">
      <c r="A28" s="12" t="s">
        <v>4</v>
      </c>
      <c r="B28" s="5" t="s">
        <v>11</v>
      </c>
      <c r="C28" s="9">
        <f t="shared" si="2"/>
        <v>316773</v>
      </c>
      <c r="D28" s="8">
        <v>316773</v>
      </c>
      <c r="E28" s="8">
        <v>0</v>
      </c>
      <c r="F28" s="6">
        <f>+G28+H28</f>
        <v>377874</v>
      </c>
      <c r="G28" s="7">
        <v>377874</v>
      </c>
      <c r="H28" s="8">
        <v>0</v>
      </c>
      <c r="I28" s="9">
        <f>J28+K28</f>
        <v>400098</v>
      </c>
      <c r="J28" s="7">
        <v>400098</v>
      </c>
      <c r="K28" s="8">
        <v>0</v>
      </c>
      <c r="L28" s="10" t="s">
        <v>41</v>
      </c>
    </row>
    <row r="29" spans="1:12" s="25" customFormat="1" ht="67.5" customHeight="1">
      <c r="A29" s="45" t="s">
        <v>76</v>
      </c>
      <c r="B29" s="5" t="s">
        <v>11</v>
      </c>
      <c r="C29" s="6">
        <f t="shared" si="2"/>
        <v>1087970</v>
      </c>
      <c r="D29" s="7">
        <v>1087970</v>
      </c>
      <c r="E29" s="46">
        <v>0</v>
      </c>
      <c r="F29" s="6">
        <v>0</v>
      </c>
      <c r="G29" s="7">
        <v>0</v>
      </c>
      <c r="H29" s="8">
        <v>0</v>
      </c>
      <c r="I29" s="9">
        <v>0</v>
      </c>
      <c r="J29" s="7">
        <v>0</v>
      </c>
      <c r="K29" s="8">
        <v>0</v>
      </c>
      <c r="L29" s="10" t="s">
        <v>37</v>
      </c>
    </row>
    <row r="30" spans="1:12" s="25" customFormat="1" ht="45" customHeight="1">
      <c r="A30" s="44" t="s">
        <v>55</v>
      </c>
      <c r="B30" s="5" t="s">
        <v>11</v>
      </c>
      <c r="C30" s="6">
        <f t="shared" si="2"/>
        <v>150000</v>
      </c>
      <c r="D30" s="7">
        <v>150000</v>
      </c>
      <c r="E30" s="46">
        <v>0</v>
      </c>
      <c r="F30" s="6">
        <v>0</v>
      </c>
      <c r="G30" s="7">
        <v>0</v>
      </c>
      <c r="H30" s="8">
        <v>0</v>
      </c>
      <c r="I30" s="9">
        <v>0</v>
      </c>
      <c r="J30" s="7">
        <v>0</v>
      </c>
      <c r="K30" s="8">
        <v>0</v>
      </c>
      <c r="L30" s="10" t="s">
        <v>37</v>
      </c>
    </row>
    <row r="31" spans="1:12" s="25" customFormat="1" ht="39.75" customHeight="1">
      <c r="A31" s="44" t="s">
        <v>89</v>
      </c>
      <c r="B31" s="5" t="s">
        <v>11</v>
      </c>
      <c r="C31" s="6">
        <f t="shared" si="2"/>
        <v>4028</v>
      </c>
      <c r="D31" s="7">
        <v>4028</v>
      </c>
      <c r="E31" s="7">
        <v>0</v>
      </c>
      <c r="F31" s="6">
        <f>+G31+H31</f>
        <v>9048</v>
      </c>
      <c r="G31" s="7">
        <v>9048</v>
      </c>
      <c r="H31" s="8">
        <v>0</v>
      </c>
      <c r="I31" s="9">
        <f aca="true" t="shared" si="3" ref="I31:I49">J31+K31</f>
        <v>11072</v>
      </c>
      <c r="J31" s="7">
        <f>-7031+18103</f>
        <v>11072</v>
      </c>
      <c r="K31" s="8">
        <v>0</v>
      </c>
      <c r="L31" s="10" t="s">
        <v>41</v>
      </c>
    </row>
    <row r="32" spans="1:12" s="25" customFormat="1" ht="51" customHeight="1">
      <c r="A32" s="44" t="s">
        <v>56</v>
      </c>
      <c r="B32" s="5" t="s">
        <v>11</v>
      </c>
      <c r="C32" s="6">
        <f t="shared" si="2"/>
        <v>190000</v>
      </c>
      <c r="D32" s="7">
        <f>60000+130000</f>
        <v>190000</v>
      </c>
      <c r="E32" s="7">
        <v>0</v>
      </c>
      <c r="F32" s="6">
        <f>G32+H32</f>
        <v>0</v>
      </c>
      <c r="G32" s="7">
        <v>0</v>
      </c>
      <c r="H32" s="8">
        <v>0</v>
      </c>
      <c r="I32" s="9">
        <f t="shared" si="3"/>
        <v>0</v>
      </c>
      <c r="J32" s="7">
        <v>0</v>
      </c>
      <c r="K32" s="8">
        <v>0</v>
      </c>
      <c r="L32" s="10" t="s">
        <v>37</v>
      </c>
    </row>
    <row r="33" spans="1:12" s="25" customFormat="1" ht="42.75" customHeight="1">
      <c r="A33" s="44" t="s">
        <v>57</v>
      </c>
      <c r="B33" s="5" t="s">
        <v>11</v>
      </c>
      <c r="C33" s="6">
        <f t="shared" si="2"/>
        <v>3680</v>
      </c>
      <c r="D33" s="7">
        <v>3680</v>
      </c>
      <c r="E33" s="7">
        <v>0</v>
      </c>
      <c r="F33" s="6">
        <f>G33+H33</f>
        <v>0</v>
      </c>
      <c r="G33" s="7">
        <v>0</v>
      </c>
      <c r="H33" s="8">
        <v>0</v>
      </c>
      <c r="I33" s="9">
        <f t="shared" si="3"/>
        <v>0</v>
      </c>
      <c r="J33" s="7">
        <v>0</v>
      </c>
      <c r="K33" s="8">
        <v>0</v>
      </c>
      <c r="L33" s="10" t="s">
        <v>37</v>
      </c>
    </row>
    <row r="34" spans="1:12" s="25" customFormat="1" ht="69.75" customHeight="1">
      <c r="A34" s="12" t="s">
        <v>190</v>
      </c>
      <c r="B34" s="5" t="s">
        <v>11</v>
      </c>
      <c r="C34" s="6">
        <f t="shared" si="2"/>
        <v>348611</v>
      </c>
      <c r="D34" s="7">
        <v>348611</v>
      </c>
      <c r="E34" s="7">
        <v>0</v>
      </c>
      <c r="F34" s="6">
        <f>G34+H34</f>
        <v>0</v>
      </c>
      <c r="G34" s="7">
        <v>0</v>
      </c>
      <c r="H34" s="8">
        <v>0</v>
      </c>
      <c r="I34" s="9">
        <f t="shared" si="3"/>
        <v>0</v>
      </c>
      <c r="J34" s="7">
        <f>ROUND(G34*1.055,0)</f>
        <v>0</v>
      </c>
      <c r="K34" s="8">
        <v>0</v>
      </c>
      <c r="L34" s="10" t="s">
        <v>37</v>
      </c>
    </row>
    <row r="35" spans="1:12" s="25" customFormat="1" ht="64.5" customHeight="1">
      <c r="A35" s="4" t="s">
        <v>58</v>
      </c>
      <c r="B35" s="5" t="s">
        <v>11</v>
      </c>
      <c r="C35" s="6">
        <f t="shared" si="2"/>
        <v>22680</v>
      </c>
      <c r="D35" s="7">
        <v>22680</v>
      </c>
      <c r="E35" s="7">
        <v>0</v>
      </c>
      <c r="F35" s="6">
        <f>G35+H35</f>
        <v>0</v>
      </c>
      <c r="G35" s="7">
        <v>0</v>
      </c>
      <c r="H35" s="8">
        <v>0</v>
      </c>
      <c r="I35" s="9">
        <f t="shared" si="3"/>
        <v>0</v>
      </c>
      <c r="J35" s="7">
        <v>0</v>
      </c>
      <c r="K35" s="8">
        <v>0</v>
      </c>
      <c r="L35" s="10" t="s">
        <v>37</v>
      </c>
    </row>
    <row r="36" spans="1:12" s="25" customFormat="1" ht="68.25" customHeight="1">
      <c r="A36" s="44" t="s">
        <v>59</v>
      </c>
      <c r="B36" s="5" t="s">
        <v>11</v>
      </c>
      <c r="C36" s="6">
        <f t="shared" si="2"/>
        <v>19941</v>
      </c>
      <c r="D36" s="7">
        <v>19941</v>
      </c>
      <c r="E36" s="7">
        <v>0</v>
      </c>
      <c r="F36" s="6">
        <f>G36+H36</f>
        <v>0</v>
      </c>
      <c r="G36" s="7">
        <v>0</v>
      </c>
      <c r="H36" s="8">
        <v>0</v>
      </c>
      <c r="I36" s="9">
        <f t="shared" si="3"/>
        <v>0</v>
      </c>
      <c r="J36" s="7">
        <v>0</v>
      </c>
      <c r="K36" s="8">
        <v>0</v>
      </c>
      <c r="L36" s="10" t="s">
        <v>37</v>
      </c>
    </row>
    <row r="37" spans="1:12" s="25" customFormat="1" ht="105" customHeight="1">
      <c r="A37" s="47" t="s">
        <v>60</v>
      </c>
      <c r="B37" s="5" t="s">
        <v>11</v>
      </c>
      <c r="C37" s="6">
        <f t="shared" si="2"/>
        <v>1149360</v>
      </c>
      <c r="D37" s="7">
        <v>1149360</v>
      </c>
      <c r="E37" s="7">
        <v>0</v>
      </c>
      <c r="F37" s="6">
        <v>0</v>
      </c>
      <c r="G37" s="7">
        <v>0</v>
      </c>
      <c r="H37" s="8">
        <v>0</v>
      </c>
      <c r="I37" s="9">
        <v>0</v>
      </c>
      <c r="J37" s="7">
        <v>0</v>
      </c>
      <c r="K37" s="8">
        <v>0</v>
      </c>
      <c r="L37" s="10" t="s">
        <v>37</v>
      </c>
    </row>
    <row r="38" spans="1:12" s="25" customFormat="1" ht="44.25" customHeight="1">
      <c r="A38" s="47" t="s">
        <v>191</v>
      </c>
      <c r="B38" s="5" t="s">
        <v>11</v>
      </c>
      <c r="C38" s="6">
        <f t="shared" si="2"/>
        <v>375000</v>
      </c>
      <c r="D38" s="7">
        <v>375000</v>
      </c>
      <c r="E38" s="7">
        <v>0</v>
      </c>
      <c r="F38" s="6">
        <v>0</v>
      </c>
      <c r="G38" s="7">
        <v>0</v>
      </c>
      <c r="H38" s="8">
        <v>0</v>
      </c>
      <c r="I38" s="9">
        <v>0</v>
      </c>
      <c r="J38" s="7">
        <v>0</v>
      </c>
      <c r="K38" s="8">
        <v>0</v>
      </c>
      <c r="L38" s="10" t="s">
        <v>37</v>
      </c>
    </row>
    <row r="39" spans="1:12" s="15" customFormat="1" ht="6.75" customHeight="1">
      <c r="A39" s="48"/>
      <c r="B39" s="49"/>
      <c r="C39" s="50"/>
      <c r="D39" s="51"/>
      <c r="E39" s="51"/>
      <c r="F39" s="52"/>
      <c r="G39" s="53"/>
      <c r="H39" s="51"/>
      <c r="I39" s="50"/>
      <c r="J39" s="53"/>
      <c r="K39" s="51"/>
      <c r="L39" s="54"/>
    </row>
    <row r="40" spans="1:14" s="25" customFormat="1" ht="15.75" customHeight="1">
      <c r="A40" s="39"/>
      <c r="C40" s="40"/>
      <c r="D40" s="40"/>
      <c r="E40" s="40"/>
      <c r="F40" s="40"/>
      <c r="G40" s="40"/>
      <c r="H40" s="40"/>
      <c r="I40" s="90" t="s">
        <v>113</v>
      </c>
      <c r="J40" s="90"/>
      <c r="K40" s="90"/>
      <c r="L40" s="90"/>
      <c r="N40" s="41"/>
    </row>
    <row r="41" spans="1:14" s="25" customFormat="1" ht="14.25">
      <c r="A41" s="10">
        <v>1</v>
      </c>
      <c r="B41" s="42">
        <v>2</v>
      </c>
      <c r="C41" s="43">
        <v>3</v>
      </c>
      <c r="D41" s="43">
        <v>4</v>
      </c>
      <c r="E41" s="43">
        <v>5</v>
      </c>
      <c r="F41" s="43">
        <v>6</v>
      </c>
      <c r="G41" s="43">
        <v>7</v>
      </c>
      <c r="H41" s="43">
        <v>8</v>
      </c>
      <c r="I41" s="43">
        <v>9</v>
      </c>
      <c r="J41" s="43">
        <v>10</v>
      </c>
      <c r="K41" s="43">
        <v>11</v>
      </c>
      <c r="L41" s="43">
        <v>12</v>
      </c>
      <c r="N41" s="41"/>
    </row>
    <row r="42" spans="1:12" s="25" customFormat="1" ht="52.5" customHeight="1">
      <c r="A42" s="12" t="s">
        <v>82</v>
      </c>
      <c r="B42" s="5" t="s">
        <v>11</v>
      </c>
      <c r="C42" s="6">
        <f aca="true" t="shared" si="4" ref="C42:C49">D42+E42</f>
        <v>372653</v>
      </c>
      <c r="D42" s="7">
        <v>372653</v>
      </c>
      <c r="E42" s="7">
        <v>0</v>
      </c>
      <c r="F42" s="6">
        <v>0</v>
      </c>
      <c r="G42" s="7">
        <v>0</v>
      </c>
      <c r="H42" s="8">
        <v>0</v>
      </c>
      <c r="I42" s="9">
        <v>0</v>
      </c>
      <c r="J42" s="7">
        <v>0</v>
      </c>
      <c r="K42" s="8">
        <v>0</v>
      </c>
      <c r="L42" s="10" t="s">
        <v>37</v>
      </c>
    </row>
    <row r="43" spans="1:12" s="25" customFormat="1" ht="35.25" customHeight="1">
      <c r="A43" s="4" t="s">
        <v>192</v>
      </c>
      <c r="B43" s="5" t="s">
        <v>11</v>
      </c>
      <c r="C43" s="6">
        <f t="shared" si="4"/>
        <v>150000</v>
      </c>
      <c r="D43" s="7">
        <v>150000</v>
      </c>
      <c r="E43" s="7">
        <v>0</v>
      </c>
      <c r="F43" s="6">
        <v>0</v>
      </c>
      <c r="G43" s="7">
        <v>0</v>
      </c>
      <c r="H43" s="8">
        <v>0</v>
      </c>
      <c r="I43" s="9">
        <v>0</v>
      </c>
      <c r="J43" s="7">
        <v>0</v>
      </c>
      <c r="K43" s="8">
        <v>0</v>
      </c>
      <c r="L43" s="10" t="s">
        <v>37</v>
      </c>
    </row>
    <row r="44" spans="1:12" s="25" customFormat="1" ht="39" customHeight="1">
      <c r="A44" s="4" t="s">
        <v>42</v>
      </c>
      <c r="B44" s="5" t="s">
        <v>11</v>
      </c>
      <c r="C44" s="6">
        <f t="shared" si="4"/>
        <v>0</v>
      </c>
      <c r="D44" s="7">
        <v>0</v>
      </c>
      <c r="E44" s="7">
        <v>0</v>
      </c>
      <c r="F44" s="6">
        <f aca="true" t="shared" si="5" ref="F44:F56">G44+H44</f>
        <v>17458</v>
      </c>
      <c r="G44" s="7">
        <f>14964+2494</f>
        <v>17458</v>
      </c>
      <c r="H44" s="8">
        <v>0</v>
      </c>
      <c r="I44" s="9">
        <f t="shared" si="3"/>
        <v>19222</v>
      </c>
      <c r="J44" s="7">
        <v>19222</v>
      </c>
      <c r="K44" s="8">
        <v>0</v>
      </c>
      <c r="L44" s="10" t="s">
        <v>37</v>
      </c>
    </row>
    <row r="45" spans="1:12" s="25" customFormat="1" ht="39" customHeight="1">
      <c r="A45" s="4" t="s">
        <v>52</v>
      </c>
      <c r="B45" s="5" t="s">
        <v>11</v>
      </c>
      <c r="C45" s="6">
        <f t="shared" si="4"/>
        <v>0</v>
      </c>
      <c r="D45" s="7">
        <v>0</v>
      </c>
      <c r="E45" s="7">
        <v>0</v>
      </c>
      <c r="F45" s="6">
        <f t="shared" si="5"/>
        <v>42579</v>
      </c>
      <c r="G45" s="7">
        <f>42490+89</f>
        <v>42579</v>
      </c>
      <c r="H45" s="8">
        <v>0</v>
      </c>
      <c r="I45" s="9">
        <f t="shared" si="3"/>
        <v>49240</v>
      </c>
      <c r="J45" s="7">
        <v>49240</v>
      </c>
      <c r="K45" s="8">
        <v>0</v>
      </c>
      <c r="L45" s="10" t="s">
        <v>37</v>
      </c>
    </row>
    <row r="46" spans="1:12" s="25" customFormat="1" ht="54" customHeight="1">
      <c r="A46" s="4" t="s">
        <v>103</v>
      </c>
      <c r="B46" s="5" t="s">
        <v>11</v>
      </c>
      <c r="C46" s="6">
        <f t="shared" si="4"/>
        <v>0</v>
      </c>
      <c r="D46" s="7">
        <v>0</v>
      </c>
      <c r="E46" s="7">
        <v>0</v>
      </c>
      <c r="F46" s="6">
        <f t="shared" si="5"/>
        <v>300000</v>
      </c>
      <c r="G46" s="7">
        <v>300000</v>
      </c>
      <c r="H46" s="8">
        <v>0</v>
      </c>
      <c r="I46" s="9">
        <f t="shared" si="3"/>
        <v>400000</v>
      </c>
      <c r="J46" s="7">
        <v>400000</v>
      </c>
      <c r="K46" s="8">
        <v>0</v>
      </c>
      <c r="L46" s="10" t="s">
        <v>37</v>
      </c>
    </row>
    <row r="47" spans="1:12" s="25" customFormat="1" ht="42.75" customHeight="1">
      <c r="A47" s="4" t="s">
        <v>83</v>
      </c>
      <c r="B47" s="5" t="s">
        <v>11</v>
      </c>
      <c r="C47" s="6">
        <f t="shared" si="4"/>
        <v>0</v>
      </c>
      <c r="D47" s="7">
        <v>0</v>
      </c>
      <c r="E47" s="7">
        <v>0</v>
      </c>
      <c r="F47" s="6">
        <f t="shared" si="5"/>
        <v>56082</v>
      </c>
      <c r="G47" s="7">
        <v>56082</v>
      </c>
      <c r="H47" s="8">
        <v>0</v>
      </c>
      <c r="I47" s="9">
        <f t="shared" si="3"/>
        <v>123570</v>
      </c>
      <c r="J47" s="7">
        <v>123570</v>
      </c>
      <c r="K47" s="8">
        <v>0</v>
      </c>
      <c r="L47" s="10" t="s">
        <v>37</v>
      </c>
    </row>
    <row r="48" spans="1:12" s="25" customFormat="1" ht="37.5" customHeight="1">
      <c r="A48" s="4" t="s">
        <v>91</v>
      </c>
      <c r="B48" s="5" t="s">
        <v>11</v>
      </c>
      <c r="C48" s="6">
        <f t="shared" si="4"/>
        <v>0</v>
      </c>
      <c r="D48" s="7">
        <v>0</v>
      </c>
      <c r="E48" s="7">
        <v>0</v>
      </c>
      <c r="F48" s="6">
        <f t="shared" si="5"/>
        <v>352500</v>
      </c>
      <c r="G48" s="7">
        <v>352500</v>
      </c>
      <c r="H48" s="8">
        <v>0</v>
      </c>
      <c r="I48" s="9">
        <f t="shared" si="3"/>
        <v>555119</v>
      </c>
      <c r="J48" s="7">
        <f>350119+175000+30000</f>
        <v>555119</v>
      </c>
      <c r="K48" s="8">
        <v>0</v>
      </c>
      <c r="L48" s="10" t="s">
        <v>37</v>
      </c>
    </row>
    <row r="49" spans="1:12" s="25" customFormat="1" ht="38.25" customHeight="1">
      <c r="A49" s="4" t="s">
        <v>93</v>
      </c>
      <c r="B49" s="5" t="s">
        <v>11</v>
      </c>
      <c r="C49" s="6">
        <f t="shared" si="4"/>
        <v>0</v>
      </c>
      <c r="D49" s="7">
        <v>0</v>
      </c>
      <c r="E49" s="7">
        <v>0</v>
      </c>
      <c r="F49" s="6">
        <f t="shared" si="5"/>
        <v>696000</v>
      </c>
      <c r="G49" s="7">
        <f>660000+36000</f>
        <v>696000</v>
      </c>
      <c r="H49" s="8">
        <v>0</v>
      </c>
      <c r="I49" s="9">
        <f t="shared" si="3"/>
        <v>600000</v>
      </c>
      <c r="J49" s="7">
        <v>600000</v>
      </c>
      <c r="K49" s="8">
        <v>0</v>
      </c>
      <c r="L49" s="10" t="s">
        <v>37</v>
      </c>
    </row>
    <row r="50" spans="1:12" s="25" customFormat="1" ht="53.25" customHeight="1">
      <c r="A50" s="4" t="s">
        <v>99</v>
      </c>
      <c r="B50" s="5" t="s">
        <v>11</v>
      </c>
      <c r="C50" s="6">
        <f aca="true" t="shared" si="6" ref="C50:C60">D50+E50</f>
        <v>0</v>
      </c>
      <c r="D50" s="7">
        <v>0</v>
      </c>
      <c r="E50" s="7">
        <v>0</v>
      </c>
      <c r="F50" s="6">
        <f t="shared" si="5"/>
        <v>42310</v>
      </c>
      <c r="G50" s="7">
        <v>42310</v>
      </c>
      <c r="H50" s="8">
        <v>0</v>
      </c>
      <c r="I50" s="9">
        <f aca="true" t="shared" si="7" ref="I50:I77">J50+K50</f>
        <v>0</v>
      </c>
      <c r="J50" s="7">
        <v>0</v>
      </c>
      <c r="K50" s="8">
        <v>0</v>
      </c>
      <c r="L50" s="10" t="s">
        <v>37</v>
      </c>
    </row>
    <row r="51" spans="1:12" s="25" customFormat="1" ht="37.5" customHeight="1">
      <c r="A51" s="47" t="s">
        <v>98</v>
      </c>
      <c r="B51" s="5" t="s">
        <v>11</v>
      </c>
      <c r="C51" s="6">
        <f t="shared" si="6"/>
        <v>0</v>
      </c>
      <c r="D51" s="7">
        <v>0</v>
      </c>
      <c r="E51" s="7">
        <v>0</v>
      </c>
      <c r="F51" s="6">
        <f t="shared" si="5"/>
        <v>80000</v>
      </c>
      <c r="G51" s="7">
        <v>80000</v>
      </c>
      <c r="H51" s="8">
        <v>0</v>
      </c>
      <c r="I51" s="9">
        <f t="shared" si="7"/>
        <v>0</v>
      </c>
      <c r="J51" s="7">
        <v>0</v>
      </c>
      <c r="K51" s="8">
        <v>0</v>
      </c>
      <c r="L51" s="10" t="s">
        <v>37</v>
      </c>
    </row>
    <row r="52" spans="1:12" s="25" customFormat="1" ht="51.75" customHeight="1">
      <c r="A52" s="4" t="s">
        <v>100</v>
      </c>
      <c r="B52" s="5" t="s">
        <v>11</v>
      </c>
      <c r="C52" s="6">
        <f t="shared" si="6"/>
        <v>0</v>
      </c>
      <c r="D52" s="7">
        <v>0</v>
      </c>
      <c r="E52" s="7">
        <v>0</v>
      </c>
      <c r="F52" s="6">
        <f t="shared" si="5"/>
        <v>270000</v>
      </c>
      <c r="G52" s="7">
        <v>270000</v>
      </c>
      <c r="H52" s="8">
        <v>0</v>
      </c>
      <c r="I52" s="9">
        <f t="shared" si="7"/>
        <v>0</v>
      </c>
      <c r="J52" s="7">
        <v>0</v>
      </c>
      <c r="K52" s="8">
        <v>0</v>
      </c>
      <c r="L52" s="10" t="s">
        <v>37</v>
      </c>
    </row>
    <row r="53" spans="1:12" s="25" customFormat="1" ht="54" customHeight="1">
      <c r="A53" s="4" t="s">
        <v>101</v>
      </c>
      <c r="B53" s="5" t="s">
        <v>11</v>
      </c>
      <c r="C53" s="6">
        <f t="shared" si="6"/>
        <v>0</v>
      </c>
      <c r="D53" s="7">
        <v>0</v>
      </c>
      <c r="E53" s="7">
        <v>0</v>
      </c>
      <c r="F53" s="6">
        <f t="shared" si="5"/>
        <v>45000</v>
      </c>
      <c r="G53" s="7">
        <v>45000</v>
      </c>
      <c r="H53" s="8">
        <v>0</v>
      </c>
      <c r="I53" s="9">
        <f t="shared" si="7"/>
        <v>0</v>
      </c>
      <c r="J53" s="7">
        <v>0</v>
      </c>
      <c r="K53" s="8">
        <v>0</v>
      </c>
      <c r="L53" s="10" t="s">
        <v>37</v>
      </c>
    </row>
    <row r="54" spans="1:12" s="25" customFormat="1" ht="51.75" customHeight="1">
      <c r="A54" s="4" t="s">
        <v>102</v>
      </c>
      <c r="B54" s="5" t="s">
        <v>11</v>
      </c>
      <c r="C54" s="6">
        <f t="shared" si="6"/>
        <v>0</v>
      </c>
      <c r="D54" s="7">
        <v>0</v>
      </c>
      <c r="E54" s="7">
        <v>0</v>
      </c>
      <c r="F54" s="6">
        <f t="shared" si="5"/>
        <v>75000</v>
      </c>
      <c r="G54" s="7">
        <v>75000</v>
      </c>
      <c r="H54" s="8">
        <v>0</v>
      </c>
      <c r="I54" s="9">
        <f t="shared" si="7"/>
        <v>0</v>
      </c>
      <c r="J54" s="7">
        <v>0</v>
      </c>
      <c r="K54" s="8">
        <v>0</v>
      </c>
      <c r="L54" s="10" t="s">
        <v>37</v>
      </c>
    </row>
    <row r="55" spans="1:12" s="15" customFormat="1" ht="41.25" customHeight="1">
      <c r="A55" s="4" t="s">
        <v>115</v>
      </c>
      <c r="B55" s="5" t="s">
        <v>11</v>
      </c>
      <c r="C55" s="6">
        <f t="shared" si="6"/>
        <v>0</v>
      </c>
      <c r="D55" s="7">
        <v>0</v>
      </c>
      <c r="E55" s="7">
        <v>0</v>
      </c>
      <c r="F55" s="6">
        <f t="shared" si="5"/>
        <v>186100</v>
      </c>
      <c r="G55" s="7">
        <v>186100</v>
      </c>
      <c r="H55" s="8">
        <v>0</v>
      </c>
      <c r="I55" s="9">
        <f>J55+K55</f>
        <v>0</v>
      </c>
      <c r="J55" s="7">
        <v>0</v>
      </c>
      <c r="K55" s="8">
        <v>0</v>
      </c>
      <c r="L55" s="10" t="s">
        <v>37</v>
      </c>
    </row>
    <row r="56" spans="1:12" s="15" customFormat="1" ht="39" customHeight="1">
      <c r="A56" s="4" t="s">
        <v>170</v>
      </c>
      <c r="B56" s="5" t="s">
        <v>11</v>
      </c>
      <c r="C56" s="6">
        <f t="shared" si="6"/>
        <v>0</v>
      </c>
      <c r="D56" s="7">
        <v>0</v>
      </c>
      <c r="E56" s="7">
        <v>0</v>
      </c>
      <c r="F56" s="6">
        <f t="shared" si="5"/>
        <v>0</v>
      </c>
      <c r="G56" s="7">
        <v>0</v>
      </c>
      <c r="H56" s="8">
        <v>0</v>
      </c>
      <c r="I56" s="9">
        <f t="shared" si="7"/>
        <v>150000</v>
      </c>
      <c r="J56" s="7">
        <v>150000</v>
      </c>
      <c r="K56" s="8">
        <v>0</v>
      </c>
      <c r="L56" s="10" t="s">
        <v>37</v>
      </c>
    </row>
    <row r="57" spans="1:12" s="15" customFormat="1" ht="6.75" customHeight="1">
      <c r="A57" s="48"/>
      <c r="B57" s="49"/>
      <c r="C57" s="50"/>
      <c r="D57" s="51"/>
      <c r="E57" s="51"/>
      <c r="F57" s="52"/>
      <c r="G57" s="53"/>
      <c r="H57" s="51"/>
      <c r="I57" s="50"/>
      <c r="J57" s="53"/>
      <c r="K57" s="51"/>
      <c r="L57" s="54"/>
    </row>
    <row r="58" spans="1:14" s="25" customFormat="1" ht="15.75" customHeight="1">
      <c r="A58" s="39"/>
      <c r="C58" s="40"/>
      <c r="D58" s="40"/>
      <c r="E58" s="40"/>
      <c r="F58" s="40"/>
      <c r="G58" s="40"/>
      <c r="H58" s="40"/>
      <c r="I58" s="90" t="s">
        <v>113</v>
      </c>
      <c r="J58" s="90"/>
      <c r="K58" s="90"/>
      <c r="L58" s="90"/>
      <c r="N58" s="41"/>
    </row>
    <row r="59" spans="1:14" s="25" customFormat="1" ht="14.25">
      <c r="A59" s="10">
        <v>1</v>
      </c>
      <c r="B59" s="42">
        <v>2</v>
      </c>
      <c r="C59" s="43">
        <v>3</v>
      </c>
      <c r="D59" s="43">
        <v>4</v>
      </c>
      <c r="E59" s="43">
        <v>5</v>
      </c>
      <c r="F59" s="43">
        <v>6</v>
      </c>
      <c r="G59" s="43">
        <v>7</v>
      </c>
      <c r="H59" s="43">
        <v>8</v>
      </c>
      <c r="I59" s="43">
        <v>9</v>
      </c>
      <c r="J59" s="43">
        <v>10</v>
      </c>
      <c r="K59" s="43">
        <v>11</v>
      </c>
      <c r="L59" s="43">
        <v>12</v>
      </c>
      <c r="N59" s="41"/>
    </row>
    <row r="60" spans="1:12" s="15" customFormat="1" ht="48" customHeight="1">
      <c r="A60" s="4" t="s">
        <v>171</v>
      </c>
      <c r="B60" s="5" t="s">
        <v>11</v>
      </c>
      <c r="C60" s="6">
        <f t="shared" si="6"/>
        <v>0</v>
      </c>
      <c r="D60" s="7">
        <v>0</v>
      </c>
      <c r="E60" s="7">
        <v>0</v>
      </c>
      <c r="F60" s="6">
        <f aca="true" t="shared" si="8" ref="F60:F66">G60+H60</f>
        <v>0</v>
      </c>
      <c r="G60" s="7">
        <v>0</v>
      </c>
      <c r="H60" s="8">
        <v>0</v>
      </c>
      <c r="I60" s="9">
        <f t="shared" si="7"/>
        <v>100000</v>
      </c>
      <c r="J60" s="7">
        <v>100000</v>
      </c>
      <c r="K60" s="8">
        <v>0</v>
      </c>
      <c r="L60" s="10" t="s">
        <v>37</v>
      </c>
    </row>
    <row r="61" spans="1:12" s="15" customFormat="1" ht="57.75" customHeight="1">
      <c r="A61" s="4" t="s">
        <v>174</v>
      </c>
      <c r="B61" s="5" t="s">
        <v>11</v>
      </c>
      <c r="C61" s="6">
        <f aca="true" t="shared" si="9" ref="C61:C66">D61+E61</f>
        <v>0</v>
      </c>
      <c r="D61" s="7">
        <v>0</v>
      </c>
      <c r="E61" s="7">
        <v>0</v>
      </c>
      <c r="F61" s="6">
        <f t="shared" si="8"/>
        <v>0</v>
      </c>
      <c r="G61" s="7">
        <v>0</v>
      </c>
      <c r="H61" s="8">
        <v>0</v>
      </c>
      <c r="I61" s="9">
        <f t="shared" si="7"/>
        <v>684198</v>
      </c>
      <c r="J61" s="7">
        <f>674198+10000</f>
        <v>684198</v>
      </c>
      <c r="K61" s="8">
        <v>0</v>
      </c>
      <c r="L61" s="10" t="s">
        <v>37</v>
      </c>
    </row>
    <row r="62" spans="1:12" s="15" customFormat="1" ht="43.5" customHeight="1">
      <c r="A62" s="4" t="s">
        <v>176</v>
      </c>
      <c r="B62" s="5" t="s">
        <v>11</v>
      </c>
      <c r="C62" s="6">
        <f t="shared" si="9"/>
        <v>0</v>
      </c>
      <c r="D62" s="7">
        <v>0</v>
      </c>
      <c r="E62" s="7">
        <v>0</v>
      </c>
      <c r="F62" s="6">
        <f t="shared" si="8"/>
        <v>0</v>
      </c>
      <c r="G62" s="7">
        <v>0</v>
      </c>
      <c r="H62" s="8">
        <v>0</v>
      </c>
      <c r="I62" s="9">
        <f t="shared" si="7"/>
        <v>30000</v>
      </c>
      <c r="J62" s="7">
        <v>30000</v>
      </c>
      <c r="K62" s="8">
        <v>0</v>
      </c>
      <c r="L62" s="10" t="s">
        <v>37</v>
      </c>
    </row>
    <row r="63" spans="1:12" s="15" customFormat="1" ht="62.25" customHeight="1">
      <c r="A63" s="4" t="s">
        <v>178</v>
      </c>
      <c r="B63" s="5" t="s">
        <v>11</v>
      </c>
      <c r="C63" s="6">
        <f t="shared" si="9"/>
        <v>0</v>
      </c>
      <c r="D63" s="7">
        <v>0</v>
      </c>
      <c r="E63" s="7">
        <v>0</v>
      </c>
      <c r="F63" s="6">
        <f t="shared" si="8"/>
        <v>0</v>
      </c>
      <c r="G63" s="7">
        <v>0</v>
      </c>
      <c r="H63" s="8">
        <v>0</v>
      </c>
      <c r="I63" s="9">
        <f t="shared" si="7"/>
        <v>30000</v>
      </c>
      <c r="J63" s="7">
        <v>30000</v>
      </c>
      <c r="K63" s="8">
        <v>0</v>
      </c>
      <c r="L63" s="10" t="s">
        <v>37</v>
      </c>
    </row>
    <row r="64" spans="1:12" s="15" customFormat="1" ht="41.25" customHeight="1">
      <c r="A64" s="4" t="s">
        <v>177</v>
      </c>
      <c r="B64" s="5" t="s">
        <v>11</v>
      </c>
      <c r="C64" s="6">
        <f t="shared" si="9"/>
        <v>0</v>
      </c>
      <c r="D64" s="7">
        <v>0</v>
      </c>
      <c r="E64" s="7">
        <v>0</v>
      </c>
      <c r="F64" s="6">
        <f t="shared" si="8"/>
        <v>0</v>
      </c>
      <c r="G64" s="7">
        <v>0</v>
      </c>
      <c r="H64" s="8">
        <v>0</v>
      </c>
      <c r="I64" s="9">
        <f t="shared" si="7"/>
        <v>100000</v>
      </c>
      <c r="J64" s="7">
        <v>100000</v>
      </c>
      <c r="K64" s="8">
        <v>0</v>
      </c>
      <c r="L64" s="10" t="s">
        <v>37</v>
      </c>
    </row>
    <row r="65" spans="1:12" s="15" customFormat="1" ht="54" customHeight="1">
      <c r="A65" s="4" t="s">
        <v>198</v>
      </c>
      <c r="B65" s="5" t="s">
        <v>11</v>
      </c>
      <c r="C65" s="6">
        <f t="shared" si="9"/>
        <v>0</v>
      </c>
      <c r="D65" s="7">
        <v>0</v>
      </c>
      <c r="E65" s="7">
        <v>0</v>
      </c>
      <c r="F65" s="6">
        <f t="shared" si="8"/>
        <v>0</v>
      </c>
      <c r="G65" s="7">
        <v>0</v>
      </c>
      <c r="H65" s="8">
        <v>0</v>
      </c>
      <c r="I65" s="9">
        <f t="shared" si="7"/>
        <v>30000</v>
      </c>
      <c r="J65" s="7">
        <v>30000</v>
      </c>
      <c r="K65" s="8">
        <v>0</v>
      </c>
      <c r="L65" s="10" t="s">
        <v>37</v>
      </c>
    </row>
    <row r="66" spans="1:12" s="15" customFormat="1" ht="54" customHeight="1">
      <c r="A66" s="4" t="s">
        <v>199</v>
      </c>
      <c r="B66" s="5" t="s">
        <v>11</v>
      </c>
      <c r="C66" s="6">
        <f t="shared" si="9"/>
        <v>0</v>
      </c>
      <c r="D66" s="7">
        <v>0</v>
      </c>
      <c r="E66" s="7">
        <v>0</v>
      </c>
      <c r="F66" s="6">
        <f t="shared" si="8"/>
        <v>0</v>
      </c>
      <c r="G66" s="7">
        <v>0</v>
      </c>
      <c r="H66" s="8">
        <v>0</v>
      </c>
      <c r="I66" s="9">
        <f t="shared" si="7"/>
        <v>200000</v>
      </c>
      <c r="J66" s="7">
        <v>200000</v>
      </c>
      <c r="K66" s="8">
        <v>0</v>
      </c>
      <c r="L66" s="10" t="s">
        <v>37</v>
      </c>
    </row>
    <row r="67" spans="1:12" s="15" customFormat="1" ht="67.5" customHeight="1">
      <c r="A67" s="4" t="s">
        <v>200</v>
      </c>
      <c r="B67" s="5" t="s">
        <v>11</v>
      </c>
      <c r="C67" s="6">
        <f aca="true" t="shared" si="10" ref="C67:C79">D67+E67</f>
        <v>0</v>
      </c>
      <c r="D67" s="7">
        <v>0</v>
      </c>
      <c r="E67" s="7">
        <v>0</v>
      </c>
      <c r="F67" s="6">
        <f aca="true" t="shared" si="11" ref="F67:F77">G67+H67</f>
        <v>0</v>
      </c>
      <c r="G67" s="7">
        <v>0</v>
      </c>
      <c r="H67" s="8">
        <v>0</v>
      </c>
      <c r="I67" s="9">
        <f aca="true" t="shared" si="12" ref="I67:I76">J67+K67</f>
        <v>30000</v>
      </c>
      <c r="J67" s="7">
        <v>30000</v>
      </c>
      <c r="K67" s="8">
        <v>0</v>
      </c>
      <c r="L67" s="10" t="s">
        <v>37</v>
      </c>
    </row>
    <row r="68" spans="1:12" s="79" customFormat="1" ht="46.5" customHeight="1">
      <c r="A68" s="78" t="s">
        <v>202</v>
      </c>
      <c r="B68" s="5" t="s">
        <v>11</v>
      </c>
      <c r="C68" s="6">
        <f t="shared" si="10"/>
        <v>0</v>
      </c>
      <c r="D68" s="7">
        <v>0</v>
      </c>
      <c r="E68" s="7">
        <v>0</v>
      </c>
      <c r="F68" s="6">
        <f t="shared" si="11"/>
        <v>0</v>
      </c>
      <c r="G68" s="7">
        <v>0</v>
      </c>
      <c r="H68" s="8">
        <v>0</v>
      </c>
      <c r="I68" s="9">
        <f t="shared" si="12"/>
        <v>1000000</v>
      </c>
      <c r="J68" s="7">
        <v>1000000</v>
      </c>
      <c r="K68" s="8">
        <v>0</v>
      </c>
      <c r="L68" s="10" t="s">
        <v>37</v>
      </c>
    </row>
    <row r="69" spans="1:12" s="79" customFormat="1" ht="42" customHeight="1">
      <c r="A69" s="78" t="s">
        <v>201</v>
      </c>
      <c r="B69" s="5" t="s">
        <v>11</v>
      </c>
      <c r="C69" s="6">
        <f t="shared" si="10"/>
        <v>0</v>
      </c>
      <c r="D69" s="7">
        <v>0</v>
      </c>
      <c r="E69" s="7">
        <v>0</v>
      </c>
      <c r="F69" s="6">
        <f t="shared" si="11"/>
        <v>0</v>
      </c>
      <c r="G69" s="7">
        <v>0</v>
      </c>
      <c r="H69" s="8">
        <v>0</v>
      </c>
      <c r="I69" s="9">
        <f t="shared" si="12"/>
        <v>20000</v>
      </c>
      <c r="J69" s="7">
        <v>20000</v>
      </c>
      <c r="K69" s="8">
        <v>0</v>
      </c>
      <c r="L69" s="10" t="s">
        <v>37</v>
      </c>
    </row>
    <row r="70" spans="1:12" s="15" customFormat="1" ht="43.5" customHeight="1">
      <c r="A70" s="4" t="s">
        <v>203</v>
      </c>
      <c r="B70" s="5" t="s">
        <v>11</v>
      </c>
      <c r="C70" s="6">
        <f t="shared" si="10"/>
        <v>0</v>
      </c>
      <c r="D70" s="7">
        <v>0</v>
      </c>
      <c r="E70" s="7">
        <v>0</v>
      </c>
      <c r="F70" s="6">
        <f t="shared" si="11"/>
        <v>0</v>
      </c>
      <c r="G70" s="7">
        <v>0</v>
      </c>
      <c r="H70" s="8">
        <v>0</v>
      </c>
      <c r="I70" s="9">
        <f t="shared" si="12"/>
        <v>30000</v>
      </c>
      <c r="J70" s="7">
        <v>30000</v>
      </c>
      <c r="K70" s="8">
        <v>0</v>
      </c>
      <c r="L70" s="10" t="s">
        <v>37</v>
      </c>
    </row>
    <row r="71" spans="1:12" s="15" customFormat="1" ht="55.5" customHeight="1">
      <c r="A71" s="4" t="s">
        <v>204</v>
      </c>
      <c r="B71" s="5" t="s">
        <v>11</v>
      </c>
      <c r="C71" s="6">
        <f t="shared" si="10"/>
        <v>0</v>
      </c>
      <c r="D71" s="7">
        <v>0</v>
      </c>
      <c r="E71" s="7">
        <v>0</v>
      </c>
      <c r="F71" s="6">
        <f t="shared" si="11"/>
        <v>0</v>
      </c>
      <c r="G71" s="7">
        <v>0</v>
      </c>
      <c r="H71" s="8">
        <v>0</v>
      </c>
      <c r="I71" s="9">
        <f t="shared" si="12"/>
        <v>15000</v>
      </c>
      <c r="J71" s="7">
        <v>15000</v>
      </c>
      <c r="K71" s="8">
        <v>0</v>
      </c>
      <c r="L71" s="10" t="s">
        <v>37</v>
      </c>
    </row>
    <row r="72" spans="1:12" s="15" customFormat="1" ht="53.25" customHeight="1">
      <c r="A72" s="4" t="s">
        <v>206</v>
      </c>
      <c r="B72" s="5" t="s">
        <v>11</v>
      </c>
      <c r="C72" s="6">
        <f t="shared" si="10"/>
        <v>0</v>
      </c>
      <c r="D72" s="7">
        <v>0</v>
      </c>
      <c r="E72" s="7">
        <v>0</v>
      </c>
      <c r="F72" s="6">
        <f t="shared" si="11"/>
        <v>0</v>
      </c>
      <c r="G72" s="7">
        <v>0</v>
      </c>
      <c r="H72" s="8">
        <v>0</v>
      </c>
      <c r="I72" s="9">
        <f t="shared" si="12"/>
        <v>100000</v>
      </c>
      <c r="J72" s="7">
        <v>100000</v>
      </c>
      <c r="K72" s="8">
        <v>0</v>
      </c>
      <c r="L72" s="10" t="s">
        <v>37</v>
      </c>
    </row>
    <row r="73" spans="1:12" s="15" customFormat="1" ht="16.5" customHeight="1">
      <c r="A73" s="48"/>
      <c r="B73" s="49"/>
      <c r="C73" s="50"/>
      <c r="D73" s="51"/>
      <c r="E73" s="51"/>
      <c r="F73" s="52"/>
      <c r="G73" s="53"/>
      <c r="H73" s="51"/>
      <c r="I73" s="50"/>
      <c r="J73" s="53"/>
      <c r="K73" s="51"/>
      <c r="L73" s="54"/>
    </row>
    <row r="74" spans="1:14" s="25" customFormat="1" ht="19.5" customHeight="1">
      <c r="A74" s="39"/>
      <c r="C74" s="40"/>
      <c r="D74" s="40"/>
      <c r="E74" s="40"/>
      <c r="F74" s="40"/>
      <c r="G74" s="40"/>
      <c r="H74" s="40"/>
      <c r="I74" s="90" t="s">
        <v>113</v>
      </c>
      <c r="J74" s="90"/>
      <c r="K74" s="90"/>
      <c r="L74" s="90"/>
      <c r="N74" s="41"/>
    </row>
    <row r="75" spans="1:14" s="25" customFormat="1" ht="14.25">
      <c r="A75" s="10">
        <v>1</v>
      </c>
      <c r="B75" s="42">
        <v>2</v>
      </c>
      <c r="C75" s="43">
        <v>3</v>
      </c>
      <c r="D75" s="43">
        <v>4</v>
      </c>
      <c r="E75" s="43">
        <v>5</v>
      </c>
      <c r="F75" s="43">
        <v>6</v>
      </c>
      <c r="G75" s="43">
        <v>7</v>
      </c>
      <c r="H75" s="43">
        <v>8</v>
      </c>
      <c r="I75" s="43">
        <v>9</v>
      </c>
      <c r="J75" s="43">
        <v>10</v>
      </c>
      <c r="K75" s="43">
        <v>11</v>
      </c>
      <c r="L75" s="43">
        <v>12</v>
      </c>
      <c r="N75" s="41"/>
    </row>
    <row r="76" spans="1:12" s="15" customFormat="1" ht="77.25" customHeight="1">
      <c r="A76" s="4" t="s">
        <v>207</v>
      </c>
      <c r="B76" s="5" t="s">
        <v>11</v>
      </c>
      <c r="C76" s="6">
        <f t="shared" si="10"/>
        <v>0</v>
      </c>
      <c r="D76" s="7">
        <v>0</v>
      </c>
      <c r="E76" s="7">
        <v>0</v>
      </c>
      <c r="F76" s="6">
        <f t="shared" si="11"/>
        <v>0</v>
      </c>
      <c r="G76" s="7">
        <v>0</v>
      </c>
      <c r="H76" s="8">
        <v>0</v>
      </c>
      <c r="I76" s="9">
        <f t="shared" si="12"/>
        <v>50000</v>
      </c>
      <c r="J76" s="7">
        <v>50000</v>
      </c>
      <c r="K76" s="8">
        <v>0</v>
      </c>
      <c r="L76" s="10" t="s">
        <v>37</v>
      </c>
    </row>
    <row r="77" spans="1:12" s="15" customFormat="1" ht="24.75" customHeight="1">
      <c r="A77" s="27" t="s">
        <v>26</v>
      </c>
      <c r="B77" s="29"/>
      <c r="C77" s="9">
        <f t="shared" si="10"/>
        <v>398333</v>
      </c>
      <c r="D77" s="6">
        <f>+D78+D79+D88+D80+D81+D82+D83+D84+D85+D86+D87</f>
        <v>398333</v>
      </c>
      <c r="E77" s="9">
        <f>E78+E79+E80+E81+E82++E83</f>
        <v>0</v>
      </c>
      <c r="F77" s="6">
        <f t="shared" si="11"/>
        <v>342547</v>
      </c>
      <c r="G77" s="6">
        <f>+G78+G79+G88+G80+G81+G82+G83+G84+G85+G86+G87</f>
        <v>342547</v>
      </c>
      <c r="H77" s="6">
        <f>+H78+H79+H88+H80+H81+H82+H83+H84+H85+H86+H87</f>
        <v>0</v>
      </c>
      <c r="I77" s="6">
        <f t="shared" si="7"/>
        <v>726662</v>
      </c>
      <c r="J77" s="6">
        <f>+J78+J79+J88+J80+J81+J82+J83+J84+J85+J86+J87+J89+J93+J94</f>
        <v>651662</v>
      </c>
      <c r="K77" s="6">
        <f>+K78+K79+K88+K80+K81+K82+K83+K84+K85+K86+K87+K89</f>
        <v>75000</v>
      </c>
      <c r="L77" s="30"/>
    </row>
    <row r="78" spans="1:12" s="15" customFormat="1" ht="41.25" customHeight="1">
      <c r="A78" s="4" t="s">
        <v>80</v>
      </c>
      <c r="B78" s="5" t="s">
        <v>11</v>
      </c>
      <c r="C78" s="9">
        <f t="shared" si="10"/>
        <v>0</v>
      </c>
      <c r="D78" s="8">
        <v>0</v>
      </c>
      <c r="E78" s="8">
        <v>0</v>
      </c>
      <c r="F78" s="6">
        <f aca="true" t="shared" si="13" ref="F78:F86">+G78+H78</f>
        <v>0</v>
      </c>
      <c r="G78" s="7">
        <v>0</v>
      </c>
      <c r="H78" s="8">
        <v>0</v>
      </c>
      <c r="I78" s="9">
        <f aca="true" t="shared" si="14" ref="I78:I98">J78+K78</f>
        <v>8810</v>
      </c>
      <c r="J78" s="7">
        <v>8810</v>
      </c>
      <c r="K78" s="8">
        <v>0</v>
      </c>
      <c r="L78" s="10" t="s">
        <v>37</v>
      </c>
    </row>
    <row r="79" spans="1:12" s="15" customFormat="1" ht="53.25" customHeight="1">
      <c r="A79" s="4" t="s">
        <v>27</v>
      </c>
      <c r="B79" s="5" t="s">
        <v>11</v>
      </c>
      <c r="C79" s="9">
        <f t="shared" si="10"/>
        <v>103704</v>
      </c>
      <c r="D79" s="8">
        <v>103704</v>
      </c>
      <c r="E79" s="8">
        <v>0</v>
      </c>
      <c r="F79" s="6">
        <f t="shared" si="13"/>
        <v>119854</v>
      </c>
      <c r="G79" s="7">
        <v>119854</v>
      </c>
      <c r="H79" s="8">
        <v>0</v>
      </c>
      <c r="I79" s="9">
        <f t="shared" si="14"/>
        <v>130356</v>
      </c>
      <c r="J79" s="7">
        <v>130356</v>
      </c>
      <c r="K79" s="8">
        <v>0</v>
      </c>
      <c r="L79" s="10" t="s">
        <v>31</v>
      </c>
    </row>
    <row r="80" spans="1:12" s="15" customFormat="1" ht="39" customHeight="1">
      <c r="A80" s="4" t="s">
        <v>3</v>
      </c>
      <c r="B80" s="5" t="s">
        <v>11</v>
      </c>
      <c r="C80" s="9">
        <f aca="true" t="shared" si="15" ref="C80:C95">D80+E80</f>
        <v>22694</v>
      </c>
      <c r="D80" s="8">
        <v>22694</v>
      </c>
      <c r="E80" s="8">
        <v>0</v>
      </c>
      <c r="F80" s="6">
        <f t="shared" si="13"/>
        <v>26187</v>
      </c>
      <c r="G80" s="7">
        <v>26187</v>
      </c>
      <c r="H80" s="8">
        <v>0</v>
      </c>
      <c r="I80" s="9">
        <f t="shared" si="14"/>
        <v>64761</v>
      </c>
      <c r="J80" s="7">
        <f>-53490+118251</f>
        <v>64761</v>
      </c>
      <c r="K80" s="8">
        <v>0</v>
      </c>
      <c r="L80" s="10" t="s">
        <v>37</v>
      </c>
    </row>
    <row r="81" spans="1:12" s="15" customFormat="1" ht="46.5" customHeight="1">
      <c r="A81" s="12" t="s">
        <v>160</v>
      </c>
      <c r="B81" s="5" t="s">
        <v>11</v>
      </c>
      <c r="C81" s="9">
        <f t="shared" si="15"/>
        <v>177851</v>
      </c>
      <c r="D81" s="8">
        <v>177851</v>
      </c>
      <c r="E81" s="8">
        <v>0</v>
      </c>
      <c r="F81" s="6">
        <f t="shared" si="13"/>
        <v>110768</v>
      </c>
      <c r="G81" s="7">
        <v>110768</v>
      </c>
      <c r="H81" s="8">
        <v>0</v>
      </c>
      <c r="I81" s="9">
        <f t="shared" si="14"/>
        <v>333116</v>
      </c>
      <c r="J81" s="7">
        <f>-30000+363116</f>
        <v>333116</v>
      </c>
      <c r="K81" s="8">
        <v>0</v>
      </c>
      <c r="L81" s="10" t="s">
        <v>37</v>
      </c>
    </row>
    <row r="82" spans="1:12" s="15" customFormat="1" ht="47.25" customHeight="1">
      <c r="A82" s="44" t="s">
        <v>10</v>
      </c>
      <c r="B82" s="5" t="s">
        <v>11</v>
      </c>
      <c r="C82" s="9">
        <f t="shared" si="15"/>
        <v>30600</v>
      </c>
      <c r="D82" s="8">
        <v>30600</v>
      </c>
      <c r="E82" s="8">
        <v>0</v>
      </c>
      <c r="F82" s="6">
        <f t="shared" si="13"/>
        <v>31100</v>
      </c>
      <c r="G82" s="7">
        <v>31100</v>
      </c>
      <c r="H82" s="8">
        <v>0</v>
      </c>
      <c r="I82" s="9">
        <f t="shared" si="14"/>
        <v>40688</v>
      </c>
      <c r="J82" s="7">
        <f>-2512+43200</f>
        <v>40688</v>
      </c>
      <c r="K82" s="8">
        <v>0</v>
      </c>
      <c r="L82" s="10" t="s">
        <v>37</v>
      </c>
    </row>
    <row r="83" spans="1:12" s="15" customFormat="1" ht="58.5" customHeight="1">
      <c r="A83" s="4" t="s">
        <v>116</v>
      </c>
      <c r="B83" s="5" t="s">
        <v>11</v>
      </c>
      <c r="C83" s="9">
        <f t="shared" si="15"/>
        <v>5743</v>
      </c>
      <c r="D83" s="8">
        <f>5726+17</f>
        <v>5743</v>
      </c>
      <c r="E83" s="8">
        <v>0</v>
      </c>
      <c r="F83" s="6">
        <f t="shared" si="13"/>
        <v>6638</v>
      </c>
      <c r="G83" s="7">
        <v>6638</v>
      </c>
      <c r="H83" s="8">
        <v>0</v>
      </c>
      <c r="I83" s="9">
        <f t="shared" si="14"/>
        <v>10311</v>
      </c>
      <c r="J83" s="7">
        <v>10311</v>
      </c>
      <c r="K83" s="8">
        <v>0</v>
      </c>
      <c r="L83" s="10" t="s">
        <v>37</v>
      </c>
    </row>
    <row r="84" spans="1:12" s="25" customFormat="1" ht="36.75" customHeight="1">
      <c r="A84" s="12" t="s">
        <v>61</v>
      </c>
      <c r="B84" s="5" t="s">
        <v>11</v>
      </c>
      <c r="C84" s="9">
        <f t="shared" si="15"/>
        <v>24192</v>
      </c>
      <c r="D84" s="8">
        <v>24192</v>
      </c>
      <c r="E84" s="8">
        <v>0</v>
      </c>
      <c r="F84" s="6">
        <f t="shared" si="13"/>
        <v>0</v>
      </c>
      <c r="G84" s="7">
        <v>0</v>
      </c>
      <c r="H84" s="8">
        <v>0</v>
      </c>
      <c r="I84" s="9">
        <f t="shared" si="14"/>
        <v>0</v>
      </c>
      <c r="J84" s="7">
        <f>ROUND(G84*1.067,0)</f>
        <v>0</v>
      </c>
      <c r="K84" s="8">
        <v>0</v>
      </c>
      <c r="L84" s="21" t="s">
        <v>66</v>
      </c>
    </row>
    <row r="85" spans="1:12" s="25" customFormat="1" ht="53.25" customHeight="1">
      <c r="A85" s="4" t="s">
        <v>77</v>
      </c>
      <c r="B85" s="5" t="s">
        <v>11</v>
      </c>
      <c r="C85" s="9">
        <f t="shared" si="15"/>
        <v>10688</v>
      </c>
      <c r="D85" s="8">
        <v>10688</v>
      </c>
      <c r="E85" s="8">
        <v>0</v>
      </c>
      <c r="F85" s="6">
        <f t="shared" si="13"/>
        <v>0</v>
      </c>
      <c r="G85" s="7">
        <v>0</v>
      </c>
      <c r="H85" s="8">
        <v>0</v>
      </c>
      <c r="I85" s="9">
        <f t="shared" si="14"/>
        <v>0</v>
      </c>
      <c r="J85" s="7">
        <f>ROUND(G85*1.067,0)</f>
        <v>0</v>
      </c>
      <c r="K85" s="8">
        <v>0</v>
      </c>
      <c r="L85" s="10" t="s">
        <v>31</v>
      </c>
    </row>
    <row r="86" spans="1:12" s="25" customFormat="1" ht="52.5" customHeight="1">
      <c r="A86" s="4" t="s">
        <v>78</v>
      </c>
      <c r="B86" s="5" t="s">
        <v>11</v>
      </c>
      <c r="C86" s="9">
        <f t="shared" si="15"/>
        <v>12000</v>
      </c>
      <c r="D86" s="8">
        <v>12000</v>
      </c>
      <c r="E86" s="8">
        <v>0</v>
      </c>
      <c r="F86" s="6">
        <f t="shared" si="13"/>
        <v>0</v>
      </c>
      <c r="G86" s="7">
        <v>0</v>
      </c>
      <c r="H86" s="8">
        <v>0</v>
      </c>
      <c r="I86" s="9">
        <f t="shared" si="14"/>
        <v>0</v>
      </c>
      <c r="J86" s="7">
        <f>ROUND(G86*1.067,0)</f>
        <v>0</v>
      </c>
      <c r="K86" s="8">
        <v>0</v>
      </c>
      <c r="L86" s="10" t="s">
        <v>31</v>
      </c>
    </row>
    <row r="87" spans="1:12" s="25" customFormat="1" ht="53.25" customHeight="1">
      <c r="A87" s="4" t="s">
        <v>84</v>
      </c>
      <c r="B87" s="5" t="s">
        <v>11</v>
      </c>
      <c r="C87" s="9">
        <f t="shared" si="15"/>
        <v>10861</v>
      </c>
      <c r="D87" s="8">
        <v>10861</v>
      </c>
      <c r="E87" s="8">
        <v>0</v>
      </c>
      <c r="F87" s="6">
        <f>G87+H87</f>
        <v>0</v>
      </c>
      <c r="G87" s="7">
        <v>0</v>
      </c>
      <c r="H87" s="8">
        <v>0</v>
      </c>
      <c r="I87" s="9">
        <f t="shared" si="14"/>
        <v>0</v>
      </c>
      <c r="J87" s="7">
        <f>ROUND(G87*1.067,0)</f>
        <v>0</v>
      </c>
      <c r="K87" s="8">
        <v>0</v>
      </c>
      <c r="L87" s="10" t="s">
        <v>31</v>
      </c>
    </row>
    <row r="88" spans="1:12" s="25" customFormat="1" ht="53.25" customHeight="1">
      <c r="A88" s="4" t="s">
        <v>43</v>
      </c>
      <c r="B88" s="5" t="s">
        <v>11</v>
      </c>
      <c r="C88" s="9">
        <f t="shared" si="15"/>
        <v>0</v>
      </c>
      <c r="D88" s="8">
        <v>0</v>
      </c>
      <c r="E88" s="8">
        <v>0</v>
      </c>
      <c r="F88" s="6">
        <f>+G88+H88</f>
        <v>48000</v>
      </c>
      <c r="G88" s="7">
        <v>48000</v>
      </c>
      <c r="H88" s="8">
        <v>0</v>
      </c>
      <c r="I88" s="9">
        <f>J88+K88</f>
        <v>25310</v>
      </c>
      <c r="J88" s="7">
        <v>25310</v>
      </c>
      <c r="K88" s="8">
        <v>0</v>
      </c>
      <c r="L88" s="10" t="s">
        <v>31</v>
      </c>
    </row>
    <row r="89" spans="1:12" s="25" customFormat="1" ht="45" customHeight="1">
      <c r="A89" s="4" t="s">
        <v>161</v>
      </c>
      <c r="B89" s="5" t="s">
        <v>11</v>
      </c>
      <c r="C89" s="9">
        <f t="shared" si="15"/>
        <v>0</v>
      </c>
      <c r="D89" s="8">
        <v>0</v>
      </c>
      <c r="E89" s="8">
        <v>0</v>
      </c>
      <c r="F89" s="6">
        <f>+G89+H89</f>
        <v>0</v>
      </c>
      <c r="G89" s="7">
        <v>0</v>
      </c>
      <c r="H89" s="8">
        <v>0</v>
      </c>
      <c r="I89" s="9">
        <f>J89+K89</f>
        <v>75000</v>
      </c>
      <c r="J89" s="7">
        <v>0</v>
      </c>
      <c r="K89" s="8">
        <v>75000</v>
      </c>
      <c r="L89" s="10" t="s">
        <v>37</v>
      </c>
    </row>
    <row r="90" spans="1:12" s="15" customFormat="1" ht="7.5" customHeight="1">
      <c r="A90" s="48"/>
      <c r="B90" s="49"/>
      <c r="C90" s="50"/>
      <c r="D90" s="51"/>
      <c r="E90" s="51"/>
      <c r="F90" s="52"/>
      <c r="G90" s="53"/>
      <c r="H90" s="51"/>
      <c r="I90" s="50"/>
      <c r="J90" s="53"/>
      <c r="K90" s="51"/>
      <c r="L90" s="54"/>
    </row>
    <row r="91" spans="1:14" s="25" customFormat="1" ht="19.5" customHeight="1">
      <c r="A91" s="39"/>
      <c r="C91" s="40"/>
      <c r="D91" s="40"/>
      <c r="E91" s="40"/>
      <c r="F91" s="40"/>
      <c r="G91" s="40"/>
      <c r="H91" s="40"/>
      <c r="I91" s="90" t="s">
        <v>113</v>
      </c>
      <c r="J91" s="90"/>
      <c r="K91" s="90"/>
      <c r="L91" s="90"/>
      <c r="N91" s="41"/>
    </row>
    <row r="92" spans="1:14" s="25" customFormat="1" ht="14.25">
      <c r="A92" s="10">
        <v>1</v>
      </c>
      <c r="B92" s="42">
        <v>2</v>
      </c>
      <c r="C92" s="43">
        <v>3</v>
      </c>
      <c r="D92" s="43">
        <v>4</v>
      </c>
      <c r="E92" s="43">
        <v>5</v>
      </c>
      <c r="F92" s="43">
        <v>6</v>
      </c>
      <c r="G92" s="43">
        <v>7</v>
      </c>
      <c r="H92" s="43">
        <v>8</v>
      </c>
      <c r="I92" s="43">
        <v>9</v>
      </c>
      <c r="J92" s="43">
        <v>10</v>
      </c>
      <c r="K92" s="43">
        <v>11</v>
      </c>
      <c r="L92" s="43">
        <v>12</v>
      </c>
      <c r="N92" s="41"/>
    </row>
    <row r="93" spans="1:14" s="15" customFormat="1" ht="44.25" customHeight="1">
      <c r="A93" s="4" t="s">
        <v>169</v>
      </c>
      <c r="B93" s="5" t="s">
        <v>11</v>
      </c>
      <c r="C93" s="9">
        <f t="shared" si="15"/>
        <v>0</v>
      </c>
      <c r="D93" s="8">
        <v>0</v>
      </c>
      <c r="E93" s="8">
        <v>0</v>
      </c>
      <c r="F93" s="6">
        <f>+G93+H93</f>
        <v>0</v>
      </c>
      <c r="G93" s="7">
        <v>0</v>
      </c>
      <c r="H93" s="8">
        <v>0</v>
      </c>
      <c r="I93" s="9">
        <f>J93+K93</f>
        <v>23310</v>
      </c>
      <c r="J93" s="7">
        <f>-7770+31080</f>
        <v>23310</v>
      </c>
      <c r="K93" s="8">
        <v>0</v>
      </c>
      <c r="L93" s="10" t="s">
        <v>114</v>
      </c>
      <c r="N93" s="55"/>
    </row>
    <row r="94" spans="1:12" s="15" customFormat="1" ht="78.75" customHeight="1">
      <c r="A94" s="4" t="s">
        <v>168</v>
      </c>
      <c r="B94" s="5" t="s">
        <v>11</v>
      </c>
      <c r="C94" s="6">
        <f t="shared" si="15"/>
        <v>0</v>
      </c>
      <c r="D94" s="7">
        <v>0</v>
      </c>
      <c r="E94" s="7">
        <v>0</v>
      </c>
      <c r="F94" s="6">
        <f>G94+H94</f>
        <v>0</v>
      </c>
      <c r="G94" s="7">
        <v>0</v>
      </c>
      <c r="H94" s="8">
        <v>0</v>
      </c>
      <c r="I94" s="9">
        <f>J94+K94</f>
        <v>15000</v>
      </c>
      <c r="J94" s="7">
        <f>-40000+55000</f>
        <v>15000</v>
      </c>
      <c r="K94" s="8">
        <v>0</v>
      </c>
      <c r="L94" s="10" t="s">
        <v>37</v>
      </c>
    </row>
    <row r="95" spans="1:12" s="15" customFormat="1" ht="65.25" customHeight="1">
      <c r="A95" s="14" t="s">
        <v>109</v>
      </c>
      <c r="B95" s="5" t="s">
        <v>11</v>
      </c>
      <c r="C95" s="9">
        <f t="shared" si="15"/>
        <v>124140</v>
      </c>
      <c r="D95" s="9">
        <v>124140</v>
      </c>
      <c r="E95" s="9">
        <v>0</v>
      </c>
      <c r="F95" s="6">
        <f>+G95+H95</f>
        <v>134600</v>
      </c>
      <c r="G95" s="6">
        <v>134600</v>
      </c>
      <c r="H95" s="9">
        <v>0</v>
      </c>
      <c r="I95" s="9">
        <f t="shared" si="14"/>
        <v>174000</v>
      </c>
      <c r="J95" s="7">
        <f>30000+144000</f>
        <v>174000</v>
      </c>
      <c r="K95" s="9">
        <v>0</v>
      </c>
      <c r="L95" s="10" t="s">
        <v>37</v>
      </c>
    </row>
    <row r="96" spans="1:12" s="15" customFormat="1" ht="107.25" customHeight="1">
      <c r="A96" s="14" t="s">
        <v>151</v>
      </c>
      <c r="B96" s="5" t="s">
        <v>11</v>
      </c>
      <c r="C96" s="9">
        <f>D96+E96</f>
        <v>97047</v>
      </c>
      <c r="D96" s="9">
        <v>97047</v>
      </c>
      <c r="E96" s="9">
        <v>0</v>
      </c>
      <c r="F96" s="6">
        <v>0</v>
      </c>
      <c r="G96" s="6">
        <v>0</v>
      </c>
      <c r="H96" s="9">
        <v>0</v>
      </c>
      <c r="I96" s="9">
        <v>0</v>
      </c>
      <c r="J96" s="6">
        <v>0</v>
      </c>
      <c r="K96" s="9">
        <v>0</v>
      </c>
      <c r="L96" s="10" t="s">
        <v>31</v>
      </c>
    </row>
    <row r="97" spans="1:12" s="15" customFormat="1" ht="52.5" customHeight="1">
      <c r="A97" s="56" t="s">
        <v>67</v>
      </c>
      <c r="B97" s="5" t="s">
        <v>11</v>
      </c>
      <c r="C97" s="9">
        <f>D97+E97</f>
        <v>15000</v>
      </c>
      <c r="D97" s="9">
        <v>15000</v>
      </c>
      <c r="E97" s="9">
        <v>0</v>
      </c>
      <c r="F97" s="6">
        <f>+G97+H97</f>
        <v>0</v>
      </c>
      <c r="G97" s="6">
        <v>0</v>
      </c>
      <c r="H97" s="9">
        <v>0</v>
      </c>
      <c r="I97" s="9">
        <f>J97+K97</f>
        <v>0</v>
      </c>
      <c r="J97" s="6">
        <f>ROUND(G97*1.075,0)</f>
        <v>0</v>
      </c>
      <c r="K97" s="9">
        <v>0</v>
      </c>
      <c r="L97" s="10" t="s">
        <v>37</v>
      </c>
    </row>
    <row r="98" spans="1:12" s="15" customFormat="1" ht="41.25" customHeight="1">
      <c r="A98" s="56" t="s">
        <v>68</v>
      </c>
      <c r="B98" s="5" t="s">
        <v>11</v>
      </c>
      <c r="C98" s="9">
        <f>D98+E98</f>
        <v>0</v>
      </c>
      <c r="D98" s="9">
        <v>0</v>
      </c>
      <c r="E98" s="9">
        <v>0</v>
      </c>
      <c r="F98" s="6">
        <f>+G98+H98</f>
        <v>14402</v>
      </c>
      <c r="G98" s="6">
        <v>14402</v>
      </c>
      <c r="H98" s="9">
        <v>0</v>
      </c>
      <c r="I98" s="9">
        <f t="shared" si="14"/>
        <v>16124</v>
      </c>
      <c r="J98" s="7">
        <f>1200+14924</f>
        <v>16124</v>
      </c>
      <c r="K98" s="9">
        <v>0</v>
      </c>
      <c r="L98" s="10" t="s">
        <v>37</v>
      </c>
    </row>
    <row r="99" spans="1:12" s="15" customFormat="1" ht="52.5" customHeight="1">
      <c r="A99" s="57" t="s">
        <v>117</v>
      </c>
      <c r="B99" s="5" t="s">
        <v>11</v>
      </c>
      <c r="C99" s="9">
        <f>D99+E99</f>
        <v>0</v>
      </c>
      <c r="D99" s="9">
        <v>0</v>
      </c>
      <c r="E99" s="9">
        <v>0</v>
      </c>
      <c r="F99" s="6">
        <f>+G99+H99</f>
        <v>20300</v>
      </c>
      <c r="G99" s="6">
        <v>20300</v>
      </c>
      <c r="H99" s="9">
        <v>0</v>
      </c>
      <c r="I99" s="9">
        <f>J99+K99</f>
        <v>20300</v>
      </c>
      <c r="J99" s="6">
        <v>20300</v>
      </c>
      <c r="K99" s="9">
        <v>0</v>
      </c>
      <c r="L99" s="10" t="s">
        <v>37</v>
      </c>
    </row>
    <row r="100" spans="1:12" s="15" customFormat="1" ht="19.5" customHeight="1">
      <c r="A100" s="83" t="s">
        <v>156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1:12" s="15" customFormat="1" ht="26.25" customHeight="1">
      <c r="A101" s="94" t="s">
        <v>162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1:12" s="15" customFormat="1" ht="24.75" customHeight="1">
      <c r="A102" s="95" t="s">
        <v>163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</row>
    <row r="103" spans="1:12" s="15" customFormat="1" ht="43.5" customHeight="1">
      <c r="A103" s="24" t="s">
        <v>164</v>
      </c>
      <c r="B103" s="5" t="s">
        <v>11</v>
      </c>
      <c r="C103" s="9">
        <f>D103+E103</f>
        <v>831800</v>
      </c>
      <c r="D103" s="8">
        <v>831800</v>
      </c>
      <c r="E103" s="8">
        <v>0</v>
      </c>
      <c r="F103" s="6">
        <f>+G103+H103</f>
        <v>1114010</v>
      </c>
      <c r="G103" s="7">
        <f>1580+1112430</f>
        <v>1114010</v>
      </c>
      <c r="H103" s="8">
        <v>0</v>
      </c>
      <c r="I103" s="9">
        <f>J103+K103</f>
        <v>1274995</v>
      </c>
      <c r="J103" s="7">
        <f>80000+1192100+2895</f>
        <v>1274995</v>
      </c>
      <c r="K103" s="8">
        <v>0</v>
      </c>
      <c r="L103" s="10" t="s">
        <v>37</v>
      </c>
    </row>
    <row r="104" spans="1:12" s="15" customFormat="1" ht="20.25" customHeight="1">
      <c r="A104" s="83" t="s">
        <v>157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1:12" s="15" customFormat="1" ht="33.75" customHeight="1">
      <c r="A105" s="81" t="s">
        <v>118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1:12" s="15" customFormat="1" ht="33" customHeight="1">
      <c r="A106" s="84" t="s">
        <v>119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</row>
    <row r="107" spans="1:12" s="25" customFormat="1" ht="32.25" customHeight="1">
      <c r="A107" s="59" t="s">
        <v>152</v>
      </c>
      <c r="B107" s="29"/>
      <c r="C107" s="9">
        <f aca="true" t="shared" si="16" ref="C107:C117">D107+E107</f>
        <v>1948082</v>
      </c>
      <c r="D107" s="9">
        <f>D111+D112+D113+D114+D115+D116+D117</f>
        <v>1948082</v>
      </c>
      <c r="E107" s="9">
        <f>SUM(E111,E112,E113,E114,E115)</f>
        <v>0</v>
      </c>
      <c r="F107" s="9">
        <f>G107+H107</f>
        <v>999100</v>
      </c>
      <c r="G107" s="9">
        <f>G111+G112+G113+G114+G115+G116+G117</f>
        <v>999100</v>
      </c>
      <c r="H107" s="9">
        <f>SUM(H111,H112,H113,H114,H115)</f>
        <v>0</v>
      </c>
      <c r="I107" s="9">
        <f aca="true" t="shared" si="17" ref="I107:I115">J107+K107</f>
        <v>1295571</v>
      </c>
      <c r="J107" s="9">
        <f>J111+J112+J113+J114+J115+J116+J117</f>
        <v>1295571</v>
      </c>
      <c r="K107" s="9">
        <f>SUM(K111,K112,K113,K114,K115)</f>
        <v>0</v>
      </c>
      <c r="L107" s="31"/>
    </row>
    <row r="108" spans="1:12" s="15" customFormat="1" ht="6.75" customHeight="1">
      <c r="A108" s="48"/>
      <c r="B108" s="49"/>
      <c r="C108" s="50"/>
      <c r="D108" s="51"/>
      <c r="E108" s="51"/>
      <c r="F108" s="52"/>
      <c r="G108" s="53"/>
      <c r="H108" s="51"/>
      <c r="I108" s="50"/>
      <c r="J108" s="53"/>
      <c r="K108" s="51"/>
      <c r="L108" s="54"/>
    </row>
    <row r="109" spans="1:14" s="25" customFormat="1" ht="19.5" customHeight="1">
      <c r="A109" s="39"/>
      <c r="C109" s="40"/>
      <c r="D109" s="40"/>
      <c r="E109" s="40"/>
      <c r="F109" s="40"/>
      <c r="G109" s="40"/>
      <c r="H109" s="40"/>
      <c r="I109" s="90" t="s">
        <v>113</v>
      </c>
      <c r="J109" s="90"/>
      <c r="K109" s="90"/>
      <c r="L109" s="90"/>
      <c r="N109" s="41"/>
    </row>
    <row r="110" spans="1:14" s="25" customFormat="1" ht="14.25">
      <c r="A110" s="10">
        <v>1</v>
      </c>
      <c r="B110" s="42">
        <v>2</v>
      </c>
      <c r="C110" s="43">
        <v>3</v>
      </c>
      <c r="D110" s="43">
        <v>4</v>
      </c>
      <c r="E110" s="43">
        <v>5</v>
      </c>
      <c r="F110" s="43">
        <v>6</v>
      </c>
      <c r="G110" s="43">
        <v>7</v>
      </c>
      <c r="H110" s="43">
        <v>8</v>
      </c>
      <c r="I110" s="43">
        <v>9</v>
      </c>
      <c r="J110" s="43">
        <v>10</v>
      </c>
      <c r="K110" s="43">
        <v>11</v>
      </c>
      <c r="L110" s="43">
        <v>12</v>
      </c>
      <c r="N110" s="41"/>
    </row>
    <row r="111" spans="1:12" s="25" customFormat="1" ht="38.25" customHeight="1">
      <c r="A111" s="44" t="s">
        <v>28</v>
      </c>
      <c r="B111" s="5" t="s">
        <v>11</v>
      </c>
      <c r="C111" s="9">
        <f t="shared" si="16"/>
        <v>11838</v>
      </c>
      <c r="D111" s="8">
        <v>11838</v>
      </c>
      <c r="E111" s="8">
        <v>0</v>
      </c>
      <c r="F111" s="6">
        <f>+G111+H111</f>
        <v>16488</v>
      </c>
      <c r="G111" s="7">
        <v>16488</v>
      </c>
      <c r="H111" s="8">
        <v>0</v>
      </c>
      <c r="I111" s="9">
        <f t="shared" si="17"/>
        <v>16317</v>
      </c>
      <c r="J111" s="7">
        <v>16317</v>
      </c>
      <c r="K111" s="8">
        <v>0</v>
      </c>
      <c r="L111" s="10" t="s">
        <v>37</v>
      </c>
    </row>
    <row r="112" spans="1:12" s="25" customFormat="1" ht="39" customHeight="1">
      <c r="A112" s="44" t="s">
        <v>79</v>
      </c>
      <c r="B112" s="5" t="s">
        <v>11</v>
      </c>
      <c r="C112" s="9">
        <f t="shared" si="16"/>
        <v>696907</v>
      </c>
      <c r="D112" s="8">
        <v>696907</v>
      </c>
      <c r="E112" s="8">
        <v>0</v>
      </c>
      <c r="F112" s="6">
        <f>+G112+H112</f>
        <v>357492</v>
      </c>
      <c r="G112" s="7">
        <v>357492</v>
      </c>
      <c r="H112" s="8">
        <v>0</v>
      </c>
      <c r="I112" s="9">
        <f t="shared" si="17"/>
        <v>524373</v>
      </c>
      <c r="J112" s="7">
        <f>102734+421639</f>
        <v>524373</v>
      </c>
      <c r="K112" s="8">
        <v>0</v>
      </c>
      <c r="L112" s="10" t="s">
        <v>37</v>
      </c>
    </row>
    <row r="113" spans="1:12" s="25" customFormat="1" ht="41.25" customHeight="1">
      <c r="A113" s="44" t="s">
        <v>175</v>
      </c>
      <c r="B113" s="5" t="s">
        <v>11</v>
      </c>
      <c r="C113" s="9">
        <f t="shared" si="16"/>
        <v>356577</v>
      </c>
      <c r="D113" s="8">
        <v>356577</v>
      </c>
      <c r="E113" s="8">
        <v>0</v>
      </c>
      <c r="F113" s="6">
        <f>+G113+H113</f>
        <v>141643</v>
      </c>
      <c r="G113" s="7">
        <v>141643</v>
      </c>
      <c r="H113" s="8">
        <v>0</v>
      </c>
      <c r="I113" s="9">
        <f t="shared" si="17"/>
        <v>187367</v>
      </c>
      <c r="J113" s="7">
        <v>187367</v>
      </c>
      <c r="K113" s="8">
        <v>0</v>
      </c>
      <c r="L113" s="10" t="s">
        <v>37</v>
      </c>
    </row>
    <row r="114" spans="1:12" s="25" customFormat="1" ht="48.75" customHeight="1">
      <c r="A114" s="44" t="s">
        <v>71</v>
      </c>
      <c r="B114" s="5" t="s">
        <v>11</v>
      </c>
      <c r="C114" s="9">
        <f t="shared" si="16"/>
        <v>166331</v>
      </c>
      <c r="D114" s="8">
        <v>166331</v>
      </c>
      <c r="E114" s="8">
        <v>0</v>
      </c>
      <c r="F114" s="6">
        <f>+G114+H114</f>
        <v>153878</v>
      </c>
      <c r="G114" s="7">
        <v>153878</v>
      </c>
      <c r="H114" s="8">
        <v>0</v>
      </c>
      <c r="I114" s="9">
        <f t="shared" si="17"/>
        <v>160160</v>
      </c>
      <c r="J114" s="7">
        <v>160160</v>
      </c>
      <c r="K114" s="8">
        <v>0</v>
      </c>
      <c r="L114" s="10" t="s">
        <v>37</v>
      </c>
    </row>
    <row r="115" spans="1:12" s="25" customFormat="1" ht="66.75" customHeight="1">
      <c r="A115" s="4" t="s">
        <v>120</v>
      </c>
      <c r="B115" s="5" t="s">
        <v>11</v>
      </c>
      <c r="C115" s="9">
        <f t="shared" si="16"/>
        <v>527708</v>
      </c>
      <c r="D115" s="8">
        <v>527708</v>
      </c>
      <c r="E115" s="8">
        <v>0</v>
      </c>
      <c r="F115" s="6">
        <f>+G115+H115</f>
        <v>329599</v>
      </c>
      <c r="G115" s="7">
        <v>329599</v>
      </c>
      <c r="H115" s="8">
        <v>0</v>
      </c>
      <c r="I115" s="9">
        <f t="shared" si="17"/>
        <v>407354</v>
      </c>
      <c r="J115" s="7">
        <f>57437+349917</f>
        <v>407354</v>
      </c>
      <c r="K115" s="8">
        <v>0</v>
      </c>
      <c r="L115" s="10" t="s">
        <v>37</v>
      </c>
    </row>
    <row r="116" spans="1:12" s="25" customFormat="1" ht="58.5" customHeight="1">
      <c r="A116" s="4" t="s">
        <v>72</v>
      </c>
      <c r="B116" s="5" t="s">
        <v>11</v>
      </c>
      <c r="C116" s="9">
        <f t="shared" si="16"/>
        <v>168197</v>
      </c>
      <c r="D116" s="8">
        <v>168197</v>
      </c>
      <c r="E116" s="8">
        <v>0</v>
      </c>
      <c r="F116" s="6">
        <v>0</v>
      </c>
      <c r="G116" s="7">
        <v>0</v>
      </c>
      <c r="H116" s="8">
        <v>0</v>
      </c>
      <c r="I116" s="9">
        <v>0</v>
      </c>
      <c r="J116" s="7">
        <f>ROUND(G116*1.067,0)</f>
        <v>0</v>
      </c>
      <c r="K116" s="8">
        <v>0</v>
      </c>
      <c r="L116" s="10" t="s">
        <v>37</v>
      </c>
    </row>
    <row r="117" spans="1:12" s="25" customFormat="1" ht="45" customHeight="1">
      <c r="A117" s="4" t="s">
        <v>62</v>
      </c>
      <c r="B117" s="5" t="s">
        <v>11</v>
      </c>
      <c r="C117" s="9">
        <f t="shared" si="16"/>
        <v>20524</v>
      </c>
      <c r="D117" s="8">
        <v>20524</v>
      </c>
      <c r="E117" s="8">
        <v>0</v>
      </c>
      <c r="F117" s="6">
        <v>0</v>
      </c>
      <c r="G117" s="7">
        <v>0</v>
      </c>
      <c r="H117" s="8">
        <v>0</v>
      </c>
      <c r="I117" s="9">
        <v>0</v>
      </c>
      <c r="J117" s="7">
        <f>ROUND(G117*1.067,0)</f>
        <v>0</v>
      </c>
      <c r="K117" s="8">
        <v>0</v>
      </c>
      <c r="L117" s="10" t="s">
        <v>37</v>
      </c>
    </row>
    <row r="118" spans="1:12" s="25" customFormat="1" ht="23.25" customHeight="1">
      <c r="A118" s="82" t="s">
        <v>158</v>
      </c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</row>
    <row r="119" spans="1:12" s="25" customFormat="1" ht="27" customHeight="1">
      <c r="A119" s="101" t="s">
        <v>6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</row>
    <row r="120" spans="1:12" s="25" customFormat="1" ht="23.25" customHeight="1">
      <c r="A120" s="80" t="s">
        <v>7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</row>
    <row r="121" spans="1:12" s="25" customFormat="1" ht="21" customHeight="1">
      <c r="A121" s="60" t="s">
        <v>46</v>
      </c>
      <c r="B121" s="5"/>
      <c r="C121" s="6">
        <f>D121+E121</f>
        <v>1615614</v>
      </c>
      <c r="D121" s="6">
        <f aca="true" t="shared" si="18" ref="D121:K121">D122+D126</f>
        <v>1615614</v>
      </c>
      <c r="E121" s="6">
        <f t="shared" si="18"/>
        <v>0</v>
      </c>
      <c r="F121" s="6">
        <f t="shared" si="18"/>
        <v>523418</v>
      </c>
      <c r="G121" s="6">
        <f t="shared" si="18"/>
        <v>523418</v>
      </c>
      <c r="H121" s="6">
        <f t="shared" si="18"/>
        <v>0</v>
      </c>
      <c r="I121" s="6">
        <f t="shared" si="18"/>
        <v>891152</v>
      </c>
      <c r="J121" s="6">
        <f t="shared" si="18"/>
        <v>891152</v>
      </c>
      <c r="K121" s="6">
        <f t="shared" si="18"/>
        <v>0</v>
      </c>
      <c r="L121" s="10"/>
    </row>
    <row r="122" spans="1:12" s="25" customFormat="1" ht="30" customHeight="1">
      <c r="A122" s="11" t="s">
        <v>29</v>
      </c>
      <c r="B122" s="29"/>
      <c r="C122" s="9">
        <f>D122+E122</f>
        <v>357393</v>
      </c>
      <c r="D122" s="9">
        <f>SUM(D123:D124)+D125</f>
        <v>357393</v>
      </c>
      <c r="E122" s="9">
        <f>SUM(E123:E124)+E125</f>
        <v>0</v>
      </c>
      <c r="F122" s="9">
        <f>G122+H122</f>
        <v>123224</v>
      </c>
      <c r="G122" s="9">
        <f>SUM(G123:G124)+G125</f>
        <v>123224</v>
      </c>
      <c r="H122" s="9">
        <f>SUM(H123:H124)+H125</f>
        <v>0</v>
      </c>
      <c r="I122" s="9">
        <f>J122+K122</f>
        <v>142383</v>
      </c>
      <c r="J122" s="9">
        <f>SUM(J123:J124)+J125</f>
        <v>142383</v>
      </c>
      <c r="K122" s="9">
        <f>SUM(K123:K124)+K125</f>
        <v>0</v>
      </c>
      <c r="L122" s="10"/>
    </row>
    <row r="123" spans="1:12" s="25" customFormat="1" ht="52.5" customHeight="1">
      <c r="A123" s="4" t="s">
        <v>88</v>
      </c>
      <c r="B123" s="5" t="s">
        <v>11</v>
      </c>
      <c r="C123" s="9">
        <f>D123+E123</f>
        <v>95454</v>
      </c>
      <c r="D123" s="8">
        <v>95454</v>
      </c>
      <c r="E123" s="8">
        <v>0</v>
      </c>
      <c r="F123" s="6">
        <f>+G123+H123</f>
        <v>115225</v>
      </c>
      <c r="G123" s="7">
        <v>115225</v>
      </c>
      <c r="H123" s="8">
        <v>0</v>
      </c>
      <c r="I123" s="9">
        <f>J123+K123</f>
        <v>132674</v>
      </c>
      <c r="J123" s="7">
        <v>132674</v>
      </c>
      <c r="K123" s="8">
        <v>0</v>
      </c>
      <c r="L123" s="10" t="s">
        <v>37</v>
      </c>
    </row>
    <row r="124" spans="1:12" s="25" customFormat="1" ht="51.75" customHeight="1">
      <c r="A124" s="4" t="s">
        <v>63</v>
      </c>
      <c r="B124" s="5" t="s">
        <v>11</v>
      </c>
      <c r="C124" s="9">
        <f>D124+E124</f>
        <v>246613</v>
      </c>
      <c r="D124" s="8">
        <v>246613</v>
      </c>
      <c r="E124" s="8">
        <v>0</v>
      </c>
      <c r="F124" s="6">
        <f>+G124+H124</f>
        <v>0</v>
      </c>
      <c r="G124" s="7">
        <v>0</v>
      </c>
      <c r="H124" s="8">
        <v>0</v>
      </c>
      <c r="I124" s="9">
        <f>J124+K124</f>
        <v>0</v>
      </c>
      <c r="J124" s="7">
        <f>ROUND(G124*1.067,0)</f>
        <v>0</v>
      </c>
      <c r="K124" s="8">
        <v>0</v>
      </c>
      <c r="L124" s="10" t="s">
        <v>37</v>
      </c>
    </row>
    <row r="125" spans="1:12" s="25" customFormat="1" ht="50.25" customHeight="1">
      <c r="A125" s="4" t="s">
        <v>53</v>
      </c>
      <c r="B125" s="5" t="s">
        <v>11</v>
      </c>
      <c r="C125" s="9">
        <f>D125+E125</f>
        <v>15326</v>
      </c>
      <c r="D125" s="8">
        <v>15326</v>
      </c>
      <c r="E125" s="8">
        <v>0</v>
      </c>
      <c r="F125" s="6">
        <f>+G125+H125</f>
        <v>7999</v>
      </c>
      <c r="G125" s="7">
        <v>7999</v>
      </c>
      <c r="H125" s="8">
        <v>0</v>
      </c>
      <c r="I125" s="9">
        <f>J125+K125</f>
        <v>9709</v>
      </c>
      <c r="J125" s="7">
        <f>2000+7709</f>
        <v>9709</v>
      </c>
      <c r="K125" s="8">
        <v>0</v>
      </c>
      <c r="L125" s="10" t="s">
        <v>37</v>
      </c>
    </row>
    <row r="126" spans="1:12" s="25" customFormat="1" ht="30.75" customHeight="1">
      <c r="A126" s="11" t="s">
        <v>25</v>
      </c>
      <c r="B126" s="5"/>
      <c r="C126" s="9">
        <f>E126+D126</f>
        <v>1258221</v>
      </c>
      <c r="D126" s="9">
        <f>D130+D131+D132+D134+D135+D136+D137+D138+D139+D133</f>
        <v>1258221</v>
      </c>
      <c r="E126" s="9">
        <f>SUM(E130,E131,E132)</f>
        <v>0</v>
      </c>
      <c r="F126" s="9">
        <f>H126+G126</f>
        <v>400194</v>
      </c>
      <c r="G126" s="9">
        <f>G130+G131+G132+G134+G135+G136+G137+G138+G139+G133+G140</f>
        <v>400194</v>
      </c>
      <c r="H126" s="9">
        <f>SUM(H130,H131,H132)</f>
        <v>0</v>
      </c>
      <c r="I126" s="9">
        <f>K126+J126</f>
        <v>748769</v>
      </c>
      <c r="J126" s="9">
        <f>J130+J131+J132+J134+J135+J136+J137+J138+J139+J133+J140+J141</f>
        <v>748769</v>
      </c>
      <c r="K126" s="9">
        <f>SUM(K130,K131,K132)</f>
        <v>0</v>
      </c>
      <c r="L126" s="10"/>
    </row>
    <row r="127" spans="1:12" s="15" customFormat="1" ht="12.75" customHeight="1">
      <c r="A127" s="48"/>
      <c r="B127" s="49"/>
      <c r="C127" s="50"/>
      <c r="D127" s="51"/>
      <c r="E127" s="51"/>
      <c r="F127" s="52"/>
      <c r="G127" s="53"/>
      <c r="H127" s="51"/>
      <c r="I127" s="50"/>
      <c r="J127" s="53"/>
      <c r="K127" s="51"/>
      <c r="L127" s="54"/>
    </row>
    <row r="128" spans="1:14" s="25" customFormat="1" ht="19.5" customHeight="1">
      <c r="A128" s="39"/>
      <c r="C128" s="40"/>
      <c r="D128" s="40"/>
      <c r="E128" s="40"/>
      <c r="F128" s="40"/>
      <c r="G128" s="40"/>
      <c r="H128" s="40"/>
      <c r="I128" s="102" t="s">
        <v>113</v>
      </c>
      <c r="J128" s="102"/>
      <c r="K128" s="102"/>
      <c r="L128" s="102"/>
      <c r="N128" s="41"/>
    </row>
    <row r="129" spans="1:14" s="25" customFormat="1" ht="14.25">
      <c r="A129" s="10">
        <v>1</v>
      </c>
      <c r="B129" s="42">
        <v>2</v>
      </c>
      <c r="C129" s="43">
        <v>3</v>
      </c>
      <c r="D129" s="43">
        <v>4</v>
      </c>
      <c r="E129" s="43">
        <v>5</v>
      </c>
      <c r="F129" s="43">
        <v>6</v>
      </c>
      <c r="G129" s="43">
        <v>7</v>
      </c>
      <c r="H129" s="43">
        <v>8</v>
      </c>
      <c r="I129" s="43">
        <v>9</v>
      </c>
      <c r="J129" s="43">
        <v>10</v>
      </c>
      <c r="K129" s="43">
        <v>11</v>
      </c>
      <c r="L129" s="43">
        <v>12</v>
      </c>
      <c r="N129" s="41"/>
    </row>
    <row r="130" spans="1:12" s="25" customFormat="1" ht="53.25" customHeight="1">
      <c r="A130" s="4" t="s">
        <v>22</v>
      </c>
      <c r="B130" s="5" t="s">
        <v>11</v>
      </c>
      <c r="C130" s="9">
        <f aca="true" t="shared" si="19" ref="C130:C140">D130+E130</f>
        <v>41162</v>
      </c>
      <c r="D130" s="8">
        <f>-6500+47662</f>
        <v>41162</v>
      </c>
      <c r="E130" s="8">
        <v>0</v>
      </c>
      <c r="F130" s="6">
        <f>+G130+H130</f>
        <v>28499</v>
      </c>
      <c r="G130" s="7">
        <v>28499</v>
      </c>
      <c r="H130" s="8">
        <v>0</v>
      </c>
      <c r="I130" s="9">
        <f aca="true" t="shared" si="20" ref="I130:I141">J130+K130</f>
        <v>22364</v>
      </c>
      <c r="J130" s="7">
        <f>-8636+31000</f>
        <v>22364</v>
      </c>
      <c r="K130" s="8">
        <v>0</v>
      </c>
      <c r="L130" s="10" t="s">
        <v>37</v>
      </c>
    </row>
    <row r="131" spans="1:12" s="15" customFormat="1" ht="50.25" customHeight="1">
      <c r="A131" s="44" t="s">
        <v>20</v>
      </c>
      <c r="B131" s="5" t="s">
        <v>11</v>
      </c>
      <c r="C131" s="9">
        <f t="shared" si="19"/>
        <v>82350</v>
      </c>
      <c r="D131" s="8">
        <f>2886+79225+239</f>
        <v>82350</v>
      </c>
      <c r="E131" s="8">
        <v>0</v>
      </c>
      <c r="F131" s="6">
        <f>+G131+H131</f>
        <v>74292</v>
      </c>
      <c r="G131" s="7">
        <v>74292</v>
      </c>
      <c r="H131" s="8">
        <v>0</v>
      </c>
      <c r="I131" s="9">
        <f t="shared" si="20"/>
        <v>72511</v>
      </c>
      <c r="J131" s="7">
        <v>72511</v>
      </c>
      <c r="K131" s="8">
        <v>0</v>
      </c>
      <c r="L131" s="10" t="s">
        <v>37</v>
      </c>
    </row>
    <row r="132" spans="1:12" s="25" customFormat="1" ht="58.5" customHeight="1">
      <c r="A132" s="4" t="s">
        <v>193</v>
      </c>
      <c r="B132" s="5" t="s">
        <v>11</v>
      </c>
      <c r="C132" s="9">
        <f t="shared" si="19"/>
        <v>53555</v>
      </c>
      <c r="D132" s="8">
        <f>-12737+66292</f>
        <v>53555</v>
      </c>
      <c r="E132" s="8">
        <v>0</v>
      </c>
      <c r="F132" s="6">
        <f>+G132+H132</f>
        <v>64465</v>
      </c>
      <c r="G132" s="7">
        <v>64465</v>
      </c>
      <c r="H132" s="8">
        <v>0</v>
      </c>
      <c r="I132" s="9">
        <f t="shared" si="20"/>
        <v>233325</v>
      </c>
      <c r="J132" s="7">
        <f>-87862+321187</f>
        <v>233325</v>
      </c>
      <c r="K132" s="8">
        <v>0</v>
      </c>
      <c r="L132" s="10" t="s">
        <v>37</v>
      </c>
    </row>
    <row r="133" spans="1:12" s="25" customFormat="1" ht="52.5" customHeight="1">
      <c r="A133" s="4" t="s">
        <v>73</v>
      </c>
      <c r="B133" s="5" t="s">
        <v>11</v>
      </c>
      <c r="C133" s="9">
        <f t="shared" si="19"/>
        <v>396458</v>
      </c>
      <c r="D133" s="8">
        <f>395170+1288</f>
        <v>396458</v>
      </c>
      <c r="E133" s="8">
        <v>0</v>
      </c>
      <c r="F133" s="6">
        <f>+G133+H133</f>
        <v>0</v>
      </c>
      <c r="G133" s="7">
        <v>0</v>
      </c>
      <c r="H133" s="8">
        <v>0</v>
      </c>
      <c r="I133" s="9">
        <f t="shared" si="20"/>
        <v>0</v>
      </c>
      <c r="J133" s="7">
        <f>ROUND(G133*1.067,0)</f>
        <v>0</v>
      </c>
      <c r="K133" s="8">
        <v>0</v>
      </c>
      <c r="L133" s="10" t="s">
        <v>37</v>
      </c>
    </row>
    <row r="134" spans="1:12" s="25" customFormat="1" ht="54" customHeight="1">
      <c r="A134" s="44" t="s">
        <v>194</v>
      </c>
      <c r="B134" s="5" t="s">
        <v>11</v>
      </c>
      <c r="C134" s="9">
        <f t="shared" si="19"/>
        <v>298341</v>
      </c>
      <c r="D134" s="8">
        <v>298341</v>
      </c>
      <c r="E134" s="8">
        <v>0</v>
      </c>
      <c r="F134" s="6">
        <f>+G134+H134</f>
        <v>159767</v>
      </c>
      <c r="G134" s="7">
        <v>159767</v>
      </c>
      <c r="H134" s="8">
        <v>0</v>
      </c>
      <c r="I134" s="9">
        <f t="shared" si="20"/>
        <v>121577</v>
      </c>
      <c r="J134" s="7">
        <f>-25173+146750</f>
        <v>121577</v>
      </c>
      <c r="K134" s="8">
        <v>0</v>
      </c>
      <c r="L134" s="10" t="s">
        <v>37</v>
      </c>
    </row>
    <row r="135" spans="1:12" s="25" customFormat="1" ht="54.75" customHeight="1">
      <c r="A135" s="4" t="s">
        <v>74</v>
      </c>
      <c r="B135" s="5" t="s">
        <v>11</v>
      </c>
      <c r="C135" s="6">
        <f t="shared" si="19"/>
        <v>34000</v>
      </c>
      <c r="D135" s="7">
        <v>34000</v>
      </c>
      <c r="E135" s="7">
        <v>0</v>
      </c>
      <c r="F135" s="6">
        <f aca="true" t="shared" si="21" ref="F135:F140">+G135+H135</f>
        <v>0</v>
      </c>
      <c r="G135" s="7">
        <v>0</v>
      </c>
      <c r="H135" s="8">
        <v>0</v>
      </c>
      <c r="I135" s="9">
        <f t="shared" si="20"/>
        <v>0</v>
      </c>
      <c r="J135" s="7">
        <f>ROUND(G135*1.067,0)</f>
        <v>0</v>
      </c>
      <c r="K135" s="8">
        <v>0</v>
      </c>
      <c r="L135" s="10" t="s">
        <v>37</v>
      </c>
    </row>
    <row r="136" spans="1:12" s="25" customFormat="1" ht="51" customHeight="1">
      <c r="A136" s="44" t="s">
        <v>75</v>
      </c>
      <c r="B136" s="5" t="s">
        <v>11</v>
      </c>
      <c r="C136" s="9">
        <f t="shared" si="19"/>
        <v>165600</v>
      </c>
      <c r="D136" s="8">
        <v>165600</v>
      </c>
      <c r="E136" s="8">
        <v>0</v>
      </c>
      <c r="F136" s="6">
        <f t="shared" si="21"/>
        <v>0</v>
      </c>
      <c r="G136" s="7">
        <v>0</v>
      </c>
      <c r="H136" s="8">
        <v>0</v>
      </c>
      <c r="I136" s="9">
        <f t="shared" si="20"/>
        <v>0</v>
      </c>
      <c r="J136" s="7">
        <f>ROUND(G136*1.067,0)</f>
        <v>0</v>
      </c>
      <c r="K136" s="8">
        <v>0</v>
      </c>
      <c r="L136" s="10" t="s">
        <v>37</v>
      </c>
    </row>
    <row r="137" spans="1:12" s="25" customFormat="1" ht="116.25" customHeight="1">
      <c r="A137" s="47" t="s">
        <v>64</v>
      </c>
      <c r="B137" s="5" t="s">
        <v>11</v>
      </c>
      <c r="C137" s="9">
        <f t="shared" si="19"/>
        <v>54755</v>
      </c>
      <c r="D137" s="8">
        <v>54755</v>
      </c>
      <c r="E137" s="8">
        <v>0</v>
      </c>
      <c r="F137" s="6">
        <f t="shared" si="21"/>
        <v>0</v>
      </c>
      <c r="G137" s="7">
        <v>0</v>
      </c>
      <c r="H137" s="8">
        <v>0</v>
      </c>
      <c r="I137" s="9">
        <f t="shared" si="20"/>
        <v>0</v>
      </c>
      <c r="J137" s="7">
        <f>ROUND(G137*1.067,0)</f>
        <v>0</v>
      </c>
      <c r="K137" s="8">
        <v>0</v>
      </c>
      <c r="L137" s="10" t="s">
        <v>37</v>
      </c>
    </row>
    <row r="138" spans="1:12" s="25" customFormat="1" ht="53.25" customHeight="1">
      <c r="A138" s="4" t="s">
        <v>153</v>
      </c>
      <c r="B138" s="5" t="s">
        <v>11</v>
      </c>
      <c r="C138" s="9">
        <f t="shared" si="19"/>
        <v>100000</v>
      </c>
      <c r="D138" s="8">
        <v>100000</v>
      </c>
      <c r="E138" s="8">
        <v>0</v>
      </c>
      <c r="F138" s="6">
        <f t="shared" si="21"/>
        <v>0</v>
      </c>
      <c r="G138" s="7">
        <v>0</v>
      </c>
      <c r="H138" s="8">
        <v>0</v>
      </c>
      <c r="I138" s="9">
        <f t="shared" si="20"/>
        <v>0</v>
      </c>
      <c r="J138" s="7">
        <f>ROUND(G138*1.067,0)</f>
        <v>0</v>
      </c>
      <c r="K138" s="8">
        <v>0</v>
      </c>
      <c r="L138" s="10" t="s">
        <v>37</v>
      </c>
    </row>
    <row r="139" spans="1:12" s="25" customFormat="1" ht="48.75" customHeight="1">
      <c r="A139" s="4" t="s">
        <v>195</v>
      </c>
      <c r="B139" s="5" t="s">
        <v>11</v>
      </c>
      <c r="C139" s="9">
        <f t="shared" si="19"/>
        <v>32000</v>
      </c>
      <c r="D139" s="8">
        <v>32000</v>
      </c>
      <c r="E139" s="8">
        <v>0</v>
      </c>
      <c r="F139" s="6">
        <f t="shared" si="21"/>
        <v>0</v>
      </c>
      <c r="G139" s="7">
        <v>0</v>
      </c>
      <c r="H139" s="8">
        <v>0</v>
      </c>
      <c r="I139" s="9">
        <f t="shared" si="20"/>
        <v>0</v>
      </c>
      <c r="J139" s="7">
        <f>ROUND(G139*1.067,0)</f>
        <v>0</v>
      </c>
      <c r="K139" s="8">
        <v>0</v>
      </c>
      <c r="L139" s="10" t="s">
        <v>37</v>
      </c>
    </row>
    <row r="140" spans="1:12" s="25" customFormat="1" ht="63" customHeight="1">
      <c r="A140" s="4" t="s">
        <v>173</v>
      </c>
      <c r="B140" s="5" t="s">
        <v>11</v>
      </c>
      <c r="C140" s="9">
        <f t="shared" si="19"/>
        <v>0</v>
      </c>
      <c r="D140" s="8">
        <v>0</v>
      </c>
      <c r="E140" s="8">
        <v>0</v>
      </c>
      <c r="F140" s="6">
        <f t="shared" si="21"/>
        <v>73171</v>
      </c>
      <c r="G140" s="7">
        <v>73171</v>
      </c>
      <c r="H140" s="8">
        <v>0</v>
      </c>
      <c r="I140" s="9">
        <f t="shared" si="20"/>
        <v>276585</v>
      </c>
      <c r="J140" s="7">
        <f>188780+87805</f>
        <v>276585</v>
      </c>
      <c r="K140" s="8">
        <v>0</v>
      </c>
      <c r="L140" s="10" t="s">
        <v>37</v>
      </c>
    </row>
    <row r="141" spans="1:12" s="25" customFormat="1" ht="38.25" customHeight="1">
      <c r="A141" s="4" t="s">
        <v>121</v>
      </c>
      <c r="B141" s="5" t="s">
        <v>11</v>
      </c>
      <c r="C141" s="9">
        <f>D141+E141</f>
        <v>0</v>
      </c>
      <c r="D141" s="8">
        <v>0</v>
      </c>
      <c r="E141" s="8">
        <v>0</v>
      </c>
      <c r="F141" s="6">
        <f>+G141</f>
        <v>0</v>
      </c>
      <c r="G141" s="7">
        <v>0</v>
      </c>
      <c r="H141" s="8">
        <v>0</v>
      </c>
      <c r="I141" s="9">
        <f t="shared" si="20"/>
        <v>22407</v>
      </c>
      <c r="J141" s="7">
        <v>22407</v>
      </c>
      <c r="K141" s="8">
        <v>0</v>
      </c>
      <c r="L141" s="10" t="s">
        <v>37</v>
      </c>
    </row>
    <row r="142" spans="1:12" s="15" customFormat="1" ht="12.75" customHeight="1">
      <c r="A142" s="48"/>
      <c r="B142" s="49"/>
      <c r="C142" s="50"/>
      <c r="D142" s="51"/>
      <c r="E142" s="51"/>
      <c r="F142" s="52"/>
      <c r="G142" s="53"/>
      <c r="H142" s="51"/>
      <c r="I142" s="50"/>
      <c r="J142" s="53"/>
      <c r="K142" s="51"/>
      <c r="L142" s="54"/>
    </row>
    <row r="143" spans="1:14" s="25" customFormat="1" ht="19.5" customHeight="1">
      <c r="A143" s="39"/>
      <c r="C143" s="40"/>
      <c r="D143" s="40"/>
      <c r="E143" s="40"/>
      <c r="F143" s="40"/>
      <c r="G143" s="40"/>
      <c r="H143" s="40"/>
      <c r="I143" s="102" t="s">
        <v>113</v>
      </c>
      <c r="J143" s="102"/>
      <c r="K143" s="102"/>
      <c r="L143" s="102"/>
      <c r="N143" s="41"/>
    </row>
    <row r="144" spans="1:14" s="25" customFormat="1" ht="14.25">
      <c r="A144" s="10">
        <v>1</v>
      </c>
      <c r="B144" s="42">
        <v>2</v>
      </c>
      <c r="C144" s="43">
        <v>3</v>
      </c>
      <c r="D144" s="43">
        <v>4</v>
      </c>
      <c r="E144" s="43">
        <v>5</v>
      </c>
      <c r="F144" s="43">
        <v>6</v>
      </c>
      <c r="G144" s="43">
        <v>7</v>
      </c>
      <c r="H144" s="43">
        <v>8</v>
      </c>
      <c r="I144" s="43">
        <v>9</v>
      </c>
      <c r="J144" s="43">
        <v>10</v>
      </c>
      <c r="K144" s="43">
        <v>11</v>
      </c>
      <c r="L144" s="43">
        <v>12</v>
      </c>
      <c r="N144" s="41"/>
    </row>
    <row r="145" spans="1:12" s="25" customFormat="1" ht="18" customHeight="1">
      <c r="A145" s="83" t="s">
        <v>122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</row>
    <row r="146" spans="1:12" s="25" customFormat="1" ht="18" customHeight="1">
      <c r="A146" s="81" t="s">
        <v>35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1:12" s="25" customFormat="1" ht="23.25" customHeight="1">
      <c r="A147" s="80" t="s">
        <v>23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</row>
    <row r="148" spans="1:12" s="25" customFormat="1" ht="51.75" customHeight="1">
      <c r="A148" s="24" t="s">
        <v>24</v>
      </c>
      <c r="B148" s="5" t="s">
        <v>11</v>
      </c>
      <c r="C148" s="9">
        <f>D148+E148</f>
        <v>256500</v>
      </c>
      <c r="D148" s="9">
        <v>256500</v>
      </c>
      <c r="E148" s="9">
        <v>0</v>
      </c>
      <c r="F148" s="6">
        <f>+G148+H148</f>
        <v>234900</v>
      </c>
      <c r="G148" s="6">
        <v>234900</v>
      </c>
      <c r="H148" s="6">
        <f>ROUND(E148*1.104,0)</f>
        <v>0</v>
      </c>
      <c r="I148" s="9">
        <f>J148+K148</f>
        <v>180360</v>
      </c>
      <c r="J148" s="6">
        <v>180360</v>
      </c>
      <c r="K148" s="9">
        <v>0</v>
      </c>
      <c r="L148" s="10" t="s">
        <v>37</v>
      </c>
    </row>
    <row r="149" spans="1:14" s="25" customFormat="1" ht="14.25">
      <c r="A149" s="10">
        <v>1</v>
      </c>
      <c r="B149" s="42">
        <v>2</v>
      </c>
      <c r="C149" s="43">
        <v>3</v>
      </c>
      <c r="D149" s="43">
        <v>4</v>
      </c>
      <c r="E149" s="43">
        <v>5</v>
      </c>
      <c r="F149" s="43">
        <v>6</v>
      </c>
      <c r="G149" s="43">
        <v>7</v>
      </c>
      <c r="H149" s="43">
        <v>8</v>
      </c>
      <c r="I149" s="43">
        <v>9</v>
      </c>
      <c r="J149" s="43">
        <v>10</v>
      </c>
      <c r="K149" s="43">
        <v>11</v>
      </c>
      <c r="L149" s="43">
        <v>12</v>
      </c>
      <c r="N149" s="41"/>
    </row>
    <row r="150" spans="1:12" s="15" customFormat="1" ht="20.25" customHeight="1">
      <c r="A150" s="83" t="s">
        <v>123</v>
      </c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</row>
    <row r="151" spans="1:12" s="15" customFormat="1" ht="20.25" customHeight="1">
      <c r="A151" s="101" t="s">
        <v>36</v>
      </c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</row>
    <row r="152" spans="1:12" s="15" customFormat="1" ht="25.5" customHeight="1">
      <c r="A152" s="80" t="s">
        <v>33</v>
      </c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</row>
    <row r="153" spans="1:12" s="15" customFormat="1" ht="46.5" customHeight="1">
      <c r="A153" s="14" t="s">
        <v>34</v>
      </c>
      <c r="B153" s="5" t="s">
        <v>11</v>
      </c>
      <c r="C153" s="9">
        <f>D153+E153</f>
        <v>500000</v>
      </c>
      <c r="D153" s="9">
        <f>250000+250000</f>
        <v>500000</v>
      </c>
      <c r="E153" s="9">
        <v>0</v>
      </c>
      <c r="F153" s="6">
        <f>+G153+H153</f>
        <v>540500</v>
      </c>
      <c r="G153" s="6">
        <v>540500</v>
      </c>
      <c r="H153" s="6">
        <f>ROUND(E153*1.104,0)</f>
        <v>0</v>
      </c>
      <c r="I153" s="9">
        <f>J153+K153</f>
        <v>0</v>
      </c>
      <c r="J153" s="6">
        <v>0</v>
      </c>
      <c r="K153" s="9">
        <v>0</v>
      </c>
      <c r="L153" s="10" t="s">
        <v>37</v>
      </c>
    </row>
    <row r="154" spans="1:12" s="15" customFormat="1" ht="24" customHeight="1">
      <c r="A154" s="83" t="s">
        <v>124</v>
      </c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</row>
    <row r="155" spans="1:12" s="15" customFormat="1" ht="24" customHeight="1">
      <c r="A155" s="81" t="s">
        <v>180</v>
      </c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</row>
    <row r="156" spans="1:12" s="15" customFormat="1" ht="23.25" customHeight="1">
      <c r="A156" s="80" t="s">
        <v>179</v>
      </c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</row>
    <row r="157" spans="1:12" s="25" customFormat="1" ht="20.25" customHeight="1">
      <c r="A157" s="23" t="s">
        <v>2</v>
      </c>
      <c r="B157" s="21"/>
      <c r="C157" s="6">
        <f>D157+E157</f>
        <v>768092</v>
      </c>
      <c r="D157" s="6">
        <f>D158+D159+D160+D163+D170</f>
        <v>768092</v>
      </c>
      <c r="E157" s="6">
        <f>E158+E159</f>
        <v>0</v>
      </c>
      <c r="F157" s="9">
        <f>H157+G157</f>
        <v>52794</v>
      </c>
      <c r="G157" s="9">
        <f>G158+G159+G160+G163+G170</f>
        <v>52794</v>
      </c>
      <c r="H157" s="6">
        <v>0</v>
      </c>
      <c r="I157" s="9">
        <f>J157+J158</f>
        <v>60636</v>
      </c>
      <c r="J157" s="9">
        <f>J158+J159+J160+J163+J170</f>
        <v>60636</v>
      </c>
      <c r="K157" s="6">
        <v>0</v>
      </c>
      <c r="L157" s="24"/>
    </row>
    <row r="158" spans="1:12" s="25" customFormat="1" ht="65.25" customHeight="1">
      <c r="A158" s="11" t="s">
        <v>69</v>
      </c>
      <c r="B158" s="5" t="s">
        <v>11</v>
      </c>
      <c r="C158" s="9">
        <f>D158+E158</f>
        <v>114761</v>
      </c>
      <c r="D158" s="8">
        <f>66528+48233</f>
        <v>114761</v>
      </c>
      <c r="E158" s="8">
        <v>0</v>
      </c>
      <c r="F158" s="6">
        <v>0</v>
      </c>
      <c r="G158" s="7">
        <v>0</v>
      </c>
      <c r="H158" s="7">
        <v>0</v>
      </c>
      <c r="I158" s="9">
        <v>0</v>
      </c>
      <c r="J158" s="7">
        <v>0</v>
      </c>
      <c r="K158" s="8">
        <v>0</v>
      </c>
      <c r="L158" s="21" t="s">
        <v>65</v>
      </c>
    </row>
    <row r="159" spans="1:12" s="25" customFormat="1" ht="66.75" customHeight="1">
      <c r="A159" s="11" t="s">
        <v>70</v>
      </c>
      <c r="B159" s="5" t="s">
        <v>11</v>
      </c>
      <c r="C159" s="9">
        <f>D159+E159</f>
        <v>625968</v>
      </c>
      <c r="D159" s="8">
        <f>317520+308448</f>
        <v>625968</v>
      </c>
      <c r="E159" s="61">
        <v>0</v>
      </c>
      <c r="F159" s="6">
        <v>0</v>
      </c>
      <c r="G159" s="7">
        <v>0</v>
      </c>
      <c r="H159" s="7">
        <v>0</v>
      </c>
      <c r="I159" s="9">
        <v>0</v>
      </c>
      <c r="J159" s="7">
        <v>0</v>
      </c>
      <c r="K159" s="8">
        <v>0</v>
      </c>
      <c r="L159" s="21" t="s">
        <v>65</v>
      </c>
    </row>
    <row r="160" spans="1:12" s="15" customFormat="1" ht="58.5" customHeight="1">
      <c r="A160" s="11" t="s">
        <v>105</v>
      </c>
      <c r="B160" s="5" t="s">
        <v>11</v>
      </c>
      <c r="C160" s="9">
        <f>D160+E160</f>
        <v>291</v>
      </c>
      <c r="D160" s="8">
        <v>291</v>
      </c>
      <c r="E160" s="61">
        <v>0</v>
      </c>
      <c r="F160" s="6">
        <f>G160+H160</f>
        <v>9828</v>
      </c>
      <c r="G160" s="7">
        <v>9828</v>
      </c>
      <c r="H160" s="7">
        <v>0</v>
      </c>
      <c r="I160" s="9">
        <f>J160+K160</f>
        <v>8165</v>
      </c>
      <c r="J160" s="7">
        <f>+J161+J162</f>
        <v>8165</v>
      </c>
      <c r="K160" s="8">
        <v>0</v>
      </c>
      <c r="L160" s="21" t="s">
        <v>65</v>
      </c>
    </row>
    <row r="161" spans="1:12" s="15" customFormat="1" ht="54.75" customHeight="1">
      <c r="A161" s="62" t="s">
        <v>125</v>
      </c>
      <c r="B161" s="5" t="s">
        <v>11</v>
      </c>
      <c r="C161" s="9">
        <f>+D161</f>
        <v>291</v>
      </c>
      <c r="D161" s="8">
        <v>291</v>
      </c>
      <c r="E161" s="61">
        <v>0</v>
      </c>
      <c r="F161" s="6">
        <f>+G161</f>
        <v>7862</v>
      </c>
      <c r="G161" s="7">
        <v>7862</v>
      </c>
      <c r="H161" s="7">
        <v>0</v>
      </c>
      <c r="I161" s="9">
        <f>+J161</f>
        <v>5443</v>
      </c>
      <c r="J161" s="7">
        <v>5443</v>
      </c>
      <c r="K161" s="8">
        <v>0</v>
      </c>
      <c r="L161" s="21" t="s">
        <v>65</v>
      </c>
    </row>
    <row r="162" spans="1:12" s="15" customFormat="1" ht="53.25" customHeight="1">
      <c r="A162" s="62" t="s">
        <v>126</v>
      </c>
      <c r="B162" s="5" t="s">
        <v>11</v>
      </c>
      <c r="C162" s="9">
        <v>0</v>
      </c>
      <c r="D162" s="8">
        <v>0</v>
      </c>
      <c r="E162" s="61">
        <v>0</v>
      </c>
      <c r="F162" s="6">
        <f>+G162</f>
        <v>1966</v>
      </c>
      <c r="G162" s="7">
        <v>1966</v>
      </c>
      <c r="H162" s="7">
        <v>0</v>
      </c>
      <c r="I162" s="9">
        <f>+J162</f>
        <v>2722</v>
      </c>
      <c r="J162" s="7">
        <v>2722</v>
      </c>
      <c r="K162" s="8">
        <v>0</v>
      </c>
      <c r="L162" s="21" t="s">
        <v>65</v>
      </c>
    </row>
    <row r="163" spans="1:12" s="25" customFormat="1" ht="51.75" customHeight="1">
      <c r="A163" s="77" t="s">
        <v>182</v>
      </c>
      <c r="B163" s="5" t="s">
        <v>11</v>
      </c>
      <c r="C163" s="9">
        <f>D163+E163</f>
        <v>792</v>
      </c>
      <c r="D163" s="8">
        <v>792</v>
      </c>
      <c r="E163" s="61">
        <v>0</v>
      </c>
      <c r="F163" s="6">
        <f>G163+H163</f>
        <v>38556</v>
      </c>
      <c r="G163" s="7">
        <v>38556</v>
      </c>
      <c r="H163" s="7">
        <v>0</v>
      </c>
      <c r="I163" s="9">
        <f>J163+K163</f>
        <v>51071</v>
      </c>
      <c r="J163" s="7">
        <f>+J164+J168+J169</f>
        <v>51071</v>
      </c>
      <c r="K163" s="8">
        <v>0</v>
      </c>
      <c r="L163" s="21" t="s">
        <v>65</v>
      </c>
    </row>
    <row r="164" spans="1:12" s="25" customFormat="1" ht="49.5" customHeight="1">
      <c r="A164" s="62" t="s">
        <v>125</v>
      </c>
      <c r="B164" s="5" t="s">
        <v>11</v>
      </c>
      <c r="C164" s="9">
        <f>+D164</f>
        <v>792</v>
      </c>
      <c r="D164" s="8">
        <v>792</v>
      </c>
      <c r="E164" s="61">
        <v>0</v>
      </c>
      <c r="F164" s="6">
        <f>+G164</f>
        <v>35986</v>
      </c>
      <c r="G164" s="7">
        <v>35986</v>
      </c>
      <c r="H164" s="7">
        <v>0</v>
      </c>
      <c r="I164" s="9">
        <f>+J164</f>
        <v>36591</v>
      </c>
      <c r="J164" s="7">
        <v>36591</v>
      </c>
      <c r="K164" s="8">
        <v>0</v>
      </c>
      <c r="L164" s="21" t="s">
        <v>65</v>
      </c>
    </row>
    <row r="165" spans="1:12" s="15" customFormat="1" ht="12.75" customHeight="1">
      <c r="A165" s="48"/>
      <c r="B165" s="49"/>
      <c r="C165" s="50"/>
      <c r="D165" s="51"/>
      <c r="E165" s="51"/>
      <c r="F165" s="52"/>
      <c r="G165" s="53"/>
      <c r="H165" s="51"/>
      <c r="I165" s="50"/>
      <c r="J165" s="53"/>
      <c r="K165" s="51"/>
      <c r="L165" s="54"/>
    </row>
    <row r="166" spans="1:14" s="25" customFormat="1" ht="19.5" customHeight="1">
      <c r="A166" s="39"/>
      <c r="C166" s="40"/>
      <c r="D166" s="40"/>
      <c r="E166" s="40"/>
      <c r="F166" s="40"/>
      <c r="G166" s="40"/>
      <c r="H166" s="40"/>
      <c r="I166" s="102" t="s">
        <v>113</v>
      </c>
      <c r="J166" s="102"/>
      <c r="K166" s="102"/>
      <c r="L166" s="102"/>
      <c r="N166" s="41"/>
    </row>
    <row r="167" spans="1:14" s="25" customFormat="1" ht="14.25">
      <c r="A167" s="10">
        <v>1</v>
      </c>
      <c r="B167" s="42">
        <v>2</v>
      </c>
      <c r="C167" s="43">
        <v>3</v>
      </c>
      <c r="D167" s="43">
        <v>4</v>
      </c>
      <c r="E167" s="43">
        <v>5</v>
      </c>
      <c r="F167" s="43">
        <v>6</v>
      </c>
      <c r="G167" s="43">
        <v>7</v>
      </c>
      <c r="H167" s="43">
        <v>8</v>
      </c>
      <c r="I167" s="43">
        <v>9</v>
      </c>
      <c r="J167" s="43">
        <v>10</v>
      </c>
      <c r="K167" s="43">
        <v>11</v>
      </c>
      <c r="L167" s="43">
        <v>12</v>
      </c>
      <c r="N167" s="41"/>
    </row>
    <row r="168" spans="1:12" s="25" customFormat="1" ht="54" customHeight="1">
      <c r="A168" s="62" t="s">
        <v>126</v>
      </c>
      <c r="B168" s="5" t="s">
        <v>11</v>
      </c>
      <c r="C168" s="9">
        <v>0</v>
      </c>
      <c r="D168" s="8">
        <v>0</v>
      </c>
      <c r="E168" s="61">
        <v>0</v>
      </c>
      <c r="F168" s="6">
        <f>+G168</f>
        <v>2570</v>
      </c>
      <c r="G168" s="7">
        <v>2570</v>
      </c>
      <c r="H168" s="7">
        <v>0</v>
      </c>
      <c r="I168" s="9">
        <f>+J168</f>
        <v>3326</v>
      </c>
      <c r="J168" s="7">
        <v>3326</v>
      </c>
      <c r="K168" s="8">
        <v>0</v>
      </c>
      <c r="L168" s="21" t="s">
        <v>65</v>
      </c>
    </row>
    <row r="169" spans="1:12" s="25" customFormat="1" ht="54" customHeight="1">
      <c r="A169" s="62" t="s">
        <v>181</v>
      </c>
      <c r="B169" s="5" t="s">
        <v>11</v>
      </c>
      <c r="C169" s="9">
        <v>0</v>
      </c>
      <c r="D169" s="8">
        <v>0</v>
      </c>
      <c r="E169" s="61">
        <v>0</v>
      </c>
      <c r="F169" s="6">
        <v>0</v>
      </c>
      <c r="G169" s="7">
        <v>0</v>
      </c>
      <c r="H169" s="7">
        <v>0</v>
      </c>
      <c r="I169" s="9">
        <f>+J169</f>
        <v>11154</v>
      </c>
      <c r="J169" s="7">
        <v>11154</v>
      </c>
      <c r="K169" s="8">
        <v>0</v>
      </c>
      <c r="L169" s="21" t="s">
        <v>65</v>
      </c>
    </row>
    <row r="170" spans="1:12" s="25" customFormat="1" ht="57.75" customHeight="1">
      <c r="A170" s="63" t="s">
        <v>127</v>
      </c>
      <c r="B170" s="5" t="s">
        <v>11</v>
      </c>
      <c r="C170" s="9">
        <f>D170+E170</f>
        <v>26280</v>
      </c>
      <c r="D170" s="8">
        <f>D171+D172</f>
        <v>26280</v>
      </c>
      <c r="E170" s="61">
        <v>0</v>
      </c>
      <c r="F170" s="6">
        <f>G170+H170</f>
        <v>4410</v>
      </c>
      <c r="G170" s="7">
        <f>+G173+G15+G171+G172+G174</f>
        <v>4410</v>
      </c>
      <c r="H170" s="7">
        <v>0</v>
      </c>
      <c r="I170" s="9">
        <f>J170+K170</f>
        <v>1400</v>
      </c>
      <c r="J170" s="7">
        <f>J171+J172+J173+J174</f>
        <v>1400</v>
      </c>
      <c r="K170" s="8">
        <v>0</v>
      </c>
      <c r="L170" s="21" t="s">
        <v>65</v>
      </c>
    </row>
    <row r="171" spans="1:12" s="25" customFormat="1" ht="52.5" customHeight="1">
      <c r="A171" s="47" t="s">
        <v>128</v>
      </c>
      <c r="B171" s="5" t="s">
        <v>11</v>
      </c>
      <c r="C171" s="9">
        <f>D171+E171</f>
        <v>25080</v>
      </c>
      <c r="D171" s="8">
        <v>25080</v>
      </c>
      <c r="E171" s="61">
        <v>0</v>
      </c>
      <c r="F171" s="6">
        <f>G171+H171</f>
        <v>0</v>
      </c>
      <c r="G171" s="7">
        <v>0</v>
      </c>
      <c r="H171" s="7">
        <v>0</v>
      </c>
      <c r="I171" s="9">
        <v>0</v>
      </c>
      <c r="J171" s="7">
        <v>0</v>
      </c>
      <c r="K171" s="8">
        <v>0</v>
      </c>
      <c r="L171" s="21" t="s">
        <v>65</v>
      </c>
    </row>
    <row r="172" spans="1:12" s="25" customFormat="1" ht="53.25" customHeight="1">
      <c r="A172" s="47" t="s">
        <v>129</v>
      </c>
      <c r="B172" s="5" t="s">
        <v>11</v>
      </c>
      <c r="C172" s="9">
        <f>D172+E172</f>
        <v>1200</v>
      </c>
      <c r="D172" s="8">
        <v>1200</v>
      </c>
      <c r="E172" s="61">
        <v>0</v>
      </c>
      <c r="F172" s="6">
        <f>G172+H172</f>
        <v>1260</v>
      </c>
      <c r="G172" s="7">
        <v>1260</v>
      </c>
      <c r="H172" s="7">
        <v>0</v>
      </c>
      <c r="I172" s="9">
        <f>+J172</f>
        <v>1260</v>
      </c>
      <c r="J172" s="7">
        <v>1260</v>
      </c>
      <c r="K172" s="8">
        <v>0</v>
      </c>
      <c r="L172" s="21" t="s">
        <v>65</v>
      </c>
    </row>
    <row r="173" spans="1:12" s="25" customFormat="1" ht="53.25" customHeight="1">
      <c r="A173" s="47" t="s">
        <v>130</v>
      </c>
      <c r="B173" s="5" t="s">
        <v>11</v>
      </c>
      <c r="C173" s="9">
        <v>0</v>
      </c>
      <c r="D173" s="8">
        <v>0</v>
      </c>
      <c r="E173" s="61">
        <v>0</v>
      </c>
      <c r="F173" s="6">
        <f>+G173</f>
        <v>140</v>
      </c>
      <c r="G173" s="7">
        <v>140</v>
      </c>
      <c r="H173" s="7">
        <v>0</v>
      </c>
      <c r="I173" s="9">
        <f>+J173</f>
        <v>140</v>
      </c>
      <c r="J173" s="7">
        <v>140</v>
      </c>
      <c r="K173" s="8">
        <v>0</v>
      </c>
      <c r="L173" s="21" t="s">
        <v>65</v>
      </c>
    </row>
    <row r="174" spans="1:12" s="25" customFormat="1" ht="53.25" customHeight="1">
      <c r="A174" s="47" t="s">
        <v>131</v>
      </c>
      <c r="B174" s="5" t="s">
        <v>11</v>
      </c>
      <c r="C174" s="9">
        <v>0</v>
      </c>
      <c r="D174" s="8">
        <v>0</v>
      </c>
      <c r="E174" s="61">
        <v>0</v>
      </c>
      <c r="F174" s="6">
        <f>+G174</f>
        <v>3010</v>
      </c>
      <c r="G174" s="7">
        <f>4970-1960</f>
        <v>3010</v>
      </c>
      <c r="H174" s="7">
        <v>0</v>
      </c>
      <c r="I174" s="9">
        <v>0</v>
      </c>
      <c r="J174" s="7">
        <v>0</v>
      </c>
      <c r="K174" s="8">
        <v>0</v>
      </c>
      <c r="L174" s="21" t="s">
        <v>65</v>
      </c>
    </row>
    <row r="175" spans="1:12" s="15" customFormat="1" ht="27.75" customHeight="1">
      <c r="A175" s="91" t="s">
        <v>183</v>
      </c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3"/>
    </row>
    <row r="176" spans="1:12" s="15" customFormat="1" ht="26.25" customHeight="1">
      <c r="A176" s="80" t="s">
        <v>184</v>
      </c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</row>
    <row r="177" spans="1:12" s="25" customFormat="1" ht="18.75" customHeight="1">
      <c r="A177" s="58" t="s">
        <v>46</v>
      </c>
      <c r="B177" s="21"/>
      <c r="C177" s="6">
        <f>D177+E177</f>
        <v>963540</v>
      </c>
      <c r="D177" s="6">
        <f>D179+D180+D187+D193+D198</f>
        <v>963540</v>
      </c>
      <c r="E177" s="6">
        <v>0</v>
      </c>
      <c r="F177" s="9">
        <f>H177+G177</f>
        <v>152110</v>
      </c>
      <c r="G177" s="9">
        <f>+SUM(G179,G180,G193,G187)+G198</f>
        <v>152110</v>
      </c>
      <c r="H177" s="6">
        <v>0</v>
      </c>
      <c r="I177" s="9">
        <f>I179+I180+I187+I193+I198</f>
        <v>188870</v>
      </c>
      <c r="J177" s="9">
        <f>J179+J180+J187+J193+J198</f>
        <v>188870</v>
      </c>
      <c r="K177" s="6">
        <f>K179+K180+K187</f>
        <v>0</v>
      </c>
      <c r="L177" s="24"/>
    </row>
    <row r="178" spans="1:12" s="15" customFormat="1" ht="23.25" customHeight="1">
      <c r="A178" s="83" t="s">
        <v>132</v>
      </c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</row>
    <row r="179" spans="1:12" s="25" customFormat="1" ht="66" customHeight="1">
      <c r="A179" s="11" t="s">
        <v>81</v>
      </c>
      <c r="B179" s="5" t="s">
        <v>11</v>
      </c>
      <c r="C179" s="9">
        <f aca="true" t="shared" si="22" ref="C179:C190">D179+E179</f>
        <v>808500</v>
      </c>
      <c r="D179" s="8">
        <f>247500+330000+231000</f>
        <v>808500</v>
      </c>
      <c r="E179" s="8">
        <v>0</v>
      </c>
      <c r="F179" s="6">
        <f aca="true" t="shared" si="23" ref="F179:F190">G179+H179</f>
        <v>0</v>
      </c>
      <c r="G179" s="7">
        <v>0</v>
      </c>
      <c r="H179" s="7">
        <v>0</v>
      </c>
      <c r="I179" s="9">
        <v>0</v>
      </c>
      <c r="J179" s="7">
        <v>0</v>
      </c>
      <c r="K179" s="8">
        <v>0</v>
      </c>
      <c r="L179" s="21" t="s">
        <v>65</v>
      </c>
    </row>
    <row r="180" spans="1:12" s="25" customFormat="1" ht="51" customHeight="1">
      <c r="A180" s="77" t="s">
        <v>185</v>
      </c>
      <c r="B180" s="5" t="s">
        <v>11</v>
      </c>
      <c r="C180" s="9">
        <f t="shared" si="22"/>
        <v>5320</v>
      </c>
      <c r="D180" s="8">
        <v>5320</v>
      </c>
      <c r="E180" s="8">
        <v>0</v>
      </c>
      <c r="F180" s="6">
        <f t="shared" si="23"/>
        <v>61250</v>
      </c>
      <c r="G180" s="7">
        <v>61250</v>
      </c>
      <c r="H180" s="7">
        <v>0</v>
      </c>
      <c r="I180" s="9">
        <f>J180+K180</f>
        <v>98700</v>
      </c>
      <c r="J180" s="7">
        <f>+J181+J182+J186</f>
        <v>98700</v>
      </c>
      <c r="K180" s="8">
        <v>0</v>
      </c>
      <c r="L180" s="21" t="s">
        <v>65</v>
      </c>
    </row>
    <row r="181" spans="1:12" s="25" customFormat="1" ht="51" customHeight="1">
      <c r="A181" s="11" t="s">
        <v>133</v>
      </c>
      <c r="B181" s="5" t="s">
        <v>11</v>
      </c>
      <c r="C181" s="9">
        <v>5320</v>
      </c>
      <c r="D181" s="8">
        <v>5320</v>
      </c>
      <c r="E181" s="8">
        <v>0</v>
      </c>
      <c r="F181" s="6">
        <f>+G181</f>
        <v>66025</v>
      </c>
      <c r="G181" s="7">
        <v>66025</v>
      </c>
      <c r="H181" s="7">
        <v>0</v>
      </c>
      <c r="I181" s="9">
        <f>+J181</f>
        <v>71050</v>
      </c>
      <c r="J181" s="7">
        <v>71050</v>
      </c>
      <c r="K181" s="8">
        <v>0</v>
      </c>
      <c r="L181" s="21" t="s">
        <v>65</v>
      </c>
    </row>
    <row r="182" spans="1:12" s="25" customFormat="1" ht="51.75" customHeight="1">
      <c r="A182" s="11" t="s">
        <v>134</v>
      </c>
      <c r="B182" s="5" t="s">
        <v>11</v>
      </c>
      <c r="C182" s="9">
        <v>0</v>
      </c>
      <c r="D182" s="8">
        <v>0</v>
      </c>
      <c r="E182" s="8">
        <v>0</v>
      </c>
      <c r="F182" s="6">
        <f>+G182</f>
        <v>1225</v>
      </c>
      <c r="G182" s="7">
        <v>1225</v>
      </c>
      <c r="H182" s="7">
        <v>0</v>
      </c>
      <c r="I182" s="9">
        <f>+J182</f>
        <v>2450</v>
      </c>
      <c r="J182" s="7">
        <v>2450</v>
      </c>
      <c r="K182" s="8">
        <v>0</v>
      </c>
      <c r="L182" s="21" t="s">
        <v>65</v>
      </c>
    </row>
    <row r="183" spans="1:12" s="15" customFormat="1" ht="12.75" customHeight="1">
      <c r="A183" s="48"/>
      <c r="B183" s="49"/>
      <c r="C183" s="50"/>
      <c r="D183" s="51"/>
      <c r="E183" s="51"/>
      <c r="F183" s="52"/>
      <c r="G183" s="53"/>
      <c r="H183" s="51"/>
      <c r="I183" s="50"/>
      <c r="J183" s="53"/>
      <c r="K183" s="51"/>
      <c r="L183" s="54"/>
    </row>
    <row r="184" spans="1:14" s="25" customFormat="1" ht="19.5" customHeight="1">
      <c r="A184" s="39"/>
      <c r="C184" s="40"/>
      <c r="D184" s="40"/>
      <c r="E184" s="40"/>
      <c r="F184" s="40"/>
      <c r="G184" s="40"/>
      <c r="H184" s="40"/>
      <c r="I184" s="102" t="s">
        <v>113</v>
      </c>
      <c r="J184" s="102"/>
      <c r="K184" s="102"/>
      <c r="L184" s="102"/>
      <c r="N184" s="41"/>
    </row>
    <row r="185" spans="1:14" s="25" customFormat="1" ht="14.25">
      <c r="A185" s="10">
        <v>1</v>
      </c>
      <c r="B185" s="42">
        <v>2</v>
      </c>
      <c r="C185" s="43">
        <v>3</v>
      </c>
      <c r="D185" s="43">
        <v>4</v>
      </c>
      <c r="E185" s="43">
        <v>5</v>
      </c>
      <c r="F185" s="43">
        <v>6</v>
      </c>
      <c r="G185" s="43">
        <v>7</v>
      </c>
      <c r="H185" s="43">
        <v>8</v>
      </c>
      <c r="I185" s="43">
        <v>9</v>
      </c>
      <c r="J185" s="43">
        <v>10</v>
      </c>
      <c r="K185" s="43">
        <v>11</v>
      </c>
      <c r="L185" s="43">
        <v>12</v>
      </c>
      <c r="N185" s="41"/>
    </row>
    <row r="186" spans="1:12" s="25" customFormat="1" ht="51.75" customHeight="1">
      <c r="A186" s="62" t="s">
        <v>186</v>
      </c>
      <c r="B186" s="5" t="s">
        <v>11</v>
      </c>
      <c r="C186" s="9">
        <v>0</v>
      </c>
      <c r="D186" s="8">
        <v>0</v>
      </c>
      <c r="E186" s="8">
        <v>0</v>
      </c>
      <c r="F186" s="6">
        <f>+G186</f>
        <v>0</v>
      </c>
      <c r="G186" s="7">
        <v>0</v>
      </c>
      <c r="H186" s="7">
        <v>0</v>
      </c>
      <c r="I186" s="9">
        <f>+J186</f>
        <v>25200</v>
      </c>
      <c r="J186" s="7">
        <v>25200</v>
      </c>
      <c r="K186" s="8">
        <v>0</v>
      </c>
      <c r="L186" s="21" t="s">
        <v>65</v>
      </c>
    </row>
    <row r="187" spans="1:12" s="25" customFormat="1" ht="55.5" customHeight="1">
      <c r="A187" s="11" t="s">
        <v>135</v>
      </c>
      <c r="B187" s="5" t="s">
        <v>11</v>
      </c>
      <c r="C187" s="9">
        <f t="shared" si="22"/>
        <v>61740</v>
      </c>
      <c r="D187" s="8">
        <f>D188+D189+D190</f>
        <v>61740</v>
      </c>
      <c r="E187" s="8">
        <f>E188+E189+E190</f>
        <v>0</v>
      </c>
      <c r="F187" s="6">
        <f t="shared" si="23"/>
        <v>11270</v>
      </c>
      <c r="G187" s="7">
        <f>G188+G189+G190+G191</f>
        <v>11270</v>
      </c>
      <c r="H187" s="7">
        <v>0</v>
      </c>
      <c r="I187" s="9">
        <f>J187+K187</f>
        <v>2170</v>
      </c>
      <c r="J187" s="7">
        <f>J188+J189+J190</f>
        <v>2170</v>
      </c>
      <c r="K187" s="8">
        <v>0</v>
      </c>
      <c r="L187" s="21" t="s">
        <v>65</v>
      </c>
    </row>
    <row r="188" spans="1:12" s="25" customFormat="1" ht="54.75" customHeight="1">
      <c r="A188" s="11" t="s">
        <v>136</v>
      </c>
      <c r="B188" s="5" t="s">
        <v>11</v>
      </c>
      <c r="C188" s="9">
        <f t="shared" si="22"/>
        <v>59940</v>
      </c>
      <c r="D188" s="8">
        <v>59940</v>
      </c>
      <c r="E188" s="8">
        <v>0</v>
      </c>
      <c r="F188" s="6">
        <f t="shared" si="23"/>
        <v>0</v>
      </c>
      <c r="G188" s="7">
        <v>0</v>
      </c>
      <c r="H188" s="7">
        <v>0</v>
      </c>
      <c r="I188" s="9">
        <f>J188+K188</f>
        <v>0</v>
      </c>
      <c r="J188" s="7">
        <v>0</v>
      </c>
      <c r="K188" s="8">
        <v>0</v>
      </c>
      <c r="L188" s="21" t="s">
        <v>65</v>
      </c>
    </row>
    <row r="189" spans="1:12" s="25" customFormat="1" ht="51" customHeight="1">
      <c r="A189" s="11" t="s">
        <v>137</v>
      </c>
      <c r="B189" s="5" t="s">
        <v>11</v>
      </c>
      <c r="C189" s="9">
        <f t="shared" si="22"/>
        <v>1800</v>
      </c>
      <c r="D189" s="8">
        <v>1800</v>
      </c>
      <c r="E189" s="8">
        <v>0</v>
      </c>
      <c r="F189" s="6">
        <f t="shared" si="23"/>
        <v>2100</v>
      </c>
      <c r="G189" s="7">
        <v>2100</v>
      </c>
      <c r="H189" s="7">
        <v>0</v>
      </c>
      <c r="I189" s="9">
        <f>J189+K189</f>
        <v>2100</v>
      </c>
      <c r="J189" s="7">
        <v>2100</v>
      </c>
      <c r="K189" s="8">
        <v>0</v>
      </c>
      <c r="L189" s="21" t="s">
        <v>65</v>
      </c>
    </row>
    <row r="190" spans="1:12" s="25" customFormat="1" ht="54.75" customHeight="1">
      <c r="A190" s="11" t="s">
        <v>138</v>
      </c>
      <c r="B190" s="5" t="s">
        <v>11</v>
      </c>
      <c r="C190" s="9">
        <f t="shared" si="22"/>
        <v>0</v>
      </c>
      <c r="D190" s="8">
        <v>0</v>
      </c>
      <c r="E190" s="8">
        <v>0</v>
      </c>
      <c r="F190" s="6">
        <f t="shared" si="23"/>
        <v>70</v>
      </c>
      <c r="G190" s="7">
        <v>70</v>
      </c>
      <c r="H190" s="7">
        <v>0</v>
      </c>
      <c r="I190" s="9">
        <f>J190+K190</f>
        <v>70</v>
      </c>
      <c r="J190" s="7">
        <v>70</v>
      </c>
      <c r="K190" s="8">
        <v>0</v>
      </c>
      <c r="L190" s="21" t="s">
        <v>65</v>
      </c>
    </row>
    <row r="191" spans="1:12" s="25" customFormat="1" ht="54" customHeight="1">
      <c r="A191" s="11" t="s">
        <v>139</v>
      </c>
      <c r="B191" s="5" t="s">
        <v>11</v>
      </c>
      <c r="C191" s="9">
        <v>0</v>
      </c>
      <c r="D191" s="8">
        <v>0</v>
      </c>
      <c r="E191" s="8">
        <v>0</v>
      </c>
      <c r="F191" s="6">
        <f>+G191</f>
        <v>9100</v>
      </c>
      <c r="G191" s="7">
        <f>7140+1960</f>
        <v>9100</v>
      </c>
      <c r="H191" s="7">
        <v>0</v>
      </c>
      <c r="I191" s="9">
        <v>0</v>
      </c>
      <c r="J191" s="7">
        <v>0</v>
      </c>
      <c r="K191" s="8">
        <v>0</v>
      </c>
      <c r="L191" s="21" t="s">
        <v>65</v>
      </c>
    </row>
    <row r="192" spans="1:12" s="15" customFormat="1" ht="25.5" customHeight="1">
      <c r="A192" s="83" t="s">
        <v>140</v>
      </c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</row>
    <row r="193" spans="1:12" s="25" customFormat="1" ht="41.25" customHeight="1">
      <c r="A193" s="59" t="s">
        <v>104</v>
      </c>
      <c r="B193" s="5"/>
      <c r="C193" s="9">
        <f>D193+E193</f>
        <v>87500</v>
      </c>
      <c r="D193" s="8">
        <f>+D194+D195+D196</f>
        <v>87500</v>
      </c>
      <c r="E193" s="8">
        <v>0</v>
      </c>
      <c r="F193" s="6">
        <f>+G193+H193</f>
        <v>79520</v>
      </c>
      <c r="G193" s="8">
        <f>+G194+G195+G196</f>
        <v>79520</v>
      </c>
      <c r="H193" s="7">
        <v>0</v>
      </c>
      <c r="I193" s="9">
        <f>+J193+K193</f>
        <v>88000</v>
      </c>
      <c r="J193" s="8">
        <f>+J194+J195+J196</f>
        <v>88000</v>
      </c>
      <c r="K193" s="8">
        <v>0</v>
      </c>
      <c r="L193" s="21"/>
    </row>
    <row r="194" spans="1:12" s="25" customFormat="1" ht="53.25" customHeight="1">
      <c r="A194" s="4" t="s">
        <v>106</v>
      </c>
      <c r="B194" s="5" t="s">
        <v>11</v>
      </c>
      <c r="C194" s="9">
        <f>+D194+E194</f>
        <v>87500</v>
      </c>
      <c r="D194" s="8">
        <v>87500</v>
      </c>
      <c r="E194" s="8">
        <v>0</v>
      </c>
      <c r="F194" s="6">
        <f>+G194+H194</f>
        <v>0</v>
      </c>
      <c r="G194" s="7">
        <v>0</v>
      </c>
      <c r="H194" s="7">
        <v>0</v>
      </c>
      <c r="I194" s="9">
        <f>+J194+K194</f>
        <v>0</v>
      </c>
      <c r="J194" s="7">
        <v>0</v>
      </c>
      <c r="K194" s="8">
        <v>0</v>
      </c>
      <c r="L194" s="21" t="s">
        <v>65</v>
      </c>
    </row>
    <row r="195" spans="1:12" s="25" customFormat="1" ht="53.25" customHeight="1">
      <c r="A195" s="4" t="s">
        <v>107</v>
      </c>
      <c r="B195" s="5" t="s">
        <v>11</v>
      </c>
      <c r="C195" s="9">
        <f>+D195+E195</f>
        <v>0</v>
      </c>
      <c r="D195" s="8">
        <v>0</v>
      </c>
      <c r="E195" s="8">
        <v>0</v>
      </c>
      <c r="F195" s="6">
        <f>+G195+H195</f>
        <v>74550</v>
      </c>
      <c r="G195" s="7">
        <v>74550</v>
      </c>
      <c r="H195" s="7">
        <v>0</v>
      </c>
      <c r="I195" s="9">
        <f>+J195+K195</f>
        <v>82500</v>
      </c>
      <c r="J195" s="7">
        <v>82500</v>
      </c>
      <c r="K195" s="8">
        <v>0</v>
      </c>
      <c r="L195" s="21" t="s">
        <v>65</v>
      </c>
    </row>
    <row r="196" spans="1:12" s="25" customFormat="1" ht="53.25" customHeight="1">
      <c r="A196" s="4" t="s">
        <v>108</v>
      </c>
      <c r="B196" s="5" t="s">
        <v>11</v>
      </c>
      <c r="C196" s="9">
        <f>+D196+E196</f>
        <v>0</v>
      </c>
      <c r="D196" s="8">
        <v>0</v>
      </c>
      <c r="E196" s="8">
        <v>0</v>
      </c>
      <c r="F196" s="6">
        <f>+G196+H196</f>
        <v>4970</v>
      </c>
      <c r="G196" s="7">
        <v>4970</v>
      </c>
      <c r="H196" s="7">
        <v>0</v>
      </c>
      <c r="I196" s="9">
        <f>+J196+K196</f>
        <v>5500</v>
      </c>
      <c r="J196" s="7">
        <v>5500</v>
      </c>
      <c r="K196" s="8">
        <v>0</v>
      </c>
      <c r="L196" s="21" t="s">
        <v>65</v>
      </c>
    </row>
    <row r="197" spans="1:12" s="15" customFormat="1" ht="20.25" customHeight="1">
      <c r="A197" s="97" t="s">
        <v>141</v>
      </c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</row>
    <row r="198" spans="1:12" s="25" customFormat="1" ht="95.25" customHeight="1">
      <c r="A198" s="47" t="s">
        <v>142</v>
      </c>
      <c r="B198" s="5" t="s">
        <v>11</v>
      </c>
      <c r="C198" s="9">
        <f>D198+E198</f>
        <v>480</v>
      </c>
      <c r="D198" s="8">
        <v>480</v>
      </c>
      <c r="E198" s="8">
        <v>0</v>
      </c>
      <c r="F198" s="6">
        <f>G198+H198</f>
        <v>70</v>
      </c>
      <c r="G198" s="7">
        <v>70</v>
      </c>
      <c r="H198" s="7">
        <v>0</v>
      </c>
      <c r="I198" s="9">
        <f>J198+K198</f>
        <v>0</v>
      </c>
      <c r="J198" s="7">
        <v>0</v>
      </c>
      <c r="K198" s="8">
        <v>0</v>
      </c>
      <c r="L198" s="21" t="s">
        <v>65</v>
      </c>
    </row>
    <row r="199" spans="1:12" s="15" customFormat="1" ht="12.75" customHeight="1">
      <c r="A199" s="48"/>
      <c r="B199" s="49"/>
      <c r="C199" s="50"/>
      <c r="D199" s="51"/>
      <c r="E199" s="51"/>
      <c r="F199" s="52"/>
      <c r="G199" s="53"/>
      <c r="H199" s="51"/>
      <c r="I199" s="50"/>
      <c r="J199" s="53"/>
      <c r="K199" s="51"/>
      <c r="L199" s="54"/>
    </row>
    <row r="200" spans="1:14" s="25" customFormat="1" ht="19.5" customHeight="1">
      <c r="A200" s="39"/>
      <c r="C200" s="40"/>
      <c r="D200" s="40"/>
      <c r="E200" s="40"/>
      <c r="F200" s="40"/>
      <c r="G200" s="40"/>
      <c r="H200" s="40"/>
      <c r="I200" s="102" t="s">
        <v>113</v>
      </c>
      <c r="J200" s="102"/>
      <c r="K200" s="102"/>
      <c r="L200" s="102"/>
      <c r="N200" s="41"/>
    </row>
    <row r="201" spans="1:14" s="25" customFormat="1" ht="14.25">
      <c r="A201" s="10">
        <v>1</v>
      </c>
      <c r="B201" s="42">
        <v>2</v>
      </c>
      <c r="C201" s="43">
        <v>3</v>
      </c>
      <c r="D201" s="43">
        <v>4</v>
      </c>
      <c r="E201" s="43">
        <v>5</v>
      </c>
      <c r="F201" s="43">
        <v>6</v>
      </c>
      <c r="G201" s="43">
        <v>7</v>
      </c>
      <c r="H201" s="43">
        <v>8</v>
      </c>
      <c r="I201" s="43">
        <v>9</v>
      </c>
      <c r="J201" s="43">
        <v>10</v>
      </c>
      <c r="K201" s="43">
        <v>11</v>
      </c>
      <c r="L201" s="43">
        <v>12</v>
      </c>
      <c r="N201" s="41"/>
    </row>
    <row r="202" spans="1:12" s="25" customFormat="1" ht="18" customHeight="1">
      <c r="A202" s="83" t="s">
        <v>143</v>
      </c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</row>
    <row r="203" spans="1:12" s="25" customFormat="1" ht="33.75" customHeight="1">
      <c r="A203" s="81" t="s">
        <v>85</v>
      </c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</row>
    <row r="204" spans="1:12" s="25" customFormat="1" ht="32.25" customHeight="1">
      <c r="A204" s="95" t="s">
        <v>86</v>
      </c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1:12" s="25" customFormat="1" ht="40.5" customHeight="1">
      <c r="A205" s="64" t="s">
        <v>87</v>
      </c>
      <c r="B205" s="5" t="s">
        <v>11</v>
      </c>
      <c r="C205" s="9">
        <f>D205+E205</f>
        <v>1007900</v>
      </c>
      <c r="D205" s="9">
        <v>260900</v>
      </c>
      <c r="E205" s="9">
        <v>747000</v>
      </c>
      <c r="F205" s="9">
        <f>G205+H205</f>
        <v>201300</v>
      </c>
      <c r="G205" s="9">
        <v>201300</v>
      </c>
      <c r="H205" s="9">
        <v>0</v>
      </c>
      <c r="I205" s="9">
        <f>J205+K205</f>
        <v>232000</v>
      </c>
      <c r="J205" s="6">
        <f>225100+6900</f>
        <v>232000</v>
      </c>
      <c r="K205" s="9">
        <v>0</v>
      </c>
      <c r="L205" s="10" t="s">
        <v>37</v>
      </c>
    </row>
    <row r="206" spans="1:12" s="25" customFormat="1" ht="18" customHeight="1">
      <c r="A206" s="83" t="s">
        <v>159</v>
      </c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</row>
    <row r="207" spans="1:12" s="25" customFormat="1" ht="20.25" customHeight="1">
      <c r="A207" s="94" t="s">
        <v>94</v>
      </c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1:12" s="25" customFormat="1" ht="23.25" customHeight="1">
      <c r="A208" s="98" t="s">
        <v>95</v>
      </c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</row>
    <row r="209" spans="1:12" s="25" customFormat="1" ht="21.75" customHeight="1">
      <c r="A209" s="60" t="s">
        <v>46</v>
      </c>
      <c r="B209" s="65"/>
      <c r="C209" s="9">
        <f>D209+E209</f>
        <v>57157</v>
      </c>
      <c r="D209" s="9">
        <f>D210+D211</f>
        <v>57157</v>
      </c>
      <c r="E209" s="9">
        <f>E210+E211</f>
        <v>0</v>
      </c>
      <c r="F209" s="9">
        <f>G209+H209</f>
        <v>70000</v>
      </c>
      <c r="G209" s="9">
        <f>G210+G211</f>
        <v>70000</v>
      </c>
      <c r="H209" s="66">
        <v>0</v>
      </c>
      <c r="I209" s="9">
        <f>J209+K209</f>
        <v>75000</v>
      </c>
      <c r="J209" s="9">
        <f>J210+J211</f>
        <v>75000</v>
      </c>
      <c r="K209" s="9">
        <f>K210+K211</f>
        <v>0</v>
      </c>
      <c r="L209" s="65"/>
    </row>
    <row r="210" spans="1:12" s="25" customFormat="1" ht="42" customHeight="1">
      <c r="A210" s="14" t="s">
        <v>96</v>
      </c>
      <c r="B210" s="5" t="s">
        <v>11</v>
      </c>
      <c r="C210" s="9">
        <f>D210+E210</f>
        <v>57157</v>
      </c>
      <c r="D210" s="8">
        <v>57157</v>
      </c>
      <c r="E210" s="8">
        <v>0</v>
      </c>
      <c r="F210" s="9">
        <f>G210+H210</f>
        <v>0</v>
      </c>
      <c r="G210" s="8">
        <v>0</v>
      </c>
      <c r="H210" s="8">
        <v>0</v>
      </c>
      <c r="I210" s="9">
        <f>J210+K210</f>
        <v>0</v>
      </c>
      <c r="J210" s="7">
        <v>0</v>
      </c>
      <c r="K210" s="8">
        <v>0</v>
      </c>
      <c r="L210" s="10" t="s">
        <v>37</v>
      </c>
    </row>
    <row r="211" spans="1:12" s="25" customFormat="1" ht="43.5" customHeight="1">
      <c r="A211" s="14" t="s">
        <v>97</v>
      </c>
      <c r="B211" s="5" t="s">
        <v>11</v>
      </c>
      <c r="C211" s="9">
        <f>D211+E211</f>
        <v>0</v>
      </c>
      <c r="D211" s="8">
        <v>0</v>
      </c>
      <c r="E211" s="8">
        <v>0</v>
      </c>
      <c r="F211" s="9">
        <f>G211+H211</f>
        <v>70000</v>
      </c>
      <c r="G211" s="8">
        <v>70000</v>
      </c>
      <c r="H211" s="8">
        <v>0</v>
      </c>
      <c r="I211" s="9">
        <f>J211+K211</f>
        <v>75000</v>
      </c>
      <c r="J211" s="7">
        <v>75000</v>
      </c>
      <c r="K211" s="8">
        <v>0</v>
      </c>
      <c r="L211" s="10" t="s">
        <v>37</v>
      </c>
    </row>
    <row r="212" spans="1:12" s="15" customFormat="1" ht="18" customHeight="1">
      <c r="A212" s="81" t="s">
        <v>38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</row>
    <row r="213" spans="1:12" s="15" customFormat="1" ht="33.75" customHeight="1">
      <c r="A213" s="80" t="s">
        <v>144</v>
      </c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</row>
    <row r="214" spans="1:12" s="25" customFormat="1" ht="23.25" customHeight="1">
      <c r="A214" s="60" t="s">
        <v>46</v>
      </c>
      <c r="B214" s="21"/>
      <c r="C214" s="6">
        <f>D214+E214</f>
        <v>16477514</v>
      </c>
      <c r="D214" s="6">
        <f>D216+D218+D220+D222+D231</f>
        <v>16477514</v>
      </c>
      <c r="E214" s="6">
        <v>0</v>
      </c>
      <c r="F214" s="9">
        <f>G214+H214</f>
        <v>43796810</v>
      </c>
      <c r="G214" s="6">
        <f>G216+G218+G220+G222+G231</f>
        <v>43592198</v>
      </c>
      <c r="H214" s="6">
        <f>H216+H218+H220+H222</f>
        <v>204612</v>
      </c>
      <c r="I214" s="9">
        <f>K214+J214</f>
        <v>56645476</v>
      </c>
      <c r="J214" s="6">
        <f>J216+J218+J220+J222+J231</f>
        <v>56399566</v>
      </c>
      <c r="K214" s="6">
        <f>K216+K218++K220+K222</f>
        <v>245910</v>
      </c>
      <c r="L214" s="24"/>
    </row>
    <row r="215" spans="1:12" s="15" customFormat="1" ht="21.75" customHeight="1">
      <c r="A215" s="82" t="s">
        <v>145</v>
      </c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</row>
    <row r="216" spans="1:12" s="15" customFormat="1" ht="45.75" customHeight="1">
      <c r="A216" s="14" t="s">
        <v>54</v>
      </c>
      <c r="B216" s="5" t="s">
        <v>11</v>
      </c>
      <c r="C216" s="9">
        <f>D216+E216</f>
        <v>3624570</v>
      </c>
      <c r="D216" s="67">
        <v>3624570</v>
      </c>
      <c r="E216" s="6">
        <v>0</v>
      </c>
      <c r="F216" s="6">
        <f>G216+H216</f>
        <v>11188632</v>
      </c>
      <c r="G216" s="7">
        <v>11188632</v>
      </c>
      <c r="H216" s="7">
        <v>0</v>
      </c>
      <c r="I216" s="9">
        <f>J216+K216</f>
        <v>16895596</v>
      </c>
      <c r="J216" s="7">
        <f>2000000+9466596+2000000+3429000</f>
        <v>16895596</v>
      </c>
      <c r="K216" s="8">
        <v>0</v>
      </c>
      <c r="L216" s="10" t="s">
        <v>37</v>
      </c>
    </row>
    <row r="217" spans="1:12" s="25" customFormat="1" ht="21.75" customHeight="1">
      <c r="A217" s="82" t="s">
        <v>122</v>
      </c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</row>
    <row r="218" spans="1:12" s="25" customFormat="1" ht="43.5" customHeight="1">
      <c r="A218" s="14" t="s">
        <v>44</v>
      </c>
      <c r="B218" s="5" t="s">
        <v>11</v>
      </c>
      <c r="C218" s="9">
        <f>D218+E218</f>
        <v>9714663</v>
      </c>
      <c r="D218" s="8">
        <f>9583246+131417</f>
        <v>9714663</v>
      </c>
      <c r="E218" s="9">
        <v>0</v>
      </c>
      <c r="F218" s="9">
        <f>G218+H218</f>
        <v>28979753</v>
      </c>
      <c r="G218" s="7">
        <v>28979753</v>
      </c>
      <c r="H218" s="7">
        <v>0</v>
      </c>
      <c r="I218" s="9">
        <f>J218+K218</f>
        <v>34501066</v>
      </c>
      <c r="J218" s="7">
        <f>8000000+27013066-2000000+1488000</f>
        <v>34501066</v>
      </c>
      <c r="K218" s="7">
        <v>0</v>
      </c>
      <c r="L218" s="10" t="s">
        <v>37</v>
      </c>
    </row>
    <row r="219" spans="1:12" s="25" customFormat="1" ht="21" customHeight="1">
      <c r="A219" s="82" t="s">
        <v>146</v>
      </c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</row>
    <row r="220" spans="1:12" s="25" customFormat="1" ht="42" customHeight="1">
      <c r="A220" s="11" t="s">
        <v>166</v>
      </c>
      <c r="B220" s="5" t="s">
        <v>11</v>
      </c>
      <c r="C220" s="9">
        <f>D220+E220</f>
        <v>1439932</v>
      </c>
      <c r="D220" s="9">
        <v>1439932</v>
      </c>
      <c r="E220" s="9">
        <v>0</v>
      </c>
      <c r="F220" s="6">
        <f>G220+H220</f>
        <v>1531251</v>
      </c>
      <c r="G220" s="7">
        <v>1531251</v>
      </c>
      <c r="H220" s="7">
        <v>0</v>
      </c>
      <c r="I220" s="9">
        <f>J220+K220</f>
        <v>1496402</v>
      </c>
      <c r="J220" s="6">
        <f>1541402-10000-3500-31500</f>
        <v>1496402</v>
      </c>
      <c r="K220" s="9">
        <v>0</v>
      </c>
      <c r="L220" s="10" t="s">
        <v>37</v>
      </c>
    </row>
    <row r="221" spans="1:12" s="15" customFormat="1" ht="26.25" customHeight="1">
      <c r="A221" s="82" t="s">
        <v>148</v>
      </c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</row>
    <row r="222" spans="1:12" s="15" customFormat="1" ht="36.75" customHeight="1">
      <c r="A222" s="11" t="s">
        <v>167</v>
      </c>
      <c r="B222" s="12"/>
      <c r="C222" s="9">
        <f>D222+E222</f>
        <v>348349</v>
      </c>
      <c r="D222" s="9">
        <f>+D223+D224+D228+D229</f>
        <v>348349</v>
      </c>
      <c r="E222" s="9">
        <f>E223+E224+E228</f>
        <v>0</v>
      </c>
      <c r="F222" s="6">
        <f>G222+H222</f>
        <v>597174</v>
      </c>
      <c r="G222" s="9">
        <f>+G223+G224+G15+G229</f>
        <v>392562</v>
      </c>
      <c r="H222" s="9">
        <f>+H223+H224+H228</f>
        <v>204612</v>
      </c>
      <c r="I222" s="9">
        <f>J222+K222</f>
        <v>752412</v>
      </c>
      <c r="J222" s="6">
        <f>J223+J224+J228+J229</f>
        <v>506502</v>
      </c>
      <c r="K222" s="6">
        <f>K223+K224+K228</f>
        <v>245910</v>
      </c>
      <c r="L222" s="13"/>
    </row>
    <row r="223" spans="1:12" s="25" customFormat="1" ht="41.25" customHeight="1">
      <c r="A223" s="12" t="s">
        <v>45</v>
      </c>
      <c r="B223" s="5" t="s">
        <v>11</v>
      </c>
      <c r="C223" s="9">
        <f>D223+E223</f>
        <v>28775</v>
      </c>
      <c r="D223" s="8">
        <v>28775</v>
      </c>
      <c r="E223" s="8">
        <v>0</v>
      </c>
      <c r="F223" s="6">
        <f>+G223+H223</f>
        <v>27890</v>
      </c>
      <c r="G223" s="7">
        <v>27890</v>
      </c>
      <c r="H223" s="7">
        <f>ROUND(E223*1.104,0)</f>
        <v>0</v>
      </c>
      <c r="I223" s="9">
        <f>J223+K223</f>
        <v>34700</v>
      </c>
      <c r="J223" s="7">
        <f>31200+3500</f>
        <v>34700</v>
      </c>
      <c r="K223" s="8">
        <v>0</v>
      </c>
      <c r="L223" s="10" t="s">
        <v>37</v>
      </c>
    </row>
    <row r="224" spans="1:12" s="25" customFormat="1" ht="39.75" customHeight="1">
      <c r="A224" s="12" t="s">
        <v>196</v>
      </c>
      <c r="B224" s="5" t="s">
        <v>11</v>
      </c>
      <c r="C224" s="9">
        <f>D224+E224</f>
        <v>225571</v>
      </c>
      <c r="D224" s="8">
        <v>225571</v>
      </c>
      <c r="E224" s="8">
        <v>0</v>
      </c>
      <c r="F224" s="6">
        <f>+G224+H224</f>
        <v>243800</v>
      </c>
      <c r="G224" s="7">
        <v>243800</v>
      </c>
      <c r="H224" s="7">
        <v>0</v>
      </c>
      <c r="I224" s="9">
        <f>J224+K224</f>
        <v>360866</v>
      </c>
      <c r="J224" s="7">
        <f>100000+260866</f>
        <v>360866</v>
      </c>
      <c r="K224" s="8">
        <v>0</v>
      </c>
      <c r="L224" s="10" t="s">
        <v>37</v>
      </c>
    </row>
    <row r="225" spans="1:12" s="15" customFormat="1" ht="12" customHeight="1">
      <c r="A225" s="48"/>
      <c r="B225" s="49"/>
      <c r="C225" s="50"/>
      <c r="D225" s="51"/>
      <c r="E225" s="51"/>
      <c r="F225" s="52"/>
      <c r="G225" s="53"/>
      <c r="H225" s="51"/>
      <c r="I225" s="50"/>
      <c r="J225" s="53"/>
      <c r="K225" s="51"/>
      <c r="L225" s="54"/>
    </row>
    <row r="226" spans="1:14" s="25" customFormat="1" ht="17.25" customHeight="1">
      <c r="A226" s="39"/>
      <c r="C226" s="40"/>
      <c r="D226" s="40"/>
      <c r="E226" s="40"/>
      <c r="F226" s="40"/>
      <c r="G226" s="40"/>
      <c r="H226" s="40"/>
      <c r="I226" s="102" t="s">
        <v>113</v>
      </c>
      <c r="J226" s="102"/>
      <c r="K226" s="102"/>
      <c r="L226" s="102"/>
      <c r="N226" s="41"/>
    </row>
    <row r="227" spans="1:14" s="25" customFormat="1" ht="14.25">
      <c r="A227" s="10">
        <v>1</v>
      </c>
      <c r="B227" s="42">
        <v>2</v>
      </c>
      <c r="C227" s="43">
        <v>3</v>
      </c>
      <c r="D227" s="43">
        <v>4</v>
      </c>
      <c r="E227" s="43">
        <v>5</v>
      </c>
      <c r="F227" s="43">
        <v>6</v>
      </c>
      <c r="G227" s="43">
        <v>7</v>
      </c>
      <c r="H227" s="43">
        <v>8</v>
      </c>
      <c r="I227" s="43">
        <v>9</v>
      </c>
      <c r="J227" s="43">
        <v>10</v>
      </c>
      <c r="K227" s="43">
        <v>11</v>
      </c>
      <c r="L227" s="43">
        <v>12</v>
      </c>
      <c r="N227" s="41"/>
    </row>
    <row r="228" spans="1:12" s="25" customFormat="1" ht="36.75" customHeight="1">
      <c r="A228" s="4" t="s">
        <v>154</v>
      </c>
      <c r="B228" s="5" t="s">
        <v>11</v>
      </c>
      <c r="C228" s="9">
        <f>D228+E228</f>
        <v>0</v>
      </c>
      <c r="D228" s="8">
        <v>0</v>
      </c>
      <c r="E228" s="8">
        <v>0</v>
      </c>
      <c r="F228" s="6">
        <f>+G228+H228</f>
        <v>204612</v>
      </c>
      <c r="G228" s="7">
        <v>0</v>
      </c>
      <c r="H228" s="7">
        <v>204612</v>
      </c>
      <c r="I228" s="9">
        <f>J228+K228</f>
        <v>245910</v>
      </c>
      <c r="J228" s="7">
        <v>0</v>
      </c>
      <c r="K228" s="7">
        <f>31910+214000</f>
        <v>245910</v>
      </c>
      <c r="L228" s="10" t="s">
        <v>37</v>
      </c>
    </row>
    <row r="229" spans="1:12" s="15" customFormat="1" ht="43.5" customHeight="1">
      <c r="A229" s="4" t="s">
        <v>147</v>
      </c>
      <c r="B229" s="5" t="s">
        <v>11</v>
      </c>
      <c r="C229" s="9">
        <f>D229+E229</f>
        <v>94003</v>
      </c>
      <c r="D229" s="9">
        <v>94003</v>
      </c>
      <c r="E229" s="9">
        <v>0</v>
      </c>
      <c r="F229" s="6">
        <f>G229+H229</f>
        <v>120872</v>
      </c>
      <c r="G229" s="7">
        <v>120872</v>
      </c>
      <c r="H229" s="7">
        <v>0</v>
      </c>
      <c r="I229" s="9">
        <f>+J229</f>
        <v>110936</v>
      </c>
      <c r="J229" s="7">
        <f>79436+31500</f>
        <v>110936</v>
      </c>
      <c r="K229" s="7">
        <v>0</v>
      </c>
      <c r="L229" s="10" t="s">
        <v>37</v>
      </c>
    </row>
    <row r="230" spans="1:13" s="25" customFormat="1" ht="26.25" customHeight="1">
      <c r="A230" s="96" t="s">
        <v>149</v>
      </c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68"/>
    </row>
    <row r="231" spans="1:12" s="25" customFormat="1" ht="41.25" customHeight="1">
      <c r="A231" s="14" t="s">
        <v>165</v>
      </c>
      <c r="B231" s="5" t="s">
        <v>11</v>
      </c>
      <c r="C231" s="9">
        <f>D231+E231</f>
        <v>1350000</v>
      </c>
      <c r="D231" s="8">
        <v>1350000</v>
      </c>
      <c r="E231" s="8">
        <v>0</v>
      </c>
      <c r="F231" s="6">
        <f>G231+H231</f>
        <v>1500000</v>
      </c>
      <c r="G231" s="7">
        <v>1500000</v>
      </c>
      <c r="H231" s="7">
        <v>0</v>
      </c>
      <c r="I231" s="9">
        <f>J231+K231</f>
        <v>3000000</v>
      </c>
      <c r="J231" s="7">
        <f>1000000+1000000+1000000</f>
        <v>3000000</v>
      </c>
      <c r="K231" s="7">
        <v>0</v>
      </c>
      <c r="L231" s="10" t="s">
        <v>37</v>
      </c>
    </row>
    <row r="232" spans="1:12" s="15" customFormat="1" ht="18" customHeight="1">
      <c r="A232" s="82" t="s">
        <v>150</v>
      </c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</row>
    <row r="233" spans="1:12" s="15" customFormat="1" ht="37.5" customHeight="1">
      <c r="A233" s="94" t="s">
        <v>47</v>
      </c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1:12" s="15" customFormat="1" ht="32.25" customHeight="1">
      <c r="A234" s="98" t="s">
        <v>48</v>
      </c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</row>
    <row r="235" spans="1:12" s="25" customFormat="1" ht="18.75" customHeight="1">
      <c r="A235" s="23" t="s">
        <v>2</v>
      </c>
      <c r="B235" s="65"/>
      <c r="C235" s="69">
        <f>D235+E235</f>
        <v>1445456</v>
      </c>
      <c r="D235" s="70">
        <f>D236+D237</f>
        <v>1445456</v>
      </c>
      <c r="E235" s="70">
        <f>E236+E237</f>
        <v>0</v>
      </c>
      <c r="F235" s="69">
        <f>G235+H235</f>
        <v>103992</v>
      </c>
      <c r="G235" s="70">
        <f>G236+G237</f>
        <v>103992</v>
      </c>
      <c r="H235" s="70">
        <v>0</v>
      </c>
      <c r="I235" s="69">
        <f>+J235</f>
        <v>67968</v>
      </c>
      <c r="J235" s="70">
        <f>+J236+J237</f>
        <v>67968</v>
      </c>
      <c r="K235" s="70">
        <f>K236+K237</f>
        <v>0</v>
      </c>
      <c r="L235" s="70">
        <v>0</v>
      </c>
    </row>
    <row r="236" spans="1:12" s="25" customFormat="1" ht="64.5" customHeight="1">
      <c r="A236" s="14" t="s">
        <v>49</v>
      </c>
      <c r="B236" s="5" t="s">
        <v>11</v>
      </c>
      <c r="C236" s="9">
        <f>D236+E236</f>
        <v>220430</v>
      </c>
      <c r="D236" s="8">
        <v>220430</v>
      </c>
      <c r="E236" s="8">
        <v>0</v>
      </c>
      <c r="F236" s="9">
        <f>G236+H236</f>
        <v>103992</v>
      </c>
      <c r="G236" s="8">
        <v>103992</v>
      </c>
      <c r="H236" s="8">
        <v>0</v>
      </c>
      <c r="I236" s="9">
        <f>J236+K236</f>
        <v>67968</v>
      </c>
      <c r="J236" s="8">
        <f>137160-72540+3348</f>
        <v>67968</v>
      </c>
      <c r="K236" s="8">
        <v>0</v>
      </c>
      <c r="L236" s="10" t="s">
        <v>37</v>
      </c>
    </row>
    <row r="237" spans="1:12" s="25" customFormat="1" ht="93.75" customHeight="1">
      <c r="A237" s="11" t="s">
        <v>197</v>
      </c>
      <c r="B237" s="5" t="s">
        <v>11</v>
      </c>
      <c r="C237" s="9">
        <f>D237+E237</f>
        <v>1225026</v>
      </c>
      <c r="D237" s="8">
        <v>1225026</v>
      </c>
      <c r="E237" s="8">
        <v>0</v>
      </c>
      <c r="F237" s="6">
        <f>+G237+H237</f>
        <v>0</v>
      </c>
      <c r="G237" s="7">
        <v>0</v>
      </c>
      <c r="H237" s="8">
        <v>0</v>
      </c>
      <c r="I237" s="9">
        <f>J237+K237</f>
        <v>0</v>
      </c>
      <c r="J237" s="7">
        <f>ROUND(G237*1.075,0)</f>
        <v>0</v>
      </c>
      <c r="K237" s="8">
        <v>0</v>
      </c>
      <c r="L237" s="10" t="s">
        <v>37</v>
      </c>
    </row>
    <row r="238" spans="1:12" s="15" customFormat="1" ht="65.25" customHeight="1">
      <c r="A238" s="71"/>
      <c r="B238" s="49"/>
      <c r="C238" s="50"/>
      <c r="D238" s="51"/>
      <c r="E238" s="51"/>
      <c r="F238" s="52"/>
      <c r="G238" s="53"/>
      <c r="H238" s="51"/>
      <c r="I238" s="50"/>
      <c r="J238" s="53"/>
      <c r="K238" s="51"/>
      <c r="L238" s="54"/>
    </row>
    <row r="239" spans="1:10" s="3" customFormat="1" ht="15.75" customHeight="1">
      <c r="A239" s="72" t="s">
        <v>187</v>
      </c>
      <c r="B239" s="72"/>
      <c r="C239" s="73"/>
      <c r="D239" s="1"/>
      <c r="E239" s="73"/>
      <c r="F239" s="73"/>
      <c r="G239" s="73"/>
      <c r="H239" s="73"/>
      <c r="I239" s="73"/>
      <c r="J239" s="73" t="s">
        <v>188</v>
      </c>
    </row>
    <row r="240" spans="1:9" s="3" customFormat="1" ht="17.25" customHeight="1">
      <c r="A240" s="72"/>
      <c r="B240" s="72"/>
      <c r="C240" s="73"/>
      <c r="D240" s="73"/>
      <c r="E240" s="73"/>
      <c r="F240" s="73"/>
      <c r="G240" s="73"/>
      <c r="H240" s="73"/>
      <c r="I240" s="74"/>
    </row>
    <row r="241" spans="1:9" s="3" customFormat="1" ht="19.5" customHeight="1">
      <c r="A241" s="75" t="s">
        <v>209</v>
      </c>
      <c r="B241" s="72"/>
      <c r="C241" s="73"/>
      <c r="D241" s="73"/>
      <c r="E241" s="73"/>
      <c r="F241" s="73"/>
      <c r="G241" s="73"/>
      <c r="H241" s="73"/>
      <c r="I241" s="74"/>
    </row>
    <row r="242" spans="1:8" s="3" customFormat="1" ht="24" customHeight="1">
      <c r="A242" s="75" t="s">
        <v>110</v>
      </c>
      <c r="B242" s="72"/>
      <c r="C242" s="73"/>
      <c r="D242" s="73"/>
      <c r="E242" s="73"/>
      <c r="F242" s="73"/>
      <c r="G242" s="73"/>
      <c r="H242" s="73"/>
    </row>
    <row r="243" ht="12.75">
      <c r="C243" s="76"/>
    </row>
  </sheetData>
  <sheetProtection/>
  <mergeCells count="71">
    <mergeCell ref="I184:L184"/>
    <mergeCell ref="I200:L200"/>
    <mergeCell ref="I58:L58"/>
    <mergeCell ref="I74:L74"/>
    <mergeCell ref="I91:L91"/>
    <mergeCell ref="I109:L109"/>
    <mergeCell ref="I128:L128"/>
    <mergeCell ref="I143:L143"/>
    <mergeCell ref="A176:L176"/>
    <mergeCell ref="I2:L2"/>
    <mergeCell ref="A119:L119"/>
    <mergeCell ref="A232:L232"/>
    <mergeCell ref="I226:L226"/>
    <mergeCell ref="A202:L202"/>
    <mergeCell ref="A151:L151"/>
    <mergeCell ref="A146:L146"/>
    <mergeCell ref="A178:L178"/>
    <mergeCell ref="A156:L156"/>
    <mergeCell ref="A207:L207"/>
    <mergeCell ref="A234:L234"/>
    <mergeCell ref="A212:L212"/>
    <mergeCell ref="A213:L213"/>
    <mergeCell ref="A219:L219"/>
    <mergeCell ref="I3:L3"/>
    <mergeCell ref="A221:L221"/>
    <mergeCell ref="A204:L204"/>
    <mergeCell ref="A206:L206"/>
    <mergeCell ref="A203:L203"/>
    <mergeCell ref="A21:L21"/>
    <mergeCell ref="A230:L230"/>
    <mergeCell ref="A233:L233"/>
    <mergeCell ref="A217:L217"/>
    <mergeCell ref="A197:L197"/>
    <mergeCell ref="A192:L192"/>
    <mergeCell ref="A215:L215"/>
    <mergeCell ref="A208:L208"/>
    <mergeCell ref="I40:L40"/>
    <mergeCell ref="I25:L25"/>
    <mergeCell ref="A100:L100"/>
    <mergeCell ref="A175:L175"/>
    <mergeCell ref="A145:L145"/>
    <mergeCell ref="A150:L150"/>
    <mergeCell ref="A101:L101"/>
    <mergeCell ref="A102:L102"/>
    <mergeCell ref="A104:L104"/>
    <mergeCell ref="I166:L166"/>
    <mergeCell ref="A7:L7"/>
    <mergeCell ref="A9:A11"/>
    <mergeCell ref="B9:B11"/>
    <mergeCell ref="C9:E9"/>
    <mergeCell ref="F9:H9"/>
    <mergeCell ref="J10:K10"/>
    <mergeCell ref="F10:F11"/>
    <mergeCell ref="I9:K9"/>
    <mergeCell ref="L9:L11"/>
    <mergeCell ref="G10:H10"/>
    <mergeCell ref="I10:I11"/>
    <mergeCell ref="A14:L14"/>
    <mergeCell ref="A19:L19"/>
    <mergeCell ref="D10:E10"/>
    <mergeCell ref="A20:L20"/>
    <mergeCell ref="C10:C11"/>
    <mergeCell ref="A15:L15"/>
    <mergeCell ref="A120:L120"/>
    <mergeCell ref="A105:L105"/>
    <mergeCell ref="A147:L147"/>
    <mergeCell ref="A118:L118"/>
    <mergeCell ref="A154:L154"/>
    <mergeCell ref="A155:L155"/>
    <mergeCell ref="A106:L106"/>
    <mergeCell ref="A152:L152"/>
  </mergeCells>
  <printOptions/>
  <pageMargins left="0.7874015748031497" right="0.23" top="1.03" bottom="0.53" header="0.5118110236220472" footer="0.5118110236220472"/>
  <pageSetup horizontalDpi="600" verticalDpi="600" orientation="landscape" paperSize="9" scale="65" r:id="rId1"/>
  <rowBreaks count="12" manualBreakCount="12">
    <brk id="24" max="11" man="1"/>
    <brk id="38" max="11" man="1"/>
    <brk id="57" max="11" man="1"/>
    <brk id="72" max="11" man="1"/>
    <brk id="90" max="11" man="1"/>
    <brk id="108" max="11" man="1"/>
    <brk id="127" max="11" man="1"/>
    <brk id="142" max="11" man="1"/>
    <brk id="164" max="11" man="1"/>
    <brk id="183" max="11" man="1"/>
    <brk id="199" max="11" man="1"/>
    <brk id="2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2018-08-30T10:38:12Z</cp:lastPrinted>
  <dcterms:created xsi:type="dcterms:W3CDTF">1996-10-08T23:32:33Z</dcterms:created>
  <dcterms:modified xsi:type="dcterms:W3CDTF">2018-10-16T13:58:29Z</dcterms:modified>
  <cp:category/>
  <cp:version/>
  <cp:contentType/>
  <cp:contentStatus/>
</cp:coreProperties>
</file>