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85" yWindow="330" windowWidth="11925" windowHeight="5805" tabRatio="913" firstSheet="1" activeTab="1"/>
  </bookViews>
  <sheets>
    <sheet name="дод. зміни 2020 " sheetId="1" state="hidden" r:id="rId1"/>
    <sheet name="дод. зміни 2019" sheetId="2" r:id="rId2"/>
    <sheet name="дод.9 зміни  2018" sheetId="3" state="hidden" r:id="rId3"/>
    <sheet name="дод 2" sheetId="4" r:id="rId4"/>
    <sheet name="дод 3  Трансп.інфрастр.  " sheetId="5" r:id="rId5"/>
    <sheet name="дод 4 Свет " sheetId="6" r:id="rId6"/>
    <sheet name="дод 5 озеленення " sheetId="7" r:id="rId7"/>
    <sheet name="дод 6  Кладовща" sheetId="8" r:id="rId8"/>
    <sheet name="дод 7  сан очистка" sheetId="9" r:id="rId9"/>
    <sheet name="дод 8  Пот Благуострій" sheetId="10" r:id="rId10"/>
    <sheet name="дод 9   Тварини" sheetId="11" r:id="rId11"/>
    <sheet name="дод 10  Кап Благоустрою" sheetId="12" r:id="rId12"/>
    <sheet name="дод 11   кап ремонт житло " sheetId="13" r:id="rId13"/>
    <sheet name="дод 12 Святкові  " sheetId="14" r:id="rId14"/>
    <sheet name="дод 13   Вода " sheetId="15" r:id="rId15"/>
    <sheet name="дод 14  финпидтримка " sheetId="16" r:id="rId16"/>
    <sheet name="дод 15  Енргозбер. заходи" sheetId="17" r:id="rId17"/>
    <sheet name="дод16 статут зміцн.мат.тех.бази" sheetId="18" r:id="rId18"/>
    <sheet name="дод17  Субв. Сироватк (Красноп)" sheetId="19" r:id="rId19"/>
    <sheet name="дод 18  паспорт дом " sheetId="20" r:id="rId20"/>
    <sheet name="дод 19 Буд,реставр. та реконстр" sheetId="21" r:id="rId21"/>
    <sheet name="дод 20 Поверн  бюдж позичок" sheetId="22" r:id="rId22"/>
    <sheet name="дод 21 Надан бюдж позич " sheetId="23" r:id="rId23"/>
    <sheet name="дод.7 земля" sheetId="24" state="hidden" r:id="rId24"/>
    <sheet name="Лист3" sheetId="25" state="hidden" r:id="rId25"/>
    <sheet name="дод22  вузли комерц.обл.(ліч)" sheetId="26" r:id="rId26"/>
  </sheets>
  <definedNames>
    <definedName name="_xlnm.Print_Area" localSheetId="13">'дод 12 Святкові  '!$A$1:$K$42</definedName>
    <definedName name="_xlnm.Print_Area" localSheetId="15">'дод 14  финпидтримка '!$A$1:$K$34</definedName>
    <definedName name="_xlnm.Print_Area" localSheetId="4">'дод 3  Трансп.інфрастр.  '!$A$1:$H$41</definedName>
    <definedName name="_xlnm.Print_Area" localSheetId="6">'дод 5 озеленення '!$A$1:$L$68</definedName>
    <definedName name="_xlnm.Print_Area" localSheetId="17">'дод16 статут зміцн.мат.тех.бази'!$A$1:$J$150</definedName>
  </definedNames>
  <calcPr fullCalcOnLoad="1"/>
</workbook>
</file>

<file path=xl/sharedStrings.xml><?xml version="1.0" encoding="utf-8"?>
<sst xmlns="http://schemas.openxmlformats.org/spreadsheetml/2006/main" count="1795" uniqueCount="663">
  <si>
    <t xml:space="preserve">Поповнення статутного капіталу  КП "Зелене будівництво" СМР, а саме                                    </t>
  </si>
  <si>
    <t>Поповнення статутного капіталу КП ЕЗО «Міськсвітло» СМР, а саме:</t>
  </si>
  <si>
    <t>Поповнення статутного капіталу  КП "Сумикомунінвест" СМР, а саме:</t>
  </si>
  <si>
    <t>Поповнення статутного капіталу  КП "Спецкомбінат" СМР , а саме:</t>
  </si>
  <si>
    <t>Поповнення статутного капіталу  КП "Сумитеплоенергоцентраль" СМР , а саме:</t>
  </si>
  <si>
    <t>Всього:</t>
  </si>
  <si>
    <t>№ п/п</t>
  </si>
  <si>
    <t>О.М.Лисенко</t>
  </si>
  <si>
    <t>комунального господарства міста Суми</t>
  </si>
  <si>
    <t>У тому числі за роками</t>
  </si>
  <si>
    <t>___________________</t>
  </si>
  <si>
    <t>до рішення Сумської міської ради</t>
  </si>
  <si>
    <t>Найменування заходу</t>
  </si>
  <si>
    <t>Джерела фінансування</t>
  </si>
  <si>
    <t>Загальні витрати тис. грн.</t>
  </si>
  <si>
    <t>Відповідальний за виконання заходу</t>
  </si>
  <si>
    <t>Міський бюджет</t>
  </si>
  <si>
    <t>Виконавець: Яременко Г.І.</t>
  </si>
  <si>
    <t>Сумський міський голова</t>
  </si>
  <si>
    <t xml:space="preserve">Додаток </t>
  </si>
  <si>
    <t xml:space="preserve">"Про внесення змін та доповнень до </t>
  </si>
  <si>
    <t xml:space="preserve">Комплексної цільової програми  реформування і </t>
  </si>
  <si>
    <t xml:space="preserve">цільової  програми  реформування і розвитку </t>
  </si>
  <si>
    <t>розвитку житлово-комунального господарства</t>
  </si>
  <si>
    <t>житлово-комунального господарства міста Суми</t>
  </si>
  <si>
    <t>м.Суми на 2011 - 2014 роки (зі змінами)"</t>
  </si>
  <si>
    <t>від ____________2012 року №                   -МР</t>
  </si>
  <si>
    <t>тис. грн.</t>
  </si>
  <si>
    <t>2008 рік</t>
  </si>
  <si>
    <t>2009 рік</t>
  </si>
  <si>
    <t>2010 рік</t>
  </si>
  <si>
    <t>О.М. Лисенко</t>
  </si>
  <si>
    <t>Департамент інфраструктури міста Сумської міської ради та інші суб'єкти господарювання</t>
  </si>
  <si>
    <t>№ з/п</t>
  </si>
  <si>
    <t xml:space="preserve"> програми  реформування і розвитку житлово-</t>
  </si>
  <si>
    <t>Будівництво та реконструкція вулично-дорожньої мережі</t>
  </si>
  <si>
    <t>Управління житлової політики, комунального господарства та благоустрою, КП Шляхрембуд</t>
  </si>
  <si>
    <t>Капітальний ремонт  мостів та шляхопроводів</t>
  </si>
  <si>
    <t xml:space="preserve"> - утримання зливної каналізації</t>
  </si>
  <si>
    <t>Управління житлової політики, комунального господарства та благоустрою СМР, КП "Шляхрембуд" СМР та ішні суб'єкти господарювання</t>
  </si>
  <si>
    <t xml:space="preserve"> - утримання мостів і шляхопроводів</t>
  </si>
  <si>
    <t xml:space="preserve"> - утримання міських доріг, у т.ч..:</t>
  </si>
  <si>
    <t>Фінансовий лізинг оренди обладнання</t>
  </si>
  <si>
    <t>Придбання нового асфальтобетонного заводу</t>
  </si>
  <si>
    <t>Департамент інфраструктури міста Сумської міської ради</t>
  </si>
  <si>
    <t>__________________</t>
  </si>
  <si>
    <t xml:space="preserve">житлово-комунального господарства м.Суми </t>
  </si>
  <si>
    <t>Поповнення статутного капіталу КП "Міськводоканал" СМР, а саме:</t>
  </si>
  <si>
    <t xml:space="preserve">Департамент інфраструктури міста Сумської міської ради, КП "Міськводоканал" СМР </t>
  </si>
  <si>
    <t xml:space="preserve">Департамент інфраструктури міста Сумської міської ради, КП "Зелене будівництво" СМР </t>
  </si>
  <si>
    <t xml:space="preserve">Департамент інфраструктури міста Сумської міської ради, КП ЕЗО "Міськсвітло" СМР </t>
  </si>
  <si>
    <t xml:space="preserve">Департамент інфраструктури міста Сумської міської ради, КП "Сумикомунінвест" СМР </t>
  </si>
  <si>
    <t xml:space="preserve">Департамент інфраструктури міста Сумської міської ради, КП "Спеціалізований комбінат" СМР </t>
  </si>
  <si>
    <t xml:space="preserve">Департамент інфраструктури міста Сумської міської ради, КП "Сумиенергоцентраль" СМР </t>
  </si>
  <si>
    <t xml:space="preserve">Поповнення статутного фонду  КП «Сумижилкомсервіс» СМР </t>
  </si>
  <si>
    <t xml:space="preserve">Департамент інфраструктури міста Сумської міської ради, КП "Сумижилкомсервіс" СМР </t>
  </si>
  <si>
    <t>Забезпечення належного облуговування каналізаційно-насосної станції за адресою: м. Суми, вул. Привокзальна,4/13</t>
  </si>
  <si>
    <t>Департамент інфраструктури міста Сумської міської ради, КП "Міськводоканал" СМР та інші суб'єкти господарювання</t>
  </si>
  <si>
    <t>Придбання водопровідних та каналізаційних люків</t>
  </si>
  <si>
    <t>Забезпечення належного функціонування дитячого парку "Казка"</t>
  </si>
  <si>
    <t xml:space="preserve">Забезпечення належного функціонування КП "Сумижитло" СМР </t>
  </si>
  <si>
    <t>Розробка нормативів питного водопостачання для населення м. Суми</t>
  </si>
  <si>
    <t>Заміна пожежних гідрантів та оновлення покажчиків пожежних гідрантів по місту</t>
  </si>
  <si>
    <t>Проведення капітального та поточного ремонту колекторів, каналізаційних та водопровідних мереж</t>
  </si>
  <si>
    <t>Департамент інфраструктури міста Сумської міської ради, КП ЕЗО "Міськсвітло" СМР та інші суб'єкти господарювання</t>
  </si>
  <si>
    <t>в тому числі капітальний ремонт покрівлі житлових будинків</t>
  </si>
  <si>
    <t>Департамент інфраструктури міста Сумської міської ради, КП "Спеціалізований комбінат" СМР та інші суб'єкти господарювання</t>
  </si>
  <si>
    <t>Святкове оформлення міста</t>
  </si>
  <si>
    <t>Департамент інфраструктури міста Сумської міської ради, КП "Спеціалізований комбінат" та інші суб'єкти господарювання</t>
  </si>
  <si>
    <t>Демонтаж рекламних засобів, розміщених самовільно та з порушенням порядку розміщення зовнішньої реклами</t>
  </si>
  <si>
    <t>Управління архітектури та містобудування СМР, КП "АБК", КП ЕЗО "Міськсвітло" СМР, КП "Сумижилкомсервіс" СМР та інші суб'єкти господарювання</t>
  </si>
  <si>
    <t>Оплата  податку на земельну ділянку за адресою: м. Суми, вул. Привокзальна,4/13(каналізаційно-насосна станція)</t>
  </si>
  <si>
    <t xml:space="preserve">Придбання та монтаж покажчиків вулиць, нумерації будинків міста, інформаційних дошок про втрачені об’єкти архітектури у місті </t>
  </si>
  <si>
    <t>Державний бюджет</t>
  </si>
  <si>
    <t xml:space="preserve">                                                         </t>
  </si>
  <si>
    <t>Електропостачання насосної станції по вул.Тихорецька</t>
  </si>
  <si>
    <t>Спостереження та технічне обслуговування системи санкціонованого проїзду на перехресті провул.Терезова та вул.Воскресенської в м.Суми</t>
  </si>
  <si>
    <t>Технічне обслуговування та поточний ремонт фонтанів</t>
  </si>
  <si>
    <t>Департамент інфраструктури міста Сумської міської ради, КП "Міськводоканал" СМР, КП ЕЗО "Міськсвітло" СМР та інші суб'єкти господарювання</t>
  </si>
  <si>
    <t>Забезпечення водопостачання фонтанів</t>
  </si>
  <si>
    <t>Обслуговування та поточний ремонт дитячих майданчиків території індивідуальної житлової забудови</t>
  </si>
  <si>
    <t>Департамент інфраструктури міста Сумської міської ради, КП "Сумитеплоенергоцентраль" СМР та інші суб'єкти господарювання</t>
  </si>
  <si>
    <t>Придбання нових лавок по місту</t>
  </si>
  <si>
    <t xml:space="preserve">Поповнення статутного капіталу КП "Центр догляду за тваринами" СМР, а саме: </t>
  </si>
  <si>
    <t xml:space="preserve">Департамент інфраструктури міста Сумської міської ради, КП "Центр догляду за тваринами" СМР </t>
  </si>
  <si>
    <t>Відшкодування з міського бюджету частини відсотків за кредитами, залученими населенням (фізичними особами), на впровадження енергозберігаючих заходів</t>
  </si>
  <si>
    <t xml:space="preserve">Департамент інфраструктури міста Сумської міської ради </t>
  </si>
  <si>
    <t>Відшкодування з міського бюджету частини відсотків за кредитами, залученими об'єднаннями співвласників багатоквартирних житлових будинків, житлово-будівельними кооперативами на впровадження енергозберігаючих заходів</t>
  </si>
  <si>
    <t>Департамент інфраструктури міста Сумської міської ради, ОСББ та ЖБК</t>
  </si>
  <si>
    <t>Обласний бюджет</t>
  </si>
  <si>
    <t>Капітальний ремонт електричних мереж вуличного освітлення</t>
  </si>
  <si>
    <t>Електроенергія на вуличне освітлення</t>
  </si>
  <si>
    <t>Додаток 2</t>
  </si>
  <si>
    <t xml:space="preserve">Послуги зі збирання безпечних відходів, непридатних для вторинного використання (прибирання урн від сміття по місту) </t>
  </si>
  <si>
    <r>
      <t>Департамент інфраструктури міста Сумської міської ради, КП "Сумижитло" СМР та інші суб</t>
    </r>
    <r>
      <rPr>
        <sz val="12"/>
        <rFont val="Calibri"/>
        <family val="2"/>
      </rPr>
      <t>'</t>
    </r>
    <r>
      <rPr>
        <sz val="12"/>
        <rFont val="Times New Roman"/>
        <family val="1"/>
      </rPr>
      <t>єкти господарювання</t>
    </r>
  </si>
  <si>
    <t>Придбання урн</t>
  </si>
  <si>
    <t>Догляд за об'єктами  благоустрою загального користування (прибирання сміття)</t>
  </si>
  <si>
    <t>Догляд за об'єктами благоустрою загального користування (ліквідація несанкціонованих звалищ)</t>
  </si>
  <si>
    <t>Департамент інфраструктури міста Сумської міської ради, КП "Сумижилкомсервіс" СМР, КП "Зелене будівництво" СМР та інші суб'єкти господарювання</t>
  </si>
  <si>
    <t>Створення сприятливих умов проживання населення та забезпечення надання життєво необхідних послуг</t>
  </si>
  <si>
    <t>Забезпечення проведення капітального ремонту вулично-дорожньої мережі та штучних споруд</t>
  </si>
  <si>
    <t>Управління капітального будівництва та дорожнього господарства СМР, КП "Шляхрембуд" СМР та ішні суб'єкти господарювання</t>
  </si>
  <si>
    <t>Забезпечення проведення поточного ремонту вулично-дорожньої мережі та штучних споруд</t>
  </si>
  <si>
    <t>Забезпечення проведення утримання вулично-дорожньої мережі та штучних споруд</t>
  </si>
  <si>
    <r>
      <t>Департамент інфраструктури міста та інші суб</t>
    </r>
    <r>
      <rPr>
        <sz val="14"/>
        <rFont val="Calibri"/>
        <family val="2"/>
      </rPr>
      <t>'</t>
    </r>
    <r>
      <rPr>
        <sz val="14"/>
        <rFont val="Times New Roman"/>
        <family val="1"/>
      </rPr>
      <t>єкти господарювання</t>
    </r>
  </si>
  <si>
    <t>Департамент інфраструктури міста СМР, управління капітального будівництва та дорожнього господарства СМР,   КП "Шляхрембуд" СМР та інші суб'єкти господарювання</t>
  </si>
  <si>
    <t>Департамент інфраструктури міста СМР, управління капітального будівництва та дорожнього господарства СМР та інші суб'єкти господарювання</t>
  </si>
  <si>
    <t>Управління капітального будівництва та дорожнього господарства СМР, КП "Шляхрембуд" СМР та інші суб'єкти господарювання</t>
  </si>
  <si>
    <t>Забезпечення проведення ремонту та обслуговування технічних засобів регулювання дорожнім рухом</t>
  </si>
  <si>
    <t xml:space="preserve">Забезпечення проведення ремонту мостів і шляхопроводів по місту </t>
  </si>
  <si>
    <t>Департамент інфраструктури міста СМР, управління капітального будівництва та дорожнього господарства СМР,  КП "Шляхрембуд" СМР та інші суб'єкти господарювання</t>
  </si>
  <si>
    <t xml:space="preserve">до програми  реформування і розвитку </t>
  </si>
  <si>
    <t>житлово-комунального господарства</t>
  </si>
  <si>
    <t>№ п\п</t>
  </si>
  <si>
    <t>Догляд за деревами, в тому числі:</t>
  </si>
  <si>
    <t>Міський бюджет, обласний бюджет</t>
  </si>
  <si>
    <t>Департамент інфраструктури міста СМР,                    КП "Зелене будівництво" СМР та інші суб'єкти господарювання</t>
  </si>
  <si>
    <t>спилювання сухостійних та аварійних дерев</t>
  </si>
  <si>
    <t>обрізання крон дерев і кущів</t>
  </si>
  <si>
    <t>проведення акарицидної обробки зелених насаджень  у парках та скверах міста</t>
  </si>
  <si>
    <t>корчування пнів по місту</t>
  </si>
  <si>
    <t>Утримання парків та скверів міста, в тому числі:</t>
  </si>
  <si>
    <t xml:space="preserve">систематичне очищення (прибирання) доріжок </t>
  </si>
  <si>
    <t>збирання та вивезення сміття та опалого листя</t>
  </si>
  <si>
    <t>систематичне очищення урн від сміття в парках та скверах міста</t>
  </si>
  <si>
    <t>Облаштування та утримання полігону рослинних відходів в районі вул. Боженко</t>
  </si>
  <si>
    <t>Управління житлової політики, комунального господарства та благоустрою, ДКП Зеленого будівництва</t>
  </si>
  <si>
    <t>Утримання полігону рослинних відходів в районі с.Василівка</t>
  </si>
  <si>
    <t>Догляд за газонами, в тому числі:</t>
  </si>
  <si>
    <t>косіння (викошування) трави на газонах</t>
  </si>
  <si>
    <t>прибирання скошеної трави</t>
  </si>
  <si>
    <t>підсів трави на газонах</t>
  </si>
  <si>
    <t>весняне підживлення газонів</t>
  </si>
  <si>
    <t>просічування газонів</t>
  </si>
  <si>
    <t>поливання газонів</t>
  </si>
  <si>
    <t>Улаштування квітників з однолітників з усіма видами супутніх робіт</t>
  </si>
  <si>
    <t>Поточне утримання парку ім. І.М.Кожедуба, в т.ч.:</t>
  </si>
  <si>
    <t>улаштування квітників однолітників з усіма видами супутніх робіт</t>
  </si>
  <si>
    <t>систематичне очищення (прибирання) доріжок</t>
  </si>
  <si>
    <t>догляд за газонами</t>
  </si>
  <si>
    <t>Садіння дерев</t>
  </si>
  <si>
    <t>Догляд за об'єктами благоустрою загального користування (косіння (викошування) трави)</t>
  </si>
  <si>
    <t>Департамент інфраструктури міста СМР,                    КП "Зелене будівництво" СМР, КП "Сумижилкомсервіс" СМР та інші суб'єкти господарювання</t>
  </si>
  <si>
    <t>Поливання зелених насаджень (монтаж системи поливу зелених насаджень з водопостачанням)</t>
  </si>
  <si>
    <t>Департамент інфраструктури міста СМР,                    КП "Міськводоканал" СМР та інші суб'єкти господарювання</t>
  </si>
  <si>
    <t>Утримання дитячого парку "Казка", в т.ч.</t>
  </si>
  <si>
    <t>Департамент інфраструктури міста СМР,                    КП "Сумикомунінвест" СМР та інші суб'єкти господарювання</t>
  </si>
  <si>
    <t xml:space="preserve">прибирання території дитячого парку "Казка" </t>
  </si>
  <si>
    <t>спилювання сухостійних та аварійних дерев, обрізання крон дерев та кущів</t>
  </si>
  <si>
    <t>Забезпечення діяльності спецслужби</t>
  </si>
  <si>
    <t>Забезпечення поховання безрідних</t>
  </si>
  <si>
    <t>Забезпечення функціонування громадських вбиралень</t>
  </si>
  <si>
    <t>Департамент інфраструктури міста Сумської міської ради, КП "Спеціалізований комбінат", КП "Сумикомунінвест" СМР та інші суб'єкти господарювання</t>
  </si>
  <si>
    <t>Надання послуг з розробки технічних паспортів на багатоквартирні будинки</t>
  </si>
  <si>
    <t xml:space="preserve">Основні завдання Програми </t>
  </si>
  <si>
    <t>в тому числі</t>
  </si>
  <si>
    <t>державний бюджет</t>
  </si>
  <si>
    <t>обласний бюджет</t>
  </si>
  <si>
    <t>міський бюджет</t>
  </si>
  <si>
    <t>2013 рік</t>
  </si>
  <si>
    <t xml:space="preserve">Забезпечення функціонування мереж зовнішнього освітлення </t>
  </si>
  <si>
    <t>Збереження та утримання на належному рівні зеленої зони міста Суми та поліпшення його екологічних умов, організація громадських робіт</t>
  </si>
  <si>
    <t xml:space="preserve">Забезпечення благоустрою  кладовищ, діяльності спецслужби, поховання безрідних та функціонування громадських вбиралень, організація громадських робіт </t>
  </si>
  <si>
    <t>Забезпечення санітарної  очистки території</t>
  </si>
  <si>
    <t xml:space="preserve">Поточний ремонт та утримання в належному стані об'єктів благоустрою </t>
  </si>
  <si>
    <t>Забезпечення сприятливих умов для співіснування людей та тварин</t>
  </si>
  <si>
    <t>Капітальний ремонт об'єктів житлового господарства міста Суми</t>
  </si>
  <si>
    <t>Забезпечення святкового оформлення міста до пам'ятних та історичних дат, культурно-мистетцьких, релігійних та інших  заходів</t>
  </si>
  <si>
    <t>Забезпечення функціонування водопровідно-каналізаційного господарства</t>
  </si>
  <si>
    <t xml:space="preserve">Забезпечення функціонування об'єктів житлово-комунального господарства міста Суми </t>
  </si>
  <si>
    <t>Впровадження енергозберігаючих заходів</t>
  </si>
  <si>
    <t>Повернення бюджетних позичок на поворотній основі</t>
  </si>
  <si>
    <t>"Про затвердження Комплексної цільової</t>
  </si>
  <si>
    <t xml:space="preserve">«Про затвердження  Комплексної </t>
  </si>
  <si>
    <t xml:space="preserve">«Про завтердження  Комплексної </t>
  </si>
  <si>
    <t xml:space="preserve">Департамент інфраструктури міста Сумської міської ради, КП "Сумикомунінвест" СМР,  КП "Сумижитло" СМР </t>
  </si>
  <si>
    <t>Поповнення статутного капіталу КП "Паркінг" СМР, а саме:</t>
  </si>
  <si>
    <t>Поповнення статутного капіталу  КП "Центр догляду за тваринами" СМР (придбання спецзасобів для відлову безпритульних тварин: пневматичний газобалонний метатель "Ветеринар-651"; "ЛИДер-1 пм"; "ЛИДер-4пгл"; "ССД-2сд"; "ССД-2су")</t>
  </si>
  <si>
    <t>Поповнення статутного капіталу КП "Центр догляду за тваринами" СМР (придбання клітки-ловушки "Вулкан"")</t>
  </si>
  <si>
    <t xml:space="preserve">Департамент інфраструктури міста Сумської міської ради, КП "Паркінг" СМР </t>
  </si>
  <si>
    <t>Поповнення статутного капіталу  КП "Паркінг" СМР (придбання щітки підмітальної (снігоприбиральної) 150 см)</t>
  </si>
  <si>
    <t>Поповнення статутного капіталу  КП "Паркінг" СМР (придбання відвалу бульдозерного 200 см (сніговідвал) в комплекті резиновий ніж для відвалу)</t>
  </si>
  <si>
    <t>Поповнення статутного капіталу  КП "Паркінг" СМР (придбання розкидувач піску/солі центробіжний 210 л, передній, розкидування регулюється від 80 см до 6 м)</t>
  </si>
  <si>
    <t>Поповнення статутного капіталу  КП "Паркінг" СМР (придбання ковшу багатофункціонального "4 в 1" челюстного, 140 см, 190 л з прямим ножем)</t>
  </si>
  <si>
    <t>Поповнення статутного капіталу  КП "Сумитеплоенергоцентраль" СМР (придбання комунальної прибиральної підмітальної машини марки NILFISK RC 851 MAX)</t>
  </si>
  <si>
    <t>Поповнення статутного капіталу  КП "Сумитеплоенергоцентраль" СМР (придбання Газ НЕКСТ-ДУЕТ А22R33-55)</t>
  </si>
  <si>
    <t>Поповнення статутного капіталуКП "Сумитеплоенергоцентраль" СМР (придбання Газ НЕКСТ-ДУЕТ 422R33-55)</t>
  </si>
  <si>
    <t>Поповнення статутного капіталу  КП "Міськводоканал" СМР  (Розробка  проектно-кошторисної документації  по об"єкту: "Будівництво  огородження території  І поясу зони санітарної охорони Лепехівського водозабору в м. Суми "</t>
  </si>
  <si>
    <t xml:space="preserve">Поповнення статутного капіталу  КП "Міськводоканал" СМР   (Будівництво  огородження території  І поясу зони санітарної охорони окремо збудованих свердловин №№ 8А, 9, 10А, 11 на Ново-Оболонському водозаборі в м. Суми </t>
  </si>
  <si>
    <t>Поповнення статутного капіталу  КП "Міськводоканал" СМР  (Розробка проектно-кошторисної  документації на тампонаж відпрацьованих  свердловин</t>
  </si>
  <si>
    <t>Поповнення статутного капіталу  КП "Міськводоканал" СМР  (Виконання томпанажу відпрацьованих   свердловин</t>
  </si>
  <si>
    <t>Поповнення статутного капіталу  КП "Міськводоканал" СМР (Коригування проектно-кошторисної  документації по об’єкту " Будівництво глибоководної свердловини  на Лепехівському водозаборі в м.Суми" )</t>
  </si>
  <si>
    <t>Поповнення статутного капіталу  КП "Міськводоканал" СМР ( Будівництво глибоководної свердловини  на Лепехівському водозаборі в м.Суми" )</t>
  </si>
  <si>
    <t xml:space="preserve">Поповнення статутного капіталу  КП "Міськводоканал" СМР ( Капітальний ремонт свердловини  № 16А Пришибського водозабору  в м.Суми </t>
  </si>
  <si>
    <t>Поповнення статутного капіталу  КП "Міськводоканал" СМР ( Розробка проектно-кошт орисної документації по об"єкту "Реконструкція водовода Д 400 мм від вул. Героїв Крут, 72 до вул. І-ї Замостянської , 57</t>
  </si>
  <si>
    <t>Поповнення статутного капіталу  КП "Міськводоканал" СМР ( Реконструкція водовода Д 400 мм від вул. Героїв Крут, 72 до вул. І-ї Замостянської , 57</t>
  </si>
  <si>
    <t>Поповнення статутного капіталу  КП "Міськводоканал" СМР ( Розробка проектно-кошторисної документації по об"єкту " Будівництво водопровідної мережі Д = 300 мм від вул. Комарова до Тополянської ВНС через поля с. Н. Піщаного в м. Суми"</t>
  </si>
  <si>
    <t>Поповнення статутного капіталу  КП "Міськводоканал" СМР ( Розробка проектно-кошторисної документації  по об"єкту: "Реконструкція  сталевого водоводу Д 500 мм по пр.Курському від вул. Машинобудівників до перехрестя вул. Ремісничої та вул. Металургів в м. Суми"</t>
  </si>
  <si>
    <t>Поповнення статутного капіталу  КП "Міськводоканал" СМР ( Розробка проектно-кошторисної документації  по об"єкту: "Реконструкція  водопровідної  мережі Д 400 мм біля житлового будинку № 31 по вул. Реміснича  в м. Суми"</t>
  </si>
  <si>
    <t>Поповнення статутного капіталу  КП "Міськводоканал" СМР ( Реконструкція  водопровідної  мережі Д 400 мм біля житлового будинку № 31 по вул. Реміснича  в м. Суми</t>
  </si>
  <si>
    <t>Поповнення статутного капіталу  КП "Міськводоканал" СМР ( Розробка проектно-кошторисної документації  по об"єкту: "Реконструкція  водопровідної  мережі Д 500 мм  біля житлового будинку № 12 по проспекту М. Лушпи  в м. Суми"</t>
  </si>
  <si>
    <t>Поповнення статутного капіталу  КП "Міськводоканал" СМР ( Реконструкція  водопровідної  мережі Д 500 мм  біля житлового будинку № 12 по проспекту М. Лушпи  в м. Суми</t>
  </si>
  <si>
    <t>Поповнення статутного капіталу  КП "Міськводоканал" СМР ( Розробка проектно-кошторисної документації по об"єкту: "Реконструкція сталевого водопроводу Д 300 мм від діючої  водопровідної камери на перехресті вулиці Ковпака та пр.Курського до діючого водопроводу Д 250 мм по пр.Курський в м. Суми"</t>
  </si>
  <si>
    <t>Поповнення статутного капіталу  КП "Міськводоканал" СМР ( Реконструкція сталевого  водопроводу  Д 300 мм від діючої  водопровідної камери на перехресті вулиці Ковпака та пр.Курського до діючого водопроводу          Д 250 мм по пр.Курський в м. Суми</t>
  </si>
  <si>
    <t>Поповнення статутного капіталу  КП "Міськводоканал" СМР ( Розробка  проектно-кошторисної документації по об"єкту "Реконструкція (санація) самотічного каналізаційного колектора Д 600-800 мм від вул. Харківська, 32 по вул. СКД до КНС-6"</t>
  </si>
  <si>
    <t>Поповнення статутного капіталу  КП "Міськводоканал" СМР ( Розробка  проектно-кошторисної документації по об"єкту "Реконструкція (санація) самотічного каналізаційного колектора Д 400-600 мм від вул. Харківська, 30/1 по вул. Прокоф"єва до КНС-6"</t>
  </si>
  <si>
    <t xml:space="preserve">Поповнення статутного капіталу  КП "Міськводоканал" СМР ( Розробка  проектно-кошторисної  документації по об"єкту " Реконструкція (санація) самотічного каналізаційного колектора Д -400 мм по вул. Білопільський шлях в м.Суми" </t>
  </si>
  <si>
    <t>Поповнення статутного капіталу  КП "Міськводоканал" СМР ( Реконструкція (санація) самотічного каналізаційного коллектора  Д 400 мм по вул. Білопільський шлях в м.Суми</t>
  </si>
  <si>
    <t>Поповнення статутного капіталу  КП "Міськводоканал" СМР ( Реконструкція хлораторного господарства на очисних спорудах  м.Суми з переведенням  на гіпохлорит натрію</t>
  </si>
  <si>
    <t>Поповнення статутного капіталу  КП "Міськводоканал" СМР ( Реконструкція  системи опалення очисних споруд КП " Міськводоканал" СМР</t>
  </si>
  <si>
    <t>Поповнення статутного капіталу  КП "Міськводоканал" СМР ( придбання Ремонтно-відновлювальна машина (РВМ) на базі шасі МАЗ 4371 Евро 5</t>
  </si>
  <si>
    <t>Поповнення статутного капіталу  КП "Міськводоканал" СМР ( придбанняСистема телеінспекції SX-1500</t>
  </si>
  <si>
    <t>Поповнення статутного капіталу  КП "Міськводоканал" СМР ( придбання Мулососний автомобіль КО-503 ІВ-12  на шасі МАЗ-5340</t>
  </si>
  <si>
    <t>Поповнення статутного капіталу  КП "Міськводоканал" СМР ( придбання Мулососний автомобіль КО-503 ІВ-12  на шасі Renault D15</t>
  </si>
  <si>
    <t>Поповнення статутного капіталу  КП "Міськводоканал" СМР ( придбання Каналопромичний автомобіль на базі МАЗ 4571 КО-503 КП9</t>
  </si>
  <si>
    <t>Поповнення статутного капіталу  КП "Міськводоканал" СМР ( придбання Рідинний хроматограф</t>
  </si>
  <si>
    <t>Поповнення статутного капіталу  КП "Міськводоканал" СМР ( придбання Газовий хроматограф</t>
  </si>
  <si>
    <t>Поповнення статутного капіталу  КП "Міськводоканал" СМР ( придбання Аналізатор загального азоту  та вуглецю " ТОПАЗ NC" з керуючим компьютером</t>
  </si>
  <si>
    <t>Забезпечення належного функціонування КП «Центр догляду за тваринами» СМР</t>
  </si>
  <si>
    <t>Департамент інфраструктури міста Сумської міської ради,  КП «Центр догляду за тваринами» СМР</t>
  </si>
  <si>
    <t>Забезпечення постачання та розподілу природного газу до монументу "Вічна Слава"</t>
  </si>
  <si>
    <t>Зберігання демонтованих елементів благоустрою, тимчасових збірно-розбірних індивідуальних  гаражів, тимчасових  споруд  та рекламних засобів</t>
  </si>
  <si>
    <t>Демонтаж незаконно (самовільно) встановлених елементів благоустрою, тимчасових збірно-розбірних індивідуальних  гаражів, тимчасових  споруд для здійснення  підприємницької діяльності , побутового, соціально-культурного та іншого  призначення на території м.Суми</t>
  </si>
  <si>
    <t>Капітальний ремонт об'єктів та елементів благоустрою  по місту</t>
  </si>
  <si>
    <t>Департамент інфраструктури міста Сумської міської ради,  КП "Центр догляду за тваринами" СМР та інші суб'єкти господарювання</t>
  </si>
  <si>
    <t>Технічне обслуговування насосної станції по вул.Круговій та по вул.Тихорецька</t>
  </si>
  <si>
    <t>Улаштування посадкових майданчиків на зупинках міського громадського транспорту з установленням навісу або павільйону</t>
  </si>
  <si>
    <t>Поточний ремонт, утримання об'єктів та елементів благоустрою</t>
  </si>
  <si>
    <t>Департамент інфраструктури міста Сумської міської ради, КП "Сумижилкомсервіс", КП "Зелене будівництво" СМР   та інші суб'єкти господарювання</t>
  </si>
  <si>
    <t>Департамент інфраструктури міста Сумської міської ради, КП "Сумижилкомсервіс",   ДП "Паркінг" КОРП "Дрібнооптовий" СМР, КП "Паркінг" СМР та інші суб'єкти господарювання</t>
  </si>
  <si>
    <t>Проведення обстеження та випробування шляхопроводів та мостів по місту</t>
  </si>
  <si>
    <t>Департамент інфраструктури міста Сумської міської ради, КП "Спеціалізований комбінат"  та інші суб'єкти господарювання</t>
  </si>
  <si>
    <t>Технічне обслуговування  камери відеоспостереження біля Алеї Почесних громадян на Центральному кладовищі міста</t>
  </si>
  <si>
    <t>Капітальний ремонт місць поховань та елементів благоустрою на них</t>
  </si>
  <si>
    <t>Поточний ремонт, утримання місць поховань та елементів благоустрою</t>
  </si>
  <si>
    <t>обрізання крон дерев і кущів, вирубування пристовбурової порослі</t>
  </si>
  <si>
    <t>Очищення русел річок та водойм від намулів, відкладів та завалів</t>
  </si>
  <si>
    <t>Департамент інфраструктури міста СМР                     та інші суб'єкти господарювання</t>
  </si>
  <si>
    <t>Садіння квіткових рослин (цибулинних) у квітках з усіма попередніми супровідними роботами, в тому числі догляд за трояндами</t>
  </si>
  <si>
    <t>Згрібання та вивезення опалого листя, стовбурів та гілля</t>
  </si>
  <si>
    <t xml:space="preserve">на 2018- 2020  роки» </t>
  </si>
  <si>
    <t xml:space="preserve">на 2018- 2020  роки" </t>
  </si>
  <si>
    <t xml:space="preserve">на  2018- 2020  роки» </t>
  </si>
  <si>
    <t xml:space="preserve">на  2018 - 2020 роки» </t>
  </si>
  <si>
    <t>на 2018- 2020  роки"</t>
  </si>
  <si>
    <t xml:space="preserve">Прополювання трави (амброзії) </t>
  </si>
  <si>
    <t>Поповнення статутного капіталу  КП "Зелене будівництво" СМР (придбання поливомийної машини )</t>
  </si>
  <si>
    <t>Поповнення статутного капіталу  КП "Зелене будівництво" СМР (придбання екскаватора-навантажувача )</t>
  </si>
  <si>
    <t>Поповнення статутного капіталу  КП "Зелене будівництво" СМР (капітальний ремонт системи електропостачання майданчику для розміщення рослинних відходів по вул. М. Лукаша (Боженко))</t>
  </si>
  <si>
    <t>Поповнення статутного капіталу  КП "Зелене будівництво" СМР (будівництво огорожі на майданчику для розміщення рослинних відходів по вул. М. Лукаша (Боженко))</t>
  </si>
  <si>
    <t>Поповнення статутного капіталу  КП "Зелене будівництво" СМР (будівництво виробничого приміщення на майданчику для розміщення рослинних відходів по вул. М. Лукаша (Боженко))</t>
  </si>
  <si>
    <t xml:space="preserve">Поповнення статутного капіталу КП ЕЗО «Міськсвітло» СМР (придбання автовишек АП - 18  - 2 од. та АП- 28 - 1) </t>
  </si>
  <si>
    <t xml:space="preserve">Поповнення статутного капіталу КП ЕЗО «Міськсвітло» СМР (придбання автовишки АП- 28 ) </t>
  </si>
  <si>
    <t>Поповнення статутного капіталу  КП ЕЗО «Міськсвітло» СМР (придбання ямобура)</t>
  </si>
  <si>
    <t>Поповнення статутного капіталу  КП ЕЗО «Міськсвітло» СМР (капітальний ремонт автотранспорту)</t>
  </si>
  <si>
    <t>Поповнення статутного капіталу  КП «Сумижилкомсервіс» СМР (придбання грузопасажирського автомобіля ГАЗ-33023 "Газель-фермер Бизнес"  )</t>
  </si>
  <si>
    <t>Поповнення статутного капіталу  КП «Сумижилкомсервіс» СМР (придбання самоскида)</t>
  </si>
  <si>
    <t>Поповнення статутного капіталу  КП «Сумижилкомсервіс» СМР (придбання компактора LGMG LLC 228)</t>
  </si>
  <si>
    <t>Поповнення статутного капіталу  КП «Сумижилкомсервіс» СМР (придбання сміттєвого бульдозера HBXG TS165-3HW)</t>
  </si>
  <si>
    <t>Поповнення статутного капіталу  КП "Сумикомунінвест" СМР (придбання бензокоси STIHL FS250 )</t>
  </si>
  <si>
    <t>Поповнення статутного капіталу  КП "Сумикомунінвест" СМР (придбання газонокосарки VIKING MB -2 )</t>
  </si>
  <si>
    <t>Поповнення статутного капіталу  КП "Сумикомунінвест" СМР (проект реконструкції дитячого парку "Казка" )</t>
  </si>
  <si>
    <t>Поповнення статутного капіталу   КП "Спецкомбінат" СМР (придбання сміттєвоза )</t>
  </si>
  <si>
    <t>Поповнення статутного капіталу  КП "Спецкомбінат" СМР (придбання самоскида )</t>
  </si>
  <si>
    <t>Поповнення статутного капіталу  КП "Спецкомбінат" СМР (придбання маніпулятора)</t>
  </si>
  <si>
    <t>Поповнення статутного капіталу  КП "Спецкомбінат" СМР (придбання трактора JCB )</t>
  </si>
  <si>
    <t>Поповнення статутного капіталу  КП "Спецкомбінат" СМР (придбання трактора)</t>
  </si>
  <si>
    <t>Поповнення статутного капіталу  КП "Спецкомбінат" СМР (придбання ківш щелепний)</t>
  </si>
  <si>
    <t>Поповнення статутного капіталу  КП "Спецкомбінат" СМР (придбання генератора)</t>
  </si>
  <si>
    <t>Поповнення статутного капіталу  КП "Спецкомбінат" СМР (капітальний ремонт  насосної станції по вул.Круговій)</t>
  </si>
  <si>
    <t>Поповнення статутного капіталу  КП "Спецкомбінат" СМР (Проведення реконструкції комерційного вузла обліку газу та газової котельні по вул.Лебединська,5)</t>
  </si>
  <si>
    <t>Поповнення статутного капіталу  КП "Спецкомбінат" СМР (Улаштування пункту мийки та дезинфекції автобусів спецслужби)</t>
  </si>
  <si>
    <t>Поповнення статутного капіталу  КП "Спецкомбінат" СМР (Будівництво побутових приміщень на Лучанському, Васильовському, Парфірьєвському, Ганнівському кладовищах)</t>
  </si>
  <si>
    <t>Поповнення статутного капіталу  КП "Спецкомбінат" СМР (Встановлення 14 стаціонарних туалетів на кладовищах)</t>
  </si>
  <si>
    <t>полив та підживлення дерев і кущів</t>
  </si>
  <si>
    <t xml:space="preserve">Забезпечення зміцнення матеріально-технічної бази підприємств комунальної форми власності міста Суми </t>
  </si>
  <si>
    <t>Регулювання чисельності тварин у населених пунктах, у тому числі безпритульних</t>
  </si>
  <si>
    <t>Забезпечення проведення поточного ремонту проїздів, тротуарів, велосипедних доріжок, внутрішньоквартальних проїзних доріг</t>
  </si>
  <si>
    <t>Забезпечення проведення капітального ремонту  проїздів, велосипедних доріжок, внутрішньоквартальних проїзних доріг та тротуарів</t>
  </si>
  <si>
    <t>Капітальний ремонт об'єктів благоустрою по зеленим насадженням</t>
  </si>
  <si>
    <t>Департамент інфраструктури міста Сумської міської ради, КП "Сумижилкомсервіс" СМР, ДП "Паркінг" КОРП "Дрібнооптовий" СМР, КП "Паркінг" СМР,  КП "Міськводоканал" СМР, КП ЕЗО "Міськсвітло" СМР,   КП "Спеціалізований комбінат" СМР, КП "Зелене будівництво" СМР, КП "Сумитеплоенергоцентраль" СМР, КП "Сумикомунінвест" СМР, КП "Центр догляду за тваринами" СМР та інші суб'єкти господарювання</t>
  </si>
  <si>
    <t>Поповнення статутного капіталу  КП "Міськводоканал" СМР (Будівництво  огородження території  І поясу зони санітарної охорони Лепехівського водозабору в  м. Суми</t>
  </si>
  <si>
    <t>Поповнення статутного капіталу  КП "Сумикомунінвест" СМР (будівництво дитячого та спортивного майданчиків на території парку "Казка" )</t>
  </si>
  <si>
    <t>Поповнення статутного капіталу КП "Паркінг" СМР (придбання багатофункціонального мінінавантажувача AVANT 635 з опалювальною кабіною LX та додатковими опциями, система самовирівнювання)</t>
  </si>
  <si>
    <t>Технічне обслуговування та поточний ремонт системи вуличного освітлення</t>
  </si>
  <si>
    <t xml:space="preserve">Капітальний ремонт  об'єктів та елементів благоустрою </t>
  </si>
  <si>
    <t xml:space="preserve">Забезпечення охорони водозаборів та очисних споруд </t>
  </si>
  <si>
    <t xml:space="preserve">Поповнення статутного капіталу КП "Шляхрембуд" СМР, а саме: </t>
  </si>
  <si>
    <t>Поповнення статутного капіталу КП "Шляхрембуд" СМР (придбання асфальтоукладчика продуктивністю 700 т/год, ширина укладання 8 м )</t>
  </si>
  <si>
    <t xml:space="preserve">Поповнення статутного капіталу КП "Шляхрембуд" СМР (придбання катка масою 7,5 т). </t>
  </si>
  <si>
    <t xml:space="preserve">Поповнення статутного капіталу КП "Шляхрембуд" СМР (придбання катка масою 10,0 т) </t>
  </si>
  <si>
    <t xml:space="preserve">Поповнення статутного капіталу КП "Шляхрембуд" СМР (придбання екскаватора навантажувач потужністю 87,0 кВт) </t>
  </si>
  <si>
    <t>Управління капітального будівництва та дорожнього господарства Сумської міської ради</t>
  </si>
  <si>
    <t>Інші джерела</t>
  </si>
  <si>
    <t>Організація та проведення оплачуваних громадських робіт на умовах співфінансування з Сумським міським центром зайнятості (50 %/ 50 %)</t>
  </si>
  <si>
    <t>інші джерела</t>
  </si>
  <si>
    <t>Святкова ілюмінація міста та її ремонт</t>
  </si>
  <si>
    <t>Надання бюджетних позичок на поворотній основі</t>
  </si>
  <si>
    <t xml:space="preserve">Департамент інфраструктури міста Сумської міської ради, КП "Міськводоканал" СМР  </t>
  </si>
  <si>
    <t>Поповнення статутного капіталу КП "Центр догляду за тваринами" СМР (придбання автомобіля)</t>
  </si>
  <si>
    <t>Придбання садженців дерев та кущів</t>
  </si>
  <si>
    <t>Департамент інфраструктури міста СМР та інші суб'єкти господарювання</t>
  </si>
  <si>
    <t xml:space="preserve">Садіння нових дерев і кущив за рахунок цільового фонду </t>
  </si>
  <si>
    <t>Капітальний ремонт житлового фонду  , в т.ч.</t>
  </si>
  <si>
    <t>1.1</t>
  </si>
  <si>
    <t>Капітальний ремонт житлового фонду, в т.ч.  співфінансування капітального ремонту житлового фонду (40*60)</t>
  </si>
  <si>
    <t>Капітальний ремонт житлового фонду об'єднань співвласників багатоквартирних будинків</t>
  </si>
  <si>
    <t>Співфінансування капітального ремонту житлового фонду ОСББ та ЖБК (30*70)</t>
  </si>
  <si>
    <t>Визначення норм  надання  послуг  з вивезення ТПВ в м. Суми</t>
  </si>
  <si>
    <t xml:space="preserve">Оплата послуг з повірки лічильників  </t>
  </si>
  <si>
    <t>Капітальний ремонт  діючого  каналізаційного самотічного колектора Д 500 мм по вул.Ремісничій в м. Суми</t>
  </si>
  <si>
    <t>Охорона КНС за адресою вул.Привокзальна,4/13</t>
  </si>
  <si>
    <t>Департамент інфраструктури міста Сумської міської ради, КП "Міськводоканал" СМР</t>
  </si>
  <si>
    <t>Департамент інфраструктури міста Сумської міської ради,  КП «Сумижилкомсервіс» СМР</t>
  </si>
  <si>
    <t>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 за рахунок субвенції з державного  бюджету</t>
  </si>
  <si>
    <t>Департамент інфраструктури міста Сумської міської ради  та  інші суб'єкти господарювання</t>
  </si>
  <si>
    <t>Реставрація споруди "Альтанка" в м.Суми</t>
  </si>
  <si>
    <t>1.2</t>
  </si>
  <si>
    <t>Реставрація покрівлі та фасаду житлового будинку по вул. Соборна, 32 в м.Суми</t>
  </si>
  <si>
    <t>1.3</t>
  </si>
  <si>
    <t>1.4</t>
  </si>
  <si>
    <t xml:space="preserve">Реконструкція (санація) самотічного каналізаційного колектора Д 500 мм по вул. Замостянській від перехрестя  вул. Харківська та  вул. Сумсько-Київських дивізій до перехрестя вул. Черкаська та вул. Лінійна  в м. Суми </t>
  </si>
  <si>
    <t>1.5</t>
  </si>
  <si>
    <t>Реконструкція (санація) самотічного каналізаційного колектора Д 600-800 мм  від вул. Харківська, 32 по вул. Сумсько-Київських  дивізій  до КНС-6 ,</t>
  </si>
  <si>
    <t>1.6</t>
  </si>
  <si>
    <t xml:space="preserve">Реконструкція (санація) самотічного каналізаційного колектора Д 400-500 мм від вул. Романа Атаманюка по  вул. Генерала Чибісова, Новорічній до вул. Київської </t>
  </si>
  <si>
    <t>1.7</t>
  </si>
  <si>
    <t xml:space="preserve">Будівництво зливної каналізації по вул.Косівщинській, вул.Кавалерідзе, вул.Нахімова, вул. Дарвіна, вул.Жуковського, вул.Макаренка </t>
  </si>
  <si>
    <t>1.8</t>
  </si>
  <si>
    <t>Будівництво кабельної лінії електроживлення (резервний кабель) каналізаційно – насосної станції по вул. Привокзальна, 4/13</t>
  </si>
  <si>
    <t>1.9</t>
  </si>
  <si>
    <t>Будівництво свердловини №15 на нижню крейду з розширеним контуром на Лепехівському водозаборі м.Суми</t>
  </si>
  <si>
    <t>1.10</t>
  </si>
  <si>
    <t>Будівництво каналізації фекальної по                      вул. Нижньолепехівській, вул. Лепехівській, вул. Ново-Лепехівській, вул. Андрія Шептицького, вул. Жуковського,                            вул. Косівщинській,  вул. Нахімова,                                 вул. Дарвіна</t>
  </si>
  <si>
    <t>1.11</t>
  </si>
  <si>
    <t>Реконструкція каналізаційного залізобетонного самотічного колектора Д=600-1000мм, який проходить по вул. Пушкіна, Садова, Засумська, Ярослава Мудрого (Пролетарська) до КНС2 від вул. Степана Бандери (Баумана) до вул.Лугової (коригування)</t>
  </si>
  <si>
    <t>1.12</t>
  </si>
  <si>
    <t>Реконструкція хлорного господарства на очисних спорудах м. Суми з переведенням на гіпохлорит натрію</t>
  </si>
  <si>
    <t>1.13</t>
  </si>
  <si>
    <t>Залишок субвенції на реконструкцію багатофункціонального спортивного майданчика вул. Новомістенська, 4</t>
  </si>
  <si>
    <t>1.14</t>
  </si>
  <si>
    <t xml:space="preserve">Реконструкція  аварійного  самотічного колектора Д-400 по вул. Білопільський шлях  від КНС -7 до району Тепличного </t>
  </si>
  <si>
    <t>1.15</t>
  </si>
  <si>
    <t xml:space="preserve">Будівництво  пандусів до житлових будинків </t>
  </si>
  <si>
    <t>1.16</t>
  </si>
  <si>
    <t>1.17</t>
  </si>
  <si>
    <t>Будівництво виробничого комплексу з переробки рослинних відходів та виробництва паливних брикетів і органічних добрив на площах майданчику для складування рослинних відходів по вул. М. Лукаша, м. Суми</t>
  </si>
  <si>
    <t>1.18</t>
  </si>
  <si>
    <t>Реконструкція системи електрозабезпечення 48-квартирного будинку по вулиці Холодногірська, 30/1 м. Суми</t>
  </si>
  <si>
    <t>1.19</t>
  </si>
  <si>
    <t>Будівництво міського пляжу в парку ім. І.М. Кожедуба</t>
  </si>
  <si>
    <t>1.20</t>
  </si>
  <si>
    <t>Будівництво скейт-парку в парку ім. І.М. Кожедуба</t>
  </si>
  <si>
    <t>1.21</t>
  </si>
  <si>
    <t>Міні-скейт парк на Роменсьеій</t>
  </si>
  <si>
    <t>Будівництво, реконструкція, та реставрація,  в т.ч:</t>
  </si>
  <si>
    <t>1.22</t>
  </si>
  <si>
    <t>Будівництво напірного каналізаційного колектору від КНС-9 до пр.Михайла Лушпи в м.Суми з переврізкою в збудований напірний колектор</t>
  </si>
  <si>
    <t>1.23</t>
  </si>
  <si>
    <t>Будівництво напірного каналізаційного колектору від КНС-6 до вул.Прокоф'єва в м.Суми з переврізкою в збудований напірний колектор</t>
  </si>
  <si>
    <t>1.24</t>
  </si>
  <si>
    <t>1.25</t>
  </si>
  <si>
    <t>Реконструкція каналізаційного самопливного колектору Д-1000 мм по вул.1-ша Набережна р.Стрілка</t>
  </si>
  <si>
    <t>1.26</t>
  </si>
  <si>
    <t>Реконструкція дитячого парку "Казка"</t>
  </si>
  <si>
    <t xml:space="preserve">Розробка схеми оптимізації роботи системи централізованого водопостачання та водовідведення міста Суми </t>
  </si>
  <si>
    <t xml:space="preserve">Проведення ремонту  та утримання об'єктів транспортної інфраструктури  </t>
  </si>
  <si>
    <t>Утримання та ефективна експлуатація об’єктів житлово-комунального господарства</t>
  </si>
  <si>
    <t>Заходи з будівництва, реставрації та реконструкції</t>
  </si>
  <si>
    <t>Здійснення заходів  із землеустрою  міста Суми</t>
  </si>
  <si>
    <t>"Про внесення змін до Комплексної цільової</t>
  </si>
  <si>
    <t>на 2018- 2020  роки", затвердженої рішенням Сумської</t>
  </si>
  <si>
    <t>міської ради від 21 грудня   2017 року №  2913-МР,</t>
  </si>
  <si>
    <t xml:space="preserve">від 03 травня № 3413 - МР </t>
  </si>
  <si>
    <t>Здійснення  заходів із землеустрою міста Суми на період  до 2020 року</t>
  </si>
  <si>
    <t>2018 рік</t>
  </si>
  <si>
    <t>2019 рік</t>
  </si>
  <si>
    <t>2020рік</t>
  </si>
  <si>
    <t xml:space="preserve">Розроблення  проекту землеустрою  встановлення меж зон  санітарної охорони   водозаборів  питної води в м.Суми </t>
  </si>
  <si>
    <t>Департамент інфраструктури міста Сумської міської рад, КП "Міськводоканал" СМР , інші суб'єкти господарювання</t>
  </si>
  <si>
    <t>Департамент інфраструктури міста Сумської міської ради, КП "Сумижитло" СМР та інші суб'єкти господарювання</t>
  </si>
  <si>
    <t>Додаток 10</t>
  </si>
  <si>
    <t>Здійснення   заходів із впровадження засобів обліку витрат та регулювання споживання води та теплової енергії до 2020 року</t>
  </si>
  <si>
    <t xml:space="preserve">Встановлення вузлів  комерційного обліку </t>
  </si>
  <si>
    <t>Реконструкція I та II черг полігону для складування твердих побутових відходів на території В.Бобрицької сільської ради Краснопільського району Сумської області</t>
  </si>
  <si>
    <t>1.27</t>
  </si>
  <si>
    <t>1.28</t>
  </si>
  <si>
    <t>Будівництво огорожі для Комунальної установи Сумська загальноосвітня школа I-III ступенів №22, імені Ігоря Гольченка, вул.Ковпака,57</t>
  </si>
  <si>
    <t>1.29</t>
  </si>
  <si>
    <t>Реконструкція дитячого та спортивного майданчику по вул.Рибалко,4 у м.Суми</t>
  </si>
  <si>
    <t>Будівництво дитячого майданчика по просп. М.Лушпи, буд.22</t>
  </si>
  <si>
    <t xml:space="preserve">Плата за видачу сертифікату у разі прийняття в експлуатацію закінченого будівництвом обєкту </t>
  </si>
  <si>
    <r>
      <t>Залишок субвенції на</t>
    </r>
    <r>
      <rPr>
        <b/>
        <sz val="14"/>
        <rFont val="Times New Roman"/>
        <family val="1"/>
      </rPr>
      <t xml:space="preserve"> капітальний ремонт </t>
    </r>
    <r>
      <rPr>
        <sz val="14"/>
        <rFont val="Times New Roman"/>
        <family val="1"/>
      </rPr>
      <t>внутрішньобудинкових інженерних мереж житлового будинку №4 по вул.Мендєлєєва м.Суми</t>
    </r>
  </si>
  <si>
    <t xml:space="preserve">Субвенція на капітальний ремонт мереж теплопостачання, встановлення індивідуального теплового пункту житлового будинку по вул. Іллінська,52/2 в м.Суми </t>
  </si>
  <si>
    <t>Субвенція на капітальний ремонт ліфту, місць загального користування та покрівлі житлового будинку № 14 по вул.Засумська в м.Суми</t>
  </si>
  <si>
    <t>Субвенція на капітальний ремонт інженерних мереж та покрівлі житлового будинку по вул. Рибалка,8 в м.Суми</t>
  </si>
  <si>
    <r>
      <rPr>
        <sz val="14"/>
        <rFont val="Times New Roman"/>
        <family val="1"/>
      </rPr>
      <t>Порівняльна таблиця змін до  "</t>
    </r>
    <r>
      <rPr>
        <b/>
        <sz val="14"/>
        <rFont val="Times New Roman"/>
        <family val="1"/>
      </rPr>
      <t>Комплексної цільової програми реформування і розвитку житлово-комунального господарства міста Суми на 2018-2020</t>
    </r>
    <r>
      <rPr>
        <sz val="14"/>
        <rFont val="Times New Roman"/>
        <family val="1"/>
      </rPr>
      <t xml:space="preserve"> </t>
    </r>
    <r>
      <rPr>
        <b/>
        <sz val="14"/>
        <rFont val="Times New Roman"/>
        <family val="1"/>
      </rPr>
      <t>роки"</t>
    </r>
    <r>
      <rPr>
        <sz val="14"/>
        <rFont val="Times New Roman"/>
        <family val="1"/>
      </rPr>
      <t xml:space="preserve">, затвердженої рішенням Сумської міської ради від 21 грудня 2017 року № 2913-МР м.Суми. </t>
    </r>
  </si>
  <si>
    <t>Було в програмі</t>
  </si>
  <si>
    <t>Стало в програмі</t>
  </si>
  <si>
    <t>Внесено зміни в програму</t>
  </si>
  <si>
    <t>Додаток 7</t>
  </si>
  <si>
    <t xml:space="preserve">Проведення архітектурних та містобудівних конкурсів (з подальшим визначенням, з числа поданих, кращого найбільш оригінального проекта  для подальшої реалізації) </t>
  </si>
  <si>
    <t>Управління архітектури та містобудування СМР</t>
  </si>
  <si>
    <t xml:space="preserve">від 29 серпня 2018 року   № 3794 - МР </t>
  </si>
  <si>
    <t>Виготовлення електронної карти ливневої каналізаційної мережі м.Суми</t>
  </si>
  <si>
    <t>Поповнення статутного капіталу  КП ЕЗО «Міськсвітло» СМР (придбання кран-маніпулятор з причепом)</t>
  </si>
  <si>
    <t>Поповнення статутного капіталу  КП ЕЗО «Міськсвітло» СМР (придбання автовишка АП-18)</t>
  </si>
  <si>
    <t>Поповнення статутного капіталу  КП ЕЗО «Міськсвітло» СМР (придбання Ямобуру)</t>
  </si>
  <si>
    <t>Поповнення статутного капіталу  КП "Спецкомбінат" СМР (придбання автомобіля спецслужби)</t>
  </si>
  <si>
    <t>Поповнення статутного капіталу  КП "Спецкомбінат" СМР (придбання автогідропідйомника (автовишка))</t>
  </si>
  <si>
    <t>Поповнення статутного капіталу  КП "Спецкомбінат" СМР (придбання автокрану)</t>
  </si>
  <si>
    <t>Поповнення статутного капіталу  КП "Спецкомбінат" СМР (придбання екскаватора)</t>
  </si>
  <si>
    <t>Поповнення статутного капіталу  КП "Спецкомбінат" СМР (придбання автобуса)</t>
  </si>
  <si>
    <t>Поповнення статутного капіталу  КП "Спецкомбінат" СМР (придбання автомобіля легкового)</t>
  </si>
  <si>
    <t>Поповнення статутного капіталу КП "Центр догляду за тваринами" СМР (придбання спецавтомобіля)</t>
  </si>
  <si>
    <t>Поповнення статутного капіталу  КП "Міськводоканал" СМР (придбання  Ремонтно-відновлювальної машини (РВМ) на базі шасі МАЗ 4371 Евро 5 (2 одиниці)</t>
  </si>
  <si>
    <t>Поповнення статутного капіталу  КП "Міськводоканал" СМР (придбання  Системи телеінспекції SX -1500)</t>
  </si>
  <si>
    <t>Поповнення статутного капіталу  КП "Міськводоканал" СМР (придбання  Мулососу на базі автомобіля RENO-дуєт 6 м3)</t>
  </si>
  <si>
    <t>Поповнення статутного капіталу  КП "Міськводоканал" СМР (придбання автомобіля бортового з маніпулятором МАЗ-4570, в/п 4,5тн.)</t>
  </si>
  <si>
    <t>Поповнення статутного капіталу  КП "Міськводоканал" СМР (придбання автокрана КС 55727 на шасі МАЗ-5340, в/п 25 тн)</t>
  </si>
  <si>
    <t>Поповнення статутного капіталу  КП "Міськводоканал" СМР (придбання машини для транспортування питної води на базі МАЗ-4371Р2 (5 м3) (1 одиниця)</t>
  </si>
  <si>
    <t>Поповнення статутного капіталу  КП "Міськводоканал" СМР (придбання автомобіль ГАЗ-33023-244, Дует бізнес (2 одиниці)</t>
  </si>
  <si>
    <t>Поповнення статутного капіталу  КП "Міськводоканал" СМР (придбання труборіз для ПЕ-труб ЗЗС (50-100)</t>
  </si>
  <si>
    <t>Поповнення статутного капіталу  КП "Міськводоканал" СМР (придбання труборіз для ПЕ-труб РРС (110-160)</t>
  </si>
  <si>
    <t>Поповнення статутного капіталу  КП "Міськводоканал" СМР (придбання універсального позиціонера для труб діаметром 25-225 мм)</t>
  </si>
  <si>
    <t>Поповнення статутного капіталу  КП "Міськводоканал" СМР (придбання комплекту редукційних вкладишів до зварювального апарату діаметром 315-560 мм (KL/GF/CNC 630))</t>
  </si>
  <si>
    <t>Поповнення статутного капіталу  КП "Міськводоканал" СМР (придбання зварювального терморезисторного апарату KamiTech 4к0 S 20-800 мм, 220 В, 4000 Вт, 29 кг)</t>
  </si>
  <si>
    <t>Поповнення статутного капіталу  КП "Міськводоканал" СМР (придбання зварювального стикового напівавтоматичного апарату для PP, PE I PVDF труб "Georg Fisher" KL 630 TOP1 (315-630 мм), 380 В, 11000 Вт, 627 кг)</t>
  </si>
  <si>
    <t>Поповнення статутного капіталу  КП "Міськводоканал" СМР (придбання пристрою для зняття оксидного шару 110-500 мм)</t>
  </si>
  <si>
    <t>Поповнення статутного капіталу  КП "Міськводоканал" СМР (придбання роликів опорних до 630 мм ( 2 один.))</t>
  </si>
  <si>
    <t>Поповнення статутного капіталу  КП "Міськводоканал" СМР (придбання дизельного генератора Matari MDN 50)</t>
  </si>
  <si>
    <t>Поповнення статутного капіталу  КП "Міськводоканал" СМР (придбання причіпу двувісного)</t>
  </si>
  <si>
    <t>Поповнення статутного капіталу  КП "Міськводоканал" СМР (придбання рідинного хроматографа Agilent 1260 Infiniti II)</t>
  </si>
  <si>
    <t>Поповнення статутного капіталу  КП "Міськводоканал" СМР (придбання системи іонної хроматографії  Dionex Aquson)</t>
  </si>
  <si>
    <t>Поповнення статутного капіталу  КП "Міськводоканал" СМР (придбання аналізатора загального азоту та вуглецю "ТОПАЗ NC" з керуючим компютером)</t>
  </si>
  <si>
    <t>1.30</t>
  </si>
  <si>
    <t>1.31</t>
  </si>
  <si>
    <t>1.32</t>
  </si>
  <si>
    <t>Будівництво літньої естради ім.І.М.Кожедуба</t>
  </si>
  <si>
    <t>Будівництво пандуса на центральному вході до парку ім.І.М.Кожедуба ( вхідна група)</t>
  </si>
  <si>
    <t>Реконструкція сталевого водоводу Д 500 мм по пр.Курському від вул.Машинобудівників до перехрестя вул.Ремісничої та вул.Металургів в м.Суми ( Розробка ПКД по обєкту)</t>
  </si>
  <si>
    <t>2.1</t>
  </si>
  <si>
    <t xml:space="preserve">на 2018- 2020  роки", </t>
  </si>
  <si>
    <t>Створення та відновлення газонів по місту</t>
  </si>
  <si>
    <t>Садіння нових дерев і кущів по місту</t>
  </si>
  <si>
    <t>Департамент інфраструктури міста Сумської міської ради, Верхньосироватська сільська рада Сумського району, Сумської області</t>
  </si>
  <si>
    <t>Поповнення статутного капіталуКП "Сумитеплоенергоцентраль" СМР (придбання автовишки ПМС-22)</t>
  </si>
  <si>
    <t>Поповнення статутного капіталу  КП «Сумижилкомсервіс» СМР (придбання компактора TANA E260)</t>
  </si>
  <si>
    <t>Поповнення статутного капіталу  КП «Сумижилкомсервіс» СМР (придбання самоскида HOWO - 2 шт.)</t>
  </si>
  <si>
    <t>Додаток 12</t>
  </si>
  <si>
    <t>Придбання та виготовлення рекламних матеріалів соціального характеру, рекламних матеріалів до святкових та урочистих подій</t>
  </si>
  <si>
    <t>Міський бюджет (цільовий фонд)</t>
  </si>
  <si>
    <t>Виконавчий комітет Сумської міської ради, КП "Міськводоканал" СМР</t>
  </si>
  <si>
    <t>Впровадження Автоматичної системи комерційного обліку електроенергії (АСКОЕ)</t>
  </si>
  <si>
    <t>Субвенція на капітальний ремонт житлового фонду: водостічної системи, фасаду житлового будинку, заміна вікон в підїздах житлового будинку</t>
  </si>
  <si>
    <t>Субвенція на капітальний ремонт обєктів благоустрою</t>
  </si>
  <si>
    <t>Поповнення статутного капіталу  КП «Сумижилкомсервіс» СМР (придбання мотопомпи та рукавів до неї)</t>
  </si>
  <si>
    <t>Поповнення статутного капіталу  КП «Сумижилкомсервіс» СМР (придбання дизельного генератора потужністю 6,5 кВт)</t>
  </si>
  <si>
    <t>Реконструкція полігону для складування твердих побутових відходів на території Верхньосироватської сільської ради Сумського району Сумської області</t>
  </si>
  <si>
    <t>Департамент інфраструктури міста СМР , КП "Шляхрембуд" СМР та ішні суб'єкти господарювання</t>
  </si>
  <si>
    <t xml:space="preserve">додаток  3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(зі змінами) </t>
  </si>
  <si>
    <t>Здійснення просвітницької діяльності серед населення міста Суми щодо змін законодавства України у сфері житлово-комунальних послуг, переваги ОСББ тощо.</t>
  </si>
  <si>
    <t>Будівництво мереж водопроводу та водовідведення в мікрорайонах приватної забудови міста</t>
  </si>
  <si>
    <t>Озеленення та догляд за зеленими насадженнями в мікрорайонах приватної забудови міста</t>
  </si>
  <si>
    <t>Асфальтування доріг та облаштування тротуарівв мікрорайонах приватної забудови міста</t>
  </si>
  <si>
    <t>Послуги з утримання в належному стані об'єктів благоустрою міста Суми (утримання зупинок громадського транспорту)</t>
  </si>
  <si>
    <t>Фінансова підтримка (оплата електроенергії)</t>
  </si>
  <si>
    <t>Виконання геофізичного дослідження свердловин з подальшим їх тампонажем</t>
  </si>
  <si>
    <t>Розробка схеми теплопостачання міста Суми</t>
  </si>
  <si>
    <t>Відшкодування майнової шкоди, витрат на правову допомогу  та судового збору по рішенню судів, охорона новорічних ялинок</t>
  </si>
  <si>
    <t>Послуги з розробки науково-технічної продукції внесення змін до проекту розміщення зупинок громадського транспорту на вулично-дорожній мережі м.Суми</t>
  </si>
  <si>
    <t>Послуги з технічного обслуговування електрообладнання каналізаційно-насосної станції за адресою м.Суми вул.Привокзальна ,4/13,  постачання електричної енергії ,  підключення електричного кабелю від КНС по вул.Привокзальна, 4/13</t>
  </si>
  <si>
    <t>Поточний ремонт водогону в дитячому парку "Казка" м.Суми</t>
  </si>
  <si>
    <t>Поповнення статутного капіталу КП "Центр догляду за тваринами" СМР (придбання Шприцемету РІ)</t>
  </si>
  <si>
    <t>Поповнення статутного капіталу КП "Центр догляду за тваринами" СМР (придбання дизельного генератора 15КВТ)</t>
  </si>
  <si>
    <t xml:space="preserve">КПКВК </t>
  </si>
  <si>
    <t>Збільшення (+)/ зменшення (-)</t>
  </si>
  <si>
    <t>Проведення ремонту об'єктів транспортної інфраструктури  м.Суми на період до 2020 року, в т.ч.</t>
  </si>
  <si>
    <t>2.2</t>
  </si>
  <si>
    <t>КПКВК</t>
  </si>
  <si>
    <t xml:space="preserve">КПКВК 1517442    </t>
  </si>
  <si>
    <t>тис.грн.</t>
  </si>
  <si>
    <t xml:space="preserve">                                                                       тис.грн.</t>
  </si>
  <si>
    <t>Обсяг ресурсів всього</t>
  </si>
  <si>
    <t>2018 (план)</t>
  </si>
  <si>
    <t>2019 (план)</t>
  </si>
  <si>
    <t>2020 (прогноз)</t>
  </si>
  <si>
    <t>Проведення ремонту об'єктів транспортної інфраструктури  м.Суми на 2018 - 2020 роки</t>
  </si>
  <si>
    <t xml:space="preserve">Загальні витрати </t>
  </si>
  <si>
    <t xml:space="preserve">«Про внесення змін до  Комплексної </t>
  </si>
  <si>
    <t>Забезпечення функціонування водопровідно-каналізаційного господарства міста Суми на 2018 - 2020 роки</t>
  </si>
  <si>
    <t>Джерела фінансуван-ня</t>
  </si>
  <si>
    <t>2018                (план)</t>
  </si>
  <si>
    <t>2019                 (план)</t>
  </si>
  <si>
    <t>на 2018- 2020  роки» затвердженої рішенням</t>
  </si>
  <si>
    <t xml:space="preserve">Сумської міської ради від 21 грудня 2017 року </t>
  </si>
  <si>
    <r>
      <t>Забезпечення функціонування об</t>
    </r>
    <r>
      <rPr>
        <b/>
        <sz val="14"/>
        <rFont val="Calibri"/>
        <family val="2"/>
      </rPr>
      <t>'</t>
    </r>
    <r>
      <rPr>
        <b/>
        <sz val="14"/>
        <rFont val="Times New Roman"/>
        <family val="1"/>
      </rPr>
      <t>єктів житлово-комунального господарства міста Суми на 2018 - 2020 роки</t>
    </r>
  </si>
  <si>
    <t xml:space="preserve">на 2018- 2020  роки» затвердженої рішенням </t>
  </si>
  <si>
    <t xml:space="preserve">Загальні витрати     </t>
  </si>
  <si>
    <t>2018                   (план)</t>
  </si>
  <si>
    <t>2019              (план)</t>
  </si>
  <si>
    <t>Забезпечення зміцнення матеріально-технічної бази підприємств комунальної форми власності міста Суми на 2018 - 2020 роки</t>
  </si>
  <si>
    <t xml:space="preserve">Поповнення статутногокапіталу  КП "Зелене будівництво" СМР (капітальний ремонт адміністративної будівлі за адресою: вул.Ярослава Мудрого, 77) </t>
  </si>
  <si>
    <t xml:space="preserve">«Про внесення змін до Комплексної </t>
  </si>
  <si>
    <t>Створення сприятливих умов проживання населення та забезпечення надання життєво необхідних послуг на 2018 - 2020 роки</t>
  </si>
  <si>
    <t>Загальні витрати</t>
  </si>
  <si>
    <t>2018             (план)</t>
  </si>
  <si>
    <t>2019     (план)</t>
  </si>
  <si>
    <t>2020    (прогноз)</t>
  </si>
  <si>
    <t>Передача іншої субвенції з міського бюджету Верхньосироватській сільській раді Сумського району, Сумської області</t>
  </si>
  <si>
    <t xml:space="preserve">Ресурсне забезпечення виконання Комплексної цільової програми реформування і розвитку житлово-комунального господарства міста Суми на 2018 - 2020 роки </t>
  </si>
  <si>
    <t>Сумської міської ради від 21 грудня 2017 року</t>
  </si>
  <si>
    <r>
      <rPr>
        <sz val="14"/>
        <rFont val="Times New Roman"/>
        <family val="1"/>
      </rPr>
      <t>Порівняльна таблиця змін до  "</t>
    </r>
    <r>
      <rPr>
        <b/>
        <sz val="14"/>
        <rFont val="Times New Roman"/>
        <family val="1"/>
      </rPr>
      <t>Комплексної цільової програми реформування і розвитку житлово-комунального господарства міста Суми на 2018-2020</t>
    </r>
    <r>
      <rPr>
        <sz val="14"/>
        <rFont val="Times New Roman"/>
        <family val="1"/>
      </rPr>
      <t xml:space="preserve"> </t>
    </r>
    <r>
      <rPr>
        <b/>
        <sz val="14"/>
        <rFont val="Times New Roman"/>
        <family val="1"/>
      </rPr>
      <t>роки"</t>
    </r>
    <r>
      <rPr>
        <sz val="14"/>
        <rFont val="Times New Roman"/>
        <family val="1"/>
      </rPr>
      <t>, затвердженої рішенням Сумської міської ради від 21 грудня 2017 року № 2913-МР м.Суми</t>
    </r>
  </si>
  <si>
    <t>Фінансова підтримка  КП "Сумижилкомсервіс"  СМР в т.ч.</t>
  </si>
  <si>
    <t>2.3</t>
  </si>
  <si>
    <t>2.4</t>
  </si>
  <si>
    <t>2.5</t>
  </si>
  <si>
    <t>2.6</t>
  </si>
  <si>
    <t xml:space="preserve">на втрати  сільськогосподарського виробництва по земельній ділянці, що вилучається з обігу та надається в оренду комунальному підприємству "Сумижилкомсервіс" Сумської міської ради для розміщення полігону твердих побутових відходів для міста Суми            </t>
  </si>
  <si>
    <t>на проведення грошової оцінки земельної ділянки  під розміщення III черги полігону ТПВ</t>
  </si>
  <si>
    <t>2.7</t>
  </si>
  <si>
    <t>В.о.директора департаменту</t>
  </si>
  <si>
    <t>В.І.Павленко</t>
  </si>
  <si>
    <t xml:space="preserve">на облаштування майданчиків для тимчасового складування твердих відходів 4 класу небезпеки, які використовуються на полігоні, як ізолювальний матеріал у середніх та верхніх частинах полігону  </t>
  </si>
  <si>
    <t xml:space="preserve">на облаштування тимчасових доріг на полігоні </t>
  </si>
  <si>
    <t>на проведення на території 1-ї та 2-ї черг полігону ізоляції побутових відходів грунтом шаром 0,25 м.</t>
  </si>
  <si>
    <t xml:space="preserve">КПКВК 1216013                                                                                                                                                                                                                                                                                                                                                                                                                                                                                            </t>
  </si>
  <si>
    <t>Забезпечення функціонування водопровідно-каналізаційного господарства в т.ч.</t>
  </si>
  <si>
    <t>Забезпечення проведення поточного ремонту вулично-дорожньої мережі та штучних споруд за рахунок субвенції з державного бюджету</t>
  </si>
  <si>
    <t>2018        (план)</t>
  </si>
  <si>
    <t>2020     (прогноз)</t>
  </si>
  <si>
    <t>Забезпечення функціонування мереж зовнішнього освітлення міста Суми на 2018 - 2020 роки</t>
  </si>
  <si>
    <t>Збереження та утримання на належному рівні зеленої зони міста Суми та поліпшення його екологічних умов, організація громадських робіт                                 на 2018 - 2020 роки</t>
  </si>
  <si>
    <t>Забезпечення благоустрою кладовищ, діяльності спецслужби, поховання безрідних та функціонування громадських вбиралень міста Суми, організація громадських робіт на 2018 - 2020 роки</t>
  </si>
  <si>
    <t>(тис.грн.)</t>
  </si>
  <si>
    <t>2018   (план)</t>
  </si>
  <si>
    <t>2018              (план)</t>
  </si>
  <si>
    <t>2019    (план)</t>
  </si>
  <si>
    <t>2018                       (план)</t>
  </si>
  <si>
    <t>Забезпечення санітарної очистки території міста Суми на 2018 - 2020 роки</t>
  </si>
  <si>
    <t>2019   (план)</t>
  </si>
  <si>
    <t xml:space="preserve">Сумський міський голова </t>
  </si>
  <si>
    <t>Поточний ремонт та утримання в належному стані об'єктів благоустрою  міста Суми на 2018 - 2020 роки</t>
  </si>
  <si>
    <t>2018    (план)</t>
  </si>
  <si>
    <t>2020   (прогноз)</t>
  </si>
  <si>
    <t>Забезпечення сприятливих умов для співіснування людей та тварин на 2018 - 2020 роки</t>
  </si>
  <si>
    <t>(тис. грн.)</t>
  </si>
  <si>
    <t>Капітальний ремонт  об'єктів та елементів благоустрою міста Суми на 2018 - 2020 роки</t>
  </si>
  <si>
    <t>Капітальний ремонт обєктів житлового господарства міста Суми на 2018 - 2020 роки</t>
  </si>
  <si>
    <t>Потреба коштів всього</t>
  </si>
  <si>
    <t>2019                       (план)</t>
  </si>
  <si>
    <t xml:space="preserve">Потреба коштів всього </t>
  </si>
  <si>
    <t>2018                  (план)</t>
  </si>
  <si>
    <t>2019                (план)</t>
  </si>
  <si>
    <t>2020      (прогноз)</t>
  </si>
  <si>
    <t>Впровадження енергозберігаючих заходів  на 2018 - 2020 роки</t>
  </si>
  <si>
    <t>Забезпечення надійного та безперебійного функціонування житлово-експлуатаційного господарства                                                                                                                                                                                                                                              на 2018 - 2020 роки</t>
  </si>
  <si>
    <t>Здійснення   заходів із впровадження засобів обліку витрат та регулювання споживання води та теплової енергії на 2018 - 2020 роки</t>
  </si>
  <si>
    <t>Заходи з будівництва, реставрації та реконструкції на 2018 - 2020 роки</t>
  </si>
  <si>
    <t>Повернення бюджетних позичок на поворотній основі на 2018 - 2020 роки</t>
  </si>
  <si>
    <r>
      <t xml:space="preserve">2018  </t>
    </r>
    <r>
      <rPr>
        <b/>
        <sz val="12"/>
        <rFont val="Times New Roman"/>
        <family val="1"/>
      </rPr>
      <t xml:space="preserve"> (план)</t>
    </r>
  </si>
  <si>
    <r>
      <t>2019</t>
    </r>
    <r>
      <rPr>
        <b/>
        <sz val="12"/>
        <rFont val="Times New Roman"/>
        <family val="1"/>
      </rPr>
      <t xml:space="preserve"> (план)</t>
    </r>
  </si>
  <si>
    <r>
      <t xml:space="preserve">2020  </t>
    </r>
    <r>
      <rPr>
        <b/>
        <sz val="12"/>
        <rFont val="Times New Roman"/>
        <family val="1"/>
      </rPr>
      <t xml:space="preserve"> (прогноз)</t>
    </r>
  </si>
  <si>
    <t>Надання бюджетних позичок на поворотній основі на 2018 - 2020 роки</t>
  </si>
  <si>
    <t>Додаток 3</t>
  </si>
  <si>
    <t>Додаток 4</t>
  </si>
  <si>
    <t>Додаток  5</t>
  </si>
  <si>
    <t>Додаток  6</t>
  </si>
  <si>
    <t xml:space="preserve">Додаток 8 </t>
  </si>
  <si>
    <t xml:space="preserve">Додаток 9 </t>
  </si>
  <si>
    <t>Додаток 11</t>
  </si>
  <si>
    <t>Додаток 13</t>
  </si>
  <si>
    <t>Додаток 14</t>
  </si>
  <si>
    <t>Додаток 15</t>
  </si>
  <si>
    <t xml:space="preserve">Додаток 16 </t>
  </si>
  <si>
    <t>Додаток 17</t>
  </si>
  <si>
    <t xml:space="preserve">Додаток 18 </t>
  </si>
  <si>
    <t>Додаток 19</t>
  </si>
  <si>
    <t>Додаток 20</t>
  </si>
  <si>
    <t>Додаток 21</t>
  </si>
  <si>
    <t>Додаток 22</t>
  </si>
  <si>
    <t>3.1</t>
  </si>
  <si>
    <t>орендна плата за користування земельною ділянкою полігону для розміщення твердих побутових відходів III черги</t>
  </si>
  <si>
    <t>5</t>
  </si>
  <si>
    <t>5.1</t>
  </si>
  <si>
    <t>2.8</t>
  </si>
  <si>
    <t>на оплату орендної плати за користування земельною ділянкою на території Верхньосироватської ОТГ в с.В.Бобрик 1-ї та 2-ї черги</t>
  </si>
  <si>
    <t>оплата орендної плати за користування земельною ділянкою на території Верхньосироватської ОТГ в с.В.Бобрик, на якій розташований полігон для складання ТПВ -</t>
  </si>
  <si>
    <t xml:space="preserve">Поповнення статутного капіталу  КП "Міськводоканал" СМР (проведення оцінки запасів питних підземних вод Сумського родовища) </t>
  </si>
  <si>
    <t xml:space="preserve">Придбання водопровідних та каналізаційних люків, </t>
  </si>
  <si>
    <t xml:space="preserve">Визначення норм надання послуг з вивезення ТПВ в м. Суми (ІІІ етап робіт -розробка звіту) </t>
  </si>
  <si>
    <t>1.33</t>
  </si>
  <si>
    <t>Нове будівництво полігону для складування твердих побутових відходів на території Верхньосироватської сільської ради Сумського району Сумської області (розробка оцінки впливу на довкілля)</t>
  </si>
  <si>
    <t xml:space="preserve"> КПКВК 1216090                                                                                                                                                                                                                                                                                                                                                                                         </t>
  </si>
  <si>
    <t>Забезпечення зміцнення матеріально-технічної бази підприємств комунальної форми власності міста Суми  в т.ч.</t>
  </si>
  <si>
    <t>КПКВК 1217670</t>
  </si>
  <si>
    <t>6</t>
  </si>
  <si>
    <t>6.1</t>
  </si>
  <si>
    <t>КПКВК 1216017</t>
  </si>
  <si>
    <t>Забезпечення надійного та безперебійного функціонування житлово-експлуатаційного господарства  в т.ч.</t>
  </si>
  <si>
    <t xml:space="preserve">додаток 18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(нова редакція) </t>
  </si>
  <si>
    <t xml:space="preserve"> №  2913-МР (зі змінами) </t>
  </si>
  <si>
    <t>Виконавець: Павленко В.І.</t>
  </si>
  <si>
    <t>Послуги з проведення санації шахтних колодязів</t>
  </si>
  <si>
    <t xml:space="preserve">від 21 грудня   2017 року №  2913-МР, (зі змінами) </t>
  </si>
  <si>
    <t>Виконавець:Павленко В.І.</t>
  </si>
  <si>
    <t xml:space="preserve">затвердженої рішенням Сумської міської ради від 21 грудня   2017 року №  2913-МР, (зі змінами) </t>
  </si>
  <si>
    <t>від 21 грудня   2017 року №  2913-МР (зі змінами)</t>
  </si>
  <si>
    <t xml:space="preserve">          Виконавець: Павленко В.І.                      </t>
  </si>
  <si>
    <t xml:space="preserve">від 21 грудня 2017 року № 2913-МР, (зі змінами) </t>
  </si>
  <si>
    <t>від 21 грудня   2017 року №  2913-МР, (зі змінами)</t>
  </si>
  <si>
    <t>№ 2913-МР (зі змінами)</t>
  </si>
  <si>
    <t>Сумської міської ради від 21 грудня 2017 року № 2913-МР, (зі змінами)</t>
  </si>
  <si>
    <t>Сумської міської ради від 21 грудня 2017 року                № 2913-МР, (зі змінами)</t>
  </si>
  <si>
    <t>Виконавець:  Павленко В.І.</t>
  </si>
  <si>
    <t>на  2018 - 2020 роки», (зі змінами)</t>
  </si>
  <si>
    <t>від 21 грудня 2017 року №2913-МР,(зі змінами)</t>
  </si>
  <si>
    <t xml:space="preserve">Фінансова підтримка  КП «Міськводоканал» СМР для проведення оцінки 
запасів питних підземних вод Сумського родовища
</t>
  </si>
  <si>
    <t>Поповнення статутного капіталу  КП "Спецкомбінат" СМР (придбання кущоріза)</t>
  </si>
  <si>
    <t xml:space="preserve"> КПКВК 1216013                                                                                  
</t>
  </si>
  <si>
    <t>Забезпечення функціонування об'єктів житлово-комунального господарства міста Суми на 2018 - 2020 роки</t>
  </si>
  <si>
    <t>В.о. директора департаменту</t>
  </si>
  <si>
    <t>В.І. Павленко</t>
  </si>
  <si>
    <t>додаток 16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 зі змінами)</t>
  </si>
  <si>
    <t xml:space="preserve">від                            №  </t>
  </si>
  <si>
    <t xml:space="preserve">від                                  № </t>
  </si>
  <si>
    <t xml:space="preserve">від                              № </t>
  </si>
  <si>
    <t xml:space="preserve">від                                  №  </t>
  </si>
  <si>
    <t xml:space="preserve">від                             № </t>
  </si>
  <si>
    <t xml:space="preserve">від                                 № </t>
  </si>
  <si>
    <t xml:space="preserve">від                        № </t>
  </si>
  <si>
    <t xml:space="preserve">від                            № </t>
  </si>
  <si>
    <t xml:space="preserve">від                                № </t>
  </si>
  <si>
    <t>Забезпечення святкового оформлення міста до пам'ятних та історичних дат, культурно-мистецьких, релігійних та інших заходів міста Суми                                                                   на 2018 - 2020 роки</t>
  </si>
  <si>
    <t xml:space="preserve">від                               № </t>
  </si>
  <si>
    <t>від                              №</t>
  </si>
  <si>
    <t xml:space="preserve">від                                    № </t>
  </si>
  <si>
    <t>1.34</t>
  </si>
  <si>
    <t>Реконструкція мереж газопостачання до житлових будинків військового містечка по вул. Герасима Кондратьєва, 165 в м.Суми</t>
  </si>
  <si>
    <t xml:space="preserve">від                         № </t>
  </si>
  <si>
    <t xml:space="preserve">до рішення Сумської міської ради 
"Про внесення змін до Комплексної цільової  програми  реформування і розвитку житлово- комунального господарства міста Суми на 2018- 2020  роки", затвердженої рішенням Сумської міської ради від 21 грудня 2017 року  №  2913-МР" (зі змінами)
від                       №                                                                                                                                </t>
  </si>
  <si>
    <t>Управління капітального будівництва та дорожнього господарства СМР,Департамент інфраструктури міста СМР, КП "Шляхрембуд" СМР та ішні суб'єкти господарювання</t>
  </si>
  <si>
    <t>КПКВК 1217640</t>
  </si>
  <si>
    <t>4</t>
  </si>
  <si>
    <t>4.1</t>
  </si>
  <si>
    <t>КПКВК 1216090</t>
  </si>
  <si>
    <t xml:space="preserve">додаток  4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(зі змінами) </t>
  </si>
  <si>
    <t xml:space="preserve">додаток 13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(зі змінами) </t>
  </si>
  <si>
    <t xml:space="preserve">додаток 14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(зі змінами) </t>
  </si>
  <si>
    <t xml:space="preserve">додаток 15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(зі змінами) </t>
  </si>
  <si>
    <t xml:space="preserve">додаток 11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(зі змінами) </t>
  </si>
  <si>
    <t xml:space="preserve">додаток 7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(зі змінами) </t>
  </si>
  <si>
    <t>6.</t>
  </si>
  <si>
    <t>КПКВК 1216030</t>
  </si>
  <si>
    <t>1.35</t>
  </si>
  <si>
    <t>Будівництво спортивного майданчика «Атом-воркаут» по просп. Курський, 103» (на реалізацію громадського проекту № 55)</t>
  </si>
  <si>
    <t>7.1</t>
  </si>
  <si>
    <t>Надання послуг з розробки оцінки впливу на довкілля будівництва 3-ї черги полігону ТПВ</t>
  </si>
  <si>
    <t>Визначення обсягів родючого шару землі на Новоселицькому кладовищі</t>
  </si>
  <si>
    <t xml:space="preserve">додаток 12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(зі змінами) </t>
  </si>
  <si>
    <t>7</t>
  </si>
  <si>
    <t>7.2</t>
  </si>
  <si>
    <t>7.3</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</si>
</sst>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_₴_-;\-* #,##0_₴_-;_-* &quot;-&quot;_₴_-;_-@_-"/>
    <numFmt numFmtId="172" formatCode="_-* #,##0.00&quot;₴&quot;_-;\-* #,##0.00&quot;₴&quot;_-;_-* &quot;-&quot;??&quot;₴&quot;_-;_-@_-"/>
    <numFmt numFmtId="173" formatCode="_-* #,##0.00_₴_-;\-* #,##0.00_₴_-;_-* &quot;-&quot;??_₴_-;_-@_-"/>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0"/>
    <numFmt numFmtId="179" formatCode="#,##0_р_."/>
    <numFmt numFmtId="180" formatCode="0.00_ ;[Red]\-0.00\ "/>
    <numFmt numFmtId="181" formatCode="#,##0.000"/>
    <numFmt numFmtId="182" formatCode="#,##0.0"/>
    <numFmt numFmtId="183" formatCode="_(* #,##0.000_);_(* \(#,##0.000\);_(* &quot;-&quot;??_);_(@_)"/>
    <numFmt numFmtId="184" formatCode="#,##0.0_р_."/>
    <numFmt numFmtId="185" formatCode="&quot;Да&quot;;&quot;Да&quot;;&quot;Нет&quot;"/>
    <numFmt numFmtId="186" formatCode="&quot;Истина&quot;;&quot;Истина&quot;;&quot;Ложь&quot;"/>
    <numFmt numFmtId="187" formatCode="&quot;Вкл&quot;;&quot;Вкл&quot;;&quot;Выкл&quot;"/>
    <numFmt numFmtId="188" formatCode="[$€-2]\ ###,000_);[Red]\([$€-2]\ ###,000\)"/>
    <numFmt numFmtId="189" formatCode="[$]dddd\,\ d\ mmmm\ yyyy\ &quot;г&quot;\."/>
    <numFmt numFmtId="190" formatCode="#,##0.00\ &quot;₴&quot;"/>
    <numFmt numFmtId="191" formatCode="#,##0.0000"/>
  </numFmts>
  <fonts count="72">
    <font>
      <sz val="10"/>
      <name val="Arial"/>
      <family val="0"/>
    </font>
    <font>
      <b/>
      <sz val="14"/>
      <name val="Times New Roman"/>
      <family val="1"/>
    </font>
    <font>
      <sz val="12"/>
      <name val="Times New Roman"/>
      <family val="1"/>
    </font>
    <font>
      <b/>
      <sz val="12"/>
      <name val="Times New Roman"/>
      <family val="1"/>
    </font>
    <font>
      <u val="single"/>
      <sz val="7.5"/>
      <color indexed="12"/>
      <name val="Arial"/>
      <family val="2"/>
    </font>
    <font>
      <u val="single"/>
      <sz val="7.5"/>
      <color indexed="36"/>
      <name val="Arial"/>
      <family val="2"/>
    </font>
    <font>
      <sz val="14"/>
      <name val="Times New Roman"/>
      <family val="1"/>
    </font>
    <font>
      <b/>
      <sz val="11"/>
      <name val="Times New Roman"/>
      <family val="1"/>
    </font>
    <font>
      <sz val="14"/>
      <name val="Arial"/>
      <family val="2"/>
    </font>
    <font>
      <b/>
      <u val="single"/>
      <sz val="12"/>
      <name val="Times New Roman"/>
      <family val="1"/>
    </font>
    <font>
      <sz val="8"/>
      <name val="Arial"/>
      <family val="2"/>
    </font>
    <font>
      <sz val="14"/>
      <name val="Calibri"/>
      <family val="2"/>
    </font>
    <font>
      <sz val="12"/>
      <name val="Calibri"/>
      <family val="2"/>
    </font>
    <font>
      <b/>
      <sz val="14"/>
      <name val="Calibri"/>
      <family val="2"/>
    </font>
    <font>
      <b/>
      <sz val="12"/>
      <color indexed="10"/>
      <name val="Times New Roman"/>
      <family val="1"/>
    </font>
    <font>
      <sz val="12"/>
      <name val="Arial"/>
      <family val="2"/>
    </font>
    <font>
      <b/>
      <sz val="16"/>
      <name val="Times New Roman"/>
      <family val="1"/>
    </font>
    <font>
      <sz val="18"/>
      <name val="Times New Roman"/>
      <family val="1"/>
    </font>
    <font>
      <sz val="18"/>
      <name val="Arial"/>
      <family val="2"/>
    </font>
    <font>
      <b/>
      <u val="single"/>
      <sz val="14"/>
      <name val="Times New Roman"/>
      <family val="1"/>
    </font>
    <font>
      <sz val="14"/>
      <color indexed="8"/>
      <name val="Times New Roman"/>
      <family val="1"/>
    </font>
    <font>
      <sz val="12.5"/>
      <name val="Times New Roman"/>
      <family val="1"/>
    </font>
    <font>
      <b/>
      <sz val="12.5"/>
      <name val="Times New Roman"/>
      <family val="1"/>
    </font>
    <font>
      <b/>
      <sz val="13"/>
      <name val="Times New Roman"/>
      <family val="1"/>
    </font>
    <font>
      <sz val="13"/>
      <name val="Times New Roman"/>
      <family val="1"/>
    </font>
    <font>
      <sz val="11"/>
      <name val="Times New Roman"/>
      <family val="1"/>
    </font>
    <font>
      <sz val="13.5"/>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10"/>
      <name val="Times New Roman"/>
      <family val="1"/>
    </font>
    <font>
      <sz val="12"/>
      <color indexed="8"/>
      <name val="Times New Roman"/>
      <family val="1"/>
    </font>
    <font>
      <sz val="13"/>
      <color indexed="8"/>
      <name val="Times New Roman"/>
      <family val="1"/>
    </font>
    <font>
      <sz val="12"/>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rgb="FFFF0000"/>
      <name val="Times New Roman"/>
      <family val="1"/>
    </font>
    <font>
      <sz val="14"/>
      <color theme="1"/>
      <name val="Times New Roman"/>
      <family val="1"/>
    </font>
    <font>
      <sz val="12"/>
      <color theme="1"/>
      <name val="Times New Roman"/>
      <family val="1"/>
    </font>
    <font>
      <sz val="13"/>
      <color theme="1"/>
      <name val="Times New Roman"/>
      <family val="1"/>
    </font>
    <font>
      <sz val="14"/>
      <color rgb="FF000000"/>
      <name val="Times New Roman"/>
      <family val="1"/>
    </font>
    <font>
      <sz val="12"/>
      <color rgb="FFFF0000"/>
      <name val="Times New Roman"/>
      <family val="1"/>
    </font>
    <font>
      <sz val="12"/>
      <color rgb="FF000000"/>
      <name val="Times New Roman"/>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
      <patternFill patternType="solid">
        <fgColor rgb="FF7030A0"/>
        <bgColor indexed="64"/>
      </patternFill>
    </fill>
    <fill>
      <patternFill patternType="solid">
        <fgColor indexed="5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color indexed="63"/>
      </bottom>
    </border>
    <border>
      <left>
        <color indexed="63"/>
      </left>
      <right style="thin"/>
      <top>
        <color indexed="63"/>
      </top>
      <bottom style="thin"/>
    </border>
    <border>
      <left style="thin"/>
      <right>
        <color indexed="63"/>
      </right>
      <top style="thin"/>
      <bottom style="thin"/>
    </border>
    <border>
      <left style="thin"/>
      <right>
        <color indexed="63"/>
      </right>
      <top>
        <color indexed="63"/>
      </top>
      <bottom style="thin"/>
    </border>
    <border>
      <left>
        <color indexed="63"/>
      </left>
      <right style="thin"/>
      <top style="thin"/>
      <bottom>
        <color indexed="63"/>
      </bottom>
    </border>
    <border>
      <left>
        <color indexed="63"/>
      </left>
      <right>
        <color indexed="63"/>
      </right>
      <top style="thin"/>
      <bottom style="thin"/>
    </border>
    <border>
      <left/>
      <right style="thin"/>
      <top/>
      <botto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7" borderId="2" applyNumberFormat="0" applyAlignment="0" applyProtection="0"/>
    <xf numFmtId="0" fontId="52" fillId="27" borderId="1" applyNumberFormat="0" applyAlignment="0" applyProtection="0"/>
    <xf numFmtId="0" fontId="4" fillId="0" borderId="0" applyNumberForma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28" borderId="7" applyNumberFormat="0" applyAlignment="0" applyProtection="0"/>
    <xf numFmtId="0" fontId="58" fillId="0" borderId="0" applyNumberFormat="0" applyFill="0" applyBorder="0" applyAlignment="0" applyProtection="0"/>
    <xf numFmtId="0" fontId="59" fillId="29" borderId="0" applyNumberFormat="0" applyBorder="0" applyAlignment="0" applyProtection="0"/>
    <xf numFmtId="0" fontId="0" fillId="0" borderId="0">
      <alignment/>
      <protection/>
    </xf>
    <xf numFmtId="0" fontId="5" fillId="0" borderId="0" applyNumberFormat="0" applyFill="0" applyBorder="0" applyAlignment="0" applyProtection="0"/>
    <xf numFmtId="0" fontId="60" fillId="30" borderId="0" applyNumberFormat="0" applyBorder="0" applyAlignment="0" applyProtection="0"/>
    <xf numFmtId="0" fontId="6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2" fillId="0" borderId="9" applyNumberFormat="0" applyFill="0" applyAlignment="0" applyProtection="0"/>
    <xf numFmtId="0" fontId="63" fillId="0" borderId="0" applyNumberFormat="0" applyFill="0" applyBorder="0" applyAlignment="0" applyProtection="0"/>
    <xf numFmtId="177" fontId="0" fillId="0" borderId="0" applyFont="0" applyFill="0" applyBorder="0" applyAlignment="0" applyProtection="0"/>
    <xf numFmtId="175" fontId="0" fillId="0" borderId="0" applyFont="0" applyFill="0" applyBorder="0" applyAlignment="0" applyProtection="0"/>
    <xf numFmtId="177" fontId="0" fillId="0" borderId="0" applyFont="0" applyFill="0" applyBorder="0" applyAlignment="0" applyProtection="0"/>
    <xf numFmtId="0" fontId="64" fillId="32" borderId="0" applyNumberFormat="0" applyBorder="0" applyAlignment="0" applyProtection="0"/>
  </cellStyleXfs>
  <cellXfs count="655">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2" fillId="0" borderId="0" xfId="0" applyFont="1" applyAlignment="1">
      <alignment horizontal="left"/>
    </xf>
    <xf numFmtId="0" fontId="3" fillId="0" borderId="0" xfId="0" applyFont="1" applyBorder="1" applyAlignment="1">
      <alignment horizontal="center" vertical="center" wrapText="1"/>
    </xf>
    <xf numFmtId="178" fontId="0" fillId="0" borderId="0" xfId="0" applyNumberFormat="1" applyAlignment="1">
      <alignment/>
    </xf>
    <xf numFmtId="178" fontId="3" fillId="0" borderId="0" xfId="0" applyNumberFormat="1" applyFont="1" applyBorder="1" applyAlignment="1">
      <alignment horizontal="center" vertical="center" wrapText="1"/>
    </xf>
    <xf numFmtId="0" fontId="2" fillId="0" borderId="0" xfId="0" applyFont="1" applyAlignment="1">
      <alignment horizontal="center" vertical="center" wrapText="1"/>
    </xf>
    <xf numFmtId="0" fontId="6" fillId="0" borderId="0" xfId="0" applyFont="1" applyAlignment="1">
      <alignment horizontal="center" vertical="center" wrapText="1"/>
    </xf>
    <xf numFmtId="0" fontId="0" fillId="0" borderId="0" xfId="0" applyFont="1" applyAlignment="1">
      <alignment/>
    </xf>
    <xf numFmtId="0" fontId="2" fillId="0" borderId="0" xfId="0" applyFont="1" applyBorder="1" applyAlignment="1">
      <alignment vertical="center" wrapText="1"/>
    </xf>
    <xf numFmtId="0" fontId="1" fillId="0" borderId="0" xfId="0" applyFont="1" applyBorder="1" applyAlignment="1">
      <alignment horizontal="left" vertical="center" wrapText="1"/>
    </xf>
    <xf numFmtId="0" fontId="2" fillId="0" borderId="0" xfId="53" applyFont="1" applyAlignment="1">
      <alignment horizontal="left"/>
      <protection/>
    </xf>
    <xf numFmtId="0" fontId="2" fillId="0" borderId="0" xfId="53" applyFont="1" applyAlignment="1">
      <alignment horizontal="center"/>
      <protection/>
    </xf>
    <xf numFmtId="0" fontId="0" fillId="0" borderId="0" xfId="53">
      <alignment/>
      <protection/>
    </xf>
    <xf numFmtId="0" fontId="2" fillId="0" borderId="0" xfId="53" applyFont="1">
      <alignment/>
      <protection/>
    </xf>
    <xf numFmtId="0" fontId="0" fillId="0" borderId="0" xfId="53" applyFont="1">
      <alignment/>
      <protection/>
    </xf>
    <xf numFmtId="0" fontId="2" fillId="0" borderId="0" xfId="53" applyFont="1" applyAlignment="1">
      <alignment/>
      <protection/>
    </xf>
    <xf numFmtId="0" fontId="3" fillId="0" borderId="0" xfId="53" applyFont="1" applyBorder="1" applyAlignment="1">
      <alignment horizontal="center" vertical="center" wrapText="1"/>
      <protection/>
    </xf>
    <xf numFmtId="178" fontId="3" fillId="0" borderId="0" xfId="53" applyNumberFormat="1" applyFont="1" applyBorder="1" applyAlignment="1">
      <alignment horizontal="center" vertical="center" wrapText="1"/>
      <protection/>
    </xf>
    <xf numFmtId="0" fontId="2" fillId="0" borderId="0" xfId="53" applyFont="1" applyBorder="1" applyAlignment="1">
      <alignment horizontal="center"/>
      <protection/>
    </xf>
    <xf numFmtId="0" fontId="1" fillId="0" borderId="0" xfId="53" applyFont="1" applyBorder="1" applyAlignment="1">
      <alignment horizontal="left" vertical="center" wrapText="1"/>
      <protection/>
    </xf>
    <xf numFmtId="0" fontId="6" fillId="0" borderId="0" xfId="53" applyFont="1" applyAlignment="1">
      <alignment horizontal="center" vertical="center" wrapText="1"/>
      <protection/>
    </xf>
    <xf numFmtId="0" fontId="6" fillId="0" borderId="0" xfId="53" applyFont="1" applyAlignment="1">
      <alignment vertical="center" wrapText="1"/>
      <protection/>
    </xf>
    <xf numFmtId="0" fontId="1" fillId="0" borderId="0" xfId="53" applyFont="1" applyAlignment="1">
      <alignment vertical="center" wrapText="1"/>
      <protection/>
    </xf>
    <xf numFmtId="2" fontId="6" fillId="0" borderId="0" xfId="53" applyNumberFormat="1" applyFont="1" applyBorder="1" applyAlignment="1">
      <alignment horizontal="center" vertical="center" wrapText="1"/>
      <protection/>
    </xf>
    <xf numFmtId="0" fontId="2" fillId="0" borderId="0" xfId="53" applyFont="1" applyAlignment="1">
      <alignment horizontal="center" vertical="center" wrapText="1"/>
      <protection/>
    </xf>
    <xf numFmtId="0" fontId="3" fillId="0" borderId="0" xfId="53" applyFont="1" applyAlignment="1">
      <alignment/>
      <protection/>
    </xf>
    <xf numFmtId="0" fontId="7" fillId="0" borderId="0" xfId="53" applyFont="1" applyBorder="1" applyAlignment="1">
      <alignment/>
      <protection/>
    </xf>
    <xf numFmtId="0" fontId="2" fillId="0" borderId="0" xfId="53" applyFont="1" applyBorder="1" applyAlignment="1">
      <alignment vertical="center" wrapText="1"/>
      <protection/>
    </xf>
    <xf numFmtId="0" fontId="2" fillId="0" borderId="0" xfId="53" applyFont="1" applyAlignment="1">
      <alignment horizontal="left" vertical="center" wrapText="1"/>
      <protection/>
    </xf>
    <xf numFmtId="14" fontId="2" fillId="0" borderId="0" xfId="53" applyNumberFormat="1" applyFont="1" applyAlignment="1">
      <alignment horizontal="left" vertical="center" wrapText="1"/>
      <protection/>
    </xf>
    <xf numFmtId="178" fontId="0" fillId="0" borderId="0" xfId="53" applyNumberFormat="1">
      <alignment/>
      <protection/>
    </xf>
    <xf numFmtId="0" fontId="0" fillId="33" borderId="0" xfId="53" applyFill="1">
      <alignment/>
      <protection/>
    </xf>
    <xf numFmtId="0" fontId="1" fillId="0" borderId="0" xfId="53" applyFont="1" applyAlignment="1">
      <alignment horizontal="center" wrapText="1"/>
      <protection/>
    </xf>
    <xf numFmtId="0" fontId="2" fillId="0" borderId="0" xfId="53" applyFont="1" applyAlignment="1">
      <alignment horizontal="right"/>
      <protection/>
    </xf>
    <xf numFmtId="0" fontId="6" fillId="0" borderId="10" xfId="53" applyFont="1" applyBorder="1" applyAlignment="1">
      <alignment horizontal="center" vertical="center" wrapText="1"/>
      <protection/>
    </xf>
    <xf numFmtId="4" fontId="6" fillId="0" borderId="10" xfId="53" applyNumberFormat="1" applyFont="1" applyFill="1" applyBorder="1" applyAlignment="1">
      <alignment horizontal="center" vertical="center" wrapText="1"/>
      <protection/>
    </xf>
    <xf numFmtId="4" fontId="6" fillId="34" borderId="10" xfId="53" applyNumberFormat="1" applyFont="1" applyFill="1" applyBorder="1" applyAlignment="1">
      <alignment horizontal="center" vertical="center" wrapText="1"/>
      <protection/>
    </xf>
    <xf numFmtId="0" fontId="0" fillId="0" borderId="0" xfId="53" applyBorder="1" applyAlignment="1">
      <alignment/>
      <protection/>
    </xf>
    <xf numFmtId="4" fontId="3" fillId="0" borderId="0" xfId="53" applyNumberFormat="1" applyFont="1" applyBorder="1" applyAlignment="1">
      <alignment horizontal="center" vertical="center" wrapText="1"/>
      <protection/>
    </xf>
    <xf numFmtId="0" fontId="0" fillId="0" borderId="0" xfId="53" applyBorder="1">
      <alignment/>
      <protection/>
    </xf>
    <xf numFmtId="0" fontId="2" fillId="0" borderId="0" xfId="0" applyFont="1" applyBorder="1" applyAlignment="1">
      <alignment horizontal="center"/>
    </xf>
    <xf numFmtId="0" fontId="7" fillId="0" borderId="0" xfId="0" applyFont="1" applyBorder="1" applyAlignment="1">
      <alignment/>
    </xf>
    <xf numFmtId="0" fontId="2" fillId="0" borderId="0" xfId="0" applyFont="1" applyAlignment="1">
      <alignment horizontal="left" vertical="center" wrapText="1"/>
    </xf>
    <xf numFmtId="14" fontId="2" fillId="0" borderId="0" xfId="0" applyNumberFormat="1" applyFont="1" applyAlignment="1">
      <alignment horizontal="left" vertical="center" wrapText="1"/>
    </xf>
    <xf numFmtId="0" fontId="2" fillId="0" borderId="0" xfId="0" applyFont="1" applyAlignment="1">
      <alignment horizontal="right"/>
    </xf>
    <xf numFmtId="0" fontId="6" fillId="0" borderId="10" xfId="0" applyFont="1" applyBorder="1" applyAlignment="1">
      <alignment horizontal="center" vertical="center" wrapText="1"/>
    </xf>
    <xf numFmtId="0" fontId="6" fillId="0" borderId="0" xfId="0" applyFont="1" applyAlignment="1">
      <alignment vertical="center" wrapText="1"/>
    </xf>
    <xf numFmtId="2" fontId="6" fillId="0" borderId="0" xfId="0" applyNumberFormat="1" applyFont="1" applyBorder="1" applyAlignment="1">
      <alignment horizontal="center" vertical="center" wrapText="1"/>
    </xf>
    <xf numFmtId="0" fontId="3" fillId="0" borderId="0" xfId="0" applyFont="1" applyAlignment="1">
      <alignment/>
    </xf>
    <xf numFmtId="0" fontId="0" fillId="0" borderId="0" xfId="0" applyBorder="1" applyAlignment="1">
      <alignment/>
    </xf>
    <xf numFmtId="0" fontId="1" fillId="0" borderId="0" xfId="53" applyFont="1" applyBorder="1" applyAlignment="1">
      <alignment horizontal="center" vertical="center" wrapText="1"/>
      <protection/>
    </xf>
    <xf numFmtId="2" fontId="1" fillId="0" borderId="0" xfId="53" applyNumberFormat="1" applyFont="1" applyBorder="1" applyAlignment="1">
      <alignment horizontal="center" vertical="center" wrapText="1"/>
      <protection/>
    </xf>
    <xf numFmtId="0" fontId="3" fillId="0" borderId="0" xfId="53" applyFont="1" applyBorder="1" applyAlignment="1">
      <alignment horizontal="left" vertical="center" wrapText="1"/>
      <protection/>
    </xf>
    <xf numFmtId="0" fontId="0" fillId="35" borderId="0" xfId="53" applyFill="1">
      <alignment/>
      <protection/>
    </xf>
    <xf numFmtId="0" fontId="6" fillId="0" borderId="0" xfId="0" applyFont="1" applyAlignment="1">
      <alignment horizontal="left"/>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6" fillId="0" borderId="0" xfId="53" applyFont="1" applyAlignment="1">
      <alignment horizontal="left"/>
      <protection/>
    </xf>
    <xf numFmtId="0" fontId="1" fillId="0" borderId="10" xfId="53" applyFont="1" applyBorder="1" applyAlignment="1">
      <alignment horizontal="center" vertical="center" wrapText="1"/>
      <protection/>
    </xf>
    <xf numFmtId="0" fontId="6" fillId="0" borderId="10" xfId="53" applyFont="1" applyBorder="1" applyAlignment="1">
      <alignment horizontal="left" vertical="center" wrapText="1"/>
      <protection/>
    </xf>
    <xf numFmtId="4" fontId="1" fillId="0" borderId="10" xfId="53" applyNumberFormat="1" applyFont="1" applyBorder="1" applyAlignment="1">
      <alignment horizontal="center" vertical="center" wrapText="1"/>
      <protection/>
    </xf>
    <xf numFmtId="4" fontId="6" fillId="0" borderId="12" xfId="53" applyNumberFormat="1" applyFont="1" applyBorder="1" applyAlignment="1">
      <alignment horizontal="center" vertical="center" wrapText="1"/>
      <protection/>
    </xf>
    <xf numFmtId="4" fontId="6" fillId="0" borderId="12" xfId="53" applyNumberFormat="1" applyFont="1" applyFill="1" applyBorder="1" applyAlignment="1">
      <alignment horizontal="center" vertical="center" wrapText="1"/>
      <protection/>
    </xf>
    <xf numFmtId="0" fontId="6" fillId="34" borderId="10" xfId="53" applyFont="1" applyFill="1" applyBorder="1" applyAlignment="1">
      <alignment horizontal="left" vertical="center" wrapText="1"/>
      <protection/>
    </xf>
    <xf numFmtId="0" fontId="6" fillId="34" borderId="10" xfId="53" applyFont="1" applyFill="1" applyBorder="1" applyAlignment="1">
      <alignment horizontal="center" vertical="center" wrapText="1"/>
      <protection/>
    </xf>
    <xf numFmtId="4" fontId="1" fillId="34" borderId="10" xfId="53" applyNumberFormat="1" applyFont="1" applyFill="1" applyBorder="1" applyAlignment="1">
      <alignment horizontal="center" vertical="center" wrapText="1"/>
      <protection/>
    </xf>
    <xf numFmtId="0" fontId="8" fillId="0" borderId="0" xfId="53" applyFont="1">
      <alignment/>
      <protection/>
    </xf>
    <xf numFmtId="0" fontId="6" fillId="0" borderId="10" xfId="0" applyFont="1" applyBorder="1" applyAlignment="1">
      <alignment horizontal="left" vertical="center" wrapText="1"/>
    </xf>
    <xf numFmtId="0" fontId="8" fillId="0" borderId="10" xfId="53" applyFont="1" applyBorder="1" applyAlignment="1">
      <alignment/>
      <protection/>
    </xf>
    <xf numFmtId="0" fontId="1" fillId="0" borderId="11" xfId="53" applyFont="1" applyBorder="1" applyAlignment="1">
      <alignment horizontal="center" vertical="center" wrapText="1"/>
      <protection/>
    </xf>
    <xf numFmtId="0" fontId="6" fillId="0" borderId="10" xfId="53" applyFont="1" applyBorder="1" applyAlignment="1">
      <alignment horizontal="center"/>
      <protection/>
    </xf>
    <xf numFmtId="0" fontId="6" fillId="0" borderId="0" xfId="53" applyFont="1" applyAlignment="1">
      <alignment/>
      <protection/>
    </xf>
    <xf numFmtId="178" fontId="6" fillId="0" borderId="10" xfId="53" applyNumberFormat="1" applyFont="1" applyBorder="1" applyAlignment="1">
      <alignment horizontal="center" vertical="center" wrapText="1"/>
      <protection/>
    </xf>
    <xf numFmtId="4" fontId="6" fillId="0" borderId="10" xfId="53" applyNumberFormat="1" applyFont="1" applyBorder="1" applyAlignment="1">
      <alignment horizontal="center" vertical="center" wrapText="1"/>
      <protection/>
    </xf>
    <xf numFmtId="0" fontId="6" fillId="0" borderId="10" xfId="53" applyFont="1" applyBorder="1" applyAlignment="1">
      <alignment vertical="center" wrapText="1"/>
      <protection/>
    </xf>
    <xf numFmtId="0" fontId="8" fillId="0" borderId="10" xfId="53" applyFont="1" applyBorder="1">
      <alignment/>
      <protection/>
    </xf>
    <xf numFmtId="0" fontId="1" fillId="0" borderId="10" xfId="53" applyFont="1" applyBorder="1" applyAlignment="1">
      <alignment vertical="center"/>
      <protection/>
    </xf>
    <xf numFmtId="4" fontId="6" fillId="0" borderId="12" xfId="0" applyNumberFormat="1" applyFont="1" applyBorder="1" applyAlignment="1">
      <alignment horizontal="center" vertical="center" wrapText="1"/>
    </xf>
    <xf numFmtId="4" fontId="1" fillId="0" borderId="10" xfId="0" applyNumberFormat="1" applyFont="1" applyBorder="1" applyAlignment="1">
      <alignment horizontal="center" vertical="center" wrapText="1"/>
    </xf>
    <xf numFmtId="0" fontId="6" fillId="0" borderId="10" xfId="0" applyFont="1" applyBorder="1" applyAlignment="1">
      <alignment horizontal="center"/>
    </xf>
    <xf numFmtId="0" fontId="8" fillId="0" borderId="10" xfId="0" applyFont="1" applyBorder="1" applyAlignment="1">
      <alignment/>
    </xf>
    <xf numFmtId="0" fontId="3" fillId="0" borderId="10"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36" borderId="10" xfId="53" applyFont="1" applyFill="1" applyBorder="1" applyAlignment="1">
      <alignment horizontal="left" vertical="center" wrapText="1"/>
      <protection/>
    </xf>
    <xf numFmtId="0" fontId="0" fillId="0" borderId="10" xfId="53" applyBorder="1" applyAlignment="1">
      <alignment/>
      <protection/>
    </xf>
    <xf numFmtId="0" fontId="8" fillId="0" borderId="13" xfId="53" applyFont="1" applyBorder="1" applyAlignment="1">
      <alignment horizontal="center" vertical="center" wrapText="1"/>
      <protection/>
    </xf>
    <xf numFmtId="0" fontId="8" fillId="0" borderId="10" xfId="53" applyFont="1" applyBorder="1" applyAlignment="1">
      <alignment horizontal="center" vertical="center" wrapText="1"/>
      <protection/>
    </xf>
    <xf numFmtId="0" fontId="8" fillId="34" borderId="10" xfId="53" applyFont="1" applyFill="1" applyBorder="1" applyAlignment="1">
      <alignment horizontal="center" vertical="center" wrapText="1"/>
      <protection/>
    </xf>
    <xf numFmtId="0" fontId="8" fillId="0" borderId="10" xfId="53" applyFont="1" applyFill="1" applyBorder="1" applyAlignment="1">
      <alignment horizontal="center" vertical="center" wrapText="1"/>
      <protection/>
    </xf>
    <xf numFmtId="4" fontId="1" fillId="0" borderId="10" xfId="53" applyNumberFormat="1" applyFont="1" applyBorder="1" applyAlignment="1">
      <alignment horizontal="center" vertical="center"/>
      <protection/>
    </xf>
    <xf numFmtId="0" fontId="2" fillId="34" borderId="0" xfId="53" applyFont="1" applyFill="1">
      <alignment/>
      <protection/>
    </xf>
    <xf numFmtId="2" fontId="3" fillId="0" borderId="0" xfId="53" applyNumberFormat="1" applyFont="1" applyBorder="1" applyAlignment="1">
      <alignment horizontal="center" vertical="center" wrapText="1"/>
      <protection/>
    </xf>
    <xf numFmtId="0" fontId="0" fillId="0" borderId="0" xfId="53" applyFont="1" applyFill="1">
      <alignment/>
      <protection/>
    </xf>
    <xf numFmtId="0" fontId="1" fillId="0" borderId="0" xfId="53" applyFont="1" applyFill="1" applyBorder="1" applyAlignment="1">
      <alignment horizontal="left" vertical="center" wrapText="1"/>
      <protection/>
    </xf>
    <xf numFmtId="0" fontId="1" fillId="0" borderId="0" xfId="53" applyFont="1" applyFill="1" applyAlignment="1">
      <alignment horizontal="center" vertical="center" wrapText="1"/>
      <protection/>
    </xf>
    <xf numFmtId="0" fontId="6" fillId="0" borderId="0" xfId="53" applyFont="1" applyFill="1" applyAlignment="1">
      <alignment vertical="center" wrapText="1"/>
      <protection/>
    </xf>
    <xf numFmtId="0" fontId="1" fillId="0" borderId="0" xfId="53" applyFont="1" applyFill="1" applyAlignment="1">
      <alignment vertical="center" wrapText="1"/>
      <protection/>
    </xf>
    <xf numFmtId="0" fontId="2" fillId="0" borderId="0" xfId="53" applyFont="1" applyFill="1" applyBorder="1" applyAlignment="1">
      <alignment horizontal="left" vertical="center" wrapText="1"/>
      <protection/>
    </xf>
    <xf numFmtId="2" fontId="6" fillId="0" borderId="0" xfId="53" applyNumberFormat="1" applyFont="1" applyFill="1" applyBorder="1" applyAlignment="1">
      <alignment horizontal="center" vertical="center" wrapText="1"/>
      <protection/>
    </xf>
    <xf numFmtId="0" fontId="2" fillId="0" borderId="0" xfId="53" applyFont="1" applyFill="1" applyAlignment="1">
      <alignment horizontal="center" vertical="center" wrapText="1"/>
      <protection/>
    </xf>
    <xf numFmtId="0" fontId="2" fillId="0" borderId="0" xfId="53" applyFont="1" applyFill="1">
      <alignment/>
      <protection/>
    </xf>
    <xf numFmtId="0" fontId="3" fillId="0" borderId="0" xfId="53" applyFont="1" applyFill="1" applyAlignment="1">
      <alignment/>
      <protection/>
    </xf>
    <xf numFmtId="0" fontId="2" fillId="0" borderId="0" xfId="53" applyFont="1" applyFill="1" applyAlignment="1">
      <alignment horizontal="left"/>
      <protection/>
    </xf>
    <xf numFmtId="0" fontId="0" fillId="0" borderId="0" xfId="53" applyBorder="1" applyAlignment="1">
      <alignment horizontal="center" vertical="center"/>
      <protection/>
    </xf>
    <xf numFmtId="182" fontId="1" fillId="0" borderId="10" xfId="53" applyNumberFormat="1" applyFont="1" applyBorder="1" applyAlignment="1">
      <alignment horizontal="center" vertical="center" wrapText="1"/>
      <protection/>
    </xf>
    <xf numFmtId="182" fontId="6" fillId="0" borderId="12" xfId="53" applyNumberFormat="1" applyFont="1" applyBorder="1" applyAlignment="1">
      <alignment horizontal="center" vertical="center" wrapText="1"/>
      <protection/>
    </xf>
    <xf numFmtId="182" fontId="6" fillId="0" borderId="12" xfId="53" applyNumberFormat="1" applyFont="1" applyFill="1" applyBorder="1" applyAlignment="1">
      <alignment horizontal="center" vertical="center" wrapText="1"/>
      <protection/>
    </xf>
    <xf numFmtId="0" fontId="6" fillId="36" borderId="10" xfId="53" applyFont="1" applyFill="1" applyBorder="1" applyAlignment="1">
      <alignment horizontal="left" vertical="center" wrapText="1"/>
      <protection/>
    </xf>
    <xf numFmtId="0" fontId="6" fillId="36" borderId="10" xfId="53" applyFont="1" applyFill="1" applyBorder="1" applyAlignment="1">
      <alignment horizontal="center" vertical="center" wrapText="1"/>
      <protection/>
    </xf>
    <xf numFmtId="182" fontId="6" fillId="36" borderId="12" xfId="53" applyNumberFormat="1" applyFont="1" applyFill="1" applyBorder="1" applyAlignment="1">
      <alignment horizontal="center" vertical="center" wrapText="1"/>
      <protection/>
    </xf>
    <xf numFmtId="178" fontId="6" fillId="34" borderId="10" xfId="53" applyNumberFormat="1" applyFont="1" applyFill="1" applyBorder="1" applyAlignment="1">
      <alignment horizontal="center" vertical="center" wrapText="1"/>
      <protection/>
    </xf>
    <xf numFmtId="182" fontId="3" fillId="0" borderId="10" xfId="53" applyNumberFormat="1" applyFont="1" applyBorder="1" applyAlignment="1">
      <alignment horizontal="center" vertical="center" wrapText="1"/>
      <protection/>
    </xf>
    <xf numFmtId="182" fontId="2" fillId="0" borderId="12" xfId="53" applyNumberFormat="1" applyFont="1" applyBorder="1" applyAlignment="1">
      <alignment horizontal="center" vertical="center" wrapText="1"/>
      <protection/>
    </xf>
    <xf numFmtId="182" fontId="2" fillId="0" borderId="12" xfId="53" applyNumberFormat="1" applyFont="1" applyFill="1" applyBorder="1" applyAlignment="1">
      <alignment horizontal="center" vertical="center" wrapText="1"/>
      <protection/>
    </xf>
    <xf numFmtId="182" fontId="2" fillId="36" borderId="12" xfId="53" applyNumberFormat="1" applyFont="1" applyFill="1" applyBorder="1" applyAlignment="1">
      <alignment horizontal="center" vertical="center" wrapText="1"/>
      <protection/>
    </xf>
    <xf numFmtId="0" fontId="3" fillId="0" borderId="11" xfId="53" applyFont="1" applyBorder="1" applyAlignment="1">
      <alignment horizontal="center" vertical="center" wrapText="1"/>
      <protection/>
    </xf>
    <xf numFmtId="0" fontId="2" fillId="0" borderId="10" xfId="53" applyFont="1" applyBorder="1" applyAlignment="1">
      <alignment horizontal="center"/>
      <protection/>
    </xf>
    <xf numFmtId="182" fontId="2" fillId="37" borderId="12" xfId="53" applyNumberFormat="1" applyFont="1" applyFill="1" applyBorder="1" applyAlignment="1">
      <alignment horizontal="center" vertical="center" wrapText="1"/>
      <protection/>
    </xf>
    <xf numFmtId="0" fontId="0" fillId="33" borderId="0" xfId="53" applyFont="1" applyFill="1">
      <alignment/>
      <protection/>
    </xf>
    <xf numFmtId="0" fontId="6" fillId="34" borderId="10" xfId="53" applyFont="1" applyFill="1" applyBorder="1" applyAlignment="1">
      <alignment horizontal="center" vertical="center" wrapText="1"/>
      <protection/>
    </xf>
    <xf numFmtId="179" fontId="1" fillId="34" borderId="10" xfId="53" applyNumberFormat="1" applyFont="1" applyFill="1" applyBorder="1" applyAlignment="1">
      <alignment horizontal="left" vertical="center" wrapText="1"/>
      <protection/>
    </xf>
    <xf numFmtId="4" fontId="1" fillId="34" borderId="10" xfId="53" applyNumberFormat="1" applyFont="1" applyFill="1" applyBorder="1" applyAlignment="1">
      <alignment horizontal="center" wrapText="1"/>
      <protection/>
    </xf>
    <xf numFmtId="4" fontId="6" fillId="34" borderId="10" xfId="53" applyNumberFormat="1" applyFont="1" applyFill="1" applyBorder="1" applyAlignment="1">
      <alignment horizontal="center" wrapText="1"/>
      <protection/>
    </xf>
    <xf numFmtId="4" fontId="6" fillId="0" borderId="10" xfId="53" applyNumberFormat="1" applyFont="1" applyBorder="1" applyAlignment="1">
      <alignment horizontal="center" wrapText="1"/>
      <protection/>
    </xf>
    <xf numFmtId="4" fontId="1" fillId="34" borderId="10" xfId="53" applyNumberFormat="1" applyFont="1" applyFill="1" applyBorder="1" applyAlignment="1">
      <alignment horizontal="center" wrapText="1"/>
      <protection/>
    </xf>
    <xf numFmtId="4" fontId="1" fillId="34" borderId="10" xfId="53" applyNumberFormat="1" applyFont="1" applyFill="1" applyBorder="1" applyAlignment="1">
      <alignment horizontal="center"/>
      <protection/>
    </xf>
    <xf numFmtId="4" fontId="6" fillId="34" borderId="10" xfId="53" applyNumberFormat="1" applyFont="1" applyFill="1" applyBorder="1" applyAlignment="1">
      <alignment horizontal="center"/>
      <protection/>
    </xf>
    <xf numFmtId="4" fontId="6" fillId="34" borderId="10" xfId="53" applyNumberFormat="1" applyFont="1" applyFill="1" applyBorder="1" applyAlignment="1">
      <alignment horizontal="center"/>
      <protection/>
    </xf>
    <xf numFmtId="4" fontId="1" fillId="0" borderId="10" xfId="53" applyNumberFormat="1" applyFont="1" applyBorder="1" applyAlignment="1">
      <alignment horizontal="center" wrapText="1"/>
      <protection/>
    </xf>
    <xf numFmtId="4" fontId="6" fillId="0" borderId="10" xfId="53" applyNumberFormat="1" applyFont="1" applyBorder="1" applyAlignment="1">
      <alignment horizontal="center" wrapText="1"/>
      <protection/>
    </xf>
    <xf numFmtId="4" fontId="6" fillId="38" borderId="12" xfId="53" applyNumberFormat="1" applyFont="1" applyFill="1" applyBorder="1" applyAlignment="1">
      <alignment horizontal="center" vertical="center" wrapText="1"/>
      <protection/>
    </xf>
    <xf numFmtId="4" fontId="6" fillId="37" borderId="10" xfId="53" applyNumberFormat="1" applyFont="1" applyFill="1" applyBorder="1" applyAlignment="1">
      <alignment horizontal="center" vertical="center" wrapText="1"/>
      <protection/>
    </xf>
    <xf numFmtId="4" fontId="6" fillId="37" borderId="12" xfId="53" applyNumberFormat="1" applyFont="1" applyFill="1" applyBorder="1" applyAlignment="1">
      <alignment horizontal="center" vertical="center" wrapText="1"/>
      <protection/>
    </xf>
    <xf numFmtId="0" fontId="0" fillId="37" borderId="0" xfId="53" applyFont="1" applyFill="1">
      <alignment/>
      <protection/>
    </xf>
    <xf numFmtId="0" fontId="1" fillId="37" borderId="10" xfId="53" applyFont="1" applyFill="1" applyBorder="1" applyAlignment="1">
      <alignment horizontal="left" vertical="center" wrapText="1"/>
      <protection/>
    </xf>
    <xf numFmtId="4" fontId="1" fillId="37" borderId="10" xfId="53" applyNumberFormat="1" applyFont="1" applyFill="1" applyBorder="1" applyAlignment="1">
      <alignment horizontal="center" vertical="center" wrapText="1"/>
      <protection/>
    </xf>
    <xf numFmtId="49" fontId="1" fillId="37" borderId="10" xfId="53" applyNumberFormat="1" applyFont="1" applyFill="1" applyBorder="1" applyAlignment="1">
      <alignment horizontal="left" vertical="center" wrapText="1"/>
      <protection/>
    </xf>
    <xf numFmtId="0" fontId="1" fillId="37" borderId="11" xfId="53" applyFont="1" applyFill="1" applyBorder="1" applyAlignment="1">
      <alignment horizontal="center" vertical="center" wrapText="1"/>
      <protection/>
    </xf>
    <xf numFmtId="181" fontId="1" fillId="37" borderId="10" xfId="53" applyNumberFormat="1" applyFont="1" applyFill="1" applyBorder="1" applyAlignment="1">
      <alignment horizontal="center" vertical="center" wrapText="1"/>
      <protection/>
    </xf>
    <xf numFmtId="0" fontId="0" fillId="0" borderId="0" xfId="53" applyFont="1" applyBorder="1" applyAlignment="1">
      <alignment/>
      <protection/>
    </xf>
    <xf numFmtId="0" fontId="3" fillId="37" borderId="0" xfId="53" applyFont="1" applyFill="1" applyBorder="1" applyAlignment="1">
      <alignment horizontal="center" vertical="center" wrapText="1"/>
      <protection/>
    </xf>
    <xf numFmtId="178" fontId="3" fillId="37" borderId="0" xfId="53" applyNumberFormat="1" applyFont="1" applyFill="1" applyBorder="1" applyAlignment="1">
      <alignment horizontal="center" vertical="center" wrapText="1"/>
      <protection/>
    </xf>
    <xf numFmtId="178" fontId="3" fillId="0" borderId="0" xfId="53" applyNumberFormat="1" applyFont="1" applyFill="1" applyBorder="1" applyAlignment="1">
      <alignment horizontal="center" vertical="center" wrapText="1"/>
      <protection/>
    </xf>
    <xf numFmtId="0" fontId="7" fillId="34" borderId="0" xfId="53" applyFont="1" applyFill="1" applyBorder="1" applyAlignment="1">
      <alignment/>
      <protection/>
    </xf>
    <xf numFmtId="178" fontId="0" fillId="0" borderId="0" xfId="53" applyNumberFormat="1" applyFont="1">
      <alignment/>
      <protection/>
    </xf>
    <xf numFmtId="0" fontId="3" fillId="0" borderId="0" xfId="53" applyFont="1" applyFill="1" applyBorder="1" applyAlignment="1">
      <alignment/>
      <protection/>
    </xf>
    <xf numFmtId="0" fontId="2" fillId="0" borderId="14" xfId="53" applyFont="1" applyFill="1" applyBorder="1" applyAlignment="1">
      <alignment horizontal="left" vertical="center" wrapText="1"/>
      <protection/>
    </xf>
    <xf numFmtId="179" fontId="6" fillId="34" borderId="0" xfId="53" applyNumberFormat="1" applyFont="1" applyFill="1" applyBorder="1" applyAlignment="1">
      <alignment horizontal="left" vertical="center" wrapText="1"/>
      <protection/>
    </xf>
    <xf numFmtId="182" fontId="1" fillId="39" borderId="10" xfId="53" applyNumberFormat="1" applyFont="1" applyFill="1" applyBorder="1" applyAlignment="1">
      <alignment horizontal="center" vertical="center" wrapText="1"/>
      <protection/>
    </xf>
    <xf numFmtId="182" fontId="1" fillId="0" borderId="10" xfId="53" applyNumberFormat="1" applyFont="1" applyFill="1" applyBorder="1" applyAlignment="1">
      <alignment horizontal="center" vertical="center" wrapText="1"/>
      <protection/>
    </xf>
    <xf numFmtId="182" fontId="65" fillId="0" borderId="12" xfId="53" applyNumberFormat="1" applyFont="1" applyBorder="1" applyAlignment="1">
      <alignment horizontal="center" vertical="center" wrapText="1"/>
      <protection/>
    </xf>
    <xf numFmtId="0" fontId="1" fillId="0" borderId="0" xfId="53" applyFont="1" applyBorder="1" applyAlignment="1">
      <alignment wrapText="1"/>
      <protection/>
    </xf>
    <xf numFmtId="0" fontId="6" fillId="0" borderId="13" xfId="0" applyFont="1" applyBorder="1" applyAlignment="1">
      <alignment horizontal="center" vertical="center" wrapText="1"/>
    </xf>
    <xf numFmtId="4" fontId="1" fillId="0" borderId="12" xfId="0" applyNumberFormat="1" applyFont="1" applyBorder="1" applyAlignment="1">
      <alignment horizontal="center" vertical="center" wrapText="1"/>
    </xf>
    <xf numFmtId="0" fontId="6" fillId="0" borderId="10" xfId="0" applyFont="1" applyBorder="1" applyAlignment="1">
      <alignment/>
    </xf>
    <xf numFmtId="179" fontId="6" fillId="34" borderId="0" xfId="0" applyNumberFormat="1" applyFont="1" applyFill="1" applyBorder="1" applyAlignment="1">
      <alignment horizontal="left" vertical="center" wrapText="1"/>
    </xf>
    <xf numFmtId="0" fontId="1" fillId="0" borderId="0" xfId="0" applyFont="1" applyBorder="1" applyAlignment="1">
      <alignment horizontal="center" vertical="center" wrapText="1"/>
    </xf>
    <xf numFmtId="2" fontId="1" fillId="0" borderId="0" xfId="0" applyNumberFormat="1" applyFont="1" applyBorder="1" applyAlignment="1">
      <alignment horizontal="center" vertical="center" wrapText="1"/>
    </xf>
    <xf numFmtId="0" fontId="0" fillId="0" borderId="0" xfId="0" applyFont="1" applyFill="1" applyAlignment="1">
      <alignment/>
    </xf>
    <xf numFmtId="0" fontId="1" fillId="0" borderId="0" xfId="0" applyFont="1" applyFill="1" applyBorder="1" applyAlignment="1">
      <alignment horizontal="left" vertical="center" wrapText="1"/>
    </xf>
    <xf numFmtId="0" fontId="1" fillId="0" borderId="0" xfId="0" applyFont="1" applyFill="1" applyAlignment="1">
      <alignment horizontal="center" vertical="center" wrapText="1"/>
    </xf>
    <xf numFmtId="0" fontId="6" fillId="0" borderId="0" xfId="0" applyFont="1" applyFill="1" applyAlignment="1">
      <alignment vertical="center" wrapText="1"/>
    </xf>
    <xf numFmtId="0" fontId="2" fillId="0" borderId="0" xfId="0" applyFont="1" applyFill="1" applyBorder="1" applyAlignment="1">
      <alignment horizontal="left" vertical="center" wrapText="1"/>
    </xf>
    <xf numFmtId="2" fontId="6" fillId="0" borderId="0"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xf>
    <xf numFmtId="0" fontId="3" fillId="0" borderId="0" xfId="0" applyFont="1" applyFill="1" applyAlignment="1">
      <alignment/>
    </xf>
    <xf numFmtId="4" fontId="3" fillId="0" borderId="10" xfId="53" applyNumberFormat="1" applyFont="1" applyBorder="1" applyAlignment="1">
      <alignment horizontal="center" vertical="center" wrapText="1"/>
      <protection/>
    </xf>
    <xf numFmtId="4" fontId="2" fillId="0" borderId="12" xfId="53" applyNumberFormat="1" applyFont="1" applyBorder="1" applyAlignment="1">
      <alignment horizontal="center" vertical="center" wrapText="1"/>
      <protection/>
    </xf>
    <xf numFmtId="4" fontId="2" fillId="0" borderId="12" xfId="53" applyNumberFormat="1" applyFont="1" applyFill="1" applyBorder="1" applyAlignment="1">
      <alignment horizontal="center" vertical="center" wrapText="1"/>
      <protection/>
    </xf>
    <xf numFmtId="0" fontId="2" fillId="36" borderId="10" xfId="53" applyFont="1" applyFill="1" applyBorder="1" applyAlignment="1">
      <alignment horizontal="center" vertical="center" wrapText="1"/>
      <protection/>
    </xf>
    <xf numFmtId="4" fontId="2" fillId="36" borderId="12" xfId="53" applyNumberFormat="1" applyFont="1" applyFill="1" applyBorder="1" applyAlignment="1">
      <alignment horizontal="center" vertical="center" wrapText="1"/>
      <protection/>
    </xf>
    <xf numFmtId="0" fontId="2" fillId="37" borderId="10" xfId="53" applyFont="1" applyFill="1" applyBorder="1" applyAlignment="1">
      <alignment horizontal="left" vertical="center" wrapText="1"/>
      <protection/>
    </xf>
    <xf numFmtId="4" fontId="2" fillId="37" borderId="12" xfId="53" applyNumberFormat="1" applyFont="1" applyFill="1" applyBorder="1" applyAlignment="1">
      <alignment horizontal="center" vertical="center" wrapText="1"/>
      <protection/>
    </xf>
    <xf numFmtId="0" fontId="2" fillId="37" borderId="10" xfId="53" applyFont="1" applyFill="1" applyBorder="1" applyAlignment="1">
      <alignment horizontal="center" vertical="center" wrapText="1"/>
      <protection/>
    </xf>
    <xf numFmtId="0" fontId="2" fillId="37" borderId="0" xfId="53" applyFont="1" applyFill="1" applyBorder="1" applyAlignment="1">
      <alignment horizontal="center" vertical="center" wrapText="1"/>
      <protection/>
    </xf>
    <xf numFmtId="0" fontId="2" fillId="0" borderId="0" xfId="53" applyFont="1" applyBorder="1" applyAlignment="1">
      <alignment horizontal="center" vertical="center" wrapText="1"/>
      <protection/>
    </xf>
    <xf numFmtId="2" fontId="1" fillId="0" borderId="10" xfId="53" applyNumberFormat="1" applyFont="1" applyBorder="1" applyAlignment="1">
      <alignment horizontal="center" vertical="center" wrapText="1"/>
      <protection/>
    </xf>
    <xf numFmtId="0" fontId="6" fillId="37" borderId="10" xfId="53" applyFont="1" applyFill="1" applyBorder="1" applyAlignment="1">
      <alignment horizontal="left" vertical="center" wrapText="1"/>
      <protection/>
    </xf>
    <xf numFmtId="182" fontId="3" fillId="0" borderId="0" xfId="53" applyNumberFormat="1" applyFont="1" applyBorder="1" applyAlignment="1">
      <alignment horizontal="center" vertical="center" wrapText="1"/>
      <protection/>
    </xf>
    <xf numFmtId="0" fontId="2" fillId="0" borderId="0" xfId="0" applyFont="1" applyAlignment="1">
      <alignment/>
    </xf>
    <xf numFmtId="0" fontId="3" fillId="0" borderId="10" xfId="0" applyFont="1" applyBorder="1" applyAlignment="1">
      <alignment horizontal="center" vertical="center" wrapText="1"/>
    </xf>
    <xf numFmtId="0" fontId="2" fillId="0" borderId="10" xfId="0" applyFont="1" applyBorder="1" applyAlignment="1">
      <alignment horizontal="center" vertical="center" wrapText="1"/>
    </xf>
    <xf numFmtId="180" fontId="3" fillId="0" borderId="10" xfId="0" applyNumberFormat="1" applyFont="1" applyBorder="1" applyAlignment="1">
      <alignment horizontal="center" vertical="center" wrapText="1"/>
    </xf>
    <xf numFmtId="180" fontId="2" fillId="0" borderId="12" xfId="0" applyNumberFormat="1" applyFont="1" applyBorder="1" applyAlignment="1">
      <alignment horizontal="center" vertical="center" wrapText="1"/>
    </xf>
    <xf numFmtId="178" fontId="2" fillId="0" borderId="12" xfId="0" applyNumberFormat="1" applyFont="1" applyFill="1" applyBorder="1" applyAlignment="1">
      <alignment horizontal="center" vertical="center" wrapText="1"/>
    </xf>
    <xf numFmtId="178" fontId="2" fillId="0" borderId="12" xfId="0" applyNumberFormat="1" applyFont="1" applyBorder="1" applyAlignment="1">
      <alignment horizontal="center" vertical="center" wrapText="1"/>
    </xf>
    <xf numFmtId="0" fontId="2" fillId="0" borderId="10" xfId="0" applyFont="1" applyBorder="1" applyAlignment="1">
      <alignment horizontal="left" vertical="center" wrapText="1"/>
    </xf>
    <xf numFmtId="180" fontId="2" fillId="0" borderId="12" xfId="0" applyNumberFormat="1" applyFont="1" applyFill="1" applyBorder="1" applyAlignment="1">
      <alignment horizontal="center" vertical="center" wrapText="1"/>
    </xf>
    <xf numFmtId="0" fontId="0" fillId="35" borderId="0" xfId="0" applyFill="1" applyAlignment="1">
      <alignment/>
    </xf>
    <xf numFmtId="0" fontId="2" fillId="36" borderId="10" xfId="0" applyFont="1" applyFill="1" applyBorder="1" applyAlignment="1">
      <alignment horizontal="left" vertical="center" wrapText="1"/>
    </xf>
    <xf numFmtId="0" fontId="2" fillId="36" borderId="10" xfId="0" applyFont="1" applyFill="1" applyBorder="1" applyAlignment="1">
      <alignment horizontal="center" vertical="center" wrapText="1"/>
    </xf>
    <xf numFmtId="180" fontId="3" fillId="36" borderId="10" xfId="0" applyNumberFormat="1" applyFont="1" applyFill="1" applyBorder="1" applyAlignment="1">
      <alignment horizontal="center" vertical="center" wrapText="1"/>
    </xf>
    <xf numFmtId="180" fontId="2" fillId="36" borderId="12" xfId="0" applyNumberFormat="1" applyFont="1" applyFill="1" applyBorder="1" applyAlignment="1">
      <alignment horizontal="center" vertical="center" wrapText="1"/>
    </xf>
    <xf numFmtId="0" fontId="0" fillId="0" borderId="10" xfId="0" applyBorder="1" applyAlignment="1">
      <alignment/>
    </xf>
    <xf numFmtId="0" fontId="3" fillId="0" borderId="11" xfId="0" applyFont="1" applyBorder="1" applyAlignment="1">
      <alignment horizontal="center" vertical="center" wrapText="1"/>
    </xf>
    <xf numFmtId="0" fontId="2" fillId="0" borderId="10" xfId="0" applyFont="1" applyBorder="1" applyAlignment="1">
      <alignment horizontal="center"/>
    </xf>
    <xf numFmtId="0" fontId="1" fillId="0" borderId="0" xfId="0" applyFont="1" applyAlignment="1">
      <alignment horizontal="right" wrapText="1"/>
    </xf>
    <xf numFmtId="0" fontId="6" fillId="0" borderId="0" xfId="53" applyFont="1" applyFill="1" applyAlignment="1">
      <alignment horizontal="left"/>
      <protection/>
    </xf>
    <xf numFmtId="0" fontId="3" fillId="0" borderId="0" xfId="53" applyFont="1" applyBorder="1" applyAlignment="1">
      <alignment vertical="center"/>
      <protection/>
    </xf>
    <xf numFmtId="178" fontId="6" fillId="0" borderId="0" xfId="53" applyNumberFormat="1" applyFont="1" applyAlignment="1">
      <alignment horizontal="center" vertical="center" wrapText="1"/>
      <protection/>
    </xf>
    <xf numFmtId="0" fontId="0" fillId="0" borderId="0" xfId="0" applyAlignment="1">
      <alignment horizontal="center" vertical="center"/>
    </xf>
    <xf numFmtId="0" fontId="6" fillId="0" borderId="0" xfId="0" applyFont="1" applyAlignment="1">
      <alignment horizontal="center"/>
    </xf>
    <xf numFmtId="0" fontId="1" fillId="0" borderId="10" xfId="0" applyFont="1" applyBorder="1" applyAlignment="1">
      <alignment horizontal="center" vertical="center"/>
    </xf>
    <xf numFmtId="0" fontId="1" fillId="0" borderId="10" xfId="0" applyFont="1" applyBorder="1" applyAlignment="1">
      <alignment horizontal="left" vertical="center" wrapText="1"/>
    </xf>
    <xf numFmtId="182" fontId="1" fillId="0" borderId="10" xfId="0" applyNumberFormat="1" applyFont="1" applyFill="1" applyBorder="1" applyAlignment="1">
      <alignment horizontal="center" vertical="center"/>
    </xf>
    <xf numFmtId="182" fontId="6" fillId="0" borderId="10" xfId="0" applyNumberFormat="1" applyFont="1" applyFill="1" applyBorder="1" applyAlignment="1">
      <alignment horizontal="center" vertical="center"/>
    </xf>
    <xf numFmtId="178" fontId="6" fillId="0" borderId="10" xfId="0" applyNumberFormat="1" applyFont="1" applyBorder="1" applyAlignment="1">
      <alignment horizontal="center" vertical="center"/>
    </xf>
    <xf numFmtId="182" fontId="6" fillId="34" borderId="10" xfId="0" applyNumberFormat="1" applyFont="1" applyFill="1" applyBorder="1" applyAlignment="1">
      <alignment horizontal="center" vertical="center"/>
    </xf>
    <xf numFmtId="0" fontId="6" fillId="0" borderId="10" xfId="0" applyFont="1" applyBorder="1" applyAlignment="1">
      <alignment horizontal="left" wrapText="1"/>
    </xf>
    <xf numFmtId="0" fontId="8" fillId="0" borderId="10" xfId="0" applyFont="1" applyBorder="1" applyAlignment="1">
      <alignment horizontal="center" vertical="center"/>
    </xf>
    <xf numFmtId="178" fontId="6" fillId="0" borderId="15" xfId="0" applyNumberFormat="1" applyFont="1" applyFill="1" applyBorder="1" applyAlignment="1">
      <alignment horizontal="center" vertical="center"/>
    </xf>
    <xf numFmtId="178" fontId="8" fillId="0" borderId="10" xfId="0" applyNumberFormat="1" applyFont="1" applyBorder="1" applyAlignment="1">
      <alignment/>
    </xf>
    <xf numFmtId="182" fontId="1" fillId="0" borderId="10" xfId="0" applyNumberFormat="1" applyFont="1" applyBorder="1" applyAlignment="1">
      <alignment horizontal="center" vertical="center"/>
    </xf>
    <xf numFmtId="182" fontId="6" fillId="0" borderId="10" xfId="0" applyNumberFormat="1" applyFont="1" applyBorder="1" applyAlignment="1">
      <alignment horizontal="center" vertical="center"/>
    </xf>
    <xf numFmtId="178" fontId="1" fillId="0" borderId="10" xfId="0" applyNumberFormat="1" applyFont="1" applyBorder="1" applyAlignment="1">
      <alignment horizontal="center" vertical="center"/>
    </xf>
    <xf numFmtId="0" fontId="8" fillId="0" borderId="10" xfId="0" applyFont="1" applyBorder="1" applyAlignment="1">
      <alignment horizontal="center" vertical="center" wrapText="1"/>
    </xf>
    <xf numFmtId="0" fontId="6" fillId="0" borderId="16" xfId="0" applyFont="1" applyBorder="1" applyAlignment="1">
      <alignment horizontal="center" vertical="center" wrapText="1"/>
    </xf>
    <xf numFmtId="0" fontId="1" fillId="0" borderId="17" xfId="0" applyFont="1" applyBorder="1" applyAlignment="1">
      <alignment horizontal="left" vertical="center" wrapText="1"/>
    </xf>
    <xf numFmtId="0" fontId="6" fillId="0" borderId="17" xfId="0" applyFont="1" applyBorder="1" applyAlignment="1">
      <alignment horizontal="left" vertical="center" wrapText="1"/>
    </xf>
    <xf numFmtId="178" fontId="3" fillId="0" borderId="0" xfId="0" applyNumberFormat="1" applyFont="1" applyBorder="1" applyAlignment="1">
      <alignment horizontal="center" vertical="center"/>
    </xf>
    <xf numFmtId="0" fontId="2" fillId="0" borderId="0" xfId="0" applyFont="1" applyBorder="1" applyAlignment="1">
      <alignment horizontal="center" vertical="center" wrapText="1"/>
    </xf>
    <xf numFmtId="0" fontId="3" fillId="0" borderId="0" xfId="0" applyFont="1" applyAlignment="1">
      <alignment vertical="center" wrapText="1"/>
    </xf>
    <xf numFmtId="0" fontId="2" fillId="0" borderId="0" xfId="0" applyFont="1" applyFill="1" applyAlignment="1">
      <alignment horizontal="center"/>
    </xf>
    <xf numFmtId="0" fontId="2" fillId="0" borderId="0" xfId="0" applyFont="1" applyFill="1" applyAlignment="1">
      <alignment horizontal="left"/>
    </xf>
    <xf numFmtId="0" fontId="6" fillId="0" borderId="0" xfId="0" applyFont="1" applyFill="1" applyAlignment="1">
      <alignment horizontal="left"/>
    </xf>
    <xf numFmtId="0" fontId="2" fillId="0" borderId="0" xfId="0" applyFont="1" applyFill="1" applyAlignment="1">
      <alignment/>
    </xf>
    <xf numFmtId="0" fontId="6" fillId="0" borderId="10" xfId="0" applyFont="1" applyFill="1" applyBorder="1" applyAlignment="1">
      <alignment horizontal="center" vertical="center" wrapText="1"/>
    </xf>
    <xf numFmtId="0" fontId="8" fillId="0" borderId="10" xfId="0" applyFont="1" applyFill="1" applyBorder="1" applyAlignment="1">
      <alignment/>
    </xf>
    <xf numFmtId="0" fontId="6" fillId="0" borderId="10" xfId="0" applyFont="1" applyFill="1" applyBorder="1" applyAlignment="1">
      <alignment horizontal="center"/>
    </xf>
    <xf numFmtId="0" fontId="0" fillId="0" borderId="0" xfId="0" applyFont="1" applyFill="1" applyBorder="1" applyAlignment="1">
      <alignment/>
    </xf>
    <xf numFmtId="0" fontId="3" fillId="0" borderId="0" xfId="0" applyFont="1" applyFill="1" applyBorder="1" applyAlignment="1">
      <alignment horizontal="center" vertical="center" wrapText="1"/>
    </xf>
    <xf numFmtId="178" fontId="3" fillId="0" borderId="0" xfId="0" applyNumberFormat="1" applyFont="1" applyFill="1" applyBorder="1" applyAlignment="1">
      <alignment horizontal="center" vertical="center" wrapText="1"/>
    </xf>
    <xf numFmtId="0" fontId="2" fillId="0" borderId="0" xfId="0" applyFont="1" applyFill="1" applyBorder="1" applyAlignment="1">
      <alignment horizontal="center"/>
    </xf>
    <xf numFmtId="0" fontId="6" fillId="0" borderId="0" xfId="0" applyFont="1" applyFill="1" applyAlignment="1">
      <alignment horizontal="center" vertical="center" wrapText="1"/>
    </xf>
    <xf numFmtId="0" fontId="1" fillId="0" borderId="0" xfId="0" applyFont="1" applyFill="1" applyAlignment="1">
      <alignment vertical="center" wrapText="1"/>
    </xf>
    <xf numFmtId="0" fontId="7" fillId="0" borderId="0" xfId="0" applyFont="1" applyFill="1" applyBorder="1" applyAlignment="1">
      <alignment/>
    </xf>
    <xf numFmtId="0" fontId="2" fillId="0" borderId="0" xfId="0" applyFont="1" applyFill="1" applyBorder="1" applyAlignment="1">
      <alignment vertical="center" wrapText="1"/>
    </xf>
    <xf numFmtId="0" fontId="2" fillId="0" borderId="0" xfId="0" applyFont="1" applyFill="1" applyAlignment="1">
      <alignment horizontal="left" vertical="center" wrapText="1"/>
    </xf>
    <xf numFmtId="14" fontId="2" fillId="0" borderId="0" xfId="0" applyNumberFormat="1" applyFont="1" applyFill="1" applyAlignment="1">
      <alignment horizontal="left" vertical="center" wrapText="1"/>
    </xf>
    <xf numFmtId="4" fontId="6" fillId="37" borderId="10" xfId="0" applyNumberFormat="1" applyFont="1" applyFill="1" applyBorder="1" applyAlignment="1">
      <alignment horizontal="center" vertical="center" wrapText="1"/>
    </xf>
    <xf numFmtId="183" fontId="3" fillId="37" borderId="0" xfId="63" applyNumberFormat="1" applyFont="1" applyFill="1" applyBorder="1" applyAlignment="1">
      <alignment horizontal="center" vertical="center"/>
    </xf>
    <xf numFmtId="177" fontId="3" fillId="37" borderId="0" xfId="63" applyFont="1" applyFill="1" applyBorder="1" applyAlignment="1">
      <alignment horizontal="center" vertical="center"/>
    </xf>
    <xf numFmtId="4" fontId="2" fillId="37" borderId="10" xfId="0" applyNumberFormat="1" applyFont="1" applyFill="1" applyBorder="1" applyAlignment="1">
      <alignment horizontal="right" vertical="center" wrapText="1"/>
    </xf>
    <xf numFmtId="4" fontId="2" fillId="37" borderId="10" xfId="0" applyNumberFormat="1" applyFont="1" applyFill="1" applyBorder="1" applyAlignment="1">
      <alignment horizontal="center" vertical="center"/>
    </xf>
    <xf numFmtId="4" fontId="1" fillId="37" borderId="10" xfId="53" applyNumberFormat="1" applyFont="1" applyFill="1" applyBorder="1" applyAlignment="1">
      <alignment horizontal="center" wrapText="1"/>
      <protection/>
    </xf>
    <xf numFmtId="4" fontId="1" fillId="37" borderId="10" xfId="53" applyNumberFormat="1" applyFont="1" applyFill="1" applyBorder="1" applyAlignment="1">
      <alignment horizontal="center"/>
      <protection/>
    </xf>
    <xf numFmtId="182" fontId="6" fillId="37" borderId="10" xfId="0" applyNumberFormat="1" applyFont="1" applyFill="1" applyBorder="1" applyAlignment="1">
      <alignment horizontal="center" vertical="center" wrapText="1"/>
    </xf>
    <xf numFmtId="4" fontId="2" fillId="37" borderId="10" xfId="0" applyNumberFormat="1" applyFont="1" applyFill="1" applyBorder="1" applyAlignment="1">
      <alignment horizontal="right" vertical="center"/>
    </xf>
    <xf numFmtId="177" fontId="6" fillId="37" borderId="10" xfId="61" applyFont="1" applyFill="1" applyBorder="1" applyAlignment="1">
      <alignment horizontal="center" vertical="center"/>
    </xf>
    <xf numFmtId="4" fontId="6" fillId="37" borderId="10" xfId="0" applyNumberFormat="1" applyFont="1" applyFill="1" applyBorder="1" applyAlignment="1">
      <alignment horizontal="center" vertical="center"/>
    </xf>
    <xf numFmtId="184" fontId="1" fillId="37" borderId="10" xfId="0" applyNumberFormat="1" applyFont="1" applyFill="1" applyBorder="1" applyAlignment="1">
      <alignment horizontal="center" vertical="center" wrapText="1"/>
    </xf>
    <xf numFmtId="0" fontId="66" fillId="37" borderId="10" xfId="0" applyFont="1" applyFill="1" applyBorder="1" applyAlignment="1">
      <alignment vertical="center" wrapText="1"/>
    </xf>
    <xf numFmtId="0" fontId="6" fillId="0" borderId="13" xfId="53" applyFont="1" applyBorder="1" applyAlignment="1">
      <alignment horizontal="center" vertical="center" wrapText="1"/>
      <protection/>
    </xf>
    <xf numFmtId="0" fontId="2" fillId="37" borderId="13" xfId="53" applyFont="1" applyFill="1" applyBorder="1" applyAlignment="1">
      <alignment horizontal="center" vertical="center" wrapText="1"/>
      <protection/>
    </xf>
    <xf numFmtId="0" fontId="6" fillId="37" borderId="10" xfId="53" applyFont="1" applyFill="1" applyBorder="1" applyAlignment="1">
      <alignment horizontal="center" vertical="center" wrapText="1"/>
      <protection/>
    </xf>
    <xf numFmtId="0" fontId="6" fillId="37" borderId="10" xfId="0" applyFont="1" applyFill="1" applyBorder="1" applyAlignment="1">
      <alignment horizontal="left" vertical="center" wrapText="1"/>
    </xf>
    <xf numFmtId="0" fontId="6" fillId="37" borderId="10" xfId="0" applyFont="1" applyFill="1" applyBorder="1" applyAlignment="1">
      <alignment horizontal="center" vertical="center" wrapText="1"/>
    </xf>
    <xf numFmtId="0" fontId="6" fillId="0" borderId="0" xfId="53" applyFont="1" applyAlignment="1">
      <alignment horizontal="center"/>
      <protection/>
    </xf>
    <xf numFmtId="0" fontId="8" fillId="0" borderId="12" xfId="0" applyFont="1" applyBorder="1" applyAlignment="1">
      <alignment horizontal="center" vertical="center" wrapText="1"/>
    </xf>
    <xf numFmtId="0" fontId="6" fillId="0" borderId="12" xfId="0" applyFont="1" applyBorder="1" applyAlignment="1">
      <alignment horizontal="center" vertical="center" wrapText="1"/>
    </xf>
    <xf numFmtId="0" fontId="6" fillId="37" borderId="12" xfId="53" applyFont="1" applyFill="1" applyBorder="1" applyAlignment="1">
      <alignment horizontal="left" vertical="center" wrapText="1"/>
      <protection/>
    </xf>
    <xf numFmtId="4" fontId="1" fillId="37" borderId="12" xfId="53" applyNumberFormat="1" applyFont="1" applyFill="1" applyBorder="1" applyAlignment="1">
      <alignment horizontal="center" vertical="center" wrapText="1"/>
      <protection/>
    </xf>
    <xf numFmtId="0" fontId="6" fillId="37" borderId="12" xfId="53" applyFont="1" applyFill="1" applyBorder="1" applyAlignment="1">
      <alignment horizontal="center" vertical="center" wrapText="1"/>
      <protection/>
    </xf>
    <xf numFmtId="179" fontId="6" fillId="37" borderId="10" xfId="53" applyNumberFormat="1" applyFont="1" applyFill="1" applyBorder="1" applyAlignment="1">
      <alignment horizontal="left" vertical="center" wrapText="1"/>
      <protection/>
    </xf>
    <xf numFmtId="0" fontId="6" fillId="0" borderId="11" xfId="53" applyFont="1" applyBorder="1" applyAlignment="1">
      <alignment horizontal="center" vertical="center" wrapText="1"/>
      <protection/>
    </xf>
    <xf numFmtId="4" fontId="3" fillId="37" borderId="10" xfId="53" applyNumberFormat="1" applyFont="1" applyFill="1" applyBorder="1" applyAlignment="1">
      <alignment horizontal="center" vertical="center" wrapText="1"/>
      <protection/>
    </xf>
    <xf numFmtId="178" fontId="1" fillId="37" borderId="10" xfId="53" applyNumberFormat="1" applyFont="1" applyFill="1" applyBorder="1" applyAlignment="1">
      <alignment horizontal="center" vertical="center" wrapText="1"/>
      <protection/>
    </xf>
    <xf numFmtId="182" fontId="6" fillId="37" borderId="10" xfId="53" applyNumberFormat="1" applyFont="1" applyFill="1" applyBorder="1" applyAlignment="1">
      <alignment horizontal="center" vertical="center" wrapText="1"/>
      <protection/>
    </xf>
    <xf numFmtId="177" fontId="1" fillId="37" borderId="10" xfId="61" applyFont="1" applyFill="1" applyBorder="1" applyAlignment="1">
      <alignment horizontal="center" vertical="center" wrapText="1"/>
    </xf>
    <xf numFmtId="0" fontId="6" fillId="37" borderId="10" xfId="53" applyFont="1" applyFill="1" applyBorder="1" applyAlignment="1">
      <alignment vertical="center" wrapText="1"/>
      <protection/>
    </xf>
    <xf numFmtId="0" fontId="6" fillId="37" borderId="0" xfId="53" applyFont="1" applyFill="1" applyBorder="1" applyAlignment="1">
      <alignment horizontal="left" vertical="center" wrapText="1"/>
      <protection/>
    </xf>
    <xf numFmtId="182" fontId="1" fillId="37" borderId="10" xfId="0" applyNumberFormat="1" applyFont="1" applyFill="1" applyBorder="1" applyAlignment="1">
      <alignment horizontal="center" vertical="center" wrapText="1"/>
    </xf>
    <xf numFmtId="182" fontId="6" fillId="37" borderId="12" xfId="0" applyNumberFormat="1" applyFont="1" applyFill="1" applyBorder="1" applyAlignment="1">
      <alignment horizontal="center" vertical="center" wrapText="1"/>
    </xf>
    <xf numFmtId="0" fontId="1" fillId="37" borderId="10" xfId="0" applyFont="1" applyFill="1" applyBorder="1" applyAlignment="1">
      <alignment horizontal="center" vertical="center" wrapText="1"/>
    </xf>
    <xf numFmtId="0" fontId="1" fillId="37" borderId="11" xfId="0" applyFont="1" applyFill="1" applyBorder="1" applyAlignment="1">
      <alignment horizontal="center" vertical="center" wrapText="1"/>
    </xf>
    <xf numFmtId="0" fontId="1" fillId="37" borderId="10" xfId="0" applyFont="1" applyFill="1" applyBorder="1" applyAlignment="1">
      <alignment vertical="center" wrapText="1"/>
    </xf>
    <xf numFmtId="0" fontId="1" fillId="37" borderId="10" xfId="0" applyFont="1" applyFill="1" applyBorder="1" applyAlignment="1">
      <alignment horizontal="left" vertical="center" wrapText="1"/>
    </xf>
    <xf numFmtId="0" fontId="6" fillId="37" borderId="16" xfId="0" applyFont="1" applyFill="1" applyBorder="1" applyAlignment="1">
      <alignment horizontal="center" vertical="center" wrapText="1"/>
    </xf>
    <xf numFmtId="182" fontId="1" fillId="37" borderId="10" xfId="0" applyNumberFormat="1" applyFont="1" applyFill="1" applyBorder="1" applyAlignment="1">
      <alignment horizontal="center" vertical="center"/>
    </xf>
    <xf numFmtId="182" fontId="6" fillId="37" borderId="10" xfId="0" applyNumberFormat="1" applyFont="1" applyFill="1" applyBorder="1" applyAlignment="1">
      <alignment horizontal="center" vertical="center"/>
    </xf>
    <xf numFmtId="179" fontId="6" fillId="37" borderId="10" xfId="0" applyNumberFormat="1" applyFont="1" applyFill="1" applyBorder="1" applyAlignment="1">
      <alignment horizontal="left" vertical="top" wrapText="1"/>
    </xf>
    <xf numFmtId="179" fontId="6" fillId="37" borderId="10" xfId="0" applyNumberFormat="1" applyFont="1" applyFill="1" applyBorder="1" applyAlignment="1">
      <alignment horizontal="left" vertical="center" wrapText="1"/>
    </xf>
    <xf numFmtId="4" fontId="6" fillId="0" borderId="10" xfId="53" applyNumberFormat="1" applyFont="1" applyBorder="1" applyAlignment="1">
      <alignment horizontal="center" vertical="center"/>
      <protection/>
    </xf>
    <xf numFmtId="0" fontId="6" fillId="37" borderId="10" xfId="0" applyFont="1" applyFill="1" applyBorder="1" applyAlignment="1">
      <alignment horizontal="left" vertical="center" wrapText="1"/>
    </xf>
    <xf numFmtId="4" fontId="2" fillId="37" borderId="10" xfId="0" applyNumberFormat="1" applyFont="1" applyFill="1" applyBorder="1" applyAlignment="1">
      <alignment horizontal="center" vertical="center"/>
    </xf>
    <xf numFmtId="4" fontId="6" fillId="37" borderId="10" xfId="0" applyNumberFormat="1" applyFont="1" applyFill="1" applyBorder="1" applyAlignment="1">
      <alignment horizontal="center" vertical="center"/>
    </xf>
    <xf numFmtId="49" fontId="6" fillId="37" borderId="10" xfId="0" applyNumberFormat="1" applyFont="1" applyFill="1" applyBorder="1" applyAlignment="1">
      <alignment horizontal="left" vertical="center" wrapText="1"/>
    </xf>
    <xf numFmtId="179" fontId="1" fillId="34" borderId="10" xfId="53" applyNumberFormat="1" applyFont="1" applyFill="1" applyBorder="1" applyAlignment="1">
      <alignment horizontal="center" vertical="center" wrapText="1"/>
      <protection/>
    </xf>
    <xf numFmtId="0" fontId="66" fillId="37" borderId="10" xfId="0" applyFont="1" applyFill="1" applyBorder="1" applyAlignment="1">
      <alignment horizontal="left" vertical="top" wrapText="1"/>
    </xf>
    <xf numFmtId="0" fontId="6" fillId="37" borderId="10" xfId="0" applyFont="1" applyFill="1" applyBorder="1" applyAlignment="1">
      <alignment wrapText="1"/>
    </xf>
    <xf numFmtId="0" fontId="6" fillId="37" borderId="13" xfId="0" applyFont="1" applyFill="1" applyBorder="1" applyAlignment="1">
      <alignment wrapText="1"/>
    </xf>
    <xf numFmtId="49" fontId="6" fillId="37" borderId="10" xfId="0" applyNumberFormat="1" applyFont="1" applyFill="1" applyBorder="1" applyAlignment="1">
      <alignment horizontal="left" vertical="center" wrapText="1"/>
    </xf>
    <xf numFmtId="0" fontId="66" fillId="37" borderId="10" xfId="0" applyFont="1" applyFill="1" applyBorder="1" applyAlignment="1">
      <alignment horizontal="left" wrapText="1"/>
    </xf>
    <xf numFmtId="49" fontId="66" fillId="37" borderId="10" xfId="0" applyNumberFormat="1" applyFont="1" applyFill="1" applyBorder="1" applyAlignment="1">
      <alignment wrapText="1"/>
    </xf>
    <xf numFmtId="0" fontId="66" fillId="37" borderId="10" xfId="0" applyFont="1" applyFill="1" applyBorder="1" applyAlignment="1">
      <alignment wrapText="1"/>
    </xf>
    <xf numFmtId="0" fontId="66" fillId="37" borderId="10" xfId="0" applyFont="1" applyFill="1" applyBorder="1" applyAlignment="1">
      <alignment horizontal="left" vertical="center" wrapText="1"/>
    </xf>
    <xf numFmtId="0" fontId="16" fillId="37" borderId="10" xfId="53" applyFont="1" applyFill="1" applyBorder="1" applyAlignment="1">
      <alignment horizontal="center" vertical="center" wrapText="1"/>
      <protection/>
    </xf>
    <xf numFmtId="4" fontId="16" fillId="37" borderId="10" xfId="53" applyNumberFormat="1" applyFont="1" applyFill="1" applyBorder="1" applyAlignment="1">
      <alignment horizontal="center" wrapText="1"/>
      <protection/>
    </xf>
    <xf numFmtId="0" fontId="0" fillId="37" borderId="0" xfId="0" applyFill="1" applyAlignment="1">
      <alignment/>
    </xf>
    <xf numFmtId="0" fontId="2" fillId="37" borderId="0" xfId="0" applyFont="1" applyFill="1" applyAlignment="1">
      <alignment/>
    </xf>
    <xf numFmtId="178" fontId="3" fillId="37" borderId="0" xfId="0" applyNumberFormat="1" applyFont="1" applyFill="1" applyBorder="1" applyAlignment="1">
      <alignment horizontal="center" vertical="center"/>
    </xf>
    <xf numFmtId="0" fontId="6" fillId="37" borderId="0" xfId="0" applyFont="1" applyFill="1" applyAlignment="1">
      <alignment horizontal="center" vertical="center" wrapText="1"/>
    </xf>
    <xf numFmtId="0" fontId="2" fillId="37" borderId="0" xfId="0" applyFont="1" applyFill="1" applyAlignment="1">
      <alignment horizontal="center" vertical="center" wrapText="1"/>
    </xf>
    <xf numFmtId="0" fontId="66" fillId="37" borderId="0" xfId="0" applyFont="1" applyFill="1" applyBorder="1" applyAlignment="1">
      <alignment vertical="center" wrapText="1"/>
    </xf>
    <xf numFmtId="4" fontId="1" fillId="37" borderId="10" xfId="53" applyNumberFormat="1" applyFont="1" applyFill="1" applyBorder="1" applyAlignment="1">
      <alignment horizontal="center" vertical="center"/>
      <protection/>
    </xf>
    <xf numFmtId="0" fontId="6" fillId="34" borderId="11" xfId="53" applyFont="1" applyFill="1" applyBorder="1" applyAlignment="1">
      <alignment horizontal="center" vertical="center" wrapText="1"/>
      <protection/>
    </xf>
    <xf numFmtId="0" fontId="6" fillId="0" borderId="10" xfId="0" applyFont="1" applyBorder="1" applyAlignment="1">
      <alignment vertical="center" wrapText="1"/>
    </xf>
    <xf numFmtId="4" fontId="3" fillId="37" borderId="10" xfId="0" applyNumberFormat="1" applyFont="1" applyFill="1" applyBorder="1" applyAlignment="1">
      <alignment horizontal="center" wrapText="1"/>
    </xf>
    <xf numFmtId="4" fontId="6" fillId="37" borderId="10" xfId="0" applyNumberFormat="1" applyFont="1" applyFill="1" applyBorder="1" applyAlignment="1">
      <alignment horizontal="center" wrapText="1"/>
    </xf>
    <xf numFmtId="4" fontId="6" fillId="0" borderId="10" xfId="53" applyNumberFormat="1" applyFont="1" applyBorder="1" applyAlignment="1">
      <alignment horizontal="center"/>
      <protection/>
    </xf>
    <xf numFmtId="0" fontId="6" fillId="0" borderId="12" xfId="53" applyFont="1" applyBorder="1" applyAlignment="1">
      <alignment horizontal="center" vertical="center" wrapText="1"/>
      <protection/>
    </xf>
    <xf numFmtId="0" fontId="1" fillId="0" borderId="13" xfId="53" applyFont="1" applyBorder="1" applyAlignment="1">
      <alignment horizontal="center" vertical="center" wrapText="1"/>
      <protection/>
    </xf>
    <xf numFmtId="0" fontId="1" fillId="0" borderId="15" xfId="53" applyFont="1" applyBorder="1" applyAlignment="1">
      <alignment horizontal="center" vertical="center" wrapText="1"/>
      <protection/>
    </xf>
    <xf numFmtId="0" fontId="1" fillId="0" borderId="12" xfId="53" applyFont="1" applyBorder="1" applyAlignment="1">
      <alignment horizontal="center" vertical="center" wrapText="1"/>
      <protection/>
    </xf>
    <xf numFmtId="0" fontId="6" fillId="37" borderId="12" xfId="53" applyFont="1" applyFill="1" applyBorder="1" applyAlignment="1">
      <alignment horizontal="center" vertical="center" wrapText="1"/>
      <protection/>
    </xf>
    <xf numFmtId="0" fontId="8" fillId="0" borderId="15" xfId="53" applyFont="1" applyBorder="1" applyAlignment="1">
      <alignment horizontal="center" vertical="center" wrapText="1"/>
      <protection/>
    </xf>
    <xf numFmtId="0" fontId="1" fillId="37" borderId="18" xfId="53" applyFont="1" applyFill="1" applyBorder="1" applyAlignment="1">
      <alignment horizontal="left" vertical="center" wrapText="1"/>
      <protection/>
    </xf>
    <xf numFmtId="182" fontId="1" fillId="0" borderId="10" xfId="53" applyNumberFormat="1" applyFont="1" applyBorder="1" applyAlignment="1">
      <alignment horizontal="center" vertical="center"/>
      <protection/>
    </xf>
    <xf numFmtId="182" fontId="6" fillId="0" borderId="10" xfId="53" applyNumberFormat="1" applyFont="1" applyFill="1" applyBorder="1" applyAlignment="1">
      <alignment horizontal="center" vertical="center"/>
      <protection/>
    </xf>
    <xf numFmtId="182" fontId="6" fillId="37" borderId="10" xfId="53" applyNumberFormat="1" applyFont="1" applyFill="1" applyBorder="1" applyAlignment="1">
      <alignment horizontal="center" vertical="center"/>
      <protection/>
    </xf>
    <xf numFmtId="178" fontId="6" fillId="0" borderId="10" xfId="53" applyNumberFormat="1" applyFont="1" applyBorder="1" applyAlignment="1">
      <alignment horizontal="center" vertical="center"/>
      <protection/>
    </xf>
    <xf numFmtId="181" fontId="1" fillId="0" borderId="10" xfId="53" applyNumberFormat="1" applyFont="1" applyBorder="1" applyAlignment="1">
      <alignment horizontal="center" vertical="center"/>
      <protection/>
    </xf>
    <xf numFmtId="181" fontId="6" fillId="0" borderId="10" xfId="53" applyNumberFormat="1" applyFont="1" applyFill="1" applyBorder="1" applyAlignment="1">
      <alignment horizontal="center" vertical="center"/>
      <protection/>
    </xf>
    <xf numFmtId="0" fontId="6" fillId="37" borderId="13" xfId="53" applyFont="1" applyFill="1" applyBorder="1" applyAlignment="1">
      <alignment horizontal="center" vertical="center" wrapText="1"/>
      <protection/>
    </xf>
    <xf numFmtId="49" fontId="6" fillId="37" borderId="10" xfId="53" applyNumberFormat="1" applyFont="1" applyFill="1" applyBorder="1" applyAlignment="1">
      <alignment horizontal="center" vertical="center" wrapText="1"/>
      <protection/>
    </xf>
    <xf numFmtId="0" fontId="6" fillId="37" borderId="13" xfId="53" applyFont="1" applyFill="1" applyBorder="1" applyAlignment="1">
      <alignment vertical="center" wrapText="1"/>
      <protection/>
    </xf>
    <xf numFmtId="0" fontId="6" fillId="0" borderId="10" xfId="53" applyFont="1" applyFill="1" applyBorder="1" applyAlignment="1">
      <alignment vertical="center" wrapText="1"/>
      <protection/>
    </xf>
    <xf numFmtId="4" fontId="1" fillId="0" borderId="12" xfId="53" applyNumberFormat="1" applyFont="1" applyBorder="1" applyAlignment="1">
      <alignment horizontal="center" vertical="center" wrapText="1"/>
      <protection/>
    </xf>
    <xf numFmtId="0" fontId="6" fillId="37" borderId="11" xfId="53" applyFont="1" applyFill="1" applyBorder="1" applyAlignment="1">
      <alignment horizontal="center" vertical="center" wrapText="1"/>
      <protection/>
    </xf>
    <xf numFmtId="0" fontId="6" fillId="0" borderId="10" xfId="53" applyFont="1" applyFill="1" applyBorder="1" applyAlignment="1">
      <alignment horizontal="center" vertical="center" wrapText="1"/>
      <protection/>
    </xf>
    <xf numFmtId="181" fontId="1" fillId="0" borderId="10" xfId="53" applyNumberFormat="1" applyFont="1" applyBorder="1" applyAlignment="1">
      <alignment horizontal="center" vertical="center" wrapText="1"/>
      <protection/>
    </xf>
    <xf numFmtId="49" fontId="6" fillId="0" borderId="12" xfId="53" applyNumberFormat="1" applyFont="1" applyBorder="1" applyAlignment="1">
      <alignment horizontal="center" vertical="center"/>
      <protection/>
    </xf>
    <xf numFmtId="177" fontId="6" fillId="0" borderId="10" xfId="63" applyFont="1" applyBorder="1" applyAlignment="1">
      <alignment horizontal="center" vertical="center" wrapText="1"/>
    </xf>
    <xf numFmtId="177" fontId="6" fillId="37" borderId="12" xfId="63" applyFont="1" applyFill="1" applyBorder="1" applyAlignment="1">
      <alignment horizontal="center" vertical="center" wrapText="1"/>
    </xf>
    <xf numFmtId="177" fontId="6" fillId="0" borderId="12" xfId="63" applyFont="1" applyFill="1" applyBorder="1" applyAlignment="1">
      <alignment horizontal="center" vertical="center" wrapText="1"/>
    </xf>
    <xf numFmtId="177" fontId="6" fillId="0" borderId="12" xfId="63" applyFont="1" applyBorder="1" applyAlignment="1">
      <alignment horizontal="center" vertical="center" wrapText="1"/>
    </xf>
    <xf numFmtId="177" fontId="65" fillId="0" borderId="12" xfId="63" applyFont="1" applyBorder="1" applyAlignment="1">
      <alignment horizontal="center" vertical="center" wrapText="1"/>
    </xf>
    <xf numFmtId="49" fontId="6" fillId="0" borderId="12" xfId="53" applyNumberFormat="1" applyFont="1" applyFill="1" applyBorder="1" applyAlignment="1">
      <alignment horizontal="center" vertical="center"/>
      <protection/>
    </xf>
    <xf numFmtId="177" fontId="6" fillId="0" borderId="10" xfId="63" applyFont="1" applyFill="1" applyBorder="1" applyAlignment="1">
      <alignment horizontal="center" vertical="center" wrapText="1"/>
    </xf>
    <xf numFmtId="177" fontId="65" fillId="0" borderId="12" xfId="63" applyFont="1" applyFill="1" applyBorder="1" applyAlignment="1">
      <alignment horizontal="center" vertical="center" wrapText="1"/>
    </xf>
    <xf numFmtId="49" fontId="6" fillId="0" borderId="10" xfId="53" applyNumberFormat="1" applyFont="1" applyBorder="1" applyAlignment="1">
      <alignment horizontal="center" vertical="center"/>
      <protection/>
    </xf>
    <xf numFmtId="0" fontId="66" fillId="37" borderId="13" xfId="0" applyFont="1" applyFill="1" applyBorder="1" applyAlignment="1">
      <alignment horizontal="left" vertical="center" wrapText="1"/>
    </xf>
    <xf numFmtId="0" fontId="66" fillId="37" borderId="12" xfId="0" applyFont="1" applyFill="1" applyBorder="1" applyAlignment="1">
      <alignment horizontal="left" vertical="center" wrapText="1"/>
    </xf>
    <xf numFmtId="183" fontId="6" fillId="0" borderId="12" xfId="63" applyNumberFormat="1" applyFont="1" applyFill="1" applyBorder="1" applyAlignment="1">
      <alignment horizontal="center" vertical="center" wrapText="1"/>
    </xf>
    <xf numFmtId="177" fontId="1" fillId="0" borderId="10" xfId="63" applyFont="1" applyBorder="1" applyAlignment="1">
      <alignment horizontal="center" vertical="center" wrapText="1"/>
    </xf>
    <xf numFmtId="177" fontId="1" fillId="37" borderId="12" xfId="63" applyFont="1" applyFill="1" applyBorder="1" applyAlignment="1">
      <alignment horizontal="center" vertical="center" wrapText="1"/>
    </xf>
    <xf numFmtId="183" fontId="1" fillId="0" borderId="10" xfId="63" applyNumberFormat="1" applyFont="1" applyBorder="1" applyAlignment="1">
      <alignment horizontal="center" vertical="center" wrapText="1"/>
    </xf>
    <xf numFmtId="183" fontId="1" fillId="37" borderId="12" xfId="63" applyNumberFormat="1" applyFont="1" applyFill="1" applyBorder="1" applyAlignment="1">
      <alignment horizontal="center" vertical="center" wrapText="1"/>
    </xf>
    <xf numFmtId="0" fontId="6" fillId="37" borderId="13" xfId="53" applyFont="1" applyFill="1" applyBorder="1" applyAlignment="1">
      <alignment horizontal="center" vertical="center" wrapText="1"/>
      <protection/>
    </xf>
    <xf numFmtId="49" fontId="6" fillId="0" borderId="15" xfId="53" applyNumberFormat="1" applyFont="1" applyBorder="1" applyAlignment="1">
      <alignment horizontal="center" vertical="center"/>
      <protection/>
    </xf>
    <xf numFmtId="177" fontId="6" fillId="37" borderId="15" xfId="63" applyFont="1" applyFill="1" applyBorder="1" applyAlignment="1">
      <alignment horizontal="center" vertical="center" wrapText="1"/>
    </xf>
    <xf numFmtId="177" fontId="6" fillId="0" borderId="15" xfId="63" applyFont="1" applyFill="1" applyBorder="1" applyAlignment="1">
      <alignment horizontal="center" vertical="center" wrapText="1"/>
    </xf>
    <xf numFmtId="177" fontId="65" fillId="0" borderId="15" xfId="63" applyFont="1" applyBorder="1" applyAlignment="1">
      <alignment horizontal="center" vertical="center" wrapText="1"/>
    </xf>
    <xf numFmtId="49" fontId="6" fillId="0" borderId="10" xfId="53" applyNumberFormat="1" applyFont="1" applyFill="1" applyBorder="1" applyAlignment="1">
      <alignment horizontal="center" vertical="center"/>
      <protection/>
    </xf>
    <xf numFmtId="177" fontId="65" fillId="0" borderId="10" xfId="63" applyFont="1" applyFill="1" applyBorder="1" applyAlignment="1">
      <alignment horizontal="center" vertical="center" wrapText="1"/>
    </xf>
    <xf numFmtId="0" fontId="6" fillId="0" borderId="12" xfId="53" applyFont="1" applyFill="1" applyBorder="1" applyAlignment="1">
      <alignment horizontal="center" vertical="center" wrapText="1"/>
      <protection/>
    </xf>
    <xf numFmtId="49" fontId="6" fillId="37" borderId="10" xfId="53" applyNumberFormat="1" applyFont="1" applyFill="1" applyBorder="1" applyAlignment="1">
      <alignment horizontal="center" vertical="center"/>
      <protection/>
    </xf>
    <xf numFmtId="0" fontId="6" fillId="37" borderId="19" xfId="53" applyFont="1" applyFill="1" applyBorder="1" applyAlignment="1">
      <alignment horizontal="center" vertical="center" wrapText="1"/>
      <protection/>
    </xf>
    <xf numFmtId="0" fontId="6" fillId="34" borderId="16" xfId="53" applyFont="1" applyFill="1" applyBorder="1" applyAlignment="1">
      <alignment horizontal="center" vertical="center" wrapText="1"/>
      <protection/>
    </xf>
    <xf numFmtId="0" fontId="6" fillId="37" borderId="13" xfId="53" applyFont="1" applyFill="1" applyBorder="1" applyAlignment="1">
      <alignment horizontal="left" vertical="center" wrapText="1"/>
      <protection/>
    </xf>
    <xf numFmtId="4" fontId="6" fillId="37" borderId="15" xfId="53" applyNumberFormat="1" applyFont="1" applyFill="1" applyBorder="1" applyAlignment="1">
      <alignment horizontal="center" vertical="center" wrapText="1"/>
      <protection/>
    </xf>
    <xf numFmtId="2" fontId="1" fillId="0" borderId="10" xfId="0" applyNumberFormat="1" applyFont="1" applyBorder="1" applyAlignment="1">
      <alignment horizontal="center" vertical="center"/>
    </xf>
    <xf numFmtId="2" fontId="6" fillId="0" borderId="10" xfId="0" applyNumberFormat="1" applyFont="1" applyBorder="1" applyAlignment="1">
      <alignment horizontal="center" vertical="center" wrapText="1"/>
    </xf>
    <xf numFmtId="0" fontId="6" fillId="0" borderId="0" xfId="53" applyFont="1" applyFill="1" applyAlignment="1">
      <alignment horizontal="center"/>
      <protection/>
    </xf>
    <xf numFmtId="0" fontId="2" fillId="37" borderId="0" xfId="53" applyFont="1" applyFill="1">
      <alignment/>
      <protection/>
    </xf>
    <xf numFmtId="2" fontId="3" fillId="37" borderId="0" xfId="53" applyNumberFormat="1" applyFont="1" applyFill="1" applyBorder="1" applyAlignment="1">
      <alignment horizontal="center" vertical="center" wrapText="1"/>
      <protection/>
    </xf>
    <xf numFmtId="2" fontId="14" fillId="37" borderId="0" xfId="53" applyNumberFormat="1" applyFont="1" applyFill="1" applyBorder="1" applyAlignment="1">
      <alignment horizontal="center" vertical="center" wrapText="1"/>
      <protection/>
    </xf>
    <xf numFmtId="178" fontId="14" fillId="37" borderId="0" xfId="53" applyNumberFormat="1" applyFont="1" applyFill="1" applyBorder="1" applyAlignment="1">
      <alignment horizontal="center" vertical="center" wrapText="1"/>
      <protection/>
    </xf>
    <xf numFmtId="181" fontId="15" fillId="37" borderId="0" xfId="53" applyNumberFormat="1" applyFont="1" applyFill="1">
      <alignment/>
      <protection/>
    </xf>
    <xf numFmtId="0" fontId="17" fillId="0" borderId="0" xfId="53" applyFont="1" applyBorder="1" applyAlignment="1">
      <alignment horizontal="left" vertical="center" wrapText="1"/>
      <protection/>
    </xf>
    <xf numFmtId="0" fontId="17" fillId="0" borderId="0" xfId="53" applyFont="1" applyAlignment="1">
      <alignment horizontal="center" vertical="center" wrapText="1"/>
      <protection/>
    </xf>
    <xf numFmtId="0" fontId="18" fillId="0" borderId="0" xfId="53" applyFont="1">
      <alignment/>
      <protection/>
    </xf>
    <xf numFmtId="178" fontId="3" fillId="37" borderId="0" xfId="53" applyNumberFormat="1" applyFont="1" applyFill="1" applyBorder="1" applyAlignment="1">
      <alignment horizontal="center" vertical="center"/>
      <protection/>
    </xf>
    <xf numFmtId="0" fontId="2" fillId="37" borderId="0" xfId="53" applyFont="1" applyFill="1" applyBorder="1" applyAlignment="1">
      <alignment vertical="center" wrapText="1"/>
      <protection/>
    </xf>
    <xf numFmtId="0" fontId="2" fillId="37" borderId="0" xfId="53" applyFont="1" applyFill="1" applyAlignment="1">
      <alignment horizontal="center" vertical="center" wrapText="1"/>
      <protection/>
    </xf>
    <xf numFmtId="0" fontId="2" fillId="37" borderId="0" xfId="53" applyFont="1" applyFill="1" applyAlignment="1">
      <alignment/>
      <protection/>
    </xf>
    <xf numFmtId="0" fontId="15" fillId="37" borderId="0" xfId="53" applyFont="1" applyFill="1">
      <alignment/>
      <protection/>
    </xf>
    <xf numFmtId="0" fontId="2" fillId="0" borderId="0" xfId="53" applyFont="1" applyAlignment="1">
      <alignment horizontal="left" vertical="center"/>
      <protection/>
    </xf>
    <xf numFmtId="0" fontId="2" fillId="37" borderId="0" xfId="53" applyFont="1" applyFill="1" applyAlignment="1">
      <alignment horizontal="left"/>
      <protection/>
    </xf>
    <xf numFmtId="4" fontId="2" fillId="37" borderId="10" xfId="53" applyNumberFormat="1" applyFont="1" applyFill="1" applyBorder="1" applyAlignment="1">
      <alignment horizontal="center" vertical="center" wrapText="1"/>
      <protection/>
    </xf>
    <xf numFmtId="178" fontId="2" fillId="0" borderId="0" xfId="53" applyNumberFormat="1" applyFont="1" applyAlignment="1">
      <alignment horizontal="center" vertical="center" wrapText="1"/>
      <protection/>
    </xf>
    <xf numFmtId="0" fontId="15" fillId="0" borderId="0" xfId="53" applyFont="1">
      <alignment/>
      <protection/>
    </xf>
    <xf numFmtId="0" fontId="3" fillId="0" borderId="0" xfId="53" applyFont="1" applyAlignment="1">
      <alignment horizontal="center"/>
      <protection/>
    </xf>
    <xf numFmtId="178" fontId="2" fillId="37" borderId="0" xfId="53" applyNumberFormat="1" applyFont="1" applyFill="1" applyBorder="1" applyAlignment="1">
      <alignment horizontal="center" vertical="center" wrapText="1"/>
      <protection/>
    </xf>
    <xf numFmtId="2" fontId="15" fillId="37" borderId="0" xfId="53" applyNumberFormat="1" applyFont="1" applyFill="1">
      <alignment/>
      <protection/>
    </xf>
    <xf numFmtId="0" fontId="3" fillId="37" borderId="0" xfId="53" applyFont="1" applyFill="1" applyBorder="1" applyAlignment="1">
      <alignment horizontal="left" vertical="center" wrapText="1"/>
      <protection/>
    </xf>
    <xf numFmtId="2" fontId="2" fillId="37" borderId="0" xfId="53" applyNumberFormat="1" applyFont="1" applyFill="1" applyAlignment="1">
      <alignment horizontal="left" vertical="center" wrapText="1"/>
      <protection/>
    </xf>
    <xf numFmtId="0" fontId="3" fillId="37" borderId="0" xfId="53" applyFont="1" applyFill="1" applyAlignment="1">
      <alignment horizontal="center"/>
      <protection/>
    </xf>
    <xf numFmtId="4" fontId="15" fillId="37" borderId="0" xfId="53" applyNumberFormat="1" applyFont="1" applyFill="1">
      <alignment/>
      <protection/>
    </xf>
    <xf numFmtId="0" fontId="15" fillId="37" borderId="0" xfId="53" applyFont="1" applyFill="1" applyAlignment="1">
      <alignment horizontal="left"/>
      <protection/>
    </xf>
    <xf numFmtId="14" fontId="2" fillId="37" borderId="0" xfId="53" applyNumberFormat="1" applyFont="1" applyFill="1" applyAlignment="1">
      <alignment horizontal="left"/>
      <protection/>
    </xf>
    <xf numFmtId="178" fontId="15" fillId="37" borderId="0" xfId="53" applyNumberFormat="1" applyFont="1" applyFill="1">
      <alignment/>
      <protection/>
    </xf>
    <xf numFmtId="0" fontId="6" fillId="0" borderId="0" xfId="53" applyFont="1">
      <alignment/>
      <protection/>
    </xf>
    <xf numFmtId="0" fontId="6" fillId="0" borderId="10" xfId="53" applyFont="1" applyBorder="1" applyAlignment="1">
      <alignment/>
      <protection/>
    </xf>
    <xf numFmtId="178" fontId="1" fillId="0" borderId="0" xfId="53" applyNumberFormat="1" applyFont="1" applyBorder="1" applyAlignment="1">
      <alignment horizontal="center" vertical="center" wrapText="1"/>
      <protection/>
    </xf>
    <xf numFmtId="0" fontId="6" fillId="0" borderId="0" xfId="53" applyFont="1" applyBorder="1" applyAlignment="1">
      <alignment horizontal="center"/>
      <protection/>
    </xf>
    <xf numFmtId="0" fontId="17" fillId="0" borderId="0" xfId="53" applyFont="1" applyAlignment="1">
      <alignment vertical="center" wrapText="1"/>
      <protection/>
    </xf>
    <xf numFmtId="0" fontId="2" fillId="37" borderId="0" xfId="53" applyFont="1" applyFill="1" applyBorder="1" applyAlignment="1">
      <alignment horizontal="left" vertical="center" wrapText="1"/>
      <protection/>
    </xf>
    <xf numFmtId="0" fontId="6" fillId="37" borderId="12" xfId="53" applyFont="1" applyFill="1" applyBorder="1" applyAlignment="1">
      <alignment horizontal="center" vertical="center" wrapText="1"/>
      <protection/>
    </xf>
    <xf numFmtId="0" fontId="1" fillId="37" borderId="10" xfId="53" applyFont="1" applyFill="1" applyBorder="1" applyAlignment="1">
      <alignment horizontal="center" vertical="center" wrapText="1"/>
      <protection/>
    </xf>
    <xf numFmtId="183" fontId="1" fillId="0" borderId="10" xfId="61" applyNumberFormat="1" applyFont="1" applyBorder="1" applyAlignment="1">
      <alignment horizontal="center" vertical="center" wrapText="1"/>
    </xf>
    <xf numFmtId="0" fontId="6" fillId="0" borderId="0" xfId="0" applyFont="1" applyAlignment="1">
      <alignment horizontal="left" wrapText="1"/>
    </xf>
    <xf numFmtId="49" fontId="6" fillId="37" borderId="10" xfId="53" applyNumberFormat="1" applyFont="1" applyFill="1" applyBorder="1" applyAlignment="1">
      <alignment vertical="center" wrapText="1"/>
      <protection/>
    </xf>
    <xf numFmtId="0" fontId="0" fillId="37" borderId="0" xfId="53" applyFill="1">
      <alignment/>
      <protection/>
    </xf>
    <xf numFmtId="0" fontId="2" fillId="37" borderId="0" xfId="53" applyFont="1" applyFill="1" applyAlignment="1">
      <alignment horizontal="center" vertical="center"/>
      <protection/>
    </xf>
    <xf numFmtId="0" fontId="6" fillId="37" borderId="0" xfId="53" applyFont="1" applyFill="1" applyAlignment="1">
      <alignment/>
      <protection/>
    </xf>
    <xf numFmtId="0" fontId="6" fillId="37" borderId="0" xfId="53" applyFont="1" applyFill="1">
      <alignment/>
      <protection/>
    </xf>
    <xf numFmtId="0" fontId="1" fillId="37" borderId="20" xfId="53" applyFont="1" applyFill="1" applyBorder="1" applyAlignment="1">
      <alignment horizontal="center" vertical="center" wrapText="1"/>
      <protection/>
    </xf>
    <xf numFmtId="0" fontId="6" fillId="37" borderId="10" xfId="53" applyFont="1" applyFill="1" applyBorder="1">
      <alignment/>
      <protection/>
    </xf>
    <xf numFmtId="0" fontId="6" fillId="0" borderId="0" xfId="53" applyFont="1" applyBorder="1" applyAlignment="1">
      <alignment horizontal="left" vertical="center" wrapText="1"/>
      <protection/>
    </xf>
    <xf numFmtId="0" fontId="1" fillId="37" borderId="0" xfId="53" applyFont="1" applyFill="1" applyBorder="1" applyAlignment="1">
      <alignment horizontal="left" vertical="center" wrapText="1"/>
      <protection/>
    </xf>
    <xf numFmtId="0" fontId="1" fillId="37" borderId="0" xfId="53" applyFont="1" applyFill="1" applyBorder="1" applyAlignment="1">
      <alignment horizontal="center" vertical="center" wrapText="1"/>
      <protection/>
    </xf>
    <xf numFmtId="0" fontId="6" fillId="37" borderId="0" xfId="53" applyFont="1" applyFill="1" applyAlignment="1">
      <alignment horizontal="left" vertical="center" wrapText="1"/>
      <protection/>
    </xf>
    <xf numFmtId="0" fontId="20" fillId="0" borderId="10" xfId="0" applyFont="1" applyBorder="1" applyAlignment="1">
      <alignment horizontal="center" vertical="center" wrapText="1"/>
    </xf>
    <xf numFmtId="0" fontId="6" fillId="0" borderId="0" xfId="53" applyFont="1" applyFill="1" applyBorder="1" applyAlignment="1">
      <alignment horizontal="left" vertical="center" wrapText="1"/>
      <protection/>
    </xf>
    <xf numFmtId="0" fontId="6" fillId="0" borderId="0" xfId="53" applyFont="1" applyFill="1" applyAlignment="1">
      <alignment horizontal="center" vertical="center" wrapText="1"/>
      <protection/>
    </xf>
    <xf numFmtId="181" fontId="6" fillId="37" borderId="10" xfId="53" applyNumberFormat="1" applyFont="1" applyFill="1" applyBorder="1" applyAlignment="1">
      <alignment horizontal="center" vertical="center" wrapText="1"/>
      <protection/>
    </xf>
    <xf numFmtId="0" fontId="20" fillId="0" borderId="10" xfId="0" applyFont="1" applyBorder="1" applyAlignment="1">
      <alignment horizontal="justify" vertical="center" wrapText="1"/>
    </xf>
    <xf numFmtId="0" fontId="20" fillId="34" borderId="10" xfId="0" applyFont="1" applyFill="1" applyBorder="1" applyAlignment="1">
      <alignment horizontal="center" vertical="center" wrapText="1"/>
    </xf>
    <xf numFmtId="0" fontId="6" fillId="0" borderId="0" xfId="0" applyFont="1" applyBorder="1" applyAlignment="1">
      <alignment horizontal="left" vertical="center" wrapText="1"/>
    </xf>
    <xf numFmtId="0" fontId="2" fillId="37" borderId="0" xfId="53" applyFont="1" applyFill="1" applyBorder="1" applyAlignment="1">
      <alignment horizontal="left" vertical="center" wrapText="1"/>
      <protection/>
    </xf>
    <xf numFmtId="0" fontId="1" fillId="37" borderId="10" xfId="53" applyFont="1" applyFill="1" applyBorder="1" applyAlignment="1">
      <alignment horizontal="center" vertical="center" wrapText="1"/>
      <protection/>
    </xf>
    <xf numFmtId="0" fontId="67" fillId="37" borderId="10" xfId="0" applyFont="1" applyFill="1" applyBorder="1" applyAlignment="1">
      <alignment horizontal="left" vertical="center" wrapText="1"/>
    </xf>
    <xf numFmtId="0" fontId="2" fillId="37" borderId="10" xfId="0" applyFont="1" applyFill="1" applyBorder="1" applyAlignment="1">
      <alignment horizontal="left" vertical="center" wrapText="1"/>
    </xf>
    <xf numFmtId="0" fontId="68" fillId="37" borderId="10" xfId="0" applyFont="1" applyFill="1" applyBorder="1" applyAlignment="1">
      <alignment horizontal="left" vertical="center" wrapText="1"/>
    </xf>
    <xf numFmtId="0" fontId="6" fillId="0" borderId="0" xfId="0" applyFont="1" applyBorder="1" applyAlignment="1">
      <alignment horizontal="center" vertical="center" wrapText="1"/>
    </xf>
    <xf numFmtId="178" fontId="2" fillId="37" borderId="0" xfId="0" applyNumberFormat="1" applyFont="1" applyFill="1" applyBorder="1" applyAlignment="1">
      <alignment horizontal="center" vertical="center"/>
    </xf>
    <xf numFmtId="178" fontId="2" fillId="0" borderId="0" xfId="0" applyNumberFormat="1" applyFont="1" applyBorder="1" applyAlignment="1">
      <alignment horizontal="center" vertical="center"/>
    </xf>
    <xf numFmtId="0" fontId="2" fillId="0" borderId="0" xfId="0" applyFont="1" applyAlignment="1">
      <alignment horizontal="right" vertical="center" wrapText="1"/>
    </xf>
    <xf numFmtId="177" fontId="6" fillId="37" borderId="10" xfId="63" applyFont="1" applyFill="1" applyBorder="1" applyAlignment="1">
      <alignment horizontal="center" vertical="center" wrapText="1"/>
    </xf>
    <xf numFmtId="0" fontId="21" fillId="0" borderId="13" xfId="53" applyFont="1" applyBorder="1" applyAlignment="1">
      <alignment horizontal="center" vertical="center" wrapText="1"/>
      <protection/>
    </xf>
    <xf numFmtId="0" fontId="21" fillId="0" borderId="12" xfId="53" applyFont="1" applyBorder="1" applyAlignment="1">
      <alignment horizontal="center" vertical="center" wrapText="1"/>
      <protection/>
    </xf>
    <xf numFmtId="0" fontId="21" fillId="0" borderId="10" xfId="53" applyFont="1" applyBorder="1" applyAlignment="1">
      <alignment horizontal="center" vertical="center" wrapText="1"/>
      <protection/>
    </xf>
    <xf numFmtId="0" fontId="21" fillId="0" borderId="10" xfId="53" applyFont="1" applyFill="1" applyBorder="1" applyAlignment="1">
      <alignment horizontal="center" vertical="center" wrapText="1"/>
      <protection/>
    </xf>
    <xf numFmtId="0" fontId="21" fillId="0" borderId="12" xfId="53" applyFont="1" applyFill="1" applyBorder="1" applyAlignment="1">
      <alignment horizontal="center" vertical="center" wrapText="1"/>
      <protection/>
    </xf>
    <xf numFmtId="0" fontId="21" fillId="37" borderId="10" xfId="53" applyFont="1" applyFill="1" applyBorder="1" applyAlignment="1">
      <alignment horizontal="center" vertical="center" wrapText="1"/>
      <protection/>
    </xf>
    <xf numFmtId="0" fontId="21" fillId="37" borderId="13" xfId="53" applyFont="1" applyFill="1" applyBorder="1" applyAlignment="1">
      <alignment horizontal="center" vertical="center" wrapText="1"/>
      <protection/>
    </xf>
    <xf numFmtId="0" fontId="21" fillId="0" borderId="10" xfId="53" applyFont="1" applyBorder="1" applyAlignment="1">
      <alignment horizontal="center"/>
      <protection/>
    </xf>
    <xf numFmtId="0" fontId="21" fillId="0" borderId="0" xfId="53" applyFont="1" applyBorder="1" applyAlignment="1">
      <alignment horizontal="center"/>
      <protection/>
    </xf>
    <xf numFmtId="2" fontId="22" fillId="0" borderId="0" xfId="53" applyNumberFormat="1" applyFont="1" applyBorder="1" applyAlignment="1">
      <alignment horizontal="center" vertical="center" wrapText="1"/>
      <protection/>
    </xf>
    <xf numFmtId="0" fontId="6" fillId="0" borderId="0" xfId="0" applyFont="1" applyFill="1" applyBorder="1" applyAlignment="1">
      <alignment horizontal="left" vertical="center" wrapText="1"/>
    </xf>
    <xf numFmtId="4" fontId="23" fillId="0" borderId="10" xfId="53" applyNumberFormat="1" applyFont="1" applyBorder="1" applyAlignment="1">
      <alignment horizontal="center" vertical="center" wrapText="1"/>
      <protection/>
    </xf>
    <xf numFmtId="4" fontId="24" fillId="0" borderId="12" xfId="53" applyNumberFormat="1" applyFont="1" applyBorder="1" applyAlignment="1">
      <alignment horizontal="center" vertical="center" wrapText="1"/>
      <protection/>
    </xf>
    <xf numFmtId="4" fontId="23" fillId="0" borderId="10" xfId="53" applyNumberFormat="1" applyFont="1" applyFill="1" applyBorder="1" applyAlignment="1">
      <alignment horizontal="center" vertical="center" wrapText="1"/>
      <protection/>
    </xf>
    <xf numFmtId="0" fontId="1" fillId="37" borderId="10" xfId="53" applyFont="1" applyFill="1" applyBorder="1" applyAlignment="1">
      <alignment horizontal="center" vertical="center" wrapText="1"/>
      <protection/>
    </xf>
    <xf numFmtId="0" fontId="2" fillId="37" borderId="0" xfId="53" applyFont="1" applyFill="1" applyBorder="1" applyAlignment="1">
      <alignment horizontal="left" vertical="center" wrapText="1"/>
      <protection/>
    </xf>
    <xf numFmtId="0" fontId="6" fillId="37" borderId="12" xfId="53" applyFont="1" applyFill="1" applyBorder="1" applyAlignment="1">
      <alignment horizontal="center" vertical="center" wrapText="1"/>
      <protection/>
    </xf>
    <xf numFmtId="0" fontId="0" fillId="0" borderId="10" xfId="0" applyBorder="1" applyAlignment="1">
      <alignment horizontal="center" vertical="center"/>
    </xf>
    <xf numFmtId="0" fontId="6" fillId="0" borderId="0" xfId="0" applyFont="1" applyAlignment="1">
      <alignment/>
    </xf>
    <xf numFmtId="0" fontId="2" fillId="0" borderId="0" xfId="53" applyFont="1" applyBorder="1" applyAlignment="1">
      <alignment horizontal="left" vertical="center" wrapText="1"/>
      <protection/>
    </xf>
    <xf numFmtId="0" fontId="6" fillId="37" borderId="12" xfId="53" applyFont="1" applyFill="1" applyBorder="1" applyAlignment="1">
      <alignment horizontal="center" vertical="center" wrapText="1"/>
      <protection/>
    </xf>
    <xf numFmtId="0" fontId="2" fillId="0" borderId="10" xfId="53" applyFont="1" applyFill="1" applyBorder="1" applyAlignment="1">
      <alignment horizontal="left" vertical="center" wrapText="1"/>
      <protection/>
    </xf>
    <xf numFmtId="0" fontId="6" fillId="37" borderId="12" xfId="53" applyFont="1" applyFill="1" applyBorder="1" applyAlignment="1">
      <alignment horizontal="center" vertical="center" wrapText="1"/>
      <protection/>
    </xf>
    <xf numFmtId="0" fontId="1" fillId="37" borderId="10" xfId="53" applyFont="1" applyFill="1" applyBorder="1" applyAlignment="1">
      <alignment horizontal="center" vertical="center" wrapText="1"/>
      <protection/>
    </xf>
    <xf numFmtId="0" fontId="1" fillId="37" borderId="21" xfId="53" applyFont="1" applyFill="1" applyBorder="1" applyAlignment="1">
      <alignment vertical="center" wrapText="1"/>
      <protection/>
    </xf>
    <xf numFmtId="0" fontId="1" fillId="37" borderId="16" xfId="53" applyFont="1" applyFill="1" applyBorder="1" applyAlignment="1">
      <alignment vertical="center" wrapText="1"/>
      <protection/>
    </xf>
    <xf numFmtId="0" fontId="1" fillId="37" borderId="10" xfId="53" applyFont="1" applyFill="1" applyBorder="1" applyAlignment="1">
      <alignment horizontal="center" vertical="center" wrapText="1"/>
      <protection/>
    </xf>
    <xf numFmtId="0" fontId="1" fillId="37" borderId="13" xfId="53" applyFont="1" applyFill="1" applyBorder="1" applyAlignment="1">
      <alignment horizontal="center" vertical="center" wrapText="1"/>
      <protection/>
    </xf>
    <xf numFmtId="0" fontId="1" fillId="37" borderId="15" xfId="53" applyFont="1" applyFill="1" applyBorder="1" applyAlignment="1">
      <alignment horizontal="center" vertical="center" wrapText="1"/>
      <protection/>
    </xf>
    <xf numFmtId="0" fontId="2" fillId="37" borderId="0" xfId="53" applyFont="1" applyFill="1" applyAlignment="1">
      <alignment horizontal="center"/>
      <protection/>
    </xf>
    <xf numFmtId="0" fontId="2" fillId="37" borderId="0" xfId="53" applyFont="1" applyFill="1" applyAlignment="1">
      <alignment horizontal="left" vertical="center" wrapText="1"/>
      <protection/>
    </xf>
    <xf numFmtId="0" fontId="1" fillId="37" borderId="19" xfId="53" applyFont="1" applyFill="1" applyBorder="1" applyAlignment="1">
      <alignment horizontal="center" vertical="center" wrapText="1"/>
      <protection/>
    </xf>
    <xf numFmtId="0" fontId="25" fillId="37" borderId="0" xfId="53" applyFont="1" applyFill="1" applyAlignment="1">
      <alignment horizontal="center"/>
      <protection/>
    </xf>
    <xf numFmtId="0" fontId="1" fillId="37" borderId="17" xfId="53" applyFont="1" applyFill="1" applyBorder="1" applyAlignment="1">
      <alignment horizontal="center" vertical="center" wrapText="1"/>
      <protection/>
    </xf>
    <xf numFmtId="0" fontId="1" fillId="37" borderId="10" xfId="53" applyFont="1" applyFill="1" applyBorder="1" applyAlignment="1">
      <alignment vertical="center" wrapText="1"/>
      <protection/>
    </xf>
    <xf numFmtId="0" fontId="8" fillId="37" borderId="10" xfId="53" applyFont="1" applyFill="1" applyBorder="1">
      <alignment/>
      <protection/>
    </xf>
    <xf numFmtId="177" fontId="6" fillId="37" borderId="10" xfId="63" applyFont="1" applyFill="1" applyBorder="1" applyAlignment="1">
      <alignment horizontal="center" vertical="center"/>
    </xf>
    <xf numFmtId="181" fontId="6" fillId="0" borderId="10" xfId="53" applyNumberFormat="1" applyFont="1" applyFill="1" applyBorder="1" applyAlignment="1">
      <alignment horizontal="center" vertical="center" wrapText="1"/>
      <protection/>
    </xf>
    <xf numFmtId="181" fontId="8" fillId="37" borderId="10" xfId="53" applyNumberFormat="1" applyFont="1" applyFill="1" applyBorder="1">
      <alignment/>
      <protection/>
    </xf>
    <xf numFmtId="0" fontId="6" fillId="0" borderId="0" xfId="53" applyFont="1" applyAlignment="1">
      <alignment horizontal="right" wrapText="1"/>
      <protection/>
    </xf>
    <xf numFmtId="4" fontId="6" fillId="37" borderId="13" xfId="53" applyNumberFormat="1" applyFont="1" applyFill="1" applyBorder="1" applyAlignment="1">
      <alignment horizontal="center" vertical="center" wrapText="1"/>
      <protection/>
    </xf>
    <xf numFmtId="2" fontId="6" fillId="34" borderId="10" xfId="53" applyNumberFormat="1" applyFont="1" applyFill="1" applyBorder="1" applyAlignment="1">
      <alignment horizontal="center" vertical="center" wrapText="1"/>
      <protection/>
    </xf>
    <xf numFmtId="2" fontId="6" fillId="0" borderId="10" xfId="53" applyNumberFormat="1" applyFont="1" applyBorder="1" applyAlignment="1">
      <alignment horizontal="center" vertical="center" wrapText="1"/>
      <protection/>
    </xf>
    <xf numFmtId="2" fontId="6" fillId="0" borderId="10" xfId="53" applyNumberFormat="1" applyFont="1" applyFill="1" applyBorder="1" applyAlignment="1">
      <alignment horizontal="center" vertical="center" wrapText="1"/>
      <protection/>
    </xf>
    <xf numFmtId="0" fontId="2" fillId="37" borderId="0" xfId="53" applyFont="1" applyFill="1" applyAlignment="1">
      <alignment horizontal="right"/>
      <protection/>
    </xf>
    <xf numFmtId="49" fontId="6" fillId="0" borderId="10" xfId="53" applyNumberFormat="1" applyFont="1" applyBorder="1" applyAlignment="1">
      <alignment horizontal="center" vertical="center" wrapText="1"/>
      <protection/>
    </xf>
    <xf numFmtId="0" fontId="25" fillId="34" borderId="10" xfId="53" applyFont="1" applyFill="1" applyBorder="1" applyAlignment="1">
      <alignment horizontal="left" vertical="center" wrapText="1"/>
      <protection/>
    </xf>
    <xf numFmtId="0" fontId="25" fillId="0" borderId="10" xfId="53" applyFont="1" applyBorder="1" applyAlignment="1">
      <alignment horizontal="center" vertical="center" wrapText="1"/>
      <protection/>
    </xf>
    <xf numFmtId="0" fontId="2" fillId="0" borderId="0" xfId="0" applyFont="1" applyBorder="1" applyAlignment="1">
      <alignment horizontal="left" vertical="center" wrapText="1"/>
    </xf>
    <xf numFmtId="0" fontId="2" fillId="0" borderId="0" xfId="0" applyFont="1" applyFill="1" applyAlignment="1">
      <alignment horizontal="right"/>
    </xf>
    <xf numFmtId="0" fontId="6" fillId="0" borderId="0" xfId="0" applyFont="1" applyAlignment="1">
      <alignment horizontal="right" wrapText="1"/>
    </xf>
    <xf numFmtId="0" fontId="6" fillId="0" borderId="0" xfId="53" applyFont="1" applyAlignment="1">
      <alignment horizontal="right"/>
      <protection/>
    </xf>
    <xf numFmtId="0" fontId="2" fillId="37" borderId="13" xfId="53" applyFont="1" applyFill="1" applyBorder="1" applyAlignment="1">
      <alignment horizontal="center" vertical="center" wrapText="1"/>
      <protection/>
    </xf>
    <xf numFmtId="49" fontId="2" fillId="37" borderId="13" xfId="53" applyNumberFormat="1" applyFont="1" applyFill="1" applyBorder="1" applyAlignment="1">
      <alignment horizontal="center" vertical="center" wrapText="1"/>
      <protection/>
    </xf>
    <xf numFmtId="49" fontId="2" fillId="37" borderId="12" xfId="53" applyNumberFormat="1" applyFont="1" applyFill="1" applyBorder="1" applyAlignment="1">
      <alignment horizontal="center" vertical="center" wrapText="1"/>
      <protection/>
    </xf>
    <xf numFmtId="49" fontId="2" fillId="37" borderId="15" xfId="53" applyNumberFormat="1" applyFont="1" applyFill="1" applyBorder="1" applyAlignment="1">
      <alignment horizontal="center" vertical="center" wrapText="1"/>
      <protection/>
    </xf>
    <xf numFmtId="0" fontId="6" fillId="0" borderId="0" xfId="0" applyFont="1" applyAlignment="1">
      <alignment wrapText="1"/>
    </xf>
    <xf numFmtId="4" fontId="65" fillId="37" borderId="10" xfId="53" applyNumberFormat="1" applyFont="1" applyFill="1" applyBorder="1" applyAlignment="1">
      <alignment horizontal="center" vertical="center" wrapText="1"/>
      <protection/>
    </xf>
    <xf numFmtId="0" fontId="26" fillId="37" borderId="10" xfId="53" applyFont="1" applyFill="1" applyBorder="1" applyAlignment="1">
      <alignment horizontal="left" vertical="center" wrapText="1"/>
      <protection/>
    </xf>
    <xf numFmtId="0" fontId="69" fillId="0" borderId="10" xfId="0" applyFont="1" applyBorder="1" applyAlignment="1">
      <alignment wrapText="1"/>
    </xf>
    <xf numFmtId="0" fontId="70" fillId="37" borderId="10" xfId="53" applyFont="1" applyFill="1" applyBorder="1" applyAlignment="1">
      <alignment horizontal="center" vertical="center" wrapText="1"/>
      <protection/>
    </xf>
    <xf numFmtId="0" fontId="6" fillId="37" borderId="12" xfId="53" applyFont="1" applyFill="1" applyBorder="1" applyAlignment="1">
      <alignment horizontal="center" vertical="center" wrapText="1"/>
      <protection/>
    </xf>
    <xf numFmtId="49" fontId="6" fillId="37" borderId="12" xfId="53" applyNumberFormat="1" applyFont="1" applyFill="1" applyBorder="1" applyAlignment="1">
      <alignment horizontal="center" vertical="center" wrapText="1"/>
      <protection/>
    </xf>
    <xf numFmtId="0" fontId="2" fillId="37" borderId="0" xfId="53" applyFont="1" applyFill="1" applyAlignment="1">
      <alignment horizontal="left"/>
      <protection/>
    </xf>
    <xf numFmtId="0" fontId="24" fillId="37" borderId="10" xfId="53" applyFont="1" applyFill="1" applyBorder="1" applyAlignment="1">
      <alignment horizontal="left" vertical="top" wrapText="1"/>
      <protection/>
    </xf>
    <xf numFmtId="0" fontId="2" fillId="35" borderId="10" xfId="53" applyFont="1" applyFill="1" applyBorder="1" applyAlignment="1">
      <alignment horizontal="left" vertical="center" wrapText="1"/>
      <protection/>
    </xf>
    <xf numFmtId="0" fontId="6" fillId="37" borderId="12" xfId="53" applyFont="1" applyFill="1" applyBorder="1" applyAlignment="1">
      <alignment horizontal="center" vertical="center" wrapText="1"/>
      <protection/>
    </xf>
    <xf numFmtId="0" fontId="71" fillId="0" borderId="10" xfId="0" applyFont="1" applyBorder="1" applyAlignment="1">
      <alignment wrapText="1"/>
    </xf>
    <xf numFmtId="0" fontId="6" fillId="0" borderId="10" xfId="0" applyFont="1" applyBorder="1" applyAlignment="1">
      <alignment wrapText="1"/>
    </xf>
    <xf numFmtId="0" fontId="1" fillId="37" borderId="13" xfId="53" applyFont="1" applyFill="1" applyBorder="1" applyAlignment="1">
      <alignment horizontal="center" vertical="center" wrapText="1"/>
      <protection/>
    </xf>
    <xf numFmtId="0" fontId="1" fillId="37" borderId="15" xfId="53" applyFont="1" applyFill="1" applyBorder="1" applyAlignment="1">
      <alignment horizontal="center" vertical="center" wrapText="1"/>
      <protection/>
    </xf>
    <xf numFmtId="0" fontId="1" fillId="37" borderId="12" xfId="53" applyFont="1" applyFill="1" applyBorder="1" applyAlignment="1">
      <alignment horizontal="center" vertical="center" wrapText="1"/>
      <protection/>
    </xf>
    <xf numFmtId="0" fontId="2" fillId="37" borderId="13" xfId="53" applyFont="1" applyFill="1" applyBorder="1" applyAlignment="1">
      <alignment horizontal="center" vertical="center" wrapText="1"/>
      <protection/>
    </xf>
    <xf numFmtId="0" fontId="2" fillId="37" borderId="15" xfId="53" applyFont="1" applyFill="1" applyBorder="1" applyAlignment="1">
      <alignment horizontal="center" vertical="center" wrapText="1"/>
      <protection/>
    </xf>
    <xf numFmtId="0" fontId="2" fillId="37" borderId="12" xfId="53" applyFont="1" applyFill="1" applyBorder="1" applyAlignment="1">
      <alignment horizontal="center" vertical="center" wrapText="1"/>
      <protection/>
    </xf>
    <xf numFmtId="49" fontId="2" fillId="37" borderId="13" xfId="53" applyNumberFormat="1" applyFont="1" applyFill="1" applyBorder="1" applyAlignment="1">
      <alignment horizontal="center" vertical="center" wrapText="1"/>
      <protection/>
    </xf>
    <xf numFmtId="49" fontId="2" fillId="37" borderId="15" xfId="53" applyNumberFormat="1" applyFont="1" applyFill="1" applyBorder="1" applyAlignment="1">
      <alignment horizontal="center" vertical="center" wrapText="1"/>
      <protection/>
    </xf>
    <xf numFmtId="49" fontId="2" fillId="37" borderId="12" xfId="53" applyNumberFormat="1" applyFont="1" applyFill="1" applyBorder="1" applyAlignment="1">
      <alignment horizontal="center" vertical="center" wrapText="1"/>
      <protection/>
    </xf>
    <xf numFmtId="0" fontId="1" fillId="0" borderId="0" xfId="0" applyFont="1" applyAlignment="1">
      <alignment horizontal="center" vertical="center" wrapText="1"/>
    </xf>
    <xf numFmtId="0" fontId="6" fillId="0" borderId="0" xfId="53" applyFont="1" applyBorder="1" applyAlignment="1">
      <alignment horizontal="left" vertical="center" wrapText="1"/>
      <protection/>
    </xf>
    <xf numFmtId="0" fontId="1" fillId="37" borderId="10" xfId="53" applyFont="1" applyFill="1" applyBorder="1" applyAlignment="1">
      <alignment horizontal="center" vertical="center" wrapText="1"/>
      <protection/>
    </xf>
    <xf numFmtId="0" fontId="2" fillId="37" borderId="0" xfId="53" applyFont="1" applyFill="1" applyBorder="1" applyAlignment="1">
      <alignment horizontal="left" vertical="center" wrapText="1"/>
      <protection/>
    </xf>
    <xf numFmtId="0" fontId="1" fillId="37" borderId="22" xfId="53" applyFont="1" applyFill="1" applyBorder="1" applyAlignment="1">
      <alignment horizontal="center" vertical="center" wrapText="1"/>
      <protection/>
    </xf>
    <xf numFmtId="0" fontId="1" fillId="37" borderId="19" xfId="53" applyFont="1" applyFill="1" applyBorder="1" applyAlignment="1">
      <alignment horizontal="center" vertical="center" wrapText="1"/>
      <protection/>
    </xf>
    <xf numFmtId="0" fontId="1" fillId="37" borderId="23" xfId="53" applyFont="1" applyFill="1" applyBorder="1" applyAlignment="1">
      <alignment horizontal="center" vertical="center" wrapText="1"/>
      <protection/>
    </xf>
    <xf numFmtId="0" fontId="1" fillId="37" borderId="21" xfId="53" applyFont="1" applyFill="1" applyBorder="1" applyAlignment="1">
      <alignment horizontal="center" vertical="center" wrapText="1"/>
      <protection/>
    </xf>
    <xf numFmtId="0" fontId="1" fillId="37" borderId="18" xfId="53" applyFont="1" applyFill="1" applyBorder="1" applyAlignment="1">
      <alignment horizontal="center" vertical="center" wrapText="1"/>
      <protection/>
    </xf>
    <xf numFmtId="0" fontId="1" fillId="37" borderId="16" xfId="53" applyFont="1" applyFill="1" applyBorder="1" applyAlignment="1">
      <alignment horizontal="center" vertical="center" wrapText="1"/>
      <protection/>
    </xf>
    <xf numFmtId="0" fontId="1" fillId="37" borderId="24" xfId="53" applyFont="1" applyFill="1" applyBorder="1" applyAlignment="1">
      <alignment horizontal="center" vertical="center" wrapText="1"/>
      <protection/>
    </xf>
    <xf numFmtId="0" fontId="1" fillId="37" borderId="14" xfId="53" applyFont="1" applyFill="1" applyBorder="1" applyAlignment="1">
      <alignment horizontal="center" vertical="center" wrapText="1"/>
      <protection/>
    </xf>
    <xf numFmtId="0" fontId="2" fillId="37" borderId="0" xfId="53" applyFont="1" applyFill="1" applyAlignment="1">
      <alignment horizontal="left" vertical="center" wrapText="1"/>
      <protection/>
    </xf>
    <xf numFmtId="0" fontId="1" fillId="37" borderId="17" xfId="53" applyFont="1" applyFill="1" applyBorder="1" applyAlignment="1">
      <alignment horizontal="center" vertical="center" wrapText="1"/>
      <protection/>
    </xf>
    <xf numFmtId="0" fontId="1" fillId="37" borderId="20" xfId="53" applyFont="1" applyFill="1" applyBorder="1" applyAlignment="1">
      <alignment horizontal="center" vertical="center" wrapText="1"/>
      <protection/>
    </xf>
    <xf numFmtId="0" fontId="1" fillId="37" borderId="11" xfId="53" applyFont="1" applyFill="1" applyBorder="1" applyAlignment="1">
      <alignment horizontal="center" vertical="center" wrapText="1"/>
      <protection/>
    </xf>
    <xf numFmtId="0" fontId="1" fillId="37" borderId="0" xfId="53" applyFont="1" applyFill="1" applyAlignment="1">
      <alignment horizontal="center" vertical="center" wrapText="1"/>
      <protection/>
    </xf>
    <xf numFmtId="0" fontId="2" fillId="37" borderId="14" xfId="53" applyFont="1" applyFill="1" applyBorder="1" applyAlignment="1">
      <alignment horizontal="right"/>
      <protection/>
    </xf>
    <xf numFmtId="0" fontId="6" fillId="37" borderId="0" xfId="53" applyFont="1" applyFill="1" applyAlignment="1">
      <alignment horizontal="center"/>
      <protection/>
    </xf>
    <xf numFmtId="0" fontId="6" fillId="0" borderId="0" xfId="53" applyFont="1" applyAlignment="1">
      <alignment horizontal="left"/>
      <protection/>
    </xf>
    <xf numFmtId="0" fontId="6" fillId="0" borderId="0" xfId="0" applyFont="1" applyAlignment="1">
      <alignment horizontal="left" wrapText="1"/>
    </xf>
    <xf numFmtId="0" fontId="6" fillId="0" borderId="0" xfId="0" applyFont="1" applyAlignment="1">
      <alignment horizontal="left"/>
    </xf>
    <xf numFmtId="0" fontId="1" fillId="0" borderId="13" xfId="53" applyFont="1" applyBorder="1" applyAlignment="1">
      <alignment horizontal="center" vertical="center" wrapText="1"/>
      <protection/>
    </xf>
    <xf numFmtId="0" fontId="1" fillId="0" borderId="15" xfId="53" applyFont="1" applyBorder="1" applyAlignment="1">
      <alignment horizontal="center" vertical="center" wrapText="1"/>
      <protection/>
    </xf>
    <xf numFmtId="0" fontId="1" fillId="0" borderId="12" xfId="53" applyFont="1" applyBorder="1" applyAlignment="1">
      <alignment horizontal="center" vertical="center" wrapText="1"/>
      <protection/>
    </xf>
    <xf numFmtId="0" fontId="1" fillId="0" borderId="0" xfId="53" applyFont="1" applyAlignment="1">
      <alignment horizontal="center" wrapText="1"/>
      <protection/>
    </xf>
    <xf numFmtId="0" fontId="2" fillId="0" borderId="0" xfId="53" applyFont="1" applyBorder="1" applyAlignment="1">
      <alignment horizontal="left" vertical="center" wrapText="1"/>
      <protection/>
    </xf>
    <xf numFmtId="0" fontId="1" fillId="0" borderId="10" xfId="53" applyFont="1" applyBorder="1" applyAlignment="1">
      <alignment horizontal="center" vertical="center" wrapText="1"/>
      <protection/>
    </xf>
    <xf numFmtId="0" fontId="2" fillId="0" borderId="0" xfId="53" applyFont="1" applyAlignment="1">
      <alignment horizontal="left" wrapText="1"/>
      <protection/>
    </xf>
    <xf numFmtId="0" fontId="2" fillId="0" borderId="0" xfId="0" applyFont="1" applyAlignment="1">
      <alignment horizontal="left" wrapText="1"/>
    </xf>
    <xf numFmtId="0" fontId="9" fillId="0" borderId="0" xfId="53" applyFont="1" applyAlignment="1">
      <alignment horizontal="center"/>
      <protection/>
    </xf>
    <xf numFmtId="0" fontId="1" fillId="0" borderId="24" xfId="53" applyFont="1" applyBorder="1" applyAlignment="1">
      <alignment horizontal="center" vertical="center" wrapText="1"/>
      <protection/>
    </xf>
    <xf numFmtId="0" fontId="2" fillId="0" borderId="0" xfId="53" applyFont="1" applyAlignment="1">
      <alignment horizontal="left"/>
      <protection/>
    </xf>
    <xf numFmtId="0" fontId="6" fillId="0" borderId="13" xfId="53" applyFont="1" applyBorder="1" applyAlignment="1">
      <alignment horizontal="center" vertical="center" wrapText="1"/>
      <protection/>
    </xf>
    <xf numFmtId="0" fontId="6" fillId="0" borderId="12" xfId="53" applyFont="1" applyBorder="1" applyAlignment="1">
      <alignment horizontal="center" vertical="center" wrapText="1"/>
      <protection/>
    </xf>
    <xf numFmtId="0" fontId="1" fillId="0" borderId="0" xfId="0" applyFont="1" applyAlignment="1">
      <alignment horizontal="center" wrapText="1"/>
    </xf>
    <xf numFmtId="0" fontId="8" fillId="0" borderId="13" xfId="0" applyFont="1" applyBorder="1" applyAlignment="1">
      <alignment horizontal="center" vertical="center" wrapText="1"/>
    </xf>
    <xf numFmtId="0" fontId="8" fillId="0" borderId="12"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0" xfId="0" applyFont="1" applyBorder="1" applyAlignment="1">
      <alignment horizontal="center"/>
    </xf>
    <xf numFmtId="0" fontId="8" fillId="0" borderId="15"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6" xfId="0" applyFont="1" applyBorder="1" applyAlignment="1">
      <alignment horizontal="center" vertical="center" wrapText="1"/>
    </xf>
    <xf numFmtId="0" fontId="6" fillId="0" borderId="0" xfId="0" applyFont="1" applyBorder="1" applyAlignment="1">
      <alignment horizontal="left" vertical="center" wrapText="1"/>
    </xf>
    <xf numFmtId="0" fontId="8" fillId="0" borderId="13" xfId="0" applyFont="1" applyBorder="1" applyAlignment="1">
      <alignment horizontal="center" vertical="center"/>
    </xf>
    <xf numFmtId="0" fontId="8" fillId="0" borderId="12" xfId="0" applyFont="1" applyBorder="1" applyAlignment="1">
      <alignment horizontal="center" vertical="center"/>
    </xf>
    <xf numFmtId="0" fontId="1" fillId="37" borderId="13" xfId="0" applyFont="1" applyFill="1" applyBorder="1" applyAlignment="1">
      <alignment horizontal="center" vertical="center" wrapText="1"/>
    </xf>
    <xf numFmtId="0" fontId="1" fillId="37" borderId="12" xfId="0" applyFont="1" applyFill="1" applyBorder="1" applyAlignment="1">
      <alignment horizontal="center" vertical="center" wrapText="1"/>
    </xf>
    <xf numFmtId="0" fontId="6" fillId="0" borderId="0" xfId="0" applyFont="1" applyFill="1" applyAlignment="1">
      <alignment horizontal="left"/>
    </xf>
    <xf numFmtId="0" fontId="1" fillId="0" borderId="0" xfId="0" applyFont="1" applyFill="1" applyAlignment="1">
      <alignment horizontal="center" vertical="center" wrapText="1"/>
    </xf>
    <xf numFmtId="0" fontId="9" fillId="0" borderId="0" xfId="0" applyFont="1" applyFill="1" applyAlignment="1">
      <alignment horizontal="center"/>
    </xf>
    <xf numFmtId="0" fontId="1" fillId="0" borderId="13"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37" borderId="13" xfId="0" applyFont="1" applyFill="1" applyBorder="1" applyAlignment="1">
      <alignment horizontal="center" vertical="center" wrapText="1"/>
    </xf>
    <xf numFmtId="0" fontId="6" fillId="37" borderId="12"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1" fillId="0" borderId="24"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3" fillId="0" borderId="13" xfId="53" applyFont="1" applyBorder="1" applyAlignment="1">
      <alignment horizontal="center" vertical="center" wrapText="1"/>
      <protection/>
    </xf>
    <xf numFmtId="0" fontId="3" fillId="0" borderId="15" xfId="53" applyFont="1" applyBorder="1" applyAlignment="1">
      <alignment horizontal="center" vertical="center" wrapText="1"/>
      <protection/>
    </xf>
    <xf numFmtId="0" fontId="3" fillId="0" borderId="12"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2" fillId="0" borderId="0" xfId="53" applyFont="1" applyFill="1" applyAlignment="1">
      <alignment horizontal="left"/>
      <protection/>
    </xf>
    <xf numFmtId="0" fontId="2" fillId="0" borderId="0" xfId="0" applyFont="1" applyAlignment="1">
      <alignment horizontal="left"/>
    </xf>
    <xf numFmtId="0" fontId="3" fillId="0" borderId="24" xfId="53" applyFont="1" applyBorder="1" applyAlignment="1">
      <alignment horizontal="center" vertical="center" wrapText="1"/>
      <protection/>
    </xf>
    <xf numFmtId="0" fontId="3" fillId="0" borderId="19" xfId="53" applyFont="1" applyBorder="1" applyAlignment="1">
      <alignment horizontal="center" vertical="center" wrapText="1"/>
      <protection/>
    </xf>
    <xf numFmtId="0" fontId="1" fillId="34" borderId="0" xfId="53" applyFont="1" applyFill="1" applyAlignment="1">
      <alignment horizontal="center" wrapText="1"/>
      <protection/>
    </xf>
    <xf numFmtId="0" fontId="6" fillId="0" borderId="0" xfId="53" applyFont="1" applyBorder="1" applyAlignment="1">
      <alignment wrapText="1"/>
      <protection/>
    </xf>
    <xf numFmtId="0" fontId="9" fillId="0" borderId="0" xfId="0" applyFont="1" applyAlignment="1">
      <alignment horizontal="center"/>
    </xf>
    <xf numFmtId="0" fontId="3" fillId="0" borderId="13"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19" xfId="0" applyFont="1" applyBorder="1" applyAlignment="1">
      <alignment horizontal="center" vertical="center" wrapText="1"/>
    </xf>
    <xf numFmtId="0" fontId="2" fillId="0" borderId="0" xfId="0" applyFont="1" applyBorder="1" applyAlignment="1">
      <alignment horizontal="left" vertical="center" wrapText="1"/>
    </xf>
    <xf numFmtId="0" fontId="3" fillId="0" borderId="10" xfId="0" applyFont="1" applyBorder="1" applyAlignment="1">
      <alignment horizontal="center" vertical="center" wrapText="1"/>
    </xf>
    <xf numFmtId="0" fontId="1" fillId="0" borderId="19" xfId="53" applyFont="1" applyBorder="1" applyAlignment="1">
      <alignment horizontal="center" vertical="center" wrapText="1"/>
      <protection/>
    </xf>
    <xf numFmtId="0" fontId="6" fillId="0" borderId="0" xfId="53" applyFont="1" applyFill="1" applyAlignment="1">
      <alignment horizontal="left"/>
      <protection/>
    </xf>
    <xf numFmtId="0" fontId="6" fillId="37" borderId="13" xfId="53" applyFont="1" applyFill="1" applyBorder="1" applyAlignment="1">
      <alignment horizontal="center" vertical="center" wrapText="1"/>
      <protection/>
    </xf>
    <xf numFmtId="0" fontId="6" fillId="37" borderId="12" xfId="53" applyFont="1" applyFill="1" applyBorder="1" applyAlignment="1">
      <alignment horizontal="center" vertical="center" wrapText="1"/>
      <protection/>
    </xf>
    <xf numFmtId="49" fontId="6" fillId="37" borderId="13" xfId="53" applyNumberFormat="1" applyFont="1" applyFill="1" applyBorder="1" applyAlignment="1">
      <alignment horizontal="center" vertical="center" wrapText="1"/>
      <protection/>
    </xf>
    <xf numFmtId="49" fontId="6" fillId="37" borderId="12" xfId="53" applyNumberFormat="1" applyFont="1" applyFill="1" applyBorder="1" applyAlignment="1">
      <alignment horizontal="center" vertical="center" wrapText="1"/>
      <protection/>
    </xf>
    <xf numFmtId="0" fontId="6" fillId="0" borderId="13" xfId="53" applyFont="1" applyFill="1" applyBorder="1" applyAlignment="1">
      <alignment horizontal="center" vertical="center" wrapText="1"/>
      <protection/>
    </xf>
    <xf numFmtId="0" fontId="6" fillId="0" borderId="12" xfId="53" applyFont="1" applyFill="1" applyBorder="1" applyAlignment="1">
      <alignment horizontal="center" vertical="center" wrapText="1"/>
      <protection/>
    </xf>
    <xf numFmtId="0" fontId="6" fillId="0" borderId="0" xfId="53" applyFont="1" applyFill="1" applyAlignment="1">
      <alignment horizontal="center" vertical="center" wrapText="1"/>
      <protection/>
    </xf>
    <xf numFmtId="0" fontId="8" fillId="0" borderId="13" xfId="53" applyFont="1" applyBorder="1" applyAlignment="1">
      <alignment horizontal="center" vertical="center" wrapText="1"/>
      <protection/>
    </xf>
    <xf numFmtId="0" fontId="8" fillId="0" borderId="15" xfId="53" applyFont="1" applyBorder="1" applyAlignment="1">
      <alignment horizontal="center" vertical="center" wrapText="1"/>
      <protection/>
    </xf>
    <xf numFmtId="0" fontId="8" fillId="0" borderId="12" xfId="53" applyFont="1" applyBorder="1" applyAlignment="1">
      <alignment horizontal="center" vertical="center" wrapText="1"/>
      <protection/>
    </xf>
    <xf numFmtId="0" fontId="6" fillId="0" borderId="13" xfId="53" applyFont="1" applyFill="1" applyBorder="1" applyAlignment="1">
      <alignment horizontal="left" vertical="center" wrapText="1"/>
      <protection/>
    </xf>
    <xf numFmtId="0" fontId="6" fillId="0" borderId="12" xfId="53" applyFont="1" applyFill="1" applyBorder="1" applyAlignment="1">
      <alignment horizontal="left" vertical="center" wrapText="1"/>
      <protection/>
    </xf>
    <xf numFmtId="0" fontId="6" fillId="37" borderId="15" xfId="53" applyFont="1" applyFill="1" applyBorder="1" applyAlignment="1">
      <alignment horizontal="center" vertical="center" wrapText="1"/>
      <protection/>
    </xf>
    <xf numFmtId="0" fontId="2" fillId="0" borderId="0" xfId="0" applyFont="1" applyFill="1" applyAlignment="1">
      <alignment horizontal="left"/>
    </xf>
    <xf numFmtId="0" fontId="6" fillId="0" borderId="15" xfId="53" applyFont="1" applyBorder="1" applyAlignment="1">
      <alignment horizontal="center" vertical="center" wrapText="1"/>
      <protection/>
    </xf>
    <xf numFmtId="0" fontId="2" fillId="0" borderId="13"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12" xfId="53" applyFont="1" applyBorder="1" applyAlignment="1">
      <alignment horizontal="center" vertical="center" wrapText="1"/>
      <protection/>
    </xf>
    <xf numFmtId="0" fontId="1" fillId="0" borderId="22" xfId="53" applyFont="1" applyBorder="1" applyAlignment="1">
      <alignment horizontal="center" vertical="center" wrapText="1"/>
      <protection/>
    </xf>
    <xf numFmtId="0" fontId="2" fillId="37" borderId="0" xfId="53" applyFont="1" applyFill="1" applyAlignment="1">
      <alignment horizontal="left"/>
      <protection/>
    </xf>
    <xf numFmtId="0" fontId="1" fillId="0" borderId="18" xfId="53" applyFont="1" applyBorder="1" applyAlignment="1">
      <alignment horizontal="center" vertical="center" wrapText="1"/>
      <protection/>
    </xf>
    <xf numFmtId="0" fontId="1" fillId="0" borderId="14" xfId="53" applyFont="1" applyBorder="1" applyAlignment="1">
      <alignment horizontal="center" vertical="center" wrapText="1"/>
      <protection/>
    </xf>
    <xf numFmtId="0" fontId="1" fillId="0" borderId="16" xfId="53" applyFont="1" applyBorder="1" applyAlignment="1">
      <alignment horizontal="center" vertical="center" wrapText="1"/>
      <protection/>
    </xf>
    <xf numFmtId="0" fontId="1" fillId="0" borderId="23" xfId="53" applyFont="1" applyBorder="1" applyAlignment="1">
      <alignment horizontal="center" vertical="center" wrapText="1"/>
      <protection/>
    </xf>
    <xf numFmtId="0" fontId="21" fillId="0" borderId="13" xfId="53" applyFont="1" applyBorder="1" applyAlignment="1">
      <alignment horizontal="center" vertical="center" wrapText="1"/>
      <protection/>
    </xf>
    <xf numFmtId="0" fontId="21" fillId="0" borderId="12" xfId="53" applyFont="1" applyBorder="1" applyAlignment="1">
      <alignment horizontal="center" vertical="center" wrapText="1"/>
      <protection/>
    </xf>
    <xf numFmtId="0" fontId="21" fillId="0" borderId="15" xfId="53" applyFont="1" applyBorder="1" applyAlignment="1">
      <alignment horizontal="center" vertical="center" wrapText="1"/>
      <protection/>
    </xf>
    <xf numFmtId="49" fontId="6" fillId="0" borderId="13" xfId="53" applyNumberFormat="1" applyFont="1" applyFill="1" applyBorder="1" applyAlignment="1">
      <alignment horizontal="center" vertical="center"/>
      <protection/>
    </xf>
    <xf numFmtId="49" fontId="6" fillId="0" borderId="12" xfId="53" applyNumberFormat="1" applyFont="1" applyFill="1" applyBorder="1" applyAlignment="1">
      <alignment horizontal="center" vertical="center"/>
      <protection/>
    </xf>
    <xf numFmtId="0" fontId="6" fillId="37" borderId="13" xfId="0" applyFont="1" applyFill="1" applyBorder="1" applyAlignment="1">
      <alignment horizontal="left" vertical="center" wrapText="1"/>
    </xf>
    <xf numFmtId="0" fontId="6" fillId="37" borderId="12" xfId="0" applyFont="1" applyFill="1" applyBorder="1" applyAlignment="1">
      <alignment horizontal="left" vertical="center" wrapText="1"/>
    </xf>
    <xf numFmtId="0" fontId="21" fillId="0" borderId="13" xfId="53" applyFont="1" applyFill="1" applyBorder="1" applyAlignment="1">
      <alignment horizontal="center" vertical="center" wrapText="1"/>
      <protection/>
    </xf>
    <xf numFmtId="0" fontId="21" fillId="0" borderId="12" xfId="53" applyFont="1" applyFill="1" applyBorder="1" applyAlignment="1">
      <alignment horizontal="center" vertical="center" wrapText="1"/>
      <protection/>
    </xf>
    <xf numFmtId="49" fontId="6" fillId="37" borderId="13" xfId="53" applyNumberFormat="1" applyFont="1" applyFill="1" applyBorder="1" applyAlignment="1">
      <alignment horizontal="center" vertical="center"/>
      <protection/>
    </xf>
    <xf numFmtId="49" fontId="6" fillId="37" borderId="12" xfId="53" applyNumberFormat="1" applyFont="1" applyFill="1" applyBorder="1" applyAlignment="1">
      <alignment horizontal="center" vertical="center"/>
      <protection/>
    </xf>
    <xf numFmtId="0" fontId="66" fillId="37" borderId="13" xfId="0" applyFont="1" applyFill="1" applyBorder="1" applyAlignment="1">
      <alignment horizontal="center" vertical="center" wrapText="1"/>
    </xf>
    <xf numFmtId="0" fontId="66" fillId="37" borderId="12" xfId="0" applyFont="1" applyFill="1" applyBorder="1" applyAlignment="1">
      <alignment horizontal="center" vertical="center" wrapText="1"/>
    </xf>
    <xf numFmtId="49" fontId="6" fillId="0" borderId="13" xfId="53" applyNumberFormat="1" applyFont="1" applyBorder="1" applyAlignment="1">
      <alignment horizontal="center" vertical="center"/>
      <protection/>
    </xf>
    <xf numFmtId="49" fontId="6" fillId="0" borderId="12" xfId="53" applyNumberFormat="1" applyFont="1" applyBorder="1" applyAlignment="1">
      <alignment horizontal="center" vertical="center"/>
      <protection/>
    </xf>
    <xf numFmtId="0" fontId="66" fillId="37" borderId="13" xfId="0" applyFont="1" applyFill="1" applyBorder="1" applyAlignment="1">
      <alignment horizontal="left" vertical="center" wrapText="1"/>
    </xf>
    <xf numFmtId="0" fontId="66" fillId="37" borderId="12" xfId="0" applyFont="1" applyFill="1" applyBorder="1" applyAlignment="1">
      <alignment horizontal="left" vertical="center" wrapText="1"/>
    </xf>
    <xf numFmtId="0" fontId="6" fillId="0" borderId="13" xfId="53" applyFont="1" applyBorder="1" applyAlignment="1">
      <alignment horizontal="center" vertical="center"/>
      <protection/>
    </xf>
    <xf numFmtId="0" fontId="6" fillId="0" borderId="15" xfId="53" applyFont="1" applyBorder="1" applyAlignment="1">
      <alignment horizontal="center" vertical="center"/>
      <protection/>
    </xf>
    <xf numFmtId="0" fontId="6" fillId="0" borderId="12" xfId="53" applyFont="1" applyBorder="1" applyAlignment="1">
      <alignment horizontal="center" vertical="center"/>
      <protection/>
    </xf>
    <xf numFmtId="0" fontId="1" fillId="0" borderId="13"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9" xfId="0" applyFont="1" applyBorder="1" applyAlignment="1">
      <alignment horizontal="center" vertical="center" wrapText="1"/>
    </xf>
    <xf numFmtId="0" fontId="6" fillId="0" borderId="0" xfId="0" applyFont="1" applyFill="1" applyAlignment="1">
      <alignment horizontal="center" vertical="center" wrapText="1"/>
    </xf>
    <xf numFmtId="0" fontId="6" fillId="0" borderId="0" xfId="53" applyFont="1" applyFill="1" applyAlignment="1">
      <alignment horizontal="left" vertical="center"/>
      <protection/>
    </xf>
    <xf numFmtId="0" fontId="6" fillId="0" borderId="0" xfId="53" applyFont="1" applyAlignment="1">
      <alignment horizontal="left" vertical="center"/>
      <protection/>
    </xf>
    <xf numFmtId="0" fontId="19" fillId="0" borderId="0" xfId="53" applyFont="1" applyAlignment="1">
      <alignment horizontal="center"/>
      <protection/>
    </xf>
    <xf numFmtId="0" fontId="6" fillId="0" borderId="0" xfId="53" applyFont="1" applyAlignment="1">
      <alignment horizontal="left" vertical="center" wrapText="1"/>
      <protection/>
    </xf>
    <xf numFmtId="0" fontId="17" fillId="0" borderId="0" xfId="53" applyFont="1" applyBorder="1" applyAlignment="1">
      <alignment horizontal="left" vertical="center" wrapText="1"/>
      <protection/>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Финансовый 2"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Q31"/>
  <sheetViews>
    <sheetView zoomScale="75" zoomScaleNormal="75" zoomScalePageLayoutView="0" workbookViewId="0" topLeftCell="A1">
      <selection activeCell="A16" sqref="A16:B16"/>
    </sheetView>
  </sheetViews>
  <sheetFormatPr defaultColWidth="9.140625" defaultRowHeight="12.75"/>
  <cols>
    <col min="1" max="1" width="8.421875" style="380" customWidth="1"/>
    <col min="2" max="2" width="42.00390625" style="380" customWidth="1"/>
    <col min="3" max="3" width="13.421875" style="380" hidden="1" customWidth="1"/>
    <col min="4" max="4" width="16.421875" style="380" customWidth="1"/>
    <col min="5" max="6" width="15.7109375" style="380" customWidth="1"/>
    <col min="7" max="7" width="48.57421875" style="380" customWidth="1"/>
    <col min="8" max="8" width="65.57421875" style="380" customWidth="1"/>
    <col min="9" max="9" width="15.7109375" style="380" customWidth="1"/>
    <col min="10" max="10" width="16.00390625" style="380" customWidth="1"/>
    <col min="11" max="11" width="14.140625" style="380" customWidth="1"/>
    <col min="12" max="12" width="12.421875" style="380" hidden="1" customWidth="1"/>
    <col min="13" max="13" width="14.8515625" style="380" customWidth="1"/>
    <col min="14" max="14" width="14.28125" style="380" customWidth="1"/>
    <col min="15" max="15" width="27.7109375" style="380" customWidth="1"/>
    <col min="16" max="16" width="19.140625" style="380" customWidth="1"/>
    <col min="17" max="17" width="15.140625" style="380" customWidth="1"/>
    <col min="18" max="18" width="14.140625" style="380" customWidth="1"/>
    <col min="19" max="19" width="17.28125" style="380" customWidth="1"/>
    <col min="20" max="20" width="13.8515625" style="380" customWidth="1"/>
  </cols>
  <sheetData>
    <row r="1" spans="1:17" s="380" customFormat="1" ht="24.75" customHeight="1">
      <c r="A1" s="368"/>
      <c r="B1" s="368"/>
      <c r="C1" s="368"/>
      <c r="D1" s="408"/>
      <c r="E1" s="382"/>
      <c r="F1" s="497"/>
      <c r="G1" s="407"/>
      <c r="H1" s="23"/>
      <c r="I1" s="23"/>
      <c r="J1" s="23"/>
      <c r="K1" s="409"/>
      <c r="L1" s="409"/>
      <c r="P1" s="388"/>
      <c r="Q1" s="388"/>
    </row>
    <row r="2" spans="1:12" s="380" customFormat="1" ht="24.75" customHeight="1">
      <c r="A2" s="368"/>
      <c r="B2" s="368"/>
      <c r="C2" s="368"/>
      <c r="D2" s="408"/>
      <c r="E2" s="382"/>
      <c r="F2" s="497"/>
      <c r="G2" s="407"/>
      <c r="H2" s="410"/>
      <c r="I2" s="407"/>
      <c r="J2" s="407"/>
      <c r="K2" s="407"/>
      <c r="L2" s="407"/>
    </row>
    <row r="3" spans="1:12" s="380" customFormat="1" ht="24.75" customHeight="1">
      <c r="A3" s="368"/>
      <c r="B3" s="368"/>
      <c r="C3" s="368"/>
      <c r="D3" s="408"/>
      <c r="E3" s="382"/>
      <c r="F3" s="497"/>
      <c r="G3" s="407"/>
      <c r="H3" s="407"/>
      <c r="I3" s="407"/>
      <c r="J3" s="407"/>
      <c r="K3" s="407"/>
      <c r="L3" s="407"/>
    </row>
    <row r="4" spans="1:12" s="380" customFormat="1" ht="54.75" customHeight="1">
      <c r="A4" s="512" t="s">
        <v>396</v>
      </c>
      <c r="B4" s="512"/>
      <c r="C4" s="512"/>
      <c r="D4" s="512"/>
      <c r="E4" s="512"/>
      <c r="F4" s="512"/>
      <c r="G4" s="512"/>
      <c r="H4" s="512"/>
      <c r="I4" s="407"/>
      <c r="J4" s="407"/>
      <c r="K4" s="407"/>
      <c r="L4" s="407"/>
    </row>
    <row r="5" spans="1:12" s="380" customFormat="1" ht="15.75" customHeight="1">
      <c r="A5" s="512"/>
      <c r="B5" s="512"/>
      <c r="C5" s="512"/>
      <c r="D5" s="512"/>
      <c r="E5" s="512"/>
      <c r="F5" s="512"/>
      <c r="G5" s="512"/>
      <c r="H5" s="512"/>
      <c r="I5" s="407"/>
      <c r="J5" s="407"/>
      <c r="K5" s="407"/>
      <c r="L5" s="407"/>
    </row>
    <row r="6" spans="1:12" s="380" customFormat="1" ht="3" customHeight="1">
      <c r="A6" s="368"/>
      <c r="B6" s="368"/>
      <c r="C6" s="368"/>
      <c r="D6" s="408"/>
      <c r="E6" s="368"/>
      <c r="F6" s="368"/>
      <c r="G6" s="407"/>
      <c r="H6" s="407"/>
      <c r="I6" s="407"/>
      <c r="J6" s="407"/>
      <c r="K6" s="407"/>
      <c r="L6" s="407"/>
    </row>
    <row r="7" spans="1:12" s="380" customFormat="1" ht="37.5" customHeight="1">
      <c r="A7" s="503" t="s">
        <v>6</v>
      </c>
      <c r="B7" s="503" t="s">
        <v>154</v>
      </c>
      <c r="C7" s="503" t="s">
        <v>13</v>
      </c>
      <c r="D7" s="448" t="s">
        <v>397</v>
      </c>
      <c r="E7" s="411" t="s">
        <v>398</v>
      </c>
      <c r="F7" s="503" t="s">
        <v>476</v>
      </c>
      <c r="G7" s="516" t="s">
        <v>399</v>
      </c>
      <c r="H7" s="517"/>
      <c r="I7" s="407"/>
      <c r="J7" s="407"/>
      <c r="K7" s="407"/>
      <c r="L7" s="407"/>
    </row>
    <row r="8" spans="1:12" s="380" customFormat="1" ht="15" customHeight="1">
      <c r="A8" s="504"/>
      <c r="B8" s="504"/>
      <c r="C8" s="504"/>
      <c r="D8" s="503">
        <v>2020</v>
      </c>
      <c r="E8" s="522">
        <v>2020</v>
      </c>
      <c r="F8" s="504"/>
      <c r="G8" s="518"/>
      <c r="H8" s="519"/>
      <c r="I8" s="407"/>
      <c r="J8" s="407"/>
      <c r="K8" s="407"/>
      <c r="L8" s="407"/>
    </row>
    <row r="9" spans="1:12" s="380" customFormat="1" ht="18" customHeight="1">
      <c r="A9" s="505"/>
      <c r="B9" s="505"/>
      <c r="C9" s="505"/>
      <c r="D9" s="505"/>
      <c r="E9" s="523"/>
      <c r="F9" s="505"/>
      <c r="G9" s="520"/>
      <c r="H9" s="521"/>
      <c r="I9" s="407"/>
      <c r="J9" s="407"/>
      <c r="K9" s="407"/>
      <c r="L9" s="407"/>
    </row>
    <row r="10" spans="1:12" s="380" customFormat="1" ht="82.5" customHeight="1">
      <c r="A10" s="450">
        <v>1</v>
      </c>
      <c r="B10" s="175" t="s">
        <v>594</v>
      </c>
      <c r="C10" s="177"/>
      <c r="D10" s="383">
        <v>0</v>
      </c>
      <c r="E10" s="383">
        <v>7297.4</v>
      </c>
      <c r="F10" s="383">
        <f>E10-D10</f>
        <v>7297.4</v>
      </c>
      <c r="G10" s="509" t="s">
        <v>595</v>
      </c>
      <c r="H10" s="506" t="s">
        <v>623</v>
      </c>
      <c r="I10" s="407"/>
      <c r="J10" s="407"/>
      <c r="K10" s="407"/>
      <c r="L10" s="407"/>
    </row>
    <row r="11" spans="1:12" s="380" customFormat="1" ht="46.5" customHeight="1">
      <c r="A11" s="496" t="s">
        <v>304</v>
      </c>
      <c r="B11" s="175" t="s">
        <v>262</v>
      </c>
      <c r="C11" s="177"/>
      <c r="D11" s="383">
        <v>0</v>
      </c>
      <c r="E11" s="383">
        <v>1350</v>
      </c>
      <c r="F11" s="383">
        <f aca="true" t="shared" si="0" ref="F11:F16">E11-D11</f>
        <v>1350</v>
      </c>
      <c r="G11" s="510"/>
      <c r="H11" s="507"/>
      <c r="I11" s="407"/>
      <c r="J11" s="407"/>
      <c r="K11" s="407"/>
      <c r="L11" s="407"/>
    </row>
    <row r="12" spans="1:12" s="380" customFormat="1" ht="45.75" customHeight="1">
      <c r="A12" s="496" t="s">
        <v>317</v>
      </c>
      <c r="B12" s="175" t="s">
        <v>408</v>
      </c>
      <c r="C12" s="177"/>
      <c r="D12" s="383">
        <v>0</v>
      </c>
      <c r="E12" s="383">
        <v>700</v>
      </c>
      <c r="F12" s="383">
        <f t="shared" si="0"/>
        <v>700</v>
      </c>
      <c r="G12" s="510"/>
      <c r="H12" s="507"/>
      <c r="I12" s="407"/>
      <c r="J12" s="407"/>
      <c r="K12" s="407"/>
      <c r="L12" s="407"/>
    </row>
    <row r="13" spans="1:12" s="380" customFormat="1" ht="43.5" customHeight="1">
      <c r="A13" s="496" t="s">
        <v>319</v>
      </c>
      <c r="B13" s="175" t="s">
        <v>412</v>
      </c>
      <c r="C13" s="177"/>
      <c r="D13" s="383">
        <v>0</v>
      </c>
      <c r="E13" s="383">
        <v>1700</v>
      </c>
      <c r="F13" s="383">
        <f t="shared" si="0"/>
        <v>1700</v>
      </c>
      <c r="G13" s="510"/>
      <c r="H13" s="507"/>
      <c r="I13" s="407"/>
      <c r="J13" s="407"/>
      <c r="K13" s="407"/>
      <c r="L13" s="407"/>
    </row>
    <row r="14" spans="1:12" s="380" customFormat="1" ht="46.5" customHeight="1">
      <c r="A14" s="496" t="s">
        <v>320</v>
      </c>
      <c r="B14" s="175" t="s">
        <v>618</v>
      </c>
      <c r="C14" s="177"/>
      <c r="D14" s="383">
        <v>0</v>
      </c>
      <c r="E14" s="383">
        <v>47.4</v>
      </c>
      <c r="F14" s="383">
        <f t="shared" si="0"/>
        <v>47.4</v>
      </c>
      <c r="G14" s="510"/>
      <c r="H14" s="507"/>
      <c r="I14" s="407"/>
      <c r="J14" s="407"/>
      <c r="K14" s="407"/>
      <c r="L14" s="407"/>
    </row>
    <row r="15" spans="1:12" s="380" customFormat="1" ht="46.5" customHeight="1">
      <c r="A15" s="496" t="s">
        <v>322</v>
      </c>
      <c r="B15" s="175" t="s">
        <v>446</v>
      </c>
      <c r="C15" s="177"/>
      <c r="D15" s="383">
        <v>0</v>
      </c>
      <c r="E15" s="383">
        <v>3500</v>
      </c>
      <c r="F15" s="383">
        <f t="shared" si="0"/>
        <v>3500</v>
      </c>
      <c r="G15" s="511"/>
      <c r="H15" s="508"/>
      <c r="I15" s="407"/>
      <c r="J15" s="407"/>
      <c r="K15" s="407"/>
      <c r="L15" s="407"/>
    </row>
    <row r="16" spans="1:12" s="380" customFormat="1" ht="18.75">
      <c r="A16" s="514" t="s">
        <v>5</v>
      </c>
      <c r="B16" s="514"/>
      <c r="C16" s="448"/>
      <c r="D16" s="138">
        <f>SUM(D10:D10)</f>
        <v>0</v>
      </c>
      <c r="E16" s="138">
        <f>SUM(E10:E10)</f>
        <v>7297.4</v>
      </c>
      <c r="F16" s="269">
        <f t="shared" si="0"/>
        <v>7297.4</v>
      </c>
      <c r="G16" s="412"/>
      <c r="H16" s="412"/>
      <c r="I16" s="407"/>
      <c r="J16" s="407"/>
      <c r="K16" s="407"/>
      <c r="L16" s="407"/>
    </row>
    <row r="17" spans="1:12" s="380" customFormat="1" ht="15.75">
      <c r="A17" s="143"/>
      <c r="B17" s="143"/>
      <c r="C17" s="143"/>
      <c r="D17" s="143"/>
      <c r="E17" s="369"/>
      <c r="F17" s="369"/>
      <c r="G17" s="407"/>
      <c r="H17" s="407"/>
      <c r="I17" s="407"/>
      <c r="J17" s="407"/>
      <c r="K17" s="407"/>
      <c r="L17" s="407"/>
    </row>
    <row r="18" spans="1:12" s="380" customFormat="1" ht="15.75">
      <c r="A18" s="143"/>
      <c r="B18" s="143"/>
      <c r="C18" s="143"/>
      <c r="D18" s="143"/>
      <c r="E18" s="369"/>
      <c r="F18" s="369"/>
      <c r="G18" s="407"/>
      <c r="H18" s="407"/>
      <c r="I18" s="407"/>
      <c r="J18" s="407"/>
      <c r="K18" s="407"/>
      <c r="L18" s="407"/>
    </row>
    <row r="19" spans="1:12" s="380" customFormat="1" ht="15.75">
      <c r="A19" s="143"/>
      <c r="B19" s="143"/>
      <c r="C19" s="143"/>
      <c r="D19" s="143"/>
      <c r="E19" s="144"/>
      <c r="F19" s="144"/>
      <c r="G19" s="407"/>
      <c r="H19" s="407"/>
      <c r="I19" s="407"/>
      <c r="J19" s="407"/>
      <c r="K19" s="407"/>
      <c r="L19" s="407"/>
    </row>
    <row r="20" spans="1:12" s="380" customFormat="1" ht="18.75" customHeight="1">
      <c r="A20" s="513" t="s">
        <v>621</v>
      </c>
      <c r="B20" s="513"/>
      <c r="C20" s="513"/>
      <c r="D20" s="513"/>
      <c r="E20" s="203"/>
      <c r="F20" s="203"/>
      <c r="G20" s="68"/>
      <c r="H20" s="261" t="s">
        <v>622</v>
      </c>
      <c r="I20" s="407"/>
      <c r="J20" s="407"/>
      <c r="K20" s="407"/>
      <c r="L20" s="407"/>
    </row>
    <row r="21" spans="1:12" s="380" customFormat="1" ht="18.75">
      <c r="A21" s="414"/>
      <c r="B21" s="414"/>
      <c r="C21" s="414"/>
      <c r="D21" s="415"/>
      <c r="E21" s="144"/>
      <c r="F21" s="144"/>
      <c r="G21" s="376"/>
      <c r="H21" s="407"/>
      <c r="I21" s="407"/>
      <c r="J21" s="407"/>
      <c r="K21" s="407"/>
      <c r="L21" s="407"/>
    </row>
    <row r="22" spans="1:12" s="380" customFormat="1" ht="18.75">
      <c r="A22" s="515"/>
      <c r="B22" s="515"/>
      <c r="C22" s="449"/>
      <c r="D22" s="178"/>
      <c r="E22" s="416"/>
      <c r="F22" s="416"/>
      <c r="G22" s="407"/>
      <c r="H22" s="407"/>
      <c r="I22" s="407"/>
      <c r="J22" s="407"/>
      <c r="K22" s="407"/>
      <c r="L22" s="407"/>
    </row>
    <row r="23" s="380" customFormat="1" ht="15">
      <c r="A23" s="393"/>
    </row>
    <row r="24" s="380" customFormat="1" ht="15">
      <c r="A24" s="393"/>
    </row>
    <row r="25" s="380" customFormat="1" ht="15">
      <c r="A25" s="393"/>
    </row>
    <row r="26" s="380" customFormat="1" ht="15">
      <c r="A26" s="393"/>
    </row>
    <row r="27" s="380" customFormat="1" ht="15">
      <c r="A27" s="393"/>
    </row>
    <row r="28" s="380" customFormat="1" ht="15">
      <c r="A28" s="393"/>
    </row>
    <row r="29" s="380" customFormat="1" ht="15">
      <c r="A29" s="393"/>
    </row>
    <row r="30" s="380" customFormat="1" ht="15">
      <c r="A30" s="393"/>
    </row>
    <row r="31" s="380" customFormat="1" ht="15">
      <c r="A31" s="393"/>
    </row>
    <row r="32" s="380" customFormat="1" ht="15"/>
  </sheetData>
  <sheetProtection/>
  <mergeCells count="13">
    <mergeCell ref="A22:B22"/>
    <mergeCell ref="A7:A9"/>
    <mergeCell ref="B7:B9"/>
    <mergeCell ref="C7:C9"/>
    <mergeCell ref="G7:H9"/>
    <mergeCell ref="D8:D9"/>
    <mergeCell ref="E8:E9"/>
    <mergeCell ref="F7:F9"/>
    <mergeCell ref="H10:H15"/>
    <mergeCell ref="G10:G15"/>
    <mergeCell ref="A4:H5"/>
    <mergeCell ref="A20:D20"/>
    <mergeCell ref="A16:B16"/>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38" r:id="rId1"/>
</worksheet>
</file>

<file path=xl/worksheets/sheet10.xml><?xml version="1.0" encoding="utf-8"?>
<worksheet xmlns="http://schemas.openxmlformats.org/spreadsheetml/2006/main" xmlns:r="http://schemas.openxmlformats.org/officeDocument/2006/relationships">
  <sheetPr>
    <tabColor rgb="FFFFFF00"/>
  </sheetPr>
  <dimension ref="A1:M133"/>
  <sheetViews>
    <sheetView view="pageBreakPreview" zoomScale="74" zoomScaleSheetLayoutView="74" zoomScalePageLayoutView="0" workbookViewId="0" topLeftCell="A10">
      <selection activeCell="H9" sqref="H9"/>
    </sheetView>
  </sheetViews>
  <sheetFormatPr defaultColWidth="9.140625" defaultRowHeight="12.75"/>
  <cols>
    <col min="1" max="1" width="5.7109375" style="14" customWidth="1"/>
    <col min="2" max="2" width="61.28125" style="14" customWidth="1"/>
    <col min="3" max="3" width="18.28125" style="14" customWidth="1"/>
    <col min="4" max="4" width="17.421875" style="14" customWidth="1"/>
    <col min="5" max="5" width="14.7109375" style="14" customWidth="1"/>
    <col min="6" max="6" width="16.28125" style="14" customWidth="1"/>
    <col min="7" max="7" width="14.8515625" style="14" customWidth="1"/>
    <col min="8" max="8" width="97.57421875" style="14" customWidth="1"/>
    <col min="9" max="10" width="9.140625" style="14" hidden="1" customWidth="1"/>
    <col min="11" max="16384" width="9.140625" style="14" customWidth="1"/>
  </cols>
  <sheetData>
    <row r="1" spans="8:11" ht="18.75">
      <c r="H1" s="59" t="s">
        <v>568</v>
      </c>
      <c r="I1" s="59"/>
      <c r="J1" s="12"/>
      <c r="K1" s="12"/>
    </row>
    <row r="2" spans="8:11" ht="18.75">
      <c r="H2" s="59" t="s">
        <v>11</v>
      </c>
      <c r="I2" s="59"/>
      <c r="J2" s="12"/>
      <c r="K2" s="12"/>
    </row>
    <row r="3" spans="8:11" ht="18.75">
      <c r="H3" s="531" t="s">
        <v>172</v>
      </c>
      <c r="I3" s="531"/>
      <c r="J3" s="12"/>
      <c r="K3" s="12"/>
    </row>
    <row r="4" spans="8:11" ht="18.75">
      <c r="H4" s="531" t="s">
        <v>34</v>
      </c>
      <c r="I4" s="531"/>
      <c r="J4" s="12"/>
      <c r="K4" s="12"/>
    </row>
    <row r="5" spans="8:13" ht="18.75">
      <c r="H5" s="73" t="s">
        <v>8</v>
      </c>
      <c r="I5" s="73"/>
      <c r="J5" s="17"/>
      <c r="K5" s="17"/>
      <c r="L5" s="17"/>
      <c r="M5" s="17"/>
    </row>
    <row r="6" spans="2:11" ht="18.75">
      <c r="B6" s="15"/>
      <c r="C6" s="15"/>
      <c r="D6" s="15"/>
      <c r="H6" s="531" t="s">
        <v>241</v>
      </c>
      <c r="I6" s="531"/>
      <c r="J6" s="12"/>
      <c r="K6" s="12"/>
    </row>
    <row r="7" spans="2:13" ht="15.75" customHeight="1">
      <c r="B7" s="15"/>
      <c r="C7" s="15"/>
      <c r="D7" s="15"/>
      <c r="H7" s="532" t="s">
        <v>610</v>
      </c>
      <c r="I7" s="533"/>
      <c r="J7" s="17"/>
      <c r="K7" s="17"/>
      <c r="L7" s="17"/>
      <c r="M7" s="17"/>
    </row>
    <row r="8" spans="2:13" ht="15.75" customHeight="1">
      <c r="B8" s="15"/>
      <c r="C8" s="15"/>
      <c r="D8" s="15"/>
      <c r="H8" s="405" t="s">
        <v>630</v>
      </c>
      <c r="I8" s="56"/>
      <c r="J8" s="17"/>
      <c r="K8" s="17"/>
      <c r="L8" s="17"/>
      <c r="M8" s="17"/>
    </row>
    <row r="9" spans="2:9" ht="12" customHeight="1">
      <c r="B9" s="15"/>
      <c r="C9" s="15"/>
      <c r="D9" s="15"/>
      <c r="E9" s="15"/>
      <c r="F9" s="15"/>
      <c r="G9" s="15"/>
      <c r="H9" s="12"/>
      <c r="I9" s="12"/>
    </row>
    <row r="10" spans="2:9" ht="17.25" customHeight="1">
      <c r="B10" s="588" t="s">
        <v>542</v>
      </c>
      <c r="C10" s="588"/>
      <c r="D10" s="588"/>
      <c r="E10" s="588"/>
      <c r="F10" s="588"/>
      <c r="G10" s="588"/>
      <c r="H10" s="588"/>
      <c r="I10" s="15"/>
    </row>
    <row r="11" spans="2:9" ht="21.75" customHeight="1">
      <c r="B11" s="34"/>
      <c r="C11" s="34"/>
      <c r="D11" s="34"/>
      <c r="E11" s="34"/>
      <c r="F11" s="34"/>
      <c r="G11" s="34"/>
      <c r="H11" s="473" t="s">
        <v>534</v>
      </c>
      <c r="I11" s="15"/>
    </row>
    <row r="12" spans="1:9" ht="19.5" customHeight="1">
      <c r="A12" s="534" t="s">
        <v>33</v>
      </c>
      <c r="B12" s="534" t="s">
        <v>12</v>
      </c>
      <c r="C12" s="534" t="s">
        <v>13</v>
      </c>
      <c r="D12" s="534" t="s">
        <v>505</v>
      </c>
      <c r="E12" s="539" t="s">
        <v>9</v>
      </c>
      <c r="F12" s="539"/>
      <c r="G12" s="539"/>
      <c r="H12" s="539" t="s">
        <v>15</v>
      </c>
      <c r="I12" s="15"/>
    </row>
    <row r="13" spans="1:9" ht="15.75" customHeight="1">
      <c r="A13" s="535"/>
      <c r="B13" s="535"/>
      <c r="C13" s="535"/>
      <c r="D13" s="535"/>
      <c r="E13" s="503" t="s">
        <v>543</v>
      </c>
      <c r="F13" s="503" t="s">
        <v>540</v>
      </c>
      <c r="G13" s="503" t="s">
        <v>544</v>
      </c>
      <c r="H13" s="539"/>
      <c r="I13" s="15"/>
    </row>
    <row r="14" spans="1:9" ht="29.25" customHeight="1">
      <c r="A14" s="536"/>
      <c r="B14" s="536"/>
      <c r="C14" s="536"/>
      <c r="D14" s="536"/>
      <c r="E14" s="505"/>
      <c r="F14" s="505"/>
      <c r="G14" s="505"/>
      <c r="H14" s="539"/>
      <c r="I14" s="15"/>
    </row>
    <row r="15" spans="1:9" ht="33.75" customHeight="1" hidden="1">
      <c r="A15" s="66">
        <v>1</v>
      </c>
      <c r="B15" s="61" t="s">
        <v>35</v>
      </c>
      <c r="C15" s="36" t="s">
        <v>16</v>
      </c>
      <c r="D15" s="74" t="e">
        <f>#REF!+E15+F15+G15</f>
        <v>#REF!</v>
      </c>
      <c r="E15" s="113"/>
      <c r="F15" s="113"/>
      <c r="G15" s="113"/>
      <c r="H15" s="36" t="s">
        <v>36</v>
      </c>
      <c r="I15" s="15"/>
    </row>
    <row r="16" spans="1:9" ht="37.5">
      <c r="A16" s="66">
        <v>1</v>
      </c>
      <c r="B16" s="181" t="s">
        <v>225</v>
      </c>
      <c r="C16" s="258" t="s">
        <v>16</v>
      </c>
      <c r="D16" s="270">
        <f aca="true" t="shared" si="0" ref="D16:D30">E16+F16+G16</f>
        <v>2083</v>
      </c>
      <c r="E16" s="271">
        <v>633</v>
      </c>
      <c r="F16" s="271">
        <v>700</v>
      </c>
      <c r="G16" s="271">
        <v>750</v>
      </c>
      <c r="H16" s="258" t="s">
        <v>66</v>
      </c>
      <c r="I16" s="15"/>
    </row>
    <row r="17" spans="1:9" ht="34.5" customHeight="1" hidden="1">
      <c r="A17" s="66">
        <f>A16+1</f>
        <v>2</v>
      </c>
      <c r="B17" s="181" t="s">
        <v>37</v>
      </c>
      <c r="C17" s="258" t="s">
        <v>16</v>
      </c>
      <c r="D17" s="270">
        <f t="shared" si="0"/>
        <v>0</v>
      </c>
      <c r="E17" s="271"/>
      <c r="F17" s="271"/>
      <c r="G17" s="271"/>
      <c r="H17" s="258" t="s">
        <v>36</v>
      </c>
      <c r="I17" s="15"/>
    </row>
    <row r="18" spans="1:9" ht="56.25">
      <c r="A18" s="66">
        <v>2</v>
      </c>
      <c r="B18" s="181" t="s">
        <v>76</v>
      </c>
      <c r="C18" s="258" t="s">
        <v>16</v>
      </c>
      <c r="D18" s="270">
        <f t="shared" si="0"/>
        <v>750</v>
      </c>
      <c r="E18" s="271">
        <v>200</v>
      </c>
      <c r="F18" s="271">
        <v>250</v>
      </c>
      <c r="G18" s="271">
        <v>300</v>
      </c>
      <c r="H18" s="258" t="s">
        <v>32</v>
      </c>
      <c r="I18" s="15"/>
    </row>
    <row r="19" spans="1:9" ht="37.5">
      <c r="A19" s="66">
        <v>3</v>
      </c>
      <c r="B19" s="181" t="s">
        <v>75</v>
      </c>
      <c r="C19" s="258" t="s">
        <v>16</v>
      </c>
      <c r="D19" s="270">
        <f t="shared" si="0"/>
        <v>215</v>
      </c>
      <c r="E19" s="271">
        <v>60</v>
      </c>
      <c r="F19" s="271">
        <v>75</v>
      </c>
      <c r="G19" s="271">
        <v>80</v>
      </c>
      <c r="H19" s="258" t="s">
        <v>32</v>
      </c>
      <c r="I19" s="15"/>
    </row>
    <row r="20" spans="1:9" ht="69.75" customHeight="1">
      <c r="A20" s="66">
        <v>4</v>
      </c>
      <c r="B20" s="255" t="s">
        <v>226</v>
      </c>
      <c r="C20" s="258" t="s">
        <v>16</v>
      </c>
      <c r="D20" s="272">
        <f t="shared" si="0"/>
        <v>15000</v>
      </c>
      <c r="E20" s="271">
        <v>5000</v>
      </c>
      <c r="F20" s="271">
        <f>6000-3000</f>
        <v>3000</v>
      </c>
      <c r="G20" s="271">
        <v>7000</v>
      </c>
      <c r="H20" s="258" t="s">
        <v>32</v>
      </c>
      <c r="I20" s="15"/>
    </row>
    <row r="21" spans="1:9" ht="117.75" customHeight="1">
      <c r="A21" s="36">
        <v>5</v>
      </c>
      <c r="B21" s="181" t="s">
        <v>227</v>
      </c>
      <c r="C21" s="258" t="s">
        <v>16</v>
      </c>
      <c r="D21" s="270">
        <f t="shared" si="0"/>
        <v>37600</v>
      </c>
      <c r="E21" s="271">
        <v>11700</v>
      </c>
      <c r="F21" s="271">
        <f>11800+2200</f>
        <v>14000</v>
      </c>
      <c r="G21" s="271">
        <v>11900</v>
      </c>
      <c r="H21" s="258" t="s">
        <v>280</v>
      </c>
      <c r="I21" s="15"/>
    </row>
    <row r="22" spans="1:9" ht="56.25">
      <c r="A22" s="36">
        <v>6</v>
      </c>
      <c r="B22" s="181" t="s">
        <v>77</v>
      </c>
      <c r="C22" s="258" t="s">
        <v>16</v>
      </c>
      <c r="D22" s="270">
        <f t="shared" si="0"/>
        <v>3775.7</v>
      </c>
      <c r="E22" s="271">
        <v>1762</v>
      </c>
      <c r="F22" s="271">
        <f>650+663.7</f>
        <v>1313.7</v>
      </c>
      <c r="G22" s="271">
        <v>700</v>
      </c>
      <c r="H22" s="258" t="s">
        <v>78</v>
      </c>
      <c r="I22" s="15"/>
    </row>
    <row r="23" spans="1:9" ht="18" customHeight="1" hidden="1">
      <c r="A23" s="36"/>
      <c r="B23" s="181" t="s">
        <v>38</v>
      </c>
      <c r="C23" s="273"/>
      <c r="D23" s="270">
        <f t="shared" si="0"/>
        <v>0</v>
      </c>
      <c r="E23" s="271"/>
      <c r="F23" s="271"/>
      <c r="G23" s="271"/>
      <c r="H23" s="258" t="s">
        <v>39</v>
      </c>
      <c r="I23" s="15"/>
    </row>
    <row r="24" spans="1:9" ht="20.25" customHeight="1" hidden="1">
      <c r="A24" s="36"/>
      <c r="B24" s="181" t="s">
        <v>40</v>
      </c>
      <c r="C24" s="273"/>
      <c r="D24" s="270">
        <f t="shared" si="0"/>
        <v>0</v>
      </c>
      <c r="E24" s="271"/>
      <c r="F24" s="271"/>
      <c r="G24" s="271"/>
      <c r="H24" s="258" t="s">
        <v>39</v>
      </c>
      <c r="I24" s="15"/>
    </row>
    <row r="25" spans="1:9" ht="21" customHeight="1" hidden="1">
      <c r="A25" s="36"/>
      <c r="B25" s="181" t="s">
        <v>41</v>
      </c>
      <c r="C25" s="273"/>
      <c r="D25" s="270">
        <f t="shared" si="0"/>
        <v>0</v>
      </c>
      <c r="E25" s="271"/>
      <c r="F25" s="271"/>
      <c r="G25" s="271"/>
      <c r="H25" s="258" t="s">
        <v>39</v>
      </c>
      <c r="I25" s="15"/>
    </row>
    <row r="26" spans="1:9" ht="30.75" customHeight="1" hidden="1">
      <c r="A26" s="36"/>
      <c r="B26" s="181" t="s">
        <v>42</v>
      </c>
      <c r="C26" s="258" t="s">
        <v>16</v>
      </c>
      <c r="D26" s="270">
        <f t="shared" si="0"/>
        <v>0</v>
      </c>
      <c r="E26" s="271"/>
      <c r="F26" s="271"/>
      <c r="G26" s="271"/>
      <c r="H26" s="258" t="s">
        <v>39</v>
      </c>
      <c r="I26" s="15"/>
    </row>
    <row r="27" spans="1:9" ht="18" customHeight="1" hidden="1">
      <c r="A27" s="36"/>
      <c r="B27" s="181" t="s">
        <v>43</v>
      </c>
      <c r="C27" s="258" t="s">
        <v>16</v>
      </c>
      <c r="D27" s="270">
        <f t="shared" si="0"/>
        <v>0</v>
      </c>
      <c r="E27" s="271"/>
      <c r="F27" s="271"/>
      <c r="G27" s="271"/>
      <c r="H27" s="258" t="s">
        <v>39</v>
      </c>
      <c r="I27" s="15"/>
    </row>
    <row r="28" spans="1:9" ht="37.5">
      <c r="A28" s="36">
        <v>7</v>
      </c>
      <c r="B28" s="181" t="s">
        <v>79</v>
      </c>
      <c r="C28" s="258" t="s">
        <v>16</v>
      </c>
      <c r="D28" s="270">
        <f t="shared" si="0"/>
        <v>455</v>
      </c>
      <c r="E28" s="271">
        <f>115+25</f>
        <v>140</v>
      </c>
      <c r="F28" s="271">
        <f>120+65</f>
        <v>185</v>
      </c>
      <c r="G28" s="271">
        <v>130</v>
      </c>
      <c r="H28" s="258" t="s">
        <v>57</v>
      </c>
      <c r="I28" s="15"/>
    </row>
    <row r="29" spans="1:9" ht="56.25">
      <c r="A29" s="36">
        <v>8</v>
      </c>
      <c r="B29" s="181" t="s">
        <v>80</v>
      </c>
      <c r="C29" s="258" t="s">
        <v>16</v>
      </c>
      <c r="D29" s="270">
        <f t="shared" si="0"/>
        <v>1230</v>
      </c>
      <c r="E29" s="271">
        <v>405</v>
      </c>
      <c r="F29" s="271">
        <v>410</v>
      </c>
      <c r="G29" s="271">
        <v>415</v>
      </c>
      <c r="H29" s="258" t="s">
        <v>81</v>
      </c>
      <c r="I29" s="15"/>
    </row>
    <row r="30" spans="1:9" ht="37.5">
      <c r="A30" s="36">
        <v>9</v>
      </c>
      <c r="B30" s="181" t="s">
        <v>82</v>
      </c>
      <c r="C30" s="258" t="s">
        <v>16</v>
      </c>
      <c r="D30" s="270">
        <f t="shared" si="0"/>
        <v>750</v>
      </c>
      <c r="E30" s="271">
        <v>200</v>
      </c>
      <c r="F30" s="271">
        <v>250</v>
      </c>
      <c r="G30" s="271">
        <v>300</v>
      </c>
      <c r="H30" s="258" t="s">
        <v>32</v>
      </c>
      <c r="I30" s="15"/>
    </row>
    <row r="31" spans="1:9" ht="18.75">
      <c r="A31" s="77"/>
      <c r="B31" s="78" t="s">
        <v>5</v>
      </c>
      <c r="C31" s="78"/>
      <c r="D31" s="107">
        <f>D16+D18+D19+D20+D21+D22+D28+D29+D30</f>
        <v>61858.7</v>
      </c>
      <c r="E31" s="107">
        <f>E16+E18+E19+E20+E21+E22+E28+E29+E30</f>
        <v>20100</v>
      </c>
      <c r="F31" s="107">
        <f>F16+F18+F19+F20+F21+F22+F28+F29+F30</f>
        <v>20183.7</v>
      </c>
      <c r="G31" s="107">
        <f>G16+G18+G19+G20+G21+G22+G28+G29+G30</f>
        <v>21575</v>
      </c>
      <c r="H31" s="72"/>
      <c r="I31" s="15"/>
    </row>
    <row r="32" spans="2:9" ht="18.75">
      <c r="B32" s="274"/>
      <c r="C32" s="15"/>
      <c r="D32" s="15"/>
      <c r="E32" s="15"/>
      <c r="F32" s="15"/>
      <c r="G32" s="15"/>
      <c r="H32" s="15"/>
      <c r="I32" s="15"/>
    </row>
    <row r="33" spans="2:11" ht="33" customHeight="1">
      <c r="B33" s="589" t="s">
        <v>18</v>
      </c>
      <c r="C33" s="589"/>
      <c r="D33" s="413"/>
      <c r="E33" s="22"/>
      <c r="F33" s="22"/>
      <c r="G33" s="16"/>
      <c r="H33" s="261" t="s">
        <v>7</v>
      </c>
      <c r="J33" s="23"/>
      <c r="K33" s="24"/>
    </row>
    <row r="34" spans="2:11" ht="12.75" customHeight="1">
      <c r="B34" s="413"/>
      <c r="C34" s="413"/>
      <c r="D34" s="413"/>
      <c r="E34" s="22"/>
      <c r="F34" s="22"/>
      <c r="G34" s="16"/>
      <c r="H34" s="261"/>
      <c r="J34" s="23"/>
      <c r="K34" s="24"/>
    </row>
    <row r="35" spans="2:11" ht="18.75">
      <c r="B35" s="538" t="s">
        <v>602</v>
      </c>
      <c r="C35" s="538"/>
      <c r="D35" s="25"/>
      <c r="E35" s="26"/>
      <c r="F35" s="26"/>
      <c r="G35" s="26"/>
      <c r="H35" s="26"/>
      <c r="I35" s="26"/>
      <c r="J35" s="15"/>
      <c r="K35" s="15"/>
    </row>
    <row r="36" spans="2:11" ht="15.75">
      <c r="B36" s="27" t="s">
        <v>45</v>
      </c>
      <c r="C36" s="27"/>
      <c r="D36" s="26"/>
      <c r="E36" s="26"/>
      <c r="F36" s="26"/>
      <c r="G36" s="26"/>
      <c r="H36" s="26"/>
      <c r="I36" s="26"/>
      <c r="J36" s="15"/>
      <c r="K36" s="15"/>
    </row>
    <row r="37" spans="2:9" ht="15.75">
      <c r="B37" s="15"/>
      <c r="C37" s="15"/>
      <c r="D37" s="15"/>
      <c r="E37" s="15"/>
      <c r="F37" s="15"/>
      <c r="G37" s="15"/>
      <c r="H37" s="15"/>
      <c r="I37" s="15"/>
    </row>
    <row r="38" spans="2:9" ht="15.75">
      <c r="B38" s="15"/>
      <c r="C38" s="15"/>
      <c r="D38" s="15"/>
      <c r="E38" s="15"/>
      <c r="F38" s="15"/>
      <c r="G38" s="15"/>
      <c r="H38" s="15"/>
      <c r="I38" s="15"/>
    </row>
    <row r="39" spans="2:9" ht="15.75">
      <c r="B39" s="15"/>
      <c r="C39" s="15"/>
      <c r="D39" s="15"/>
      <c r="E39" s="15"/>
      <c r="F39" s="15"/>
      <c r="G39" s="15"/>
      <c r="H39" s="15"/>
      <c r="I39" s="15"/>
    </row>
    <row r="40" spans="2:9" ht="15.75">
      <c r="B40" s="15"/>
      <c r="C40" s="15"/>
      <c r="D40" s="15"/>
      <c r="E40" s="15"/>
      <c r="F40" s="15"/>
      <c r="G40" s="15"/>
      <c r="H40" s="15"/>
      <c r="I40" s="15"/>
    </row>
    <row r="41" spans="2:9" ht="15.75">
      <c r="B41" s="15"/>
      <c r="C41" s="15"/>
      <c r="D41" s="15"/>
      <c r="E41" s="15"/>
      <c r="F41" s="15"/>
      <c r="G41" s="15"/>
      <c r="H41" s="15"/>
      <c r="I41" s="15"/>
    </row>
    <row r="42" spans="2:9" ht="15.75">
      <c r="B42" s="15"/>
      <c r="C42" s="15"/>
      <c r="D42" s="15"/>
      <c r="E42" s="15"/>
      <c r="F42" s="15"/>
      <c r="G42" s="15"/>
      <c r="H42" s="15"/>
      <c r="I42" s="15"/>
    </row>
    <row r="43" spans="2:9" ht="15.75">
      <c r="B43" s="15"/>
      <c r="C43" s="15"/>
      <c r="D43" s="15"/>
      <c r="E43" s="15"/>
      <c r="F43" s="15"/>
      <c r="G43" s="15"/>
      <c r="H43" s="15"/>
      <c r="I43" s="15"/>
    </row>
    <row r="44" spans="2:9" ht="15.75">
      <c r="B44" s="15"/>
      <c r="C44" s="15"/>
      <c r="D44" s="15"/>
      <c r="E44" s="15"/>
      <c r="F44" s="15"/>
      <c r="G44" s="15"/>
      <c r="H44" s="15"/>
      <c r="I44" s="15"/>
    </row>
    <row r="45" spans="2:9" ht="15.75">
      <c r="B45" s="15"/>
      <c r="C45" s="15"/>
      <c r="D45" s="15"/>
      <c r="E45" s="15"/>
      <c r="F45" s="15"/>
      <c r="G45" s="15"/>
      <c r="H45" s="15"/>
      <c r="I45" s="15"/>
    </row>
    <row r="46" spans="2:9" ht="15.75">
      <c r="B46" s="15"/>
      <c r="C46" s="15"/>
      <c r="D46" s="15"/>
      <c r="E46" s="15"/>
      <c r="F46" s="15"/>
      <c r="G46" s="15"/>
      <c r="H46" s="15"/>
      <c r="I46" s="15"/>
    </row>
    <row r="47" spans="2:9" ht="15.75">
      <c r="B47" s="15"/>
      <c r="C47" s="15"/>
      <c r="D47" s="15"/>
      <c r="E47" s="15"/>
      <c r="F47" s="15"/>
      <c r="G47" s="15"/>
      <c r="H47" s="15"/>
      <c r="I47" s="15"/>
    </row>
    <row r="48" spans="2:9" ht="15.75">
      <c r="B48" s="15"/>
      <c r="C48" s="15"/>
      <c r="D48" s="15"/>
      <c r="E48" s="15"/>
      <c r="F48" s="15"/>
      <c r="G48" s="15"/>
      <c r="H48" s="15"/>
      <c r="I48" s="15"/>
    </row>
    <row r="49" spans="2:9" ht="15.75">
      <c r="B49" s="15"/>
      <c r="C49" s="15"/>
      <c r="D49" s="15"/>
      <c r="E49" s="15"/>
      <c r="F49" s="15"/>
      <c r="G49" s="15"/>
      <c r="H49" s="15"/>
      <c r="I49" s="15"/>
    </row>
    <row r="50" spans="2:9" ht="15.75">
      <c r="B50" s="15"/>
      <c r="C50" s="15"/>
      <c r="D50" s="15"/>
      <c r="E50" s="15"/>
      <c r="F50" s="15"/>
      <c r="G50" s="15"/>
      <c r="H50" s="15"/>
      <c r="I50" s="15"/>
    </row>
    <row r="51" spans="2:9" ht="15.75">
      <c r="B51" s="15"/>
      <c r="C51" s="15"/>
      <c r="D51" s="15"/>
      <c r="E51" s="15"/>
      <c r="F51" s="15"/>
      <c r="G51" s="15"/>
      <c r="H51" s="15"/>
      <c r="I51" s="15"/>
    </row>
    <row r="52" spans="2:9" ht="15.75">
      <c r="B52" s="15"/>
      <c r="C52" s="15"/>
      <c r="D52" s="15"/>
      <c r="E52" s="15"/>
      <c r="F52" s="15"/>
      <c r="G52" s="15"/>
      <c r="H52" s="15"/>
      <c r="I52" s="15"/>
    </row>
    <row r="53" spans="2:9" ht="15.75">
      <c r="B53" s="15"/>
      <c r="C53" s="15"/>
      <c r="D53" s="15"/>
      <c r="E53" s="15"/>
      <c r="F53" s="15"/>
      <c r="G53" s="15"/>
      <c r="H53" s="15"/>
      <c r="I53" s="15"/>
    </row>
    <row r="54" spans="2:9" ht="15.75">
      <c r="B54" s="15"/>
      <c r="C54" s="15"/>
      <c r="D54" s="15"/>
      <c r="E54" s="15"/>
      <c r="F54" s="15"/>
      <c r="G54" s="15"/>
      <c r="H54" s="15"/>
      <c r="I54" s="15"/>
    </row>
    <row r="55" spans="2:9" ht="15.75">
      <c r="B55" s="15"/>
      <c r="C55" s="15"/>
      <c r="D55" s="15"/>
      <c r="E55" s="15"/>
      <c r="F55" s="15"/>
      <c r="G55" s="15"/>
      <c r="H55" s="15"/>
      <c r="I55" s="15"/>
    </row>
    <row r="56" spans="2:9" ht="15.75">
      <c r="B56" s="15"/>
      <c r="C56" s="15"/>
      <c r="D56" s="15"/>
      <c r="E56" s="15"/>
      <c r="F56" s="15"/>
      <c r="G56" s="15"/>
      <c r="H56" s="15"/>
      <c r="I56" s="15"/>
    </row>
    <row r="57" spans="2:9" ht="15.75">
      <c r="B57" s="15"/>
      <c r="C57" s="15"/>
      <c r="D57" s="15"/>
      <c r="E57" s="15"/>
      <c r="F57" s="15"/>
      <c r="G57" s="15"/>
      <c r="H57" s="15"/>
      <c r="I57" s="15"/>
    </row>
    <row r="58" spans="2:9" ht="15.75">
      <c r="B58" s="15"/>
      <c r="C58" s="15"/>
      <c r="D58" s="15"/>
      <c r="E58" s="15"/>
      <c r="F58" s="15"/>
      <c r="G58" s="15"/>
      <c r="H58" s="15"/>
      <c r="I58" s="15"/>
    </row>
    <row r="59" spans="2:9" ht="15.75">
      <c r="B59" s="15"/>
      <c r="C59" s="15"/>
      <c r="D59" s="15"/>
      <c r="E59" s="15"/>
      <c r="F59" s="15"/>
      <c r="G59" s="15"/>
      <c r="H59" s="15"/>
      <c r="I59" s="15"/>
    </row>
    <row r="60" spans="2:9" ht="15.75">
      <c r="B60" s="15"/>
      <c r="C60" s="15"/>
      <c r="D60" s="15"/>
      <c r="E60" s="15"/>
      <c r="F60" s="15"/>
      <c r="G60" s="15"/>
      <c r="H60" s="15"/>
      <c r="I60" s="15"/>
    </row>
    <row r="61" spans="2:9" ht="15.75">
      <c r="B61" s="15"/>
      <c r="C61" s="15"/>
      <c r="D61" s="15"/>
      <c r="E61" s="15"/>
      <c r="F61" s="15"/>
      <c r="G61" s="15"/>
      <c r="H61" s="15"/>
      <c r="I61" s="15"/>
    </row>
    <row r="62" spans="2:9" ht="15.75">
      <c r="B62" s="15"/>
      <c r="C62" s="15"/>
      <c r="D62" s="15"/>
      <c r="E62" s="15"/>
      <c r="F62" s="15"/>
      <c r="G62" s="15"/>
      <c r="H62" s="15"/>
      <c r="I62" s="15"/>
    </row>
    <row r="63" spans="2:9" ht="15.75">
      <c r="B63" s="15"/>
      <c r="C63" s="15"/>
      <c r="D63" s="15"/>
      <c r="E63" s="15"/>
      <c r="F63" s="15"/>
      <c r="G63" s="15"/>
      <c r="H63" s="15"/>
      <c r="I63" s="15"/>
    </row>
    <row r="64" spans="2:9" ht="15.75">
      <c r="B64" s="15"/>
      <c r="C64" s="15"/>
      <c r="D64" s="15"/>
      <c r="E64" s="15"/>
      <c r="F64" s="15"/>
      <c r="G64" s="15"/>
      <c r="H64" s="15"/>
      <c r="I64" s="15"/>
    </row>
    <row r="65" spans="2:9" ht="15.75">
      <c r="B65" s="15"/>
      <c r="C65" s="15"/>
      <c r="D65" s="15"/>
      <c r="E65" s="15"/>
      <c r="F65" s="15"/>
      <c r="G65" s="15"/>
      <c r="H65" s="15"/>
      <c r="I65" s="15"/>
    </row>
    <row r="66" spans="2:9" ht="15.75">
      <c r="B66" s="15"/>
      <c r="C66" s="15"/>
      <c r="D66" s="15"/>
      <c r="E66" s="15"/>
      <c r="F66" s="15"/>
      <c r="G66" s="15"/>
      <c r="H66" s="15"/>
      <c r="I66" s="15"/>
    </row>
    <row r="67" spans="2:9" ht="15.75">
      <c r="B67" s="15"/>
      <c r="C67" s="15"/>
      <c r="D67" s="15"/>
      <c r="E67" s="15"/>
      <c r="F67" s="15"/>
      <c r="G67" s="15"/>
      <c r="H67" s="15"/>
      <c r="I67" s="15"/>
    </row>
    <row r="68" spans="2:9" ht="15.75">
      <c r="B68" s="15"/>
      <c r="C68" s="15"/>
      <c r="D68" s="15"/>
      <c r="E68" s="15"/>
      <c r="F68" s="15"/>
      <c r="G68" s="15"/>
      <c r="H68" s="15"/>
      <c r="I68" s="15"/>
    </row>
    <row r="69" spans="2:9" ht="15.75">
      <c r="B69" s="15"/>
      <c r="C69" s="15"/>
      <c r="D69" s="15"/>
      <c r="E69" s="15"/>
      <c r="F69" s="15"/>
      <c r="G69" s="15"/>
      <c r="H69" s="15"/>
      <c r="I69" s="15"/>
    </row>
    <row r="70" spans="2:9" ht="15.75">
      <c r="B70" s="15"/>
      <c r="C70" s="15"/>
      <c r="D70" s="15"/>
      <c r="E70" s="15"/>
      <c r="F70" s="15"/>
      <c r="G70" s="15"/>
      <c r="H70" s="15"/>
      <c r="I70" s="15"/>
    </row>
    <row r="71" spans="2:9" ht="15.75">
      <c r="B71" s="15"/>
      <c r="C71" s="15"/>
      <c r="D71" s="15"/>
      <c r="E71" s="15"/>
      <c r="F71" s="15"/>
      <c r="G71" s="15"/>
      <c r="H71" s="15"/>
      <c r="I71" s="15"/>
    </row>
    <row r="72" spans="2:9" ht="15.75">
      <c r="B72" s="15"/>
      <c r="C72" s="15"/>
      <c r="D72" s="15"/>
      <c r="E72" s="15"/>
      <c r="F72" s="15"/>
      <c r="G72" s="15"/>
      <c r="H72" s="15"/>
      <c r="I72" s="15"/>
    </row>
    <row r="73" spans="2:9" ht="15.75">
      <c r="B73" s="15"/>
      <c r="C73" s="15"/>
      <c r="D73" s="15"/>
      <c r="E73" s="15"/>
      <c r="F73" s="15"/>
      <c r="G73" s="15"/>
      <c r="H73" s="15"/>
      <c r="I73" s="15"/>
    </row>
    <row r="74" spans="2:9" ht="15.75">
      <c r="B74" s="15"/>
      <c r="C74" s="15"/>
      <c r="D74" s="15"/>
      <c r="E74" s="15"/>
      <c r="F74" s="15"/>
      <c r="G74" s="15"/>
      <c r="H74" s="15"/>
      <c r="I74" s="15"/>
    </row>
    <row r="75" spans="2:9" ht="15.75">
      <c r="B75" s="15"/>
      <c r="C75" s="15"/>
      <c r="D75" s="15"/>
      <c r="E75" s="15"/>
      <c r="F75" s="15"/>
      <c r="G75" s="15"/>
      <c r="H75" s="15"/>
      <c r="I75" s="15"/>
    </row>
    <row r="76" spans="2:9" ht="15.75">
      <c r="B76" s="15"/>
      <c r="C76" s="15"/>
      <c r="D76" s="15"/>
      <c r="E76" s="15"/>
      <c r="F76" s="15"/>
      <c r="G76" s="15"/>
      <c r="H76" s="15"/>
      <c r="I76" s="15"/>
    </row>
    <row r="77" spans="2:9" ht="15.75">
      <c r="B77" s="15"/>
      <c r="C77" s="15"/>
      <c r="D77" s="15"/>
      <c r="E77" s="15"/>
      <c r="F77" s="15"/>
      <c r="G77" s="15"/>
      <c r="H77" s="15"/>
      <c r="I77" s="15"/>
    </row>
    <row r="78" spans="2:9" ht="15.75">
      <c r="B78" s="15"/>
      <c r="C78" s="15"/>
      <c r="D78" s="15"/>
      <c r="E78" s="15"/>
      <c r="F78" s="15"/>
      <c r="G78" s="15"/>
      <c r="H78" s="15"/>
      <c r="I78" s="15"/>
    </row>
    <row r="79" spans="2:9" ht="15.75">
      <c r="B79" s="15"/>
      <c r="C79" s="15"/>
      <c r="D79" s="15"/>
      <c r="E79" s="15"/>
      <c r="F79" s="15"/>
      <c r="G79" s="15"/>
      <c r="H79" s="15"/>
      <c r="I79" s="15"/>
    </row>
    <row r="80" spans="2:9" ht="15.75">
      <c r="B80" s="15"/>
      <c r="C80" s="15"/>
      <c r="D80" s="15"/>
      <c r="E80" s="15"/>
      <c r="F80" s="15"/>
      <c r="G80" s="15"/>
      <c r="H80" s="15"/>
      <c r="I80" s="15"/>
    </row>
    <row r="81" spans="2:9" ht="15.75">
      <c r="B81" s="15"/>
      <c r="C81" s="15"/>
      <c r="D81" s="15"/>
      <c r="E81" s="15"/>
      <c r="F81" s="15"/>
      <c r="G81" s="15"/>
      <c r="H81" s="15"/>
      <c r="I81" s="15"/>
    </row>
    <row r="82" spans="2:9" ht="15.75">
      <c r="B82" s="15"/>
      <c r="C82" s="15"/>
      <c r="D82" s="15"/>
      <c r="E82" s="15"/>
      <c r="F82" s="15"/>
      <c r="G82" s="15"/>
      <c r="H82" s="15"/>
      <c r="I82" s="15"/>
    </row>
    <row r="83" spans="2:9" ht="15.75">
      <c r="B83" s="15"/>
      <c r="C83" s="15"/>
      <c r="D83" s="15"/>
      <c r="E83" s="15"/>
      <c r="F83" s="15"/>
      <c r="G83" s="15"/>
      <c r="H83" s="15"/>
      <c r="I83" s="15"/>
    </row>
    <row r="84" spans="2:9" ht="15.75">
      <c r="B84" s="15"/>
      <c r="C84" s="15"/>
      <c r="D84" s="15"/>
      <c r="E84" s="15"/>
      <c r="F84" s="15"/>
      <c r="G84" s="15"/>
      <c r="H84" s="15"/>
      <c r="I84" s="15"/>
    </row>
    <row r="85" spans="2:9" ht="15.75">
      <c r="B85" s="15"/>
      <c r="C85" s="15"/>
      <c r="D85" s="15"/>
      <c r="E85" s="15"/>
      <c r="F85" s="15"/>
      <c r="G85" s="15"/>
      <c r="H85" s="15"/>
      <c r="I85" s="15"/>
    </row>
    <row r="86" spans="2:9" ht="15.75">
      <c r="B86" s="15"/>
      <c r="C86" s="15"/>
      <c r="D86" s="15"/>
      <c r="E86" s="15"/>
      <c r="F86" s="15"/>
      <c r="G86" s="15"/>
      <c r="H86" s="15"/>
      <c r="I86" s="15"/>
    </row>
    <row r="87" spans="2:9" ht="15.75">
      <c r="B87" s="15"/>
      <c r="C87" s="15"/>
      <c r="D87" s="15"/>
      <c r="E87" s="15"/>
      <c r="F87" s="15"/>
      <c r="G87" s="15"/>
      <c r="H87" s="15"/>
      <c r="I87" s="15"/>
    </row>
    <row r="88" spans="2:9" ht="15.75">
      <c r="B88" s="15"/>
      <c r="C88" s="15"/>
      <c r="D88" s="15"/>
      <c r="E88" s="15"/>
      <c r="F88" s="15"/>
      <c r="G88" s="15"/>
      <c r="H88" s="15"/>
      <c r="I88" s="15"/>
    </row>
    <row r="89" spans="2:9" ht="15.75">
      <c r="B89" s="15"/>
      <c r="C89" s="15"/>
      <c r="D89" s="15"/>
      <c r="E89" s="15"/>
      <c r="F89" s="15"/>
      <c r="G89" s="15"/>
      <c r="H89" s="15"/>
      <c r="I89" s="15"/>
    </row>
    <row r="90" spans="2:9" ht="15.75">
      <c r="B90" s="15"/>
      <c r="C90" s="15"/>
      <c r="D90" s="15"/>
      <c r="E90" s="15"/>
      <c r="F90" s="15"/>
      <c r="G90" s="15"/>
      <c r="H90" s="15"/>
      <c r="I90" s="15"/>
    </row>
    <row r="91" spans="2:9" ht="15.75">
      <c r="B91" s="15"/>
      <c r="C91" s="15"/>
      <c r="D91" s="15"/>
      <c r="E91" s="15"/>
      <c r="F91" s="15"/>
      <c r="G91" s="15"/>
      <c r="H91" s="15"/>
      <c r="I91" s="15"/>
    </row>
    <row r="92" spans="2:9" ht="15.75">
      <c r="B92" s="15"/>
      <c r="C92" s="15"/>
      <c r="D92" s="15"/>
      <c r="E92" s="15"/>
      <c r="F92" s="15"/>
      <c r="G92" s="15"/>
      <c r="H92" s="15"/>
      <c r="I92" s="15"/>
    </row>
    <row r="93" spans="2:9" ht="15.75">
      <c r="B93" s="15"/>
      <c r="C93" s="15"/>
      <c r="D93" s="15"/>
      <c r="E93" s="15"/>
      <c r="F93" s="15"/>
      <c r="G93" s="15"/>
      <c r="H93" s="15"/>
      <c r="I93" s="15"/>
    </row>
    <row r="94" spans="2:9" ht="15.75">
      <c r="B94" s="15"/>
      <c r="C94" s="15"/>
      <c r="D94" s="15"/>
      <c r="E94" s="15"/>
      <c r="F94" s="15"/>
      <c r="G94" s="15"/>
      <c r="H94" s="15"/>
      <c r="I94" s="15"/>
    </row>
    <row r="95" spans="2:9" ht="15.75">
      <c r="B95" s="15"/>
      <c r="C95" s="15"/>
      <c r="D95" s="15"/>
      <c r="E95" s="15"/>
      <c r="F95" s="15"/>
      <c r="G95" s="15"/>
      <c r="H95" s="15"/>
      <c r="I95" s="15"/>
    </row>
    <row r="96" spans="2:9" ht="15.75">
      <c r="B96" s="15"/>
      <c r="C96" s="15"/>
      <c r="D96" s="15"/>
      <c r="E96" s="15"/>
      <c r="F96" s="15"/>
      <c r="G96" s="15"/>
      <c r="H96" s="15"/>
      <c r="I96" s="15"/>
    </row>
    <row r="97" spans="2:9" ht="15.75">
      <c r="B97" s="15"/>
      <c r="C97" s="15"/>
      <c r="D97" s="15"/>
      <c r="E97" s="15"/>
      <c r="F97" s="15"/>
      <c r="G97" s="15"/>
      <c r="H97" s="15"/>
      <c r="I97" s="15"/>
    </row>
    <row r="98" spans="2:9" ht="15.75">
      <c r="B98" s="15"/>
      <c r="C98" s="15"/>
      <c r="D98" s="15"/>
      <c r="E98" s="15"/>
      <c r="F98" s="15"/>
      <c r="G98" s="15"/>
      <c r="H98" s="15"/>
      <c r="I98" s="15"/>
    </row>
    <row r="99" spans="2:9" ht="15.75">
      <c r="B99" s="15"/>
      <c r="C99" s="15"/>
      <c r="D99" s="15"/>
      <c r="E99" s="15"/>
      <c r="F99" s="15"/>
      <c r="G99" s="15"/>
      <c r="H99" s="15"/>
      <c r="I99" s="15"/>
    </row>
    <row r="100" spans="2:9" ht="15.75">
      <c r="B100" s="15"/>
      <c r="C100" s="15"/>
      <c r="D100" s="15"/>
      <c r="E100" s="15"/>
      <c r="F100" s="15"/>
      <c r="G100" s="15"/>
      <c r="H100" s="15"/>
      <c r="I100" s="15"/>
    </row>
    <row r="101" spans="2:9" ht="15.75">
      <c r="B101" s="15"/>
      <c r="C101" s="15"/>
      <c r="D101" s="15"/>
      <c r="E101" s="15"/>
      <c r="F101" s="15"/>
      <c r="G101" s="15"/>
      <c r="H101" s="15"/>
      <c r="I101" s="15"/>
    </row>
    <row r="102" spans="2:9" ht="15.75">
      <c r="B102" s="15"/>
      <c r="C102" s="15"/>
      <c r="D102" s="15"/>
      <c r="E102" s="15"/>
      <c r="F102" s="15"/>
      <c r="G102" s="15"/>
      <c r="H102" s="15"/>
      <c r="I102" s="15"/>
    </row>
    <row r="103" spans="2:9" ht="15.75">
      <c r="B103" s="15"/>
      <c r="C103" s="15"/>
      <c r="D103" s="15"/>
      <c r="E103" s="15"/>
      <c r="F103" s="15"/>
      <c r="G103" s="15"/>
      <c r="H103" s="15"/>
      <c r="I103" s="15"/>
    </row>
    <row r="104" spans="2:9" ht="15.75">
      <c r="B104" s="15"/>
      <c r="C104" s="15"/>
      <c r="D104" s="15"/>
      <c r="E104" s="15"/>
      <c r="F104" s="15"/>
      <c r="G104" s="15"/>
      <c r="H104" s="15"/>
      <c r="I104" s="15"/>
    </row>
    <row r="105" spans="2:9" ht="15.75">
      <c r="B105" s="15"/>
      <c r="C105" s="15"/>
      <c r="D105" s="15"/>
      <c r="E105" s="15"/>
      <c r="F105" s="15"/>
      <c r="G105" s="15"/>
      <c r="H105" s="15"/>
      <c r="I105" s="15"/>
    </row>
    <row r="106" spans="2:9" ht="15.75">
      <c r="B106" s="15"/>
      <c r="C106" s="15"/>
      <c r="D106" s="15"/>
      <c r="E106" s="15"/>
      <c r="F106" s="15"/>
      <c r="G106" s="15"/>
      <c r="H106" s="15"/>
      <c r="I106" s="15"/>
    </row>
    <row r="107" spans="2:9" ht="15.75">
      <c r="B107" s="15"/>
      <c r="C107" s="15"/>
      <c r="D107" s="15"/>
      <c r="E107" s="15"/>
      <c r="F107" s="15"/>
      <c r="G107" s="15"/>
      <c r="H107" s="15"/>
      <c r="I107" s="15"/>
    </row>
    <row r="108" spans="2:9" ht="15.75">
      <c r="B108" s="15"/>
      <c r="C108" s="15"/>
      <c r="D108" s="15"/>
      <c r="E108" s="15"/>
      <c r="F108" s="15"/>
      <c r="G108" s="15"/>
      <c r="H108" s="15"/>
      <c r="I108" s="15"/>
    </row>
    <row r="109" spans="2:9" ht="15.75">
      <c r="B109" s="15"/>
      <c r="C109" s="15"/>
      <c r="D109" s="15"/>
      <c r="E109" s="15"/>
      <c r="F109" s="15"/>
      <c r="G109" s="15"/>
      <c r="H109" s="15"/>
      <c r="I109" s="15"/>
    </row>
    <row r="110" spans="2:9" ht="15.75">
      <c r="B110" s="15"/>
      <c r="C110" s="15"/>
      <c r="D110" s="15"/>
      <c r="E110" s="15"/>
      <c r="F110" s="15"/>
      <c r="G110" s="15"/>
      <c r="H110" s="15"/>
      <c r="I110" s="15"/>
    </row>
    <row r="111" spans="2:9" ht="15.75">
      <c r="B111" s="15"/>
      <c r="C111" s="15"/>
      <c r="D111" s="15"/>
      <c r="E111" s="15"/>
      <c r="F111" s="15"/>
      <c r="G111" s="15"/>
      <c r="H111" s="15"/>
      <c r="I111" s="15"/>
    </row>
    <row r="112" spans="2:9" ht="15.75">
      <c r="B112" s="15"/>
      <c r="C112" s="15"/>
      <c r="D112" s="15"/>
      <c r="E112" s="15"/>
      <c r="F112" s="15"/>
      <c r="G112" s="15"/>
      <c r="H112" s="15"/>
      <c r="I112" s="15"/>
    </row>
    <row r="113" spans="2:9" ht="15.75">
      <c r="B113" s="15"/>
      <c r="C113" s="15"/>
      <c r="D113" s="15"/>
      <c r="E113" s="15"/>
      <c r="F113" s="15"/>
      <c r="G113" s="15"/>
      <c r="H113" s="15"/>
      <c r="I113" s="15"/>
    </row>
    <row r="114" spans="2:9" ht="15.75">
      <c r="B114" s="15"/>
      <c r="C114" s="15"/>
      <c r="D114" s="15"/>
      <c r="E114" s="15"/>
      <c r="F114" s="15"/>
      <c r="G114" s="15"/>
      <c r="H114" s="15"/>
      <c r="I114" s="15"/>
    </row>
    <row r="115" spans="2:9" ht="15.75">
      <c r="B115" s="15"/>
      <c r="C115" s="15"/>
      <c r="D115" s="15"/>
      <c r="E115" s="15"/>
      <c r="F115" s="15"/>
      <c r="G115" s="15"/>
      <c r="H115" s="15"/>
      <c r="I115" s="15"/>
    </row>
    <row r="116" spans="2:9" ht="15.75">
      <c r="B116" s="15"/>
      <c r="C116" s="15"/>
      <c r="D116" s="15"/>
      <c r="E116" s="15"/>
      <c r="F116" s="15"/>
      <c r="G116" s="15"/>
      <c r="H116" s="15"/>
      <c r="I116" s="15"/>
    </row>
    <row r="117" spans="2:9" ht="15.75">
      <c r="B117" s="15"/>
      <c r="C117" s="15"/>
      <c r="D117" s="15"/>
      <c r="E117" s="15"/>
      <c r="F117" s="15"/>
      <c r="G117" s="15"/>
      <c r="H117" s="15"/>
      <c r="I117" s="15"/>
    </row>
    <row r="118" spans="2:9" ht="15.75">
      <c r="B118" s="15"/>
      <c r="C118" s="15"/>
      <c r="D118" s="15"/>
      <c r="E118" s="15"/>
      <c r="F118" s="15"/>
      <c r="G118" s="15"/>
      <c r="H118" s="15"/>
      <c r="I118" s="15"/>
    </row>
    <row r="119" spans="2:9" ht="15.75">
      <c r="B119" s="15"/>
      <c r="C119" s="15"/>
      <c r="D119" s="15"/>
      <c r="E119" s="15"/>
      <c r="F119" s="15"/>
      <c r="G119" s="15"/>
      <c r="H119" s="15"/>
      <c r="I119" s="15"/>
    </row>
    <row r="120" spans="2:9" ht="15.75">
      <c r="B120" s="15"/>
      <c r="C120" s="15"/>
      <c r="D120" s="15"/>
      <c r="E120" s="15"/>
      <c r="F120" s="15"/>
      <c r="G120" s="15"/>
      <c r="H120" s="15"/>
      <c r="I120" s="15"/>
    </row>
    <row r="121" spans="2:9" ht="15.75">
      <c r="B121" s="15"/>
      <c r="C121" s="15"/>
      <c r="D121" s="15"/>
      <c r="E121" s="15"/>
      <c r="F121" s="15"/>
      <c r="G121" s="15"/>
      <c r="H121" s="15"/>
      <c r="I121" s="15"/>
    </row>
    <row r="122" spans="2:9" ht="15.75">
      <c r="B122" s="15"/>
      <c r="C122" s="15"/>
      <c r="D122" s="15"/>
      <c r="E122" s="15"/>
      <c r="F122" s="15"/>
      <c r="G122" s="15"/>
      <c r="H122" s="15"/>
      <c r="I122" s="15"/>
    </row>
    <row r="123" spans="2:9" ht="15.75">
      <c r="B123" s="15"/>
      <c r="C123" s="15"/>
      <c r="D123" s="15"/>
      <c r="E123" s="15"/>
      <c r="F123" s="15"/>
      <c r="G123" s="15"/>
      <c r="H123" s="15"/>
      <c r="I123" s="15"/>
    </row>
    <row r="124" spans="2:9" ht="15.75">
      <c r="B124" s="15"/>
      <c r="C124" s="15"/>
      <c r="D124" s="15"/>
      <c r="E124" s="15"/>
      <c r="F124" s="15"/>
      <c r="G124" s="15"/>
      <c r="H124" s="15"/>
      <c r="I124" s="15"/>
    </row>
    <row r="125" spans="2:9" ht="15.75">
      <c r="B125" s="15"/>
      <c r="C125" s="15"/>
      <c r="D125" s="15"/>
      <c r="E125" s="15"/>
      <c r="F125" s="15"/>
      <c r="G125" s="15"/>
      <c r="H125" s="15"/>
      <c r="I125" s="15"/>
    </row>
    <row r="126" spans="2:9" ht="15.75">
      <c r="B126" s="15"/>
      <c r="C126" s="15"/>
      <c r="D126" s="15"/>
      <c r="E126" s="15"/>
      <c r="F126" s="15"/>
      <c r="G126" s="15"/>
      <c r="H126" s="15"/>
      <c r="I126" s="15"/>
    </row>
    <row r="127" spans="2:9" ht="15.75">
      <c r="B127" s="15"/>
      <c r="C127" s="15"/>
      <c r="D127" s="15"/>
      <c r="E127" s="15"/>
      <c r="F127" s="15"/>
      <c r="G127" s="15"/>
      <c r="H127" s="15"/>
      <c r="I127" s="15"/>
    </row>
    <row r="128" spans="2:9" ht="15.75">
      <c r="B128" s="15"/>
      <c r="C128" s="15"/>
      <c r="D128" s="15"/>
      <c r="E128" s="15"/>
      <c r="F128" s="15"/>
      <c r="G128" s="15"/>
      <c r="H128" s="15"/>
      <c r="I128" s="15"/>
    </row>
    <row r="129" spans="2:9" ht="15.75">
      <c r="B129" s="15"/>
      <c r="C129" s="15"/>
      <c r="D129" s="15"/>
      <c r="E129" s="15"/>
      <c r="F129" s="15"/>
      <c r="G129" s="15"/>
      <c r="H129" s="15"/>
      <c r="I129" s="15"/>
    </row>
    <row r="130" spans="2:9" ht="15.75">
      <c r="B130" s="15"/>
      <c r="C130" s="15"/>
      <c r="D130" s="15"/>
      <c r="E130" s="15"/>
      <c r="F130" s="15"/>
      <c r="G130" s="15"/>
      <c r="H130" s="15"/>
      <c r="I130" s="15"/>
    </row>
    <row r="131" spans="2:9" ht="15.75">
      <c r="B131" s="15"/>
      <c r="C131" s="15"/>
      <c r="D131" s="15"/>
      <c r="E131" s="15"/>
      <c r="F131" s="15"/>
      <c r="G131" s="15"/>
      <c r="H131" s="15"/>
      <c r="I131" s="15"/>
    </row>
    <row r="132" spans="2:9" ht="15.75">
      <c r="B132" s="15"/>
      <c r="C132" s="15"/>
      <c r="D132" s="15"/>
      <c r="E132" s="15"/>
      <c r="F132" s="15"/>
      <c r="G132" s="15"/>
      <c r="H132" s="15"/>
      <c r="I132" s="15"/>
    </row>
    <row r="133" spans="2:9" ht="15.75">
      <c r="B133" s="15"/>
      <c r="C133" s="15"/>
      <c r="D133" s="15"/>
      <c r="E133" s="15"/>
      <c r="F133" s="15"/>
      <c r="G133" s="15"/>
      <c r="H133" s="15"/>
      <c r="I133" s="15"/>
    </row>
  </sheetData>
  <sheetProtection/>
  <mergeCells count="16">
    <mergeCell ref="H12:H14"/>
    <mergeCell ref="E13:E14"/>
    <mergeCell ref="F13:F14"/>
    <mergeCell ref="G13:G14"/>
    <mergeCell ref="B33:C33"/>
    <mergeCell ref="B35:C35"/>
    <mergeCell ref="H3:I3"/>
    <mergeCell ref="H4:I4"/>
    <mergeCell ref="H6:I6"/>
    <mergeCell ref="H7:I7"/>
    <mergeCell ref="B10:H10"/>
    <mergeCell ref="A12:A14"/>
    <mergeCell ref="B12:B14"/>
    <mergeCell ref="C12:C14"/>
    <mergeCell ref="D12:D14"/>
    <mergeCell ref="E12:G12"/>
  </mergeCells>
  <printOptions horizontalCentered="1"/>
  <pageMargins left="0" right="0" top="1.1811023622047245" bottom="0" header="0" footer="0"/>
  <pageSetup fitToHeight="2" horizontalDpi="600" verticalDpi="600" orientation="landscape" paperSize="9" scale="50" r:id="rId1"/>
</worksheet>
</file>

<file path=xl/worksheets/sheet11.xml><?xml version="1.0" encoding="utf-8"?>
<worksheet xmlns="http://schemas.openxmlformats.org/spreadsheetml/2006/main" xmlns:r="http://schemas.openxmlformats.org/officeDocument/2006/relationships">
  <sheetPr>
    <tabColor rgb="FFFFFF00"/>
    <pageSetUpPr fitToPage="1"/>
  </sheetPr>
  <dimension ref="A1:O30"/>
  <sheetViews>
    <sheetView view="pageBreakPreview" zoomScale="82" zoomScaleSheetLayoutView="82" zoomScalePageLayoutView="0" workbookViewId="0" topLeftCell="A1">
      <selection activeCell="B9" sqref="B9:K9"/>
    </sheetView>
  </sheetViews>
  <sheetFormatPr defaultColWidth="9.140625" defaultRowHeight="12.75"/>
  <cols>
    <col min="1" max="1" width="6.7109375" style="0" customWidth="1"/>
    <col min="2" max="2" width="45.28125" style="0" customWidth="1"/>
    <col min="3" max="3" width="18.00390625" style="0" customWidth="1"/>
    <col min="4" max="4" width="12.00390625" style="0" customWidth="1"/>
    <col min="5" max="5" width="9.7109375" style="0" customWidth="1"/>
    <col min="6" max="6" width="10.8515625" style="0" customWidth="1"/>
    <col min="7" max="8" width="11.57421875" style="0" hidden="1" customWidth="1"/>
    <col min="9" max="9" width="12.57421875" style="0" hidden="1" customWidth="1"/>
    <col min="10" max="10" width="10.00390625" style="0" customWidth="1"/>
    <col min="11" max="11" width="43.28125" style="0" customWidth="1"/>
    <col min="12" max="13" width="9.140625" style="0" hidden="1" customWidth="1"/>
    <col min="14" max="14" width="9.8515625" style="0" hidden="1" customWidth="1"/>
    <col min="15" max="15" width="10.140625" style="0" customWidth="1"/>
  </cols>
  <sheetData>
    <row r="1" spans="2:12" ht="15.75">
      <c r="B1" s="1"/>
      <c r="C1" s="1"/>
      <c r="D1" s="1"/>
      <c r="E1" s="1"/>
      <c r="F1" s="1"/>
      <c r="G1" s="1"/>
      <c r="H1" s="1"/>
      <c r="I1" s="2" t="s">
        <v>19</v>
      </c>
      <c r="J1" s="585" t="s">
        <v>569</v>
      </c>
      <c r="K1" s="585"/>
      <c r="L1" s="2" t="s">
        <v>19</v>
      </c>
    </row>
    <row r="2" spans="2:12" ht="15.75">
      <c r="B2" s="1"/>
      <c r="C2" s="1"/>
      <c r="D2" s="1"/>
      <c r="E2" s="1"/>
      <c r="F2" s="1"/>
      <c r="G2" s="1"/>
      <c r="H2" s="1"/>
      <c r="I2" s="3" t="s">
        <v>11</v>
      </c>
      <c r="J2" s="585" t="s">
        <v>11</v>
      </c>
      <c r="K2" s="585"/>
      <c r="L2" s="3" t="s">
        <v>11</v>
      </c>
    </row>
    <row r="3" spans="2:12" ht="15.75">
      <c r="B3" s="1"/>
      <c r="C3" s="1"/>
      <c r="D3" s="1"/>
      <c r="E3" s="1"/>
      <c r="F3" s="1"/>
      <c r="G3" s="1"/>
      <c r="H3" s="1"/>
      <c r="I3" s="3" t="s">
        <v>20</v>
      </c>
      <c r="J3" s="3" t="s">
        <v>173</v>
      </c>
      <c r="K3" s="3"/>
      <c r="L3" s="3" t="s">
        <v>20</v>
      </c>
    </row>
    <row r="4" spans="2:12" ht="15.75">
      <c r="B4" s="1"/>
      <c r="C4" s="1"/>
      <c r="D4" s="1"/>
      <c r="E4" s="1"/>
      <c r="F4" s="1"/>
      <c r="G4" s="1"/>
      <c r="H4" s="1"/>
      <c r="I4" s="3" t="s">
        <v>21</v>
      </c>
      <c r="J4" s="3" t="s">
        <v>22</v>
      </c>
      <c r="K4" s="3"/>
      <c r="L4" s="3" t="s">
        <v>21</v>
      </c>
    </row>
    <row r="5" spans="2:12" ht="15.75">
      <c r="B5" s="1"/>
      <c r="C5" s="1"/>
      <c r="D5" s="1"/>
      <c r="E5" s="1"/>
      <c r="F5" s="1"/>
      <c r="G5" s="1"/>
      <c r="H5" s="1"/>
      <c r="I5" s="3" t="s">
        <v>23</v>
      </c>
      <c r="J5" s="3" t="s">
        <v>24</v>
      </c>
      <c r="K5" s="3"/>
      <c r="L5" s="3" t="s">
        <v>23</v>
      </c>
    </row>
    <row r="6" spans="2:12" ht="15.75">
      <c r="B6" s="1"/>
      <c r="C6" s="1"/>
      <c r="D6" s="1"/>
      <c r="E6" s="1"/>
      <c r="F6" s="1"/>
      <c r="G6" s="1"/>
      <c r="H6" s="9"/>
      <c r="I6" s="3" t="s">
        <v>25</v>
      </c>
      <c r="J6" s="3" t="s">
        <v>240</v>
      </c>
      <c r="K6" s="3"/>
      <c r="L6" s="3" t="s">
        <v>25</v>
      </c>
    </row>
    <row r="7" spans="2:15" ht="15.75" customHeight="1">
      <c r="B7" s="1"/>
      <c r="C7" s="1"/>
      <c r="D7" s="1"/>
      <c r="E7" s="1"/>
      <c r="F7" s="1"/>
      <c r="G7" s="1"/>
      <c r="H7" s="9"/>
      <c r="I7" s="3" t="s">
        <v>26</v>
      </c>
      <c r="J7" s="541" t="s">
        <v>609</v>
      </c>
      <c r="K7" s="585"/>
      <c r="L7" s="183"/>
      <c r="M7" s="183"/>
      <c r="N7" s="183"/>
      <c r="O7" s="183"/>
    </row>
    <row r="8" spans="2:12" ht="15.75">
      <c r="B8" s="1"/>
      <c r="C8" s="1"/>
      <c r="D8" s="1"/>
      <c r="E8" s="1"/>
      <c r="F8" s="1"/>
      <c r="G8" s="1"/>
      <c r="H8" s="1"/>
      <c r="I8" s="1"/>
      <c r="J8" s="1" t="s">
        <v>629</v>
      </c>
      <c r="K8" s="1"/>
      <c r="L8" s="1"/>
    </row>
    <row r="9" spans="2:12" ht="35.25" customHeight="1">
      <c r="B9" s="547" t="s">
        <v>545</v>
      </c>
      <c r="C9" s="547"/>
      <c r="D9" s="547"/>
      <c r="E9" s="547"/>
      <c r="F9" s="547"/>
      <c r="G9" s="547"/>
      <c r="H9" s="547"/>
      <c r="I9" s="547"/>
      <c r="J9" s="547"/>
      <c r="K9" s="547"/>
      <c r="L9" s="1"/>
    </row>
    <row r="10" spans="2:12" ht="15.75">
      <c r="B10" s="1"/>
      <c r="C10" s="1"/>
      <c r="D10" s="590"/>
      <c r="E10" s="590"/>
      <c r="F10" s="590"/>
      <c r="G10" s="590"/>
      <c r="H10" s="590"/>
      <c r="I10" s="1"/>
      <c r="J10" s="1"/>
      <c r="K10" s="46" t="s">
        <v>546</v>
      </c>
      <c r="L10" s="1"/>
    </row>
    <row r="11" spans="1:12" ht="15.75" customHeight="1">
      <c r="A11" s="591" t="s">
        <v>33</v>
      </c>
      <c r="B11" s="591" t="s">
        <v>12</v>
      </c>
      <c r="C11" s="591" t="s">
        <v>13</v>
      </c>
      <c r="D11" s="591" t="s">
        <v>505</v>
      </c>
      <c r="E11" s="594" t="s">
        <v>9</v>
      </c>
      <c r="F11" s="594"/>
      <c r="G11" s="594"/>
      <c r="H11" s="594"/>
      <c r="I11" s="594"/>
      <c r="J11" s="595"/>
      <c r="K11" s="597" t="s">
        <v>15</v>
      </c>
      <c r="L11" s="1"/>
    </row>
    <row r="12" spans="1:12" ht="15.75">
      <c r="A12" s="592"/>
      <c r="B12" s="592"/>
      <c r="C12" s="592"/>
      <c r="D12" s="592"/>
      <c r="E12" s="591" t="s">
        <v>535</v>
      </c>
      <c r="F12" s="591" t="s">
        <v>537</v>
      </c>
      <c r="G12" s="591" t="s">
        <v>28</v>
      </c>
      <c r="H12" s="591" t="s">
        <v>29</v>
      </c>
      <c r="I12" s="591" t="s">
        <v>30</v>
      </c>
      <c r="J12" s="597" t="s">
        <v>544</v>
      </c>
      <c r="K12" s="597"/>
      <c r="L12" s="1"/>
    </row>
    <row r="13" spans="1:12" ht="15.75">
      <c r="A13" s="593"/>
      <c r="B13" s="593"/>
      <c r="C13" s="593"/>
      <c r="D13" s="593"/>
      <c r="E13" s="593"/>
      <c r="F13" s="593"/>
      <c r="G13" s="593"/>
      <c r="H13" s="593"/>
      <c r="I13" s="593"/>
      <c r="J13" s="597"/>
      <c r="K13" s="597"/>
      <c r="L13" s="1"/>
    </row>
    <row r="14" spans="1:12" ht="63">
      <c r="A14" s="47">
        <v>1</v>
      </c>
      <c r="B14" s="185" t="s">
        <v>276</v>
      </c>
      <c r="C14" s="185" t="s">
        <v>16</v>
      </c>
      <c r="D14" s="186">
        <f>E14+F14+J14</f>
        <v>3600</v>
      </c>
      <c r="E14" s="187">
        <v>1000</v>
      </c>
      <c r="F14" s="188">
        <v>1200</v>
      </c>
      <c r="G14" s="189"/>
      <c r="H14" s="189"/>
      <c r="I14" s="189"/>
      <c r="J14" s="189">
        <v>1400</v>
      </c>
      <c r="K14" s="185" t="s">
        <v>224</v>
      </c>
      <c r="L14" s="1"/>
    </row>
    <row r="15" spans="1:14" ht="47.25" hidden="1">
      <c r="A15" s="47">
        <v>2</v>
      </c>
      <c r="B15" s="190" t="s">
        <v>59</v>
      </c>
      <c r="C15" s="185" t="s">
        <v>16</v>
      </c>
      <c r="D15" s="186">
        <f>SUM(E15:J15)</f>
        <v>0</v>
      </c>
      <c r="E15" s="191">
        <v>0</v>
      </c>
      <c r="F15" s="189"/>
      <c r="G15" s="189"/>
      <c r="H15" s="189"/>
      <c r="I15" s="189"/>
      <c r="J15" s="189"/>
      <c r="K15" s="185" t="s">
        <v>51</v>
      </c>
      <c r="L15" s="1"/>
      <c r="N15" s="192">
        <v>441</v>
      </c>
    </row>
    <row r="16" spans="1:14" ht="54" customHeight="1" hidden="1">
      <c r="A16" s="47">
        <v>3</v>
      </c>
      <c r="B16" s="193" t="s">
        <v>60</v>
      </c>
      <c r="C16" s="194" t="s">
        <v>16</v>
      </c>
      <c r="D16" s="195">
        <f>SUM(E16:J16)</f>
        <v>0</v>
      </c>
      <c r="E16" s="196">
        <v>0</v>
      </c>
      <c r="F16" s="189"/>
      <c r="G16" s="189"/>
      <c r="H16" s="189"/>
      <c r="I16" s="189"/>
      <c r="J16" s="189"/>
      <c r="K16" s="185" t="s">
        <v>94</v>
      </c>
      <c r="L16" s="1"/>
      <c r="N16" s="192"/>
    </row>
    <row r="17" spans="1:12" ht="32.25" customHeight="1">
      <c r="A17" s="197"/>
      <c r="B17" s="184" t="s">
        <v>5</v>
      </c>
      <c r="C17" s="198"/>
      <c r="D17" s="186">
        <f>D14</f>
        <v>3600</v>
      </c>
      <c r="E17" s="186">
        <f aca="true" t="shared" si="0" ref="E17:J17">E14</f>
        <v>1000</v>
      </c>
      <c r="F17" s="186">
        <f t="shared" si="0"/>
        <v>1200</v>
      </c>
      <c r="G17" s="186">
        <f t="shared" si="0"/>
        <v>0</v>
      </c>
      <c r="H17" s="186">
        <f t="shared" si="0"/>
        <v>0</v>
      </c>
      <c r="I17" s="186">
        <f t="shared" si="0"/>
        <v>0</v>
      </c>
      <c r="J17" s="186">
        <f t="shared" si="0"/>
        <v>1400</v>
      </c>
      <c r="K17" s="199"/>
      <c r="L17" s="1"/>
    </row>
    <row r="18" spans="2:12" ht="15.75">
      <c r="B18" s="4"/>
      <c r="C18" s="4"/>
      <c r="D18" s="6"/>
      <c r="E18" s="6"/>
      <c r="F18" s="6"/>
      <c r="G18" s="6"/>
      <c r="H18" s="6"/>
      <c r="I18" s="6"/>
      <c r="J18" s="6"/>
      <c r="K18" s="42"/>
      <c r="L18" s="1"/>
    </row>
    <row r="19" spans="2:12" ht="15.75" hidden="1">
      <c r="B19" s="4"/>
      <c r="C19" s="4"/>
      <c r="D19" s="6"/>
      <c r="E19" s="6"/>
      <c r="F19" s="6"/>
      <c r="G19" s="6"/>
      <c r="H19" s="6"/>
      <c r="I19" s="6"/>
      <c r="J19" s="6"/>
      <c r="K19" s="42"/>
      <c r="L19" s="1"/>
    </row>
    <row r="20" spans="2:12" ht="18.75">
      <c r="B20" s="159"/>
      <c r="C20" s="160"/>
      <c r="E20" s="6"/>
      <c r="F20" s="6"/>
      <c r="G20" s="6"/>
      <c r="H20" s="6"/>
      <c r="I20" s="6"/>
      <c r="J20" s="6"/>
      <c r="K20" s="160"/>
      <c r="L20" s="1"/>
    </row>
    <row r="21" spans="2:12" ht="48" customHeight="1">
      <c r="B21" s="589" t="s">
        <v>18</v>
      </c>
      <c r="C21" s="589"/>
      <c r="D21" s="423"/>
      <c r="E21" s="8"/>
      <c r="F21" s="8"/>
      <c r="G21" s="9"/>
      <c r="H21" s="9"/>
      <c r="I21" s="9"/>
      <c r="J21" s="48"/>
      <c r="K21" s="484" t="s">
        <v>7</v>
      </c>
      <c r="L21" s="48"/>
    </row>
    <row r="22" spans="2:12" ht="9.75" customHeight="1">
      <c r="B22" s="154"/>
      <c r="C22" s="154"/>
      <c r="D22" s="11"/>
      <c r="E22" s="8"/>
      <c r="F22" s="8"/>
      <c r="J22" s="48"/>
      <c r="K22" s="200"/>
      <c r="L22" s="48"/>
    </row>
    <row r="23" spans="2:12" ht="12.75" customHeight="1">
      <c r="B23" s="154"/>
      <c r="C23" s="154"/>
      <c r="D23" s="11"/>
      <c r="E23" s="8"/>
      <c r="F23" s="8"/>
      <c r="J23" s="48"/>
      <c r="K23" s="200"/>
      <c r="L23" s="48"/>
    </row>
    <row r="24" spans="2:11" ht="18.75">
      <c r="B24" s="596" t="s">
        <v>602</v>
      </c>
      <c r="C24" s="596"/>
      <c r="D24" s="49"/>
      <c r="E24" s="7"/>
      <c r="F24" s="7"/>
      <c r="G24" s="7"/>
      <c r="H24" s="7"/>
      <c r="I24" s="7"/>
      <c r="J24" s="1"/>
      <c r="K24" s="1"/>
    </row>
    <row r="25" spans="2:13" ht="15.75">
      <c r="B25" s="50" t="s">
        <v>10</v>
      </c>
      <c r="C25" s="50"/>
      <c r="D25" s="7"/>
      <c r="E25" s="7"/>
      <c r="F25" s="7"/>
      <c r="G25" s="7"/>
      <c r="H25" s="7"/>
      <c r="I25" s="7"/>
      <c r="J25" s="1"/>
      <c r="K25" s="1"/>
      <c r="M25" s="3"/>
    </row>
    <row r="26" spans="2:11" ht="15.75">
      <c r="B26" s="43"/>
      <c r="C26" s="10"/>
      <c r="D26" s="44"/>
      <c r="E26" s="7"/>
      <c r="F26" s="7"/>
      <c r="G26" s="7"/>
      <c r="H26" s="7"/>
      <c r="I26" s="7"/>
      <c r="J26" s="1"/>
      <c r="K26" s="1"/>
    </row>
    <row r="27" spans="3:10" ht="15.75">
      <c r="C27" s="44"/>
      <c r="D27" s="7"/>
      <c r="E27" s="7"/>
      <c r="F27" s="7"/>
      <c r="G27" s="7"/>
      <c r="H27" s="7"/>
      <c r="I27" s="7"/>
      <c r="J27" s="7"/>
    </row>
    <row r="28" spans="3:10" ht="15.75">
      <c r="C28" s="45"/>
      <c r="D28" s="7"/>
      <c r="E28" s="7"/>
      <c r="F28" s="7"/>
      <c r="G28" s="7"/>
      <c r="H28" s="7"/>
      <c r="I28" s="7"/>
      <c r="J28" s="7"/>
    </row>
    <row r="30" ht="12.75">
      <c r="H30" s="5"/>
    </row>
  </sheetData>
  <sheetProtection/>
  <mergeCells count="19">
    <mergeCell ref="B21:C21"/>
    <mergeCell ref="B24:C24"/>
    <mergeCell ref="K11:K13"/>
    <mergeCell ref="E12:E13"/>
    <mergeCell ref="F12:F13"/>
    <mergeCell ref="G12:G13"/>
    <mergeCell ref="H12:H13"/>
    <mergeCell ref="I12:I13"/>
    <mergeCell ref="J12:J13"/>
    <mergeCell ref="J1:K1"/>
    <mergeCell ref="J2:K2"/>
    <mergeCell ref="J7:K7"/>
    <mergeCell ref="B9:K9"/>
    <mergeCell ref="D10:H10"/>
    <mergeCell ref="A11:A13"/>
    <mergeCell ref="B11:B13"/>
    <mergeCell ref="C11:C13"/>
    <mergeCell ref="D11:D13"/>
    <mergeCell ref="E11:J11"/>
  </mergeCells>
  <printOptions horizontalCentered="1"/>
  <pageMargins left="0" right="0" top="1.1811023622047245" bottom="0" header="0" footer="0"/>
  <pageSetup fitToHeight="1" fitToWidth="1" horizontalDpi="600" verticalDpi="600" orientation="landscape" paperSize="9" scale="94" r:id="rId1"/>
</worksheet>
</file>

<file path=xl/worksheets/sheet12.xml><?xml version="1.0" encoding="utf-8"?>
<worksheet xmlns="http://schemas.openxmlformats.org/spreadsheetml/2006/main" xmlns:r="http://schemas.openxmlformats.org/officeDocument/2006/relationships">
  <sheetPr>
    <tabColor rgb="FFFFFF00"/>
    <pageSetUpPr fitToPage="1"/>
  </sheetPr>
  <dimension ref="A1:O29"/>
  <sheetViews>
    <sheetView view="pageBreakPreview" zoomScale="78" zoomScaleSheetLayoutView="78" zoomScalePageLayoutView="0" workbookViewId="0" topLeftCell="A1">
      <selection activeCell="B9" sqref="B9:K9"/>
    </sheetView>
  </sheetViews>
  <sheetFormatPr defaultColWidth="9.140625" defaultRowHeight="12.75"/>
  <cols>
    <col min="1" max="1" width="4.140625" style="14" customWidth="1"/>
    <col min="2" max="2" width="54.00390625" style="14" customWidth="1"/>
    <col min="3" max="3" width="23.00390625" style="14" customWidth="1"/>
    <col min="4" max="4" width="23.8515625" style="14" customWidth="1"/>
    <col min="5" max="5" width="14.421875" style="14" customWidth="1"/>
    <col min="6" max="6" width="15.00390625" style="14" customWidth="1"/>
    <col min="7" max="8" width="11.57421875" style="14" hidden="1" customWidth="1"/>
    <col min="9" max="9" width="12.57421875" style="14" hidden="1" customWidth="1"/>
    <col min="10" max="10" width="14.57421875" style="14" customWidth="1"/>
    <col min="11" max="11" width="49.140625" style="14" customWidth="1"/>
    <col min="12" max="13" width="9.140625" style="14" hidden="1" customWidth="1"/>
    <col min="14" max="14" width="9.8515625" style="14" hidden="1" customWidth="1"/>
    <col min="15" max="15" width="10.140625" style="14" customWidth="1"/>
    <col min="16" max="16384" width="9.140625" style="14" customWidth="1"/>
  </cols>
  <sheetData>
    <row r="1" spans="2:12" ht="18.75">
      <c r="B1" s="15"/>
      <c r="C1" s="15"/>
      <c r="D1" s="15"/>
      <c r="E1" s="15"/>
      <c r="F1" s="15"/>
      <c r="G1" s="15"/>
      <c r="H1" s="15"/>
      <c r="I1" s="13" t="s">
        <v>19</v>
      </c>
      <c r="J1" s="599" t="s">
        <v>381</v>
      </c>
      <c r="K1" s="599"/>
      <c r="L1" s="13" t="s">
        <v>19</v>
      </c>
    </row>
    <row r="2" spans="2:12" ht="18.75">
      <c r="B2" s="15"/>
      <c r="C2" s="15"/>
      <c r="D2" s="15"/>
      <c r="E2" s="15"/>
      <c r="F2" s="15"/>
      <c r="G2" s="15"/>
      <c r="H2" s="15"/>
      <c r="I2" s="12" t="s">
        <v>11</v>
      </c>
      <c r="J2" s="531" t="s">
        <v>11</v>
      </c>
      <c r="K2" s="531"/>
      <c r="L2" s="12" t="s">
        <v>11</v>
      </c>
    </row>
    <row r="3" spans="2:12" ht="18.75">
      <c r="B3" s="15"/>
      <c r="C3" s="15"/>
      <c r="D3" s="15"/>
      <c r="E3" s="15"/>
      <c r="F3" s="15"/>
      <c r="G3" s="15"/>
      <c r="H3" s="15"/>
      <c r="I3" s="12" t="s">
        <v>20</v>
      </c>
      <c r="J3" s="59" t="s">
        <v>173</v>
      </c>
      <c r="K3" s="59"/>
      <c r="L3" s="12" t="s">
        <v>20</v>
      </c>
    </row>
    <row r="4" spans="2:12" ht="18.75">
      <c r="B4" s="15"/>
      <c r="C4" s="15"/>
      <c r="D4" s="15"/>
      <c r="E4" s="15"/>
      <c r="F4" s="15"/>
      <c r="G4" s="15"/>
      <c r="H4" s="15"/>
      <c r="I4" s="12" t="s">
        <v>21</v>
      </c>
      <c r="J4" s="59" t="s">
        <v>22</v>
      </c>
      <c r="K4" s="59"/>
      <c r="L4" s="12" t="s">
        <v>21</v>
      </c>
    </row>
    <row r="5" spans="2:12" ht="18.75">
      <c r="B5" s="15"/>
      <c r="C5" s="15"/>
      <c r="D5" s="15"/>
      <c r="E5" s="15"/>
      <c r="F5" s="15"/>
      <c r="G5" s="15"/>
      <c r="H5" s="15"/>
      <c r="I5" s="12" t="s">
        <v>23</v>
      </c>
      <c r="J5" s="59" t="s">
        <v>24</v>
      </c>
      <c r="K5" s="59"/>
      <c r="L5" s="12" t="s">
        <v>23</v>
      </c>
    </row>
    <row r="6" spans="2:12" ht="18.75">
      <c r="B6" s="15"/>
      <c r="C6" s="15"/>
      <c r="D6" s="15"/>
      <c r="E6" s="15"/>
      <c r="F6" s="15"/>
      <c r="G6" s="15"/>
      <c r="H6" s="16"/>
      <c r="I6" s="12" t="s">
        <v>25</v>
      </c>
      <c r="J6" s="59" t="s">
        <v>240</v>
      </c>
      <c r="K6" s="59"/>
      <c r="L6" s="12" t="s">
        <v>25</v>
      </c>
    </row>
    <row r="7" spans="2:15" ht="15.75" customHeight="1">
      <c r="B7" s="15"/>
      <c r="C7" s="15"/>
      <c r="D7" s="15"/>
      <c r="E7" s="15"/>
      <c r="F7" s="15"/>
      <c r="G7" s="15"/>
      <c r="H7" s="16"/>
      <c r="I7" s="12" t="s">
        <v>26</v>
      </c>
      <c r="J7" s="532" t="s">
        <v>604</v>
      </c>
      <c r="K7" s="533"/>
      <c r="L7" s="17"/>
      <c r="M7" s="17"/>
      <c r="N7" s="17"/>
      <c r="O7" s="17"/>
    </row>
    <row r="8" spans="2:12" ht="15.75">
      <c r="B8" s="15"/>
      <c r="C8" s="15"/>
      <c r="D8" s="15"/>
      <c r="E8" s="15"/>
      <c r="F8" s="15"/>
      <c r="G8" s="15"/>
      <c r="H8" s="15"/>
      <c r="I8" s="15"/>
      <c r="J8" s="15" t="s">
        <v>632</v>
      </c>
      <c r="K8" s="15"/>
      <c r="L8" s="15"/>
    </row>
    <row r="9" spans="2:12" ht="42" customHeight="1">
      <c r="B9" s="537" t="s">
        <v>547</v>
      </c>
      <c r="C9" s="537"/>
      <c r="D9" s="537"/>
      <c r="E9" s="537"/>
      <c r="F9" s="537"/>
      <c r="G9" s="537"/>
      <c r="H9" s="537"/>
      <c r="I9" s="537"/>
      <c r="J9" s="537"/>
      <c r="K9" s="537"/>
      <c r="L9" s="15"/>
    </row>
    <row r="10" spans="2:12" ht="37.5" customHeight="1">
      <c r="B10" s="15"/>
      <c r="C10" s="15"/>
      <c r="D10" s="542"/>
      <c r="E10" s="542"/>
      <c r="F10" s="542"/>
      <c r="G10" s="542"/>
      <c r="H10" s="542"/>
      <c r="I10" s="15"/>
      <c r="J10" s="15"/>
      <c r="K10" s="485" t="s">
        <v>534</v>
      </c>
      <c r="L10" s="15"/>
    </row>
    <row r="11" spans="1:12" ht="15.75" customHeight="1">
      <c r="A11" s="534" t="s">
        <v>6</v>
      </c>
      <c r="B11" s="534" t="s">
        <v>12</v>
      </c>
      <c r="C11" s="534" t="s">
        <v>13</v>
      </c>
      <c r="D11" s="534" t="s">
        <v>505</v>
      </c>
      <c r="E11" s="543" t="s">
        <v>9</v>
      </c>
      <c r="F11" s="543"/>
      <c r="G11" s="543"/>
      <c r="H11" s="543"/>
      <c r="I11" s="543"/>
      <c r="J11" s="598"/>
      <c r="K11" s="539" t="s">
        <v>15</v>
      </c>
      <c r="L11" s="15"/>
    </row>
    <row r="12" spans="1:12" ht="15.75">
      <c r="A12" s="535"/>
      <c r="B12" s="535"/>
      <c r="C12" s="535"/>
      <c r="D12" s="535"/>
      <c r="E12" s="534" t="s">
        <v>535</v>
      </c>
      <c r="F12" s="534" t="s">
        <v>537</v>
      </c>
      <c r="G12" s="534" t="s">
        <v>28</v>
      </c>
      <c r="H12" s="534" t="s">
        <v>29</v>
      </c>
      <c r="I12" s="534" t="s">
        <v>30</v>
      </c>
      <c r="J12" s="539" t="s">
        <v>544</v>
      </c>
      <c r="K12" s="539"/>
      <c r="L12" s="15"/>
    </row>
    <row r="13" spans="1:12" ht="21.75" customHeight="1">
      <c r="A13" s="536"/>
      <c r="B13" s="536"/>
      <c r="C13" s="536"/>
      <c r="D13" s="536"/>
      <c r="E13" s="536"/>
      <c r="F13" s="536"/>
      <c r="G13" s="536"/>
      <c r="H13" s="536"/>
      <c r="I13" s="536"/>
      <c r="J13" s="539"/>
      <c r="K13" s="539"/>
      <c r="L13" s="15"/>
    </row>
    <row r="14" spans="1:12" ht="39" customHeight="1">
      <c r="A14" s="545">
        <v>1</v>
      </c>
      <c r="B14" s="545" t="s">
        <v>223</v>
      </c>
      <c r="C14" s="36" t="s">
        <v>16</v>
      </c>
      <c r="D14" s="62">
        <f>SUM(E14:J14)</f>
        <v>35865</v>
      </c>
      <c r="E14" s="63">
        <v>11780</v>
      </c>
      <c r="F14" s="64">
        <f>12000-15</f>
        <v>11985</v>
      </c>
      <c r="G14" s="63"/>
      <c r="H14" s="63"/>
      <c r="I14" s="63"/>
      <c r="J14" s="63">
        <v>12100</v>
      </c>
      <c r="K14" s="545" t="s">
        <v>32</v>
      </c>
      <c r="L14" s="15"/>
    </row>
    <row r="15" spans="1:12" ht="37.5">
      <c r="A15" s="546"/>
      <c r="B15" s="546"/>
      <c r="C15" s="268" t="s">
        <v>73</v>
      </c>
      <c r="D15" s="62">
        <f>SUM(E15:J15)</f>
        <v>0</v>
      </c>
      <c r="E15" s="63"/>
      <c r="F15" s="64"/>
      <c r="G15" s="63"/>
      <c r="H15" s="63"/>
      <c r="I15" s="63"/>
      <c r="J15" s="63"/>
      <c r="K15" s="546"/>
      <c r="L15" s="15"/>
    </row>
    <row r="16" spans="1:12" ht="37.5" customHeight="1">
      <c r="A16" s="545">
        <v>2</v>
      </c>
      <c r="B16" s="545" t="s">
        <v>455</v>
      </c>
      <c r="C16" s="268" t="s">
        <v>73</v>
      </c>
      <c r="D16" s="62">
        <f>SUM(E16:J16)</f>
        <v>19399</v>
      </c>
      <c r="E16" s="63">
        <f>0+5075</f>
        <v>5075</v>
      </c>
      <c r="F16" s="64">
        <f>6097+6401+20+500+636+670</f>
        <v>14324</v>
      </c>
      <c r="G16" s="63"/>
      <c r="H16" s="63"/>
      <c r="I16" s="63"/>
      <c r="J16" s="63"/>
      <c r="K16" s="545" t="s">
        <v>32</v>
      </c>
      <c r="L16" s="15"/>
    </row>
    <row r="17" spans="1:12" ht="18.75">
      <c r="A17" s="546"/>
      <c r="B17" s="546"/>
      <c r="C17" s="268" t="s">
        <v>16</v>
      </c>
      <c r="D17" s="62">
        <f>SUM(E17:J17)</f>
        <v>352.2</v>
      </c>
      <c r="E17" s="63">
        <f>0+152.2</f>
        <v>152.2</v>
      </c>
      <c r="F17" s="64">
        <f>185+15</f>
        <v>200</v>
      </c>
      <c r="G17" s="63"/>
      <c r="H17" s="63"/>
      <c r="I17" s="63"/>
      <c r="J17" s="63"/>
      <c r="K17" s="546"/>
      <c r="L17" s="15"/>
    </row>
    <row r="18" spans="1:12" ht="27.75" customHeight="1">
      <c r="A18" s="70"/>
      <c r="B18" s="60" t="s">
        <v>5</v>
      </c>
      <c r="C18" s="71"/>
      <c r="D18" s="62">
        <f>D15+D14+D16+D17</f>
        <v>55616.2</v>
      </c>
      <c r="E18" s="62">
        <f aca="true" t="shared" si="0" ref="E18:J18">E14+E16+E17</f>
        <v>17007.2</v>
      </c>
      <c r="F18" s="62">
        <f t="shared" si="0"/>
        <v>26509</v>
      </c>
      <c r="G18" s="62">
        <f t="shared" si="0"/>
        <v>0</v>
      </c>
      <c r="H18" s="62">
        <f t="shared" si="0"/>
        <v>0</v>
      </c>
      <c r="I18" s="62">
        <f t="shared" si="0"/>
        <v>0</v>
      </c>
      <c r="J18" s="62">
        <f t="shared" si="0"/>
        <v>12100</v>
      </c>
      <c r="K18" s="72"/>
      <c r="L18" s="15"/>
    </row>
    <row r="19" spans="1:12" ht="17.25" customHeight="1">
      <c r="A19" s="39"/>
      <c r="B19" s="18"/>
      <c r="C19" s="18"/>
      <c r="D19" s="40"/>
      <c r="E19" s="40"/>
      <c r="F19" s="40"/>
      <c r="G19" s="40"/>
      <c r="H19" s="40"/>
      <c r="I19" s="40"/>
      <c r="J19" s="40"/>
      <c r="K19" s="20"/>
      <c r="L19" s="15"/>
    </row>
    <row r="20" spans="1:12" ht="53.25" customHeight="1">
      <c r="A20" s="39"/>
      <c r="C20" s="18"/>
      <c r="D20" s="19"/>
      <c r="E20" s="19"/>
      <c r="F20" s="19"/>
      <c r="G20" s="19"/>
      <c r="H20" s="19"/>
      <c r="I20" s="19"/>
      <c r="J20" s="19"/>
      <c r="K20" s="20"/>
      <c r="L20" s="15"/>
    </row>
    <row r="21" spans="2:12" ht="36.75" customHeight="1">
      <c r="B21" s="413" t="s">
        <v>18</v>
      </c>
      <c r="C21" s="413"/>
      <c r="D21" s="413"/>
      <c r="E21" s="22"/>
      <c r="F21" s="22"/>
      <c r="G21" s="16"/>
      <c r="H21" s="16"/>
      <c r="I21" s="16"/>
      <c r="J21" s="23"/>
      <c r="K21" s="23" t="s">
        <v>31</v>
      </c>
      <c r="L21" s="23"/>
    </row>
    <row r="22" spans="2:12" ht="15" customHeight="1">
      <c r="B22" s="21"/>
      <c r="C22" s="21"/>
      <c r="D22" s="21"/>
      <c r="E22" s="22"/>
      <c r="F22" s="22"/>
      <c r="J22" s="23"/>
      <c r="K22" s="24"/>
      <c r="L22" s="23"/>
    </row>
    <row r="23" spans="2:11" ht="18.75">
      <c r="B23" s="453" t="s">
        <v>602</v>
      </c>
      <c r="C23" s="54"/>
      <c r="D23" s="25"/>
      <c r="E23" s="26"/>
      <c r="F23" s="26"/>
      <c r="G23" s="26"/>
      <c r="H23" s="26"/>
      <c r="I23" s="26"/>
      <c r="J23" s="15"/>
      <c r="K23" s="15"/>
    </row>
    <row r="24" spans="2:13" ht="15.75">
      <c r="B24" s="27" t="s">
        <v>10</v>
      </c>
      <c r="C24" s="27"/>
      <c r="D24" s="26"/>
      <c r="E24" s="26"/>
      <c r="F24" s="26"/>
      <c r="G24" s="26"/>
      <c r="H24" s="26"/>
      <c r="I24" s="26"/>
      <c r="J24" s="15"/>
      <c r="K24" s="15"/>
      <c r="M24" s="12"/>
    </row>
    <row r="25" spans="2:11" ht="15.75">
      <c r="B25" s="28"/>
      <c r="C25" s="29"/>
      <c r="D25" s="30"/>
      <c r="E25" s="26"/>
      <c r="F25" s="26"/>
      <c r="G25" s="26"/>
      <c r="H25" s="26"/>
      <c r="I25" s="26"/>
      <c r="J25" s="15"/>
      <c r="K25" s="15"/>
    </row>
    <row r="26" spans="3:10" ht="15.75">
      <c r="C26" s="30"/>
      <c r="D26" s="26"/>
      <c r="E26" s="26"/>
      <c r="F26" s="26"/>
      <c r="G26" s="26"/>
      <c r="H26" s="26"/>
      <c r="I26" s="26"/>
      <c r="J26" s="26"/>
    </row>
    <row r="27" spans="3:10" ht="15.75">
      <c r="C27" s="31"/>
      <c r="D27" s="26"/>
      <c r="E27" s="26"/>
      <c r="F27" s="26"/>
      <c r="G27" s="26"/>
      <c r="H27" s="26"/>
      <c r="I27" s="26"/>
      <c r="J27" s="26"/>
    </row>
    <row r="29" ht="12.75">
      <c r="H29" s="32"/>
    </row>
  </sheetData>
  <sheetProtection/>
  <mergeCells count="23">
    <mergeCell ref="J1:K1"/>
    <mergeCell ref="J2:K2"/>
    <mergeCell ref="J7:K7"/>
    <mergeCell ref="B9:K9"/>
    <mergeCell ref="K11:K13"/>
    <mergeCell ref="E12:E13"/>
    <mergeCell ref="F12:F13"/>
    <mergeCell ref="H12:H13"/>
    <mergeCell ref="I12:I13"/>
    <mergeCell ref="J12:J13"/>
    <mergeCell ref="B14:B15"/>
    <mergeCell ref="A14:A15"/>
    <mergeCell ref="K14:K15"/>
    <mergeCell ref="A16:A17"/>
    <mergeCell ref="B16:B17"/>
    <mergeCell ref="K16:K17"/>
    <mergeCell ref="G12:G13"/>
    <mergeCell ref="D10:H10"/>
    <mergeCell ref="A11:A13"/>
    <mergeCell ref="B11:B13"/>
    <mergeCell ref="C11:C13"/>
    <mergeCell ref="D11:D13"/>
    <mergeCell ref="E11:J11"/>
  </mergeCells>
  <printOptions horizontalCentered="1"/>
  <pageMargins left="0" right="0" top="1.1811023622047245" bottom="0" header="0" footer="0"/>
  <pageSetup fitToHeight="1" fitToWidth="1" horizontalDpi="600" verticalDpi="600" orientation="landscape" paperSize="9" scale="74" r:id="rId1"/>
</worksheet>
</file>

<file path=xl/worksheets/sheet13.xml><?xml version="1.0" encoding="utf-8"?>
<worksheet xmlns="http://schemas.openxmlformats.org/spreadsheetml/2006/main" xmlns:r="http://schemas.openxmlformats.org/officeDocument/2006/relationships">
  <sheetPr>
    <tabColor rgb="FFFFFF00"/>
    <pageSetUpPr fitToPage="1"/>
  </sheetPr>
  <dimension ref="A1:K40"/>
  <sheetViews>
    <sheetView view="pageBreakPreview" zoomScale="82" zoomScaleSheetLayoutView="82" zoomScalePageLayoutView="0" workbookViewId="0" topLeftCell="A1">
      <selection activeCell="B9" sqref="B9:K9"/>
    </sheetView>
  </sheetViews>
  <sheetFormatPr defaultColWidth="9.140625" defaultRowHeight="12.75"/>
  <cols>
    <col min="1" max="1" width="5.57421875" style="14" customWidth="1"/>
    <col min="2" max="2" width="50.00390625" style="14" bestFit="1" customWidth="1"/>
    <col min="3" max="3" width="20.00390625" style="14" customWidth="1"/>
    <col min="4" max="4" width="19.57421875" style="14" customWidth="1"/>
    <col min="5" max="5" width="17.00390625" style="14" customWidth="1"/>
    <col min="6" max="6" width="17.8515625" style="14" customWidth="1"/>
    <col min="7" max="8" width="11.57421875" style="14" hidden="1" customWidth="1"/>
    <col min="9" max="9" width="12.57421875" style="14" hidden="1" customWidth="1"/>
    <col min="10" max="10" width="13.57421875" style="14" customWidth="1"/>
    <col min="11" max="11" width="43.28125" style="14" customWidth="1"/>
    <col min="12" max="16384" width="9.140625" style="14" customWidth="1"/>
  </cols>
  <sheetData>
    <row r="1" spans="2:11" ht="18.75">
      <c r="B1" s="15"/>
      <c r="C1" s="15"/>
      <c r="D1" s="15"/>
      <c r="E1" s="15"/>
      <c r="F1" s="15"/>
      <c r="G1" s="15"/>
      <c r="H1" s="15"/>
      <c r="I1" s="13" t="s">
        <v>19</v>
      </c>
      <c r="J1" s="531" t="s">
        <v>570</v>
      </c>
      <c r="K1" s="531"/>
    </row>
    <row r="2" spans="2:11" ht="18.75">
      <c r="B2" s="15"/>
      <c r="C2" s="15"/>
      <c r="D2" s="15"/>
      <c r="E2" s="15"/>
      <c r="F2" s="15"/>
      <c r="G2" s="15"/>
      <c r="H2" s="15"/>
      <c r="I2" s="12" t="s">
        <v>11</v>
      </c>
      <c r="J2" s="531" t="s">
        <v>11</v>
      </c>
      <c r="K2" s="531"/>
    </row>
    <row r="3" spans="2:11" ht="18.75">
      <c r="B3" s="15"/>
      <c r="C3" s="15"/>
      <c r="D3" s="15"/>
      <c r="E3" s="15"/>
      <c r="F3" s="15"/>
      <c r="G3" s="15"/>
      <c r="H3" s="15"/>
      <c r="I3" s="12" t="s">
        <v>20</v>
      </c>
      <c r="J3" s="59" t="s">
        <v>173</v>
      </c>
      <c r="K3" s="59"/>
    </row>
    <row r="4" spans="2:11" ht="18.75">
      <c r="B4" s="15"/>
      <c r="C4" s="15"/>
      <c r="D4" s="15"/>
      <c r="E4" s="15"/>
      <c r="F4" s="15"/>
      <c r="G4" s="15"/>
      <c r="H4" s="15"/>
      <c r="I4" s="12" t="s">
        <v>21</v>
      </c>
      <c r="J4" s="59" t="s">
        <v>22</v>
      </c>
      <c r="K4" s="59"/>
    </row>
    <row r="5" spans="2:11" ht="18.75">
      <c r="B5" s="15"/>
      <c r="C5" s="15"/>
      <c r="D5" s="15"/>
      <c r="E5" s="15"/>
      <c r="F5" s="15"/>
      <c r="G5" s="15"/>
      <c r="H5" s="15"/>
      <c r="I5" s="12" t="s">
        <v>23</v>
      </c>
      <c r="J5" s="59" t="s">
        <v>46</v>
      </c>
      <c r="K5" s="59"/>
    </row>
    <row r="6" spans="2:11" ht="18.75">
      <c r="B6" s="15"/>
      <c r="C6" s="15"/>
      <c r="D6" s="15"/>
      <c r="E6" s="15"/>
      <c r="F6" s="15"/>
      <c r="G6" s="15"/>
      <c r="H6" s="16"/>
      <c r="I6" s="12" t="s">
        <v>25</v>
      </c>
      <c r="J6" s="59" t="s">
        <v>242</v>
      </c>
      <c r="K6" s="59"/>
    </row>
    <row r="7" spans="2:11" ht="15.75" customHeight="1">
      <c r="B7" s="15"/>
      <c r="C7" s="15"/>
      <c r="D7" s="15"/>
      <c r="E7" s="15"/>
      <c r="F7" s="15"/>
      <c r="G7" s="15"/>
      <c r="H7" s="16"/>
      <c r="I7" s="12" t="s">
        <v>26</v>
      </c>
      <c r="J7" s="532" t="s">
        <v>604</v>
      </c>
      <c r="K7" s="533"/>
    </row>
    <row r="8" spans="2:11" ht="15.75">
      <c r="B8" s="15"/>
      <c r="C8" s="15"/>
      <c r="D8" s="15"/>
      <c r="E8" s="15"/>
      <c r="F8" s="15"/>
      <c r="G8" s="15"/>
      <c r="H8" s="15"/>
      <c r="I8" s="15"/>
      <c r="J8" s="15" t="s">
        <v>626</v>
      </c>
      <c r="K8" s="15"/>
    </row>
    <row r="9" spans="2:11" ht="18.75">
      <c r="B9" s="537" t="s">
        <v>548</v>
      </c>
      <c r="C9" s="537"/>
      <c r="D9" s="537"/>
      <c r="E9" s="537"/>
      <c r="F9" s="537"/>
      <c r="G9" s="537"/>
      <c r="H9" s="537"/>
      <c r="I9" s="537"/>
      <c r="J9" s="537"/>
      <c r="K9" s="537"/>
    </row>
    <row r="10" spans="2:11" ht="18.75">
      <c r="B10" s="15"/>
      <c r="C10" s="15"/>
      <c r="D10" s="542"/>
      <c r="E10" s="542"/>
      <c r="F10" s="542"/>
      <c r="G10" s="542"/>
      <c r="H10" s="542"/>
      <c r="I10" s="15"/>
      <c r="J10" s="15"/>
      <c r="K10" s="485" t="s">
        <v>534</v>
      </c>
    </row>
    <row r="11" spans="1:11" ht="18.75">
      <c r="A11" s="607" t="s">
        <v>6</v>
      </c>
      <c r="B11" s="534" t="s">
        <v>12</v>
      </c>
      <c r="C11" s="534" t="s">
        <v>13</v>
      </c>
      <c r="D11" s="534" t="s">
        <v>549</v>
      </c>
      <c r="E11" s="543" t="s">
        <v>9</v>
      </c>
      <c r="F11" s="543"/>
      <c r="G11" s="543"/>
      <c r="H11" s="543"/>
      <c r="I11" s="543"/>
      <c r="J11" s="598"/>
      <c r="K11" s="539" t="s">
        <v>15</v>
      </c>
    </row>
    <row r="12" spans="1:11" ht="17.25" customHeight="1">
      <c r="A12" s="608"/>
      <c r="B12" s="535"/>
      <c r="C12" s="535"/>
      <c r="D12" s="535"/>
      <c r="E12" s="534" t="s">
        <v>538</v>
      </c>
      <c r="F12" s="534" t="s">
        <v>550</v>
      </c>
      <c r="G12" s="534" t="s">
        <v>28</v>
      </c>
      <c r="H12" s="534" t="s">
        <v>29</v>
      </c>
      <c r="I12" s="534" t="s">
        <v>30</v>
      </c>
      <c r="J12" s="539" t="s">
        <v>508</v>
      </c>
      <c r="K12" s="539"/>
    </row>
    <row r="13" spans="1:11" ht="27" customHeight="1">
      <c r="A13" s="609"/>
      <c r="B13" s="536"/>
      <c r="C13" s="536"/>
      <c r="D13" s="536"/>
      <c r="E13" s="536"/>
      <c r="F13" s="536"/>
      <c r="G13" s="536"/>
      <c r="H13" s="536"/>
      <c r="I13" s="536"/>
      <c r="J13" s="539"/>
      <c r="K13" s="539"/>
    </row>
    <row r="14" spans="1:11" ht="40.5" customHeight="1">
      <c r="A14" s="319"/>
      <c r="B14" s="316" t="s">
        <v>303</v>
      </c>
      <c r="C14" s="317"/>
      <c r="D14" s="331">
        <f>SUM(E14:J14)</f>
        <v>169989.5</v>
      </c>
      <c r="E14" s="331">
        <f>45960+1522+245.7+8354+675.6</f>
        <v>56757.299999999996</v>
      </c>
      <c r="F14" s="331">
        <f>48000+742.6+5339.3+4663.3+4487</f>
        <v>63232.200000000004</v>
      </c>
      <c r="G14" s="331"/>
      <c r="H14" s="331"/>
      <c r="I14" s="331"/>
      <c r="J14" s="331">
        <v>50000</v>
      </c>
      <c r="K14" s="315"/>
    </row>
    <row r="15" spans="1:11" ht="56.25">
      <c r="A15" s="406" t="s">
        <v>304</v>
      </c>
      <c r="B15" s="329" t="s">
        <v>305</v>
      </c>
      <c r="C15" s="258" t="s">
        <v>16</v>
      </c>
      <c r="D15" s="265">
        <v>143800</v>
      </c>
      <c r="E15" s="64">
        <f>45000+800</f>
        <v>45800</v>
      </c>
      <c r="F15" s="135">
        <f>48000+742.6</f>
        <v>48742.6</v>
      </c>
      <c r="G15" s="135"/>
      <c r="H15" s="135"/>
      <c r="I15" s="135"/>
      <c r="J15" s="135">
        <v>50000</v>
      </c>
      <c r="K15" s="329" t="s">
        <v>44</v>
      </c>
    </row>
    <row r="16" spans="1:11" ht="75">
      <c r="A16" s="406" t="s">
        <v>317</v>
      </c>
      <c r="B16" s="330" t="s">
        <v>392</v>
      </c>
      <c r="C16" s="258" t="s">
        <v>73</v>
      </c>
      <c r="D16" s="265">
        <f aca="true" t="shared" si="0" ref="D16:D26">E16+F16+J16</f>
        <v>160</v>
      </c>
      <c r="E16" s="135">
        <f>160</f>
        <v>160</v>
      </c>
      <c r="F16" s="135">
        <v>0</v>
      </c>
      <c r="G16" s="135"/>
      <c r="H16" s="135"/>
      <c r="I16" s="135"/>
      <c r="J16" s="135">
        <v>0</v>
      </c>
      <c r="K16" s="329" t="s">
        <v>44</v>
      </c>
    </row>
    <row r="17" spans="1:11" ht="51.75" customHeight="1">
      <c r="A17" s="602" t="s">
        <v>319</v>
      </c>
      <c r="B17" s="610" t="s">
        <v>393</v>
      </c>
      <c r="C17" s="258" t="s">
        <v>73</v>
      </c>
      <c r="D17" s="265">
        <f t="shared" si="0"/>
        <v>548</v>
      </c>
      <c r="E17" s="135">
        <v>548</v>
      </c>
      <c r="F17" s="135">
        <v>0</v>
      </c>
      <c r="G17" s="135"/>
      <c r="H17" s="135"/>
      <c r="I17" s="135"/>
      <c r="J17" s="135">
        <v>0</v>
      </c>
      <c r="K17" s="600" t="s">
        <v>44</v>
      </c>
    </row>
    <row r="18" spans="1:11" ht="24" customHeight="1">
      <c r="A18" s="603"/>
      <c r="B18" s="611"/>
      <c r="C18" s="258" t="s">
        <v>16</v>
      </c>
      <c r="D18" s="265">
        <f t="shared" si="0"/>
        <v>16.5</v>
      </c>
      <c r="E18" s="135">
        <v>16.5</v>
      </c>
      <c r="F18" s="135">
        <v>0</v>
      </c>
      <c r="G18" s="135"/>
      <c r="H18" s="135"/>
      <c r="I18" s="135"/>
      <c r="J18" s="135">
        <v>0</v>
      </c>
      <c r="K18" s="601"/>
    </row>
    <row r="19" spans="1:11" ht="34.5" customHeight="1">
      <c r="A19" s="602" t="s">
        <v>320</v>
      </c>
      <c r="B19" s="604" t="s">
        <v>395</v>
      </c>
      <c r="C19" s="258" t="s">
        <v>73</v>
      </c>
      <c r="D19" s="265">
        <f t="shared" si="0"/>
        <v>389.2</v>
      </c>
      <c r="E19" s="135">
        <v>344</v>
      </c>
      <c r="F19" s="135">
        <v>45.2</v>
      </c>
      <c r="G19" s="135"/>
      <c r="H19" s="135"/>
      <c r="I19" s="135"/>
      <c r="J19" s="135">
        <v>0</v>
      </c>
      <c r="K19" s="600" t="s">
        <v>44</v>
      </c>
    </row>
    <row r="20" spans="1:11" ht="20.25" customHeight="1">
      <c r="A20" s="603"/>
      <c r="B20" s="605"/>
      <c r="C20" s="258" t="s">
        <v>16</v>
      </c>
      <c r="D20" s="265">
        <f t="shared" si="0"/>
        <v>233.9</v>
      </c>
      <c r="E20" s="135">
        <v>210.3</v>
      </c>
      <c r="F20" s="135">
        <v>23.6</v>
      </c>
      <c r="G20" s="135"/>
      <c r="H20" s="135"/>
      <c r="I20" s="135"/>
      <c r="J20" s="135">
        <v>0</v>
      </c>
      <c r="K20" s="601"/>
    </row>
    <row r="21" spans="1:11" ht="47.25" customHeight="1">
      <c r="A21" s="602" t="s">
        <v>322</v>
      </c>
      <c r="B21" s="604" t="s">
        <v>394</v>
      </c>
      <c r="C21" s="258" t="s">
        <v>73</v>
      </c>
      <c r="D21" s="265">
        <f t="shared" si="0"/>
        <v>1251.1</v>
      </c>
      <c r="E21" s="135">
        <v>630</v>
      </c>
      <c r="F21" s="135">
        <v>621.1</v>
      </c>
      <c r="G21" s="135"/>
      <c r="H21" s="135"/>
      <c r="I21" s="135"/>
      <c r="J21" s="135">
        <v>0</v>
      </c>
      <c r="K21" s="600" t="s">
        <v>44</v>
      </c>
    </row>
    <row r="22" spans="1:11" ht="24.75" customHeight="1">
      <c r="A22" s="603"/>
      <c r="B22" s="605"/>
      <c r="C22" s="258" t="s">
        <v>16</v>
      </c>
      <c r="D22" s="265">
        <f t="shared" si="0"/>
        <v>37.5</v>
      </c>
      <c r="E22" s="135">
        <v>18.9</v>
      </c>
      <c r="F22" s="135">
        <v>18.6</v>
      </c>
      <c r="G22" s="135"/>
      <c r="H22" s="135"/>
      <c r="I22" s="135"/>
      <c r="J22" s="135">
        <v>0</v>
      </c>
      <c r="K22" s="601"/>
    </row>
    <row r="23" spans="1:11" ht="44.25" customHeight="1">
      <c r="A23" s="602" t="s">
        <v>324</v>
      </c>
      <c r="B23" s="604" t="s">
        <v>454</v>
      </c>
      <c r="C23" s="258" t="s">
        <v>73</v>
      </c>
      <c r="D23" s="265">
        <f>E23+F23+J23</f>
        <v>23462.3</v>
      </c>
      <c r="E23" s="135">
        <f>0+8354</f>
        <v>8354</v>
      </c>
      <c r="F23" s="135">
        <f>4673+4663.3+4487+990+295</f>
        <v>15108.3</v>
      </c>
      <c r="G23" s="135"/>
      <c r="H23" s="135"/>
      <c r="I23" s="135"/>
      <c r="J23" s="135">
        <v>0</v>
      </c>
      <c r="K23" s="600" t="s">
        <v>44</v>
      </c>
    </row>
    <row r="24" spans="1:11" ht="33" customHeight="1">
      <c r="A24" s="603"/>
      <c r="B24" s="605"/>
      <c r="C24" s="258" t="s">
        <v>16</v>
      </c>
      <c r="D24" s="265">
        <f t="shared" si="0"/>
        <v>825.6</v>
      </c>
      <c r="E24" s="135">
        <f>0+675.6</f>
        <v>675.6</v>
      </c>
      <c r="F24" s="135">
        <v>150</v>
      </c>
      <c r="G24" s="135"/>
      <c r="H24" s="135"/>
      <c r="I24" s="135"/>
      <c r="J24" s="135">
        <v>0</v>
      </c>
      <c r="K24" s="601"/>
    </row>
    <row r="25" spans="1:11" ht="56.25">
      <c r="A25" s="328">
        <v>2</v>
      </c>
      <c r="B25" s="181" t="s">
        <v>306</v>
      </c>
      <c r="C25" s="258" t="s">
        <v>16</v>
      </c>
      <c r="D25" s="265">
        <f t="shared" si="0"/>
        <v>42000</v>
      </c>
      <c r="E25" s="135">
        <v>15000</v>
      </c>
      <c r="F25" s="135">
        <v>14000</v>
      </c>
      <c r="G25" s="135"/>
      <c r="H25" s="135"/>
      <c r="I25" s="135"/>
      <c r="J25" s="135">
        <v>13000</v>
      </c>
      <c r="K25" s="258" t="s">
        <v>44</v>
      </c>
    </row>
    <row r="26" spans="1:11" ht="56.25">
      <c r="A26" s="328">
        <v>3</v>
      </c>
      <c r="B26" s="267" t="s">
        <v>307</v>
      </c>
      <c r="C26" s="258" t="s">
        <v>16</v>
      </c>
      <c r="D26" s="265">
        <f t="shared" si="0"/>
        <v>18000</v>
      </c>
      <c r="E26" s="135">
        <v>5000</v>
      </c>
      <c r="F26" s="135">
        <v>6000</v>
      </c>
      <c r="G26" s="135"/>
      <c r="H26" s="135"/>
      <c r="I26" s="135"/>
      <c r="J26" s="135">
        <v>7000</v>
      </c>
      <c r="K26" s="258" t="s">
        <v>88</v>
      </c>
    </row>
    <row r="27" spans="1:11" ht="18.75">
      <c r="A27" s="77"/>
      <c r="B27" s="60" t="s">
        <v>5</v>
      </c>
      <c r="C27" s="60"/>
      <c r="D27" s="62">
        <f>D26+D25+D14</f>
        <v>229989.5</v>
      </c>
      <c r="E27" s="62">
        <f aca="true" t="shared" si="1" ref="E27:J27">E26+E25+E14</f>
        <v>76757.29999999999</v>
      </c>
      <c r="F27" s="62">
        <f>F26+F25+F14</f>
        <v>83232.20000000001</v>
      </c>
      <c r="G27" s="62">
        <f t="shared" si="1"/>
        <v>0</v>
      </c>
      <c r="H27" s="62">
        <f t="shared" si="1"/>
        <v>0</v>
      </c>
      <c r="I27" s="62">
        <f t="shared" si="1"/>
        <v>0</v>
      </c>
      <c r="J27" s="62">
        <f t="shared" si="1"/>
        <v>70000</v>
      </c>
      <c r="K27" s="72"/>
    </row>
    <row r="28" spans="1:11" ht="18.75">
      <c r="A28" s="95"/>
      <c r="B28" s="150"/>
      <c r="C28" s="18"/>
      <c r="D28" s="19"/>
      <c r="E28" s="19"/>
      <c r="F28" s="19"/>
      <c r="G28" s="19"/>
      <c r="H28" s="19"/>
      <c r="I28" s="19"/>
      <c r="J28" s="19"/>
      <c r="K28" s="98"/>
    </row>
    <row r="29" spans="1:11" ht="0.75" customHeight="1">
      <c r="A29" s="95"/>
      <c r="B29" s="18"/>
      <c r="C29" s="18"/>
      <c r="D29" s="19"/>
      <c r="E29" s="19"/>
      <c r="F29" s="19"/>
      <c r="G29" s="19"/>
      <c r="H29" s="19"/>
      <c r="I29" s="19"/>
      <c r="J29" s="19"/>
      <c r="K29" s="103"/>
    </row>
    <row r="30" spans="1:11" ht="3" customHeight="1">
      <c r="A30" s="95"/>
      <c r="B30" s="18"/>
      <c r="C30" s="18"/>
      <c r="D30" s="19"/>
      <c r="E30" s="19"/>
      <c r="F30" s="19"/>
      <c r="G30" s="19"/>
      <c r="H30" s="19"/>
      <c r="I30" s="19"/>
      <c r="J30" s="19"/>
      <c r="K30" s="103"/>
    </row>
    <row r="31" spans="2:11" ht="18.75">
      <c r="B31" s="52"/>
      <c r="C31" s="53"/>
      <c r="E31" s="19"/>
      <c r="F31" s="19"/>
      <c r="G31" s="19"/>
      <c r="H31" s="19"/>
      <c r="I31" s="19"/>
      <c r="J31" s="19"/>
      <c r="K31" s="15"/>
    </row>
    <row r="32" spans="2:10" ht="35.25" customHeight="1">
      <c r="B32" s="418" t="s">
        <v>18</v>
      </c>
      <c r="C32" s="418"/>
      <c r="D32" s="95"/>
      <c r="E32" s="418"/>
      <c r="F32" s="606" t="s">
        <v>31</v>
      </c>
      <c r="G32" s="606"/>
      <c r="H32" s="606"/>
      <c r="I32" s="606"/>
      <c r="J32" s="606"/>
    </row>
    <row r="33" spans="2:10" ht="18.75">
      <c r="B33" s="418"/>
      <c r="C33" s="418"/>
      <c r="D33" s="95"/>
      <c r="E33" s="418"/>
      <c r="F33" s="419"/>
      <c r="G33" s="419"/>
      <c r="H33" s="419"/>
      <c r="I33" s="419"/>
      <c r="J33" s="419"/>
    </row>
    <row r="34" spans="2:10" ht="18.75">
      <c r="B34" s="100" t="s">
        <v>602</v>
      </c>
      <c r="C34" s="100"/>
      <c r="D34" s="95"/>
      <c r="E34" s="101"/>
      <c r="F34" s="102"/>
      <c r="G34" s="102"/>
      <c r="H34" s="102"/>
      <c r="I34" s="102"/>
      <c r="J34" s="102"/>
    </row>
    <row r="35" spans="2:10" ht="15.75">
      <c r="B35" s="104" t="s">
        <v>10</v>
      </c>
      <c r="C35" s="95"/>
      <c r="D35" s="104"/>
      <c r="E35" s="102"/>
      <c r="F35" s="102"/>
      <c r="G35" s="102"/>
      <c r="H35" s="102"/>
      <c r="I35" s="102"/>
      <c r="J35" s="102"/>
    </row>
    <row r="36" spans="2:10" ht="15.75">
      <c r="B36" s="28"/>
      <c r="C36" s="29"/>
      <c r="D36" s="30"/>
      <c r="E36" s="26"/>
      <c r="F36" s="26"/>
      <c r="G36" s="26"/>
      <c r="H36" s="26"/>
      <c r="I36" s="26"/>
      <c r="J36" s="15"/>
    </row>
    <row r="37" spans="3:10" ht="15.75">
      <c r="C37" s="30"/>
      <c r="D37" s="26"/>
      <c r="E37" s="26"/>
      <c r="F37" s="26"/>
      <c r="G37" s="26"/>
      <c r="H37" s="26"/>
      <c r="I37" s="26"/>
      <c r="J37" s="26"/>
    </row>
    <row r="38" spans="3:10" ht="15.75">
      <c r="C38" s="31"/>
      <c r="D38" s="26"/>
      <c r="E38" s="26"/>
      <c r="F38" s="26"/>
      <c r="G38" s="26"/>
      <c r="H38" s="26"/>
      <c r="I38" s="26"/>
      <c r="J38" s="26"/>
    </row>
    <row r="40" ht="12.75">
      <c r="H40" s="32"/>
    </row>
  </sheetData>
  <sheetProtection/>
  <mergeCells count="30">
    <mergeCell ref="F12:F13"/>
    <mergeCell ref="K21:K22"/>
    <mergeCell ref="A21:A22"/>
    <mergeCell ref="B21:B22"/>
    <mergeCell ref="A17:A18"/>
    <mergeCell ref="B17:B18"/>
    <mergeCell ref="K17:K18"/>
    <mergeCell ref="A19:A20"/>
    <mergeCell ref="B19:B20"/>
    <mergeCell ref="K19:K20"/>
    <mergeCell ref="G12:G13"/>
    <mergeCell ref="J1:K1"/>
    <mergeCell ref="J2:K2"/>
    <mergeCell ref="J7:K7"/>
    <mergeCell ref="B9:K9"/>
    <mergeCell ref="D10:H10"/>
    <mergeCell ref="I12:I13"/>
    <mergeCell ref="J12:J13"/>
    <mergeCell ref="K11:K13"/>
    <mergeCell ref="E12:E13"/>
    <mergeCell ref="K23:K24"/>
    <mergeCell ref="A23:A24"/>
    <mergeCell ref="B23:B24"/>
    <mergeCell ref="F32:J32"/>
    <mergeCell ref="B11:B13"/>
    <mergeCell ref="C11:C13"/>
    <mergeCell ref="D11:D13"/>
    <mergeCell ref="E11:J11"/>
    <mergeCell ref="H12:H13"/>
    <mergeCell ref="A11:A13"/>
  </mergeCells>
  <printOptions horizontalCentered="1"/>
  <pageMargins left="0" right="0" top="1.1811023622047245" bottom="0" header="0" footer="0"/>
  <pageSetup fitToHeight="1" fitToWidth="1" horizontalDpi="600" verticalDpi="600" orientation="landscape" paperSize="9" scale="53" r:id="rId1"/>
</worksheet>
</file>

<file path=xl/worksheets/sheet14.xml><?xml version="1.0" encoding="utf-8"?>
<worksheet xmlns="http://schemas.openxmlformats.org/spreadsheetml/2006/main" xmlns:r="http://schemas.openxmlformats.org/officeDocument/2006/relationships">
  <sheetPr>
    <tabColor rgb="FFFFFF00"/>
    <pageSetUpPr fitToPage="1"/>
  </sheetPr>
  <dimension ref="A1:O48"/>
  <sheetViews>
    <sheetView view="pageBreakPreview" zoomScale="80" zoomScaleSheetLayoutView="80" zoomScalePageLayoutView="0" workbookViewId="0" topLeftCell="A1">
      <selection activeCell="D36" sqref="D36"/>
    </sheetView>
  </sheetViews>
  <sheetFormatPr defaultColWidth="9.140625" defaultRowHeight="12.75"/>
  <cols>
    <col min="1" max="1" width="5.57421875" style="14" customWidth="1"/>
    <col min="2" max="2" width="53.57421875" style="14" customWidth="1"/>
    <col min="3" max="3" width="18.00390625" style="14" customWidth="1"/>
    <col min="4" max="5" width="19.00390625" style="14" customWidth="1"/>
    <col min="6" max="6" width="17.7109375" style="14" customWidth="1"/>
    <col min="7" max="8" width="11.57421875" style="14" hidden="1" customWidth="1"/>
    <col min="9" max="9" width="12.57421875" style="14" hidden="1" customWidth="1"/>
    <col min="10" max="10" width="17.421875" style="14" customWidth="1"/>
    <col min="11" max="11" width="53.00390625" style="14" customWidth="1"/>
    <col min="12" max="13" width="9.140625" style="14" hidden="1" customWidth="1"/>
    <col min="14" max="14" width="9.8515625" style="14" customWidth="1"/>
    <col min="15" max="15" width="10.140625" style="14" customWidth="1"/>
    <col min="16" max="16384" width="9.140625" style="14" customWidth="1"/>
  </cols>
  <sheetData>
    <row r="1" spans="2:12" ht="18.75">
      <c r="B1" s="15"/>
      <c r="C1" s="15"/>
      <c r="D1" s="15"/>
      <c r="E1" s="15"/>
      <c r="F1" s="15"/>
      <c r="G1" s="15"/>
      <c r="H1" s="15"/>
      <c r="I1" s="13" t="s">
        <v>19</v>
      </c>
      <c r="J1" s="599" t="s">
        <v>449</v>
      </c>
      <c r="K1" s="599"/>
      <c r="L1" s="13" t="s">
        <v>19</v>
      </c>
    </row>
    <row r="2" spans="2:12" ht="18.75">
      <c r="B2" s="15"/>
      <c r="C2" s="15"/>
      <c r="D2" s="15"/>
      <c r="E2" s="15"/>
      <c r="F2" s="15"/>
      <c r="G2" s="15"/>
      <c r="H2" s="15"/>
      <c r="I2" s="12" t="s">
        <v>11</v>
      </c>
      <c r="J2" s="531" t="s">
        <v>11</v>
      </c>
      <c r="K2" s="531"/>
      <c r="L2" s="12" t="s">
        <v>11</v>
      </c>
    </row>
    <row r="3" spans="2:12" ht="18.75">
      <c r="B3" s="15"/>
      <c r="C3" s="15"/>
      <c r="D3" s="15"/>
      <c r="E3" s="15"/>
      <c r="F3" s="15"/>
      <c r="G3" s="15"/>
      <c r="H3" s="15"/>
      <c r="I3" s="12" t="s">
        <v>20</v>
      </c>
      <c r="J3" s="59" t="s">
        <v>173</v>
      </c>
      <c r="K3" s="59"/>
      <c r="L3" s="12" t="s">
        <v>20</v>
      </c>
    </row>
    <row r="4" spans="2:12" ht="18.75">
      <c r="B4" s="15"/>
      <c r="C4" s="15"/>
      <c r="D4" s="15"/>
      <c r="E4" s="15"/>
      <c r="F4" s="15"/>
      <c r="G4" s="15"/>
      <c r="H4" s="15"/>
      <c r="I4" s="12" t="s">
        <v>21</v>
      </c>
      <c r="J4" s="59" t="s">
        <v>22</v>
      </c>
      <c r="K4" s="59"/>
      <c r="L4" s="12" t="s">
        <v>21</v>
      </c>
    </row>
    <row r="5" spans="2:12" ht="18.75">
      <c r="B5" s="15"/>
      <c r="C5" s="15"/>
      <c r="D5" s="15"/>
      <c r="E5" s="15"/>
      <c r="F5" s="15"/>
      <c r="G5" s="15"/>
      <c r="H5" s="15"/>
      <c r="I5" s="12" t="s">
        <v>23</v>
      </c>
      <c r="J5" s="59" t="s">
        <v>46</v>
      </c>
      <c r="K5" s="59"/>
      <c r="L5" s="12" t="s">
        <v>23</v>
      </c>
    </row>
    <row r="6" spans="2:12" ht="18.75">
      <c r="B6" s="15"/>
      <c r="C6" s="15"/>
      <c r="D6" s="15"/>
      <c r="E6" s="15"/>
      <c r="F6" s="15"/>
      <c r="G6" s="15"/>
      <c r="H6" s="16"/>
      <c r="I6" s="12" t="s">
        <v>25</v>
      </c>
      <c r="J6" s="59" t="s">
        <v>242</v>
      </c>
      <c r="K6" s="59"/>
      <c r="L6" s="12" t="s">
        <v>25</v>
      </c>
    </row>
    <row r="7" spans="2:15" ht="15.75" customHeight="1">
      <c r="B7" s="15"/>
      <c r="C7" s="15"/>
      <c r="D7" s="15"/>
      <c r="E7" s="15"/>
      <c r="F7" s="15"/>
      <c r="G7" s="15"/>
      <c r="H7" s="16"/>
      <c r="I7" s="12" t="s">
        <v>26</v>
      </c>
      <c r="J7" s="532" t="s">
        <v>604</v>
      </c>
      <c r="K7" s="533"/>
      <c r="L7" s="17"/>
      <c r="M7" s="17"/>
      <c r="N7" s="17"/>
      <c r="O7" s="17"/>
    </row>
    <row r="8" spans="2:12" ht="18.75">
      <c r="B8" s="15"/>
      <c r="C8" s="15"/>
      <c r="D8" s="15"/>
      <c r="E8" s="15"/>
      <c r="F8" s="15"/>
      <c r="G8" s="15"/>
      <c r="H8" s="15"/>
      <c r="I8" s="15"/>
      <c r="J8" s="396" t="s">
        <v>629</v>
      </c>
      <c r="K8" s="396"/>
      <c r="L8" s="15"/>
    </row>
    <row r="9" spans="2:12" ht="36" customHeight="1">
      <c r="B9" s="537" t="s">
        <v>633</v>
      </c>
      <c r="C9" s="537"/>
      <c r="D9" s="537"/>
      <c r="E9" s="537"/>
      <c r="F9" s="537"/>
      <c r="G9" s="537"/>
      <c r="H9" s="537"/>
      <c r="I9" s="537"/>
      <c r="J9" s="537"/>
      <c r="K9" s="537"/>
      <c r="L9" s="15"/>
    </row>
    <row r="10" spans="2:12" ht="18.75">
      <c r="B10" s="15"/>
      <c r="C10" s="15"/>
      <c r="D10" s="542"/>
      <c r="E10" s="542"/>
      <c r="F10" s="542"/>
      <c r="G10" s="542"/>
      <c r="H10" s="542"/>
      <c r="I10" s="15"/>
      <c r="J10" s="15"/>
      <c r="K10" s="485" t="s">
        <v>534</v>
      </c>
      <c r="L10" s="15"/>
    </row>
    <row r="11" spans="1:12" ht="15.75" customHeight="1">
      <c r="A11" s="607" t="s">
        <v>6</v>
      </c>
      <c r="B11" s="534" t="s">
        <v>12</v>
      </c>
      <c r="C11" s="534" t="s">
        <v>13</v>
      </c>
      <c r="D11" s="534" t="s">
        <v>551</v>
      </c>
      <c r="E11" s="543" t="s">
        <v>9</v>
      </c>
      <c r="F11" s="543"/>
      <c r="G11" s="543"/>
      <c r="H11" s="543"/>
      <c r="I11" s="543"/>
      <c r="J11" s="598"/>
      <c r="K11" s="539" t="s">
        <v>15</v>
      </c>
      <c r="L11" s="15"/>
    </row>
    <row r="12" spans="1:12" ht="15.75">
      <c r="A12" s="608"/>
      <c r="B12" s="535"/>
      <c r="C12" s="535"/>
      <c r="D12" s="535"/>
      <c r="E12" s="534" t="s">
        <v>552</v>
      </c>
      <c r="F12" s="534" t="s">
        <v>553</v>
      </c>
      <c r="G12" s="534" t="s">
        <v>28</v>
      </c>
      <c r="H12" s="534" t="s">
        <v>29</v>
      </c>
      <c r="I12" s="534" t="s">
        <v>30</v>
      </c>
      <c r="J12" s="539" t="s">
        <v>554</v>
      </c>
      <c r="K12" s="539"/>
      <c r="L12" s="15"/>
    </row>
    <row r="13" spans="1:12" ht="21.75" customHeight="1">
      <c r="A13" s="609"/>
      <c r="B13" s="536"/>
      <c r="C13" s="536"/>
      <c r="D13" s="536"/>
      <c r="E13" s="536"/>
      <c r="F13" s="536"/>
      <c r="G13" s="536"/>
      <c r="H13" s="536"/>
      <c r="I13" s="536"/>
      <c r="J13" s="539"/>
      <c r="K13" s="539"/>
      <c r="L13" s="15"/>
    </row>
    <row r="14" spans="1:12" ht="64.5" customHeight="1">
      <c r="A14" s="88">
        <v>1</v>
      </c>
      <c r="B14" s="264" t="s">
        <v>296</v>
      </c>
      <c r="C14" s="258" t="s">
        <v>16</v>
      </c>
      <c r="D14" s="265">
        <f>6000-272</f>
        <v>5728</v>
      </c>
      <c r="E14" s="135">
        <v>2000</v>
      </c>
      <c r="F14" s="135">
        <f>2000-272</f>
        <v>1728</v>
      </c>
      <c r="G14" s="135"/>
      <c r="H14" s="135"/>
      <c r="I14" s="135"/>
      <c r="J14" s="135">
        <v>2000</v>
      </c>
      <c r="K14" s="258" t="s">
        <v>64</v>
      </c>
      <c r="L14" s="15"/>
    </row>
    <row r="15" spans="1:12" ht="75" hidden="1">
      <c r="A15" s="88"/>
      <c r="B15" s="264" t="s">
        <v>65</v>
      </c>
      <c r="C15" s="258" t="s">
        <v>16</v>
      </c>
      <c r="D15" s="265">
        <f aca="true" t="shared" si="0" ref="D15:D22">E15+F15+J15</f>
        <v>0</v>
      </c>
      <c r="E15" s="135"/>
      <c r="F15" s="135"/>
      <c r="G15" s="135"/>
      <c r="H15" s="135"/>
      <c r="I15" s="135"/>
      <c r="J15" s="135"/>
      <c r="K15" s="258" t="s">
        <v>66</v>
      </c>
      <c r="L15" s="15"/>
    </row>
    <row r="16" spans="1:12" ht="62.25" customHeight="1">
      <c r="A16" s="89">
        <v>2</v>
      </c>
      <c r="B16" s="264" t="s">
        <v>67</v>
      </c>
      <c r="C16" s="258" t="s">
        <v>16</v>
      </c>
      <c r="D16" s="265">
        <f t="shared" si="0"/>
        <v>2450</v>
      </c>
      <c r="E16" s="135">
        <f>700</f>
        <v>700</v>
      </c>
      <c r="F16" s="135">
        <f>800+50</f>
        <v>850</v>
      </c>
      <c r="G16" s="135"/>
      <c r="H16" s="135"/>
      <c r="I16" s="135"/>
      <c r="J16" s="135">
        <v>900</v>
      </c>
      <c r="K16" s="258" t="s">
        <v>68</v>
      </c>
      <c r="L16" s="15"/>
    </row>
    <row r="17" spans="1:12" ht="75">
      <c r="A17" s="89">
        <v>3</v>
      </c>
      <c r="B17" s="264" t="s">
        <v>72</v>
      </c>
      <c r="C17" s="258" t="s">
        <v>16</v>
      </c>
      <c r="D17" s="265">
        <f t="shared" si="0"/>
        <v>813</v>
      </c>
      <c r="E17" s="135">
        <f>250-87</f>
        <v>163</v>
      </c>
      <c r="F17" s="135">
        <v>300</v>
      </c>
      <c r="G17" s="135"/>
      <c r="H17" s="135"/>
      <c r="I17" s="135"/>
      <c r="J17" s="135">
        <v>350</v>
      </c>
      <c r="K17" s="258" t="s">
        <v>32</v>
      </c>
      <c r="L17" s="15"/>
    </row>
    <row r="18" spans="1:12" ht="58.5" customHeight="1">
      <c r="A18" s="89">
        <v>4</v>
      </c>
      <c r="B18" s="181" t="s">
        <v>450</v>
      </c>
      <c r="C18" s="258" t="s">
        <v>16</v>
      </c>
      <c r="D18" s="138">
        <f t="shared" si="0"/>
        <v>670.605</v>
      </c>
      <c r="E18" s="134">
        <v>209</v>
      </c>
      <c r="F18" s="134">
        <v>224.075</v>
      </c>
      <c r="G18" s="134"/>
      <c r="H18" s="134"/>
      <c r="I18" s="134"/>
      <c r="J18" s="134">
        <v>237.53</v>
      </c>
      <c r="K18" s="600" t="s">
        <v>70</v>
      </c>
      <c r="L18" s="15"/>
    </row>
    <row r="19" spans="1:12" ht="56.25">
      <c r="A19" s="90">
        <v>5</v>
      </c>
      <c r="B19" s="181" t="s">
        <v>69</v>
      </c>
      <c r="C19" s="258" t="s">
        <v>16</v>
      </c>
      <c r="D19" s="138">
        <f>E19+F19+J19</f>
        <v>350.31</v>
      </c>
      <c r="E19" s="134">
        <v>103.38</v>
      </c>
      <c r="F19" s="134">
        <v>119.7</v>
      </c>
      <c r="G19" s="134"/>
      <c r="H19" s="134"/>
      <c r="I19" s="134"/>
      <c r="J19" s="134">
        <v>127.23</v>
      </c>
      <c r="K19" s="612"/>
      <c r="L19" s="15"/>
    </row>
    <row r="20" spans="1:12" ht="132.75" customHeight="1">
      <c r="A20" s="91">
        <v>6</v>
      </c>
      <c r="B20" s="181" t="s">
        <v>222</v>
      </c>
      <c r="C20" s="258" t="s">
        <v>16</v>
      </c>
      <c r="D20" s="138">
        <f t="shared" si="0"/>
        <v>1419.53</v>
      </c>
      <c r="E20" s="134">
        <v>428.84</v>
      </c>
      <c r="F20" s="134">
        <v>480.7</v>
      </c>
      <c r="G20" s="134"/>
      <c r="H20" s="134"/>
      <c r="I20" s="134"/>
      <c r="J20" s="134">
        <v>509.99</v>
      </c>
      <c r="K20" s="612"/>
      <c r="L20" s="15"/>
    </row>
    <row r="21" spans="1:12" ht="75">
      <c r="A21" s="91">
        <v>7</v>
      </c>
      <c r="B21" s="181" t="s">
        <v>221</v>
      </c>
      <c r="C21" s="258" t="s">
        <v>16</v>
      </c>
      <c r="D21" s="141">
        <f t="shared" si="0"/>
        <v>847.392</v>
      </c>
      <c r="E21" s="134">
        <v>264</v>
      </c>
      <c r="F21" s="134">
        <v>283.2</v>
      </c>
      <c r="G21" s="134"/>
      <c r="H21" s="134"/>
      <c r="I21" s="134"/>
      <c r="J21" s="420">
        <v>300.192</v>
      </c>
      <c r="K21" s="601"/>
      <c r="L21" s="15"/>
    </row>
    <row r="22" spans="1:12" ht="93.75">
      <c r="A22" s="91">
        <v>8</v>
      </c>
      <c r="B22" s="421" t="s">
        <v>401</v>
      </c>
      <c r="C22" s="417" t="s">
        <v>16</v>
      </c>
      <c r="D22" s="141">
        <f t="shared" si="0"/>
        <v>250</v>
      </c>
      <c r="E22" s="134">
        <v>150</v>
      </c>
      <c r="F22" s="134">
        <v>100</v>
      </c>
      <c r="G22" s="134"/>
      <c r="H22" s="134"/>
      <c r="I22" s="134"/>
      <c r="J22" s="420">
        <v>0</v>
      </c>
      <c r="K22" s="422" t="s">
        <v>402</v>
      </c>
      <c r="L22" s="15"/>
    </row>
    <row r="23" spans="1:12" ht="75.75" customHeight="1">
      <c r="A23" s="89">
        <v>9</v>
      </c>
      <c r="B23" s="181" t="s">
        <v>71</v>
      </c>
      <c r="C23" s="258" t="s">
        <v>16</v>
      </c>
      <c r="D23" s="265">
        <f>E23+F23+J23</f>
        <v>31</v>
      </c>
      <c r="E23" s="135">
        <v>10</v>
      </c>
      <c r="F23" s="135">
        <v>6</v>
      </c>
      <c r="G23" s="135"/>
      <c r="H23" s="135"/>
      <c r="I23" s="135"/>
      <c r="J23" s="135">
        <v>15</v>
      </c>
      <c r="K23" s="258" t="s">
        <v>44</v>
      </c>
      <c r="L23" s="15"/>
    </row>
    <row r="24" spans="1:12" ht="56.25">
      <c r="A24" s="89">
        <v>10</v>
      </c>
      <c r="B24" s="181" t="s">
        <v>220</v>
      </c>
      <c r="C24" s="258" t="s">
        <v>16</v>
      </c>
      <c r="D24" s="265">
        <f>E24+F24+J24</f>
        <v>198</v>
      </c>
      <c r="E24" s="135">
        <v>65</v>
      </c>
      <c r="F24" s="135">
        <v>58</v>
      </c>
      <c r="G24" s="135"/>
      <c r="H24" s="135"/>
      <c r="I24" s="135"/>
      <c r="J24" s="135">
        <v>75</v>
      </c>
      <c r="K24" s="266" t="s">
        <v>44</v>
      </c>
      <c r="L24" s="15"/>
    </row>
    <row r="25" spans="1:12" ht="76.5" customHeight="1">
      <c r="A25" s="89">
        <v>11</v>
      </c>
      <c r="B25" s="181" t="s">
        <v>469</v>
      </c>
      <c r="C25" s="258" t="s">
        <v>16</v>
      </c>
      <c r="D25" s="265">
        <f>E25+F25+J25</f>
        <v>324</v>
      </c>
      <c r="E25" s="135">
        <f>42+80+87</f>
        <v>209</v>
      </c>
      <c r="F25" s="135">
        <f>63+2</f>
        <v>65</v>
      </c>
      <c r="G25" s="135"/>
      <c r="H25" s="135"/>
      <c r="I25" s="135"/>
      <c r="J25" s="135">
        <v>50</v>
      </c>
      <c r="K25" s="266" t="s">
        <v>44</v>
      </c>
      <c r="L25" s="15"/>
    </row>
    <row r="26" spans="1:12" ht="37.5">
      <c r="A26" s="89">
        <v>12</v>
      </c>
      <c r="B26" s="181" t="s">
        <v>308</v>
      </c>
      <c r="C26" s="332" t="s">
        <v>16</v>
      </c>
      <c r="D26" s="265">
        <v>150</v>
      </c>
      <c r="E26" s="64">
        <v>150</v>
      </c>
      <c r="F26" s="135">
        <v>0</v>
      </c>
      <c r="G26" s="135">
        <v>0</v>
      </c>
      <c r="H26" s="135">
        <v>0</v>
      </c>
      <c r="I26" s="135">
        <v>0</v>
      </c>
      <c r="J26" s="135">
        <v>0</v>
      </c>
      <c r="K26" s="318" t="s">
        <v>44</v>
      </c>
      <c r="L26" s="15"/>
    </row>
    <row r="27" spans="1:12" ht="37.5">
      <c r="A27" s="89">
        <v>13</v>
      </c>
      <c r="B27" s="181" t="s">
        <v>309</v>
      </c>
      <c r="C27" s="332" t="s">
        <v>16</v>
      </c>
      <c r="D27" s="265">
        <v>1</v>
      </c>
      <c r="E27" s="64">
        <v>1</v>
      </c>
      <c r="F27" s="135">
        <v>0</v>
      </c>
      <c r="G27" s="135"/>
      <c r="H27" s="135"/>
      <c r="I27" s="135"/>
      <c r="J27" s="135">
        <v>0</v>
      </c>
      <c r="K27" s="318" t="s">
        <v>44</v>
      </c>
      <c r="L27" s="15"/>
    </row>
    <row r="28" spans="1:12" ht="56.25">
      <c r="A28" s="89">
        <v>14</v>
      </c>
      <c r="B28" s="181" t="s">
        <v>391</v>
      </c>
      <c r="C28" s="332" t="s">
        <v>16</v>
      </c>
      <c r="D28" s="265">
        <f aca="true" t="shared" si="1" ref="D28:D34">E28+F28</f>
        <v>85</v>
      </c>
      <c r="E28" s="64">
        <v>34</v>
      </c>
      <c r="F28" s="135">
        <v>51</v>
      </c>
      <c r="G28" s="135"/>
      <c r="H28" s="135"/>
      <c r="I28" s="135"/>
      <c r="J28" s="135">
        <v>0</v>
      </c>
      <c r="K28" s="402" t="s">
        <v>44</v>
      </c>
      <c r="L28" s="15"/>
    </row>
    <row r="29" spans="1:12" ht="93.75">
      <c r="A29" s="89">
        <v>15</v>
      </c>
      <c r="B29" s="181" t="s">
        <v>461</v>
      </c>
      <c r="C29" s="332" t="s">
        <v>16</v>
      </c>
      <c r="D29" s="265">
        <f t="shared" si="1"/>
        <v>250</v>
      </c>
      <c r="E29" s="64">
        <v>0</v>
      </c>
      <c r="F29" s="135">
        <v>250</v>
      </c>
      <c r="G29" s="135"/>
      <c r="H29" s="135"/>
      <c r="I29" s="135"/>
      <c r="J29" s="135">
        <v>0</v>
      </c>
      <c r="K29" s="454" t="s">
        <v>44</v>
      </c>
      <c r="L29" s="15"/>
    </row>
    <row r="30" spans="1:12" ht="37.5">
      <c r="A30" s="89">
        <v>16</v>
      </c>
      <c r="B30" s="181" t="s">
        <v>468</v>
      </c>
      <c r="C30" s="332" t="s">
        <v>16</v>
      </c>
      <c r="D30" s="265">
        <f t="shared" si="1"/>
        <v>200</v>
      </c>
      <c r="E30" s="64">
        <v>0</v>
      </c>
      <c r="F30" s="135">
        <v>200</v>
      </c>
      <c r="G30" s="135"/>
      <c r="H30" s="135"/>
      <c r="I30" s="135"/>
      <c r="J30" s="135">
        <v>0</v>
      </c>
      <c r="K30" s="456" t="s">
        <v>44</v>
      </c>
      <c r="L30" s="15"/>
    </row>
    <row r="31" spans="1:12" ht="86.25" customHeight="1">
      <c r="A31" s="89">
        <v>17</v>
      </c>
      <c r="B31" s="181" t="s">
        <v>470</v>
      </c>
      <c r="C31" s="332" t="s">
        <v>16</v>
      </c>
      <c r="D31" s="265">
        <f t="shared" si="1"/>
        <v>79.7</v>
      </c>
      <c r="E31" s="64">
        <v>0</v>
      </c>
      <c r="F31" s="135">
        <f>0+20+30+16.2+13.5</f>
        <v>79.7</v>
      </c>
      <c r="G31" s="135"/>
      <c r="H31" s="135"/>
      <c r="I31" s="135"/>
      <c r="J31" s="135">
        <v>0</v>
      </c>
      <c r="K31" s="456" t="s">
        <v>44</v>
      </c>
      <c r="L31" s="15"/>
    </row>
    <row r="32" spans="1:12" ht="42" customHeight="1">
      <c r="A32" s="89">
        <v>18</v>
      </c>
      <c r="B32" s="181" t="s">
        <v>603</v>
      </c>
      <c r="C32" s="332" t="s">
        <v>16</v>
      </c>
      <c r="D32" s="265">
        <f t="shared" si="1"/>
        <v>15</v>
      </c>
      <c r="E32" s="64">
        <v>0</v>
      </c>
      <c r="F32" s="135">
        <f>0+12+3</f>
        <v>15</v>
      </c>
      <c r="G32" s="135"/>
      <c r="H32" s="135"/>
      <c r="I32" s="135"/>
      <c r="J32" s="135">
        <v>0</v>
      </c>
      <c r="K32" s="495" t="s">
        <v>44</v>
      </c>
      <c r="L32" s="15"/>
    </row>
    <row r="33" spans="1:12" ht="42" customHeight="1">
      <c r="A33" s="89">
        <v>19</v>
      </c>
      <c r="B33" s="493" t="s">
        <v>657</v>
      </c>
      <c r="C33" s="258" t="s">
        <v>16</v>
      </c>
      <c r="D33" s="265">
        <f t="shared" si="1"/>
        <v>200</v>
      </c>
      <c r="E33" s="64"/>
      <c r="F33" s="135">
        <f>0+200</f>
        <v>200</v>
      </c>
      <c r="G33" s="135"/>
      <c r="H33" s="135"/>
      <c r="I33" s="135"/>
      <c r="J33" s="135"/>
      <c r="K33" s="500" t="s">
        <v>44</v>
      </c>
      <c r="L33" s="15"/>
    </row>
    <row r="34" spans="1:12" ht="42" customHeight="1">
      <c r="A34" s="89">
        <v>20</v>
      </c>
      <c r="B34" s="490" t="s">
        <v>658</v>
      </c>
      <c r="C34" s="258" t="s">
        <v>16</v>
      </c>
      <c r="D34" s="265">
        <f t="shared" si="1"/>
        <v>80</v>
      </c>
      <c r="E34" s="64"/>
      <c r="F34" s="135">
        <f>0+80</f>
        <v>80</v>
      </c>
      <c r="G34" s="135"/>
      <c r="H34" s="135"/>
      <c r="I34" s="135"/>
      <c r="J34" s="135"/>
      <c r="K34" s="500"/>
      <c r="L34" s="15"/>
    </row>
    <row r="35" spans="1:12" ht="21.75" customHeight="1">
      <c r="A35" s="77"/>
      <c r="B35" s="60" t="s">
        <v>5</v>
      </c>
      <c r="C35" s="71"/>
      <c r="D35" s="334">
        <f>D14+D16+D17+D18+D19+D20+D21+D22+D23+D24+D25+D26+D27+D28+D29+D30+D31+D32+D33+D34</f>
        <v>14142.537</v>
      </c>
      <c r="E35" s="334">
        <f>E14+E16+E17+E18+E19+E20+E21+E22+E23+E24+E25+E26+E27+E28+E29+E30</f>
        <v>4487.22</v>
      </c>
      <c r="F35" s="334">
        <f>F14+F16+F17+F18+F19+F20+F21+F22+F23+F24+F25+F26+F27+F28+F29+F30+F31+F32+F33+F34</f>
        <v>5090.374999999999</v>
      </c>
      <c r="G35" s="334">
        <f>G14+G16+G17+G18+G19+G20+G21+G23+G24+G25+G26+G27</f>
        <v>0</v>
      </c>
      <c r="H35" s="334">
        <f>H14+H16+H17+H18+H19+H20+H21+H23+H24+H25+H26+H27</f>
        <v>0</v>
      </c>
      <c r="I35" s="334">
        <f>I14+I16+I17+I18+I19+I20+I21+I23+I24+I25+I26+I27</f>
        <v>0</v>
      </c>
      <c r="J35" s="334">
        <f>J14+J16+J17+J18+J19+J20+J21+J23+J24+J25+J26+J27+J28+J29+J30</f>
        <v>4564.942</v>
      </c>
      <c r="K35" s="72"/>
      <c r="L35" s="15"/>
    </row>
    <row r="36" spans="1:12" ht="15.75">
      <c r="A36" s="41"/>
      <c r="B36" s="18"/>
      <c r="C36" s="18"/>
      <c r="D36" s="94"/>
      <c r="E36" s="94"/>
      <c r="F36" s="94"/>
      <c r="G36" s="94"/>
      <c r="H36" s="94"/>
      <c r="I36" s="94"/>
      <c r="J36" s="94"/>
      <c r="K36" s="20"/>
      <c r="L36" s="15"/>
    </row>
    <row r="37" spans="1:12" ht="15.75" hidden="1">
      <c r="A37" s="41"/>
      <c r="B37" s="18"/>
      <c r="C37" s="18"/>
      <c r="D37" s="94"/>
      <c r="E37" s="94"/>
      <c r="F37" s="94"/>
      <c r="G37" s="94"/>
      <c r="H37" s="94"/>
      <c r="I37" s="94"/>
      <c r="J37" s="94"/>
      <c r="K37" s="20"/>
      <c r="L37" s="15"/>
    </row>
    <row r="38" spans="1:13" s="95" customFormat="1" ht="18.75" customHeight="1">
      <c r="A38" s="14"/>
      <c r="B38" s="18"/>
      <c r="C38" s="18"/>
      <c r="D38" s="19"/>
      <c r="E38" s="19"/>
      <c r="F38" s="19"/>
      <c r="G38" s="19"/>
      <c r="H38" s="19"/>
      <c r="I38" s="19"/>
      <c r="J38" s="19"/>
      <c r="K38" s="20"/>
      <c r="L38" s="99" t="s">
        <v>7</v>
      </c>
      <c r="M38" s="98"/>
    </row>
    <row r="39" spans="1:13" s="95" customFormat="1" ht="18.75" customHeight="1">
      <c r="A39" s="14"/>
      <c r="B39" s="52"/>
      <c r="C39" s="53"/>
      <c r="D39" s="14"/>
      <c r="E39" s="19"/>
      <c r="F39" s="19"/>
      <c r="G39" s="19"/>
      <c r="H39" s="19"/>
      <c r="I39" s="19"/>
      <c r="J39" s="19"/>
      <c r="K39" s="53"/>
      <c r="L39" s="99"/>
      <c r="M39" s="98"/>
    </row>
    <row r="40" spans="2:12" s="95" customFormat="1" ht="33" customHeight="1">
      <c r="B40" s="418" t="s">
        <v>18</v>
      </c>
      <c r="C40" s="418"/>
      <c r="E40" s="418"/>
      <c r="F40" s="606" t="s">
        <v>31</v>
      </c>
      <c r="G40" s="606"/>
      <c r="H40" s="606"/>
      <c r="I40" s="606"/>
      <c r="J40" s="606"/>
      <c r="K40" s="98"/>
      <c r="L40" s="103"/>
    </row>
    <row r="41" spans="2:14" s="95" customFormat="1" ht="13.5" customHeight="1">
      <c r="B41" s="96"/>
      <c r="C41" s="96"/>
      <c r="E41" s="96"/>
      <c r="F41" s="97"/>
      <c r="G41" s="97"/>
      <c r="H41" s="97"/>
      <c r="I41" s="97"/>
      <c r="J41" s="97"/>
      <c r="K41" s="98"/>
      <c r="L41" s="103"/>
      <c r="N41" s="105"/>
    </row>
    <row r="42" spans="1:11" ht="18.75">
      <c r="A42" s="95"/>
      <c r="B42" s="149" t="s">
        <v>602</v>
      </c>
      <c r="C42" s="100"/>
      <c r="D42" s="95"/>
      <c r="E42" s="101"/>
      <c r="F42" s="102"/>
      <c r="G42" s="102"/>
      <c r="H42" s="102"/>
      <c r="I42" s="102"/>
      <c r="J42" s="102"/>
      <c r="K42" s="103"/>
    </row>
    <row r="43" spans="1:11" ht="15.75">
      <c r="A43" s="95"/>
      <c r="B43" s="148"/>
      <c r="C43" s="95"/>
      <c r="D43" s="104"/>
      <c r="E43" s="102"/>
      <c r="F43" s="102"/>
      <c r="G43" s="102"/>
      <c r="H43" s="102"/>
      <c r="I43" s="102"/>
      <c r="J43" s="102"/>
      <c r="K43" s="103"/>
    </row>
    <row r="44" spans="2:11" ht="15.75">
      <c r="B44" s="28"/>
      <c r="C44" s="29"/>
      <c r="D44" s="30"/>
      <c r="E44" s="26"/>
      <c r="F44" s="26"/>
      <c r="G44" s="26"/>
      <c r="H44" s="26"/>
      <c r="I44" s="26"/>
      <c r="J44" s="15"/>
      <c r="K44" s="15"/>
    </row>
    <row r="45" spans="3:10" ht="15.75">
      <c r="C45" s="30"/>
      <c r="D45" s="26"/>
      <c r="E45" s="26"/>
      <c r="F45" s="26"/>
      <c r="G45" s="26"/>
      <c r="H45" s="26"/>
      <c r="I45" s="26"/>
      <c r="J45" s="26"/>
    </row>
    <row r="46" spans="3:10" ht="15.75">
      <c r="C46" s="31"/>
      <c r="D46" s="26"/>
      <c r="E46" s="26"/>
      <c r="F46" s="26"/>
      <c r="G46" s="26"/>
      <c r="H46" s="26"/>
      <c r="I46" s="26"/>
      <c r="J46" s="26"/>
    </row>
    <row r="48" ht="12.75">
      <c r="H48" s="32"/>
    </row>
  </sheetData>
  <sheetProtection/>
  <mergeCells count="19">
    <mergeCell ref="K18:K21"/>
    <mergeCell ref="F40:J40"/>
    <mergeCell ref="K11:K13"/>
    <mergeCell ref="E12:E13"/>
    <mergeCell ref="F12:F13"/>
    <mergeCell ref="G12:G13"/>
    <mergeCell ref="H12:H13"/>
    <mergeCell ref="I12:I13"/>
    <mergeCell ref="J12:J13"/>
    <mergeCell ref="J1:K1"/>
    <mergeCell ref="J2:K2"/>
    <mergeCell ref="J7:K7"/>
    <mergeCell ref="B9:K9"/>
    <mergeCell ref="D10:H10"/>
    <mergeCell ref="A11:A13"/>
    <mergeCell ref="B11:B13"/>
    <mergeCell ref="C11:C13"/>
    <mergeCell ref="D11:D13"/>
    <mergeCell ref="E11:J11"/>
  </mergeCells>
  <printOptions horizontalCentered="1"/>
  <pageMargins left="0" right="0" top="1.1811023622047245" bottom="0" header="0" footer="0"/>
  <pageSetup fitToHeight="2" fitToWidth="1" horizontalDpi="600" verticalDpi="600" orientation="landscape" paperSize="9" scale="58" r:id="rId1"/>
  <rowBreaks count="1" manualBreakCount="1">
    <brk id="42" max="10" man="1"/>
  </rowBreaks>
</worksheet>
</file>

<file path=xl/worksheets/sheet15.xml><?xml version="1.0" encoding="utf-8"?>
<worksheet xmlns="http://schemas.openxmlformats.org/spreadsheetml/2006/main" xmlns:r="http://schemas.openxmlformats.org/officeDocument/2006/relationships">
  <sheetPr>
    <tabColor rgb="FFFFFF00"/>
  </sheetPr>
  <dimension ref="A1:K43"/>
  <sheetViews>
    <sheetView zoomScaleSheetLayoutView="83" zoomScalePageLayoutView="75" workbookViewId="0" topLeftCell="A22">
      <selection activeCell="B24" sqref="B24"/>
    </sheetView>
  </sheetViews>
  <sheetFormatPr defaultColWidth="9.140625" defaultRowHeight="12.75"/>
  <cols>
    <col min="1" max="1" width="5.28125" style="0" customWidth="1"/>
    <col min="2" max="2" width="46.140625" style="0" customWidth="1"/>
    <col min="3" max="3" width="17.57421875" style="0" customWidth="1"/>
    <col min="4" max="4" width="22.00390625" style="0" customWidth="1"/>
    <col min="5" max="5" width="17.421875" style="0" customWidth="1"/>
    <col min="6" max="6" width="18.28125" style="0" customWidth="1"/>
    <col min="7" max="8" width="11.57421875" style="0" hidden="1" customWidth="1"/>
    <col min="9" max="9" width="12.57421875" style="0" hidden="1" customWidth="1"/>
    <col min="10" max="10" width="14.421875" style="0" customWidth="1"/>
    <col min="11" max="11" width="43.28125" style="0" customWidth="1"/>
  </cols>
  <sheetData>
    <row r="1" spans="2:11" ht="15.75">
      <c r="B1" s="1"/>
      <c r="C1" s="1"/>
      <c r="D1" s="1"/>
      <c r="E1" s="1"/>
      <c r="F1" s="1"/>
      <c r="G1" s="1"/>
      <c r="H1" s="1"/>
      <c r="I1" s="2" t="s">
        <v>19</v>
      </c>
      <c r="J1" s="613" t="s">
        <v>571</v>
      </c>
      <c r="K1" s="613"/>
    </row>
    <row r="2" spans="2:11" ht="12.75" customHeight="1">
      <c r="B2" s="1"/>
      <c r="C2" s="1"/>
      <c r="D2" s="1"/>
      <c r="E2" s="1"/>
      <c r="F2" s="1"/>
      <c r="G2" s="1"/>
      <c r="H2" s="1"/>
      <c r="I2" s="3" t="s">
        <v>11</v>
      </c>
      <c r="J2" s="585" t="s">
        <v>11</v>
      </c>
      <c r="K2" s="585"/>
    </row>
    <row r="3" spans="2:11" ht="12" customHeight="1">
      <c r="B3" s="1"/>
      <c r="C3" s="1"/>
      <c r="D3" s="1"/>
      <c r="E3" s="1"/>
      <c r="F3" s="1"/>
      <c r="G3" s="1"/>
      <c r="H3" s="1"/>
      <c r="I3" s="3" t="s">
        <v>20</v>
      </c>
      <c r="J3" s="3" t="s">
        <v>489</v>
      </c>
      <c r="K3" s="3"/>
    </row>
    <row r="4" spans="2:11" ht="12" customHeight="1">
      <c r="B4" s="1"/>
      <c r="C4" s="1"/>
      <c r="D4" s="1"/>
      <c r="E4" s="1"/>
      <c r="F4" s="1"/>
      <c r="G4" s="1"/>
      <c r="H4" s="1"/>
      <c r="I4" s="3" t="s">
        <v>21</v>
      </c>
      <c r="J4" s="3" t="s">
        <v>22</v>
      </c>
      <c r="K4" s="3"/>
    </row>
    <row r="5" spans="2:11" ht="12.75" customHeight="1">
      <c r="B5" s="1"/>
      <c r="C5" s="1"/>
      <c r="D5" s="1"/>
      <c r="E5" s="1"/>
      <c r="F5" s="1"/>
      <c r="G5" s="1"/>
      <c r="H5" s="1"/>
      <c r="I5" s="3" t="s">
        <v>23</v>
      </c>
      <c r="J5" s="3" t="s">
        <v>24</v>
      </c>
      <c r="K5" s="3"/>
    </row>
    <row r="6" spans="9:11" s="452" customFormat="1" ht="15" customHeight="1">
      <c r="I6" s="56" t="s">
        <v>25</v>
      </c>
      <c r="J6" s="585" t="s">
        <v>494</v>
      </c>
      <c r="K6" s="585"/>
    </row>
    <row r="7" spans="9:11" s="452" customFormat="1" ht="15" customHeight="1">
      <c r="I7" s="56" t="s">
        <v>26</v>
      </c>
      <c r="J7" s="541" t="s">
        <v>511</v>
      </c>
      <c r="K7" s="585"/>
    </row>
    <row r="8" spans="9:11" s="452" customFormat="1" ht="15.75" customHeight="1">
      <c r="I8" s="56"/>
      <c r="J8" s="541" t="s">
        <v>601</v>
      </c>
      <c r="K8" s="541"/>
    </row>
    <row r="9" spans="2:11" ht="15" customHeight="1">
      <c r="B9" s="1"/>
      <c r="C9" s="1"/>
      <c r="D9" s="1"/>
      <c r="E9" s="1"/>
      <c r="F9" s="1"/>
      <c r="G9" s="1"/>
      <c r="H9" s="1"/>
      <c r="I9" s="1"/>
      <c r="J9" s="1" t="s">
        <v>634</v>
      </c>
      <c r="K9" s="1"/>
    </row>
    <row r="10" spans="2:11" ht="6" customHeight="1">
      <c r="B10" s="1"/>
      <c r="C10" s="1"/>
      <c r="D10" s="1"/>
      <c r="E10" s="1"/>
      <c r="F10" s="1"/>
      <c r="G10" s="1"/>
      <c r="H10" s="1"/>
      <c r="I10" s="1"/>
      <c r="J10" s="452"/>
      <c r="K10" s="1"/>
    </row>
    <row r="11" spans="2:11" ht="18.75">
      <c r="B11" s="547" t="s">
        <v>490</v>
      </c>
      <c r="C11" s="547"/>
      <c r="D11" s="547"/>
      <c r="E11" s="547"/>
      <c r="F11" s="547"/>
      <c r="G11" s="547"/>
      <c r="H11" s="547"/>
      <c r="I11" s="547"/>
      <c r="J11" s="547"/>
      <c r="K11" s="547"/>
    </row>
    <row r="12" spans="2:11" ht="15.75">
      <c r="B12" s="1"/>
      <c r="C12" s="1"/>
      <c r="D12" s="590"/>
      <c r="E12" s="590"/>
      <c r="F12" s="590"/>
      <c r="G12" s="590"/>
      <c r="H12" s="590"/>
      <c r="I12" s="1"/>
      <c r="J12" s="1"/>
      <c r="K12" s="46" t="s">
        <v>481</v>
      </c>
    </row>
    <row r="13" spans="1:11" ht="15" customHeight="1">
      <c r="A13" s="534" t="s">
        <v>6</v>
      </c>
      <c r="B13" s="534" t="s">
        <v>12</v>
      </c>
      <c r="C13" s="534" t="s">
        <v>491</v>
      </c>
      <c r="D13" s="534" t="s">
        <v>488</v>
      </c>
      <c r="E13" s="543" t="s">
        <v>9</v>
      </c>
      <c r="F13" s="543"/>
      <c r="G13" s="543"/>
      <c r="H13" s="543"/>
      <c r="I13" s="543"/>
      <c r="J13" s="598"/>
      <c r="K13" s="539" t="s">
        <v>15</v>
      </c>
    </row>
    <row r="14" spans="1:11" ht="12.75">
      <c r="A14" s="535"/>
      <c r="B14" s="535"/>
      <c r="C14" s="535"/>
      <c r="D14" s="535"/>
      <c r="E14" s="534" t="s">
        <v>492</v>
      </c>
      <c r="F14" s="534" t="s">
        <v>493</v>
      </c>
      <c r="G14" s="534" t="s">
        <v>28</v>
      </c>
      <c r="H14" s="534" t="s">
        <v>29</v>
      </c>
      <c r="I14" s="534" t="s">
        <v>30</v>
      </c>
      <c r="J14" s="539" t="s">
        <v>486</v>
      </c>
      <c r="K14" s="539"/>
    </row>
    <row r="15" spans="1:11" ht="18" customHeight="1">
      <c r="A15" s="536"/>
      <c r="B15" s="536"/>
      <c r="C15" s="536"/>
      <c r="D15" s="536"/>
      <c r="E15" s="536"/>
      <c r="F15" s="536"/>
      <c r="G15" s="536"/>
      <c r="H15" s="536"/>
      <c r="I15" s="536"/>
      <c r="J15" s="539"/>
      <c r="K15" s="539"/>
    </row>
    <row r="16" spans="1:11" ht="67.5" customHeight="1">
      <c r="A16" s="36">
        <v>1</v>
      </c>
      <c r="B16" s="181" t="s">
        <v>61</v>
      </c>
      <c r="C16" s="258" t="s">
        <v>16</v>
      </c>
      <c r="D16" s="134">
        <f aca="true" t="shared" si="0" ref="D16:D21">SUM(E16:J16)</f>
        <v>70</v>
      </c>
      <c r="E16" s="135">
        <v>70</v>
      </c>
      <c r="F16" s="135"/>
      <c r="G16" s="135"/>
      <c r="H16" s="135"/>
      <c r="I16" s="135"/>
      <c r="J16" s="135"/>
      <c r="K16" s="36" t="s">
        <v>57</v>
      </c>
    </row>
    <row r="17" spans="1:11" ht="67.5" customHeight="1">
      <c r="A17" s="36">
        <v>2</v>
      </c>
      <c r="B17" s="181" t="s">
        <v>286</v>
      </c>
      <c r="C17" s="258" t="s">
        <v>16</v>
      </c>
      <c r="D17" s="134">
        <f t="shared" si="0"/>
        <v>22992</v>
      </c>
      <c r="E17" s="64">
        <v>5492</v>
      </c>
      <c r="F17" s="135">
        <f>6500+4000</f>
        <v>10500</v>
      </c>
      <c r="G17" s="135"/>
      <c r="H17" s="135"/>
      <c r="I17" s="135"/>
      <c r="J17" s="135">
        <v>7000</v>
      </c>
      <c r="K17" s="36" t="s">
        <v>57</v>
      </c>
    </row>
    <row r="18" spans="1:11" ht="67.5" customHeight="1">
      <c r="A18" s="36">
        <v>3</v>
      </c>
      <c r="B18" s="181" t="s">
        <v>62</v>
      </c>
      <c r="C18" s="258" t="s">
        <v>16</v>
      </c>
      <c r="D18" s="134">
        <f t="shared" si="0"/>
        <v>350.4</v>
      </c>
      <c r="E18" s="135">
        <v>150.4</v>
      </c>
      <c r="F18" s="135">
        <v>200</v>
      </c>
      <c r="G18" s="135"/>
      <c r="H18" s="135"/>
      <c r="I18" s="135"/>
      <c r="J18" s="135"/>
      <c r="K18" s="36" t="s">
        <v>57</v>
      </c>
    </row>
    <row r="19" spans="1:11" ht="67.5" customHeight="1">
      <c r="A19" s="36">
        <v>4</v>
      </c>
      <c r="B19" s="181" t="s">
        <v>467</v>
      </c>
      <c r="C19" s="258" t="s">
        <v>16</v>
      </c>
      <c r="D19" s="134">
        <f t="shared" si="0"/>
        <v>380</v>
      </c>
      <c r="E19" s="135">
        <v>100</v>
      </c>
      <c r="F19" s="135">
        <f>130+20000-3000-9000-3000-3000-2000</f>
        <v>130</v>
      </c>
      <c r="G19" s="135"/>
      <c r="H19" s="135"/>
      <c r="I19" s="135"/>
      <c r="J19" s="135">
        <v>150</v>
      </c>
      <c r="K19" s="36" t="s">
        <v>57</v>
      </c>
    </row>
    <row r="20" spans="1:11" ht="67.5" customHeight="1">
      <c r="A20" s="256">
        <v>5</v>
      </c>
      <c r="B20" s="363" t="s">
        <v>589</v>
      </c>
      <c r="C20" s="327" t="s">
        <v>16</v>
      </c>
      <c r="D20" s="474">
        <f t="shared" si="0"/>
        <v>1350</v>
      </c>
      <c r="E20" s="364">
        <v>400</v>
      </c>
      <c r="F20" s="364">
        <v>450</v>
      </c>
      <c r="G20" s="364"/>
      <c r="H20" s="364"/>
      <c r="I20" s="364"/>
      <c r="J20" s="364">
        <f>200+100+200</f>
        <v>500</v>
      </c>
      <c r="K20" s="256" t="s">
        <v>57</v>
      </c>
    </row>
    <row r="21" spans="1:11" ht="70.5" customHeight="1">
      <c r="A21" s="36">
        <v>6</v>
      </c>
      <c r="B21" s="181" t="s">
        <v>63</v>
      </c>
      <c r="C21" s="258" t="s">
        <v>16</v>
      </c>
      <c r="D21" s="134">
        <f t="shared" si="0"/>
        <v>5250</v>
      </c>
      <c r="E21" s="37">
        <f>1000+700+50</f>
        <v>1750</v>
      </c>
      <c r="F21" s="134">
        <v>1500</v>
      </c>
      <c r="G21" s="134"/>
      <c r="H21" s="134"/>
      <c r="I21" s="134"/>
      <c r="J21" s="134">
        <v>2000</v>
      </c>
      <c r="K21" s="36" t="s">
        <v>57</v>
      </c>
    </row>
    <row r="22" spans="1:11" ht="70.5" customHeight="1">
      <c r="A22" s="36">
        <v>7</v>
      </c>
      <c r="B22" s="181" t="s">
        <v>365</v>
      </c>
      <c r="C22" s="258" t="s">
        <v>16</v>
      </c>
      <c r="D22" s="134">
        <f>E22+F22+J22</f>
        <v>790</v>
      </c>
      <c r="E22" s="37">
        <v>790</v>
      </c>
      <c r="F22" s="491"/>
      <c r="G22" s="134"/>
      <c r="H22" s="134"/>
      <c r="I22" s="134"/>
      <c r="J22" s="134"/>
      <c r="K22" s="36" t="s">
        <v>57</v>
      </c>
    </row>
    <row r="23" spans="1:11" ht="70.5" customHeight="1">
      <c r="A23" s="36">
        <v>8</v>
      </c>
      <c r="B23" s="181" t="s">
        <v>310</v>
      </c>
      <c r="C23" s="258" t="s">
        <v>16</v>
      </c>
      <c r="D23" s="134">
        <v>320</v>
      </c>
      <c r="E23" s="37">
        <v>320</v>
      </c>
      <c r="F23" s="134">
        <f>0+50</f>
        <v>50</v>
      </c>
      <c r="G23" s="134"/>
      <c r="H23" s="134"/>
      <c r="I23" s="134"/>
      <c r="J23" s="134"/>
      <c r="K23" s="36" t="s">
        <v>57</v>
      </c>
    </row>
    <row r="24" spans="1:11" ht="70.5" customHeight="1">
      <c r="A24" s="36">
        <v>9</v>
      </c>
      <c r="B24" s="181" t="s">
        <v>311</v>
      </c>
      <c r="C24" s="332" t="s">
        <v>16</v>
      </c>
      <c r="D24" s="134">
        <f>E24+F24</f>
        <v>826</v>
      </c>
      <c r="E24" s="64">
        <f>240+90+8+38</f>
        <v>376</v>
      </c>
      <c r="F24" s="135">
        <f>0+190+140+120</f>
        <v>450</v>
      </c>
      <c r="G24" s="135"/>
      <c r="H24" s="135"/>
      <c r="I24" s="135"/>
      <c r="J24" s="135"/>
      <c r="K24" s="36" t="s">
        <v>57</v>
      </c>
    </row>
    <row r="25" spans="1:11" ht="49.5" customHeight="1">
      <c r="A25" s="36">
        <v>10</v>
      </c>
      <c r="B25" s="181" t="s">
        <v>466</v>
      </c>
      <c r="C25" s="332" t="s">
        <v>16</v>
      </c>
      <c r="D25" s="134">
        <f>E25+F25</f>
        <v>57425</v>
      </c>
      <c r="E25" s="64">
        <f>3000+2000+3000+1000+3000+2000</f>
        <v>14000</v>
      </c>
      <c r="F25" s="135">
        <f>0+4000+2725+3000+9000+3000+3000+3000+3200+4000+3500+5000</f>
        <v>43425</v>
      </c>
      <c r="G25" s="135"/>
      <c r="H25" s="135"/>
      <c r="I25" s="135"/>
      <c r="J25" s="135"/>
      <c r="K25" s="36" t="s">
        <v>312</v>
      </c>
    </row>
    <row r="26" spans="1:11" ht="117.75" customHeight="1">
      <c r="A26" s="36">
        <v>11</v>
      </c>
      <c r="B26" s="492" t="s">
        <v>471</v>
      </c>
      <c r="C26" s="332" t="s">
        <v>16</v>
      </c>
      <c r="D26" s="134">
        <f>E26+F26</f>
        <v>123</v>
      </c>
      <c r="E26" s="64">
        <f>35+10</f>
        <v>45</v>
      </c>
      <c r="F26" s="135">
        <f>40+15+23</f>
        <v>78</v>
      </c>
      <c r="G26" s="135"/>
      <c r="H26" s="135"/>
      <c r="I26" s="135"/>
      <c r="J26" s="135"/>
      <c r="K26" s="36" t="s">
        <v>312</v>
      </c>
    </row>
    <row r="27" spans="1:11" ht="57" customHeight="1">
      <c r="A27" s="36">
        <v>12</v>
      </c>
      <c r="B27" s="181" t="s">
        <v>404</v>
      </c>
      <c r="C27" s="332" t="s">
        <v>16</v>
      </c>
      <c r="D27" s="134">
        <f>F27</f>
        <v>1952</v>
      </c>
      <c r="E27" s="64"/>
      <c r="F27" s="135">
        <f>2300-80-190-40-15-23</f>
        <v>1952</v>
      </c>
      <c r="G27" s="135"/>
      <c r="H27" s="135"/>
      <c r="I27" s="135"/>
      <c r="J27" s="135"/>
      <c r="K27" s="36" t="s">
        <v>312</v>
      </c>
    </row>
    <row r="28" spans="1:11" ht="58.5" customHeight="1">
      <c r="A28" s="36">
        <v>13</v>
      </c>
      <c r="B28" s="181" t="s">
        <v>453</v>
      </c>
      <c r="C28" s="332" t="s">
        <v>16</v>
      </c>
      <c r="D28" s="134">
        <f>F28</f>
        <v>3200</v>
      </c>
      <c r="E28" s="64"/>
      <c r="F28" s="135">
        <v>3200</v>
      </c>
      <c r="G28" s="135"/>
      <c r="H28" s="135"/>
      <c r="I28" s="135"/>
      <c r="J28" s="135"/>
      <c r="K28" s="36" t="s">
        <v>312</v>
      </c>
    </row>
    <row r="29" spans="1:11" ht="55.5" customHeight="1">
      <c r="A29" s="36">
        <v>14</v>
      </c>
      <c r="B29" s="181" t="s">
        <v>462</v>
      </c>
      <c r="C29" s="332" t="s">
        <v>16</v>
      </c>
      <c r="D29" s="134">
        <f>F29</f>
        <v>1000</v>
      </c>
      <c r="E29" s="64"/>
      <c r="F29" s="135">
        <f>0+1000</f>
        <v>1000</v>
      </c>
      <c r="G29" s="135"/>
      <c r="H29" s="135"/>
      <c r="I29" s="135"/>
      <c r="J29" s="135"/>
      <c r="K29" s="36" t="s">
        <v>312</v>
      </c>
    </row>
    <row r="30" spans="1:11" ht="53.25" customHeight="1">
      <c r="A30" s="36">
        <v>15</v>
      </c>
      <c r="B30" s="181" t="s">
        <v>472</v>
      </c>
      <c r="C30" s="332" t="s">
        <v>16</v>
      </c>
      <c r="D30" s="134">
        <f>F30</f>
        <v>80</v>
      </c>
      <c r="E30" s="64"/>
      <c r="F30" s="135">
        <f>0+80</f>
        <v>80</v>
      </c>
      <c r="G30" s="135"/>
      <c r="H30" s="135"/>
      <c r="I30" s="135"/>
      <c r="J30" s="135"/>
      <c r="K30" s="36" t="s">
        <v>312</v>
      </c>
    </row>
    <row r="31" spans="1:11" ht="66.75" customHeight="1">
      <c r="A31" s="36">
        <v>16</v>
      </c>
      <c r="B31" s="498" t="s">
        <v>617</v>
      </c>
      <c r="C31" s="332" t="s">
        <v>16</v>
      </c>
      <c r="D31" s="134">
        <f>F31</f>
        <v>1000</v>
      </c>
      <c r="E31" s="64"/>
      <c r="F31" s="135">
        <f>0+1000</f>
        <v>1000</v>
      </c>
      <c r="G31" s="135"/>
      <c r="H31" s="135"/>
      <c r="I31" s="135"/>
      <c r="J31" s="135"/>
      <c r="K31" s="36" t="s">
        <v>312</v>
      </c>
    </row>
    <row r="32" spans="1:11" ht="18.75">
      <c r="A32" s="82"/>
      <c r="B32" s="57" t="s">
        <v>5</v>
      </c>
      <c r="C32" s="58"/>
      <c r="D32" s="80">
        <f>D16+D17+D18+D19+D21+D22+D23+D24+D25+D26+D20+D27+D28+D29+D30+D31</f>
        <v>97108.4</v>
      </c>
      <c r="E32" s="80">
        <f>E16+E17+E18+E19+E21+E22+E23+E24+E25+E26+E20</f>
        <v>23493.4</v>
      </c>
      <c r="F32" s="80">
        <f>F16+F17+F18+F19+F21+F22+F23+F24+F25+F26+F20+F27+F28+F29+F30+F31</f>
        <v>64015</v>
      </c>
      <c r="G32" s="80" t="e">
        <f>G16+G17+G18+G19+G21+#REF!+G22+G23+G24+G25+G26+G20</f>
        <v>#REF!</v>
      </c>
      <c r="H32" s="80" t="e">
        <f>H16+H17+H18+H19+H21+#REF!+H22+H23+H24+H25+H26+H20</f>
        <v>#REF!</v>
      </c>
      <c r="I32" s="80" t="e">
        <f>I16+I17+I18+I19+I21+#REF!+I22+I23+I24+I25+I26+I20</f>
        <v>#REF!</v>
      </c>
      <c r="J32" s="80">
        <f>J16+J17+J18+J19+J21+J22+J23+J24+J25+J26+J20</f>
        <v>9650</v>
      </c>
      <c r="K32" s="81"/>
    </row>
    <row r="33" spans="1:11" ht="15.75">
      <c r="A33" s="51"/>
      <c r="B33" s="4"/>
      <c r="C33" s="4"/>
      <c r="D33" s="6"/>
      <c r="E33" s="6"/>
      <c r="F33" s="6"/>
      <c r="G33" s="6"/>
      <c r="H33" s="6"/>
      <c r="I33" s="6"/>
      <c r="J33" s="6"/>
      <c r="K33" s="42"/>
    </row>
    <row r="34" spans="2:11" ht="15.75">
      <c r="B34" s="4"/>
      <c r="C34" s="4"/>
      <c r="D34" s="6"/>
      <c r="E34" s="6"/>
      <c r="F34" s="6"/>
      <c r="G34" s="6"/>
      <c r="H34" s="6"/>
      <c r="I34" s="6"/>
      <c r="J34" s="6"/>
      <c r="K34" s="42"/>
    </row>
    <row r="35" spans="2:11" ht="20.25" customHeight="1">
      <c r="B35" s="560" t="s">
        <v>18</v>
      </c>
      <c r="C35" s="560"/>
      <c r="D35" s="423"/>
      <c r="E35" s="8"/>
      <c r="F35" s="8"/>
      <c r="G35" s="9"/>
      <c r="H35" s="9"/>
      <c r="I35" s="9"/>
      <c r="J35" s="48"/>
      <c r="K35" s="48" t="s">
        <v>31</v>
      </c>
    </row>
    <row r="36" spans="2:11" ht="6.75" customHeight="1">
      <c r="B36" s="423"/>
      <c r="C36" s="423"/>
      <c r="D36" s="423"/>
      <c r="E36" s="8"/>
      <c r="F36" s="8"/>
      <c r="G36" s="9"/>
      <c r="H36" s="9"/>
      <c r="I36" s="9"/>
      <c r="J36" s="48"/>
      <c r="K36" s="48"/>
    </row>
    <row r="37" spans="2:11" ht="15.75" customHeight="1">
      <c r="B37" s="596" t="s">
        <v>602</v>
      </c>
      <c r="C37" s="596"/>
      <c r="D37" s="49"/>
      <c r="E37" s="7"/>
      <c r="F37" s="7"/>
      <c r="G37" s="7"/>
      <c r="H37" s="7"/>
      <c r="I37" s="7"/>
      <c r="J37" s="1"/>
      <c r="K37" s="1"/>
    </row>
    <row r="38" spans="2:11" ht="13.5" customHeight="1">
      <c r="B38" s="183" t="s">
        <v>10</v>
      </c>
      <c r="C38" s="183"/>
      <c r="D38" s="7"/>
      <c r="E38" s="7"/>
      <c r="F38" s="7"/>
      <c r="G38" s="7"/>
      <c r="H38" s="7"/>
      <c r="I38" s="7"/>
      <c r="J38" s="1"/>
      <c r="K38" s="1"/>
    </row>
    <row r="39" spans="2:11" ht="15.75">
      <c r="B39" s="43"/>
      <c r="C39" s="10"/>
      <c r="D39" s="44"/>
      <c r="E39" s="7"/>
      <c r="F39" s="7"/>
      <c r="G39" s="7"/>
      <c r="H39" s="7"/>
      <c r="I39" s="7"/>
      <c r="J39" s="1"/>
      <c r="K39" s="1"/>
    </row>
    <row r="40" spans="3:10" ht="15.75">
      <c r="C40" s="44"/>
      <c r="D40" s="7"/>
      <c r="E40" s="7"/>
      <c r="F40" s="7"/>
      <c r="G40" s="7"/>
      <c r="H40" s="7"/>
      <c r="I40" s="7"/>
      <c r="J40" s="7"/>
    </row>
    <row r="41" spans="3:10" ht="15.75">
      <c r="C41" s="45"/>
      <c r="D41" s="7"/>
      <c r="E41" s="7"/>
      <c r="F41" s="7"/>
      <c r="G41" s="7"/>
      <c r="H41" s="7"/>
      <c r="I41" s="7"/>
      <c r="J41" s="7"/>
    </row>
    <row r="43" ht="12.75">
      <c r="H43" s="5"/>
    </row>
  </sheetData>
  <sheetProtection/>
  <mergeCells count="21">
    <mergeCell ref="A13:A15"/>
    <mergeCell ref="B13:B15"/>
    <mergeCell ref="C13:C15"/>
    <mergeCell ref="D13:D15"/>
    <mergeCell ref="E13:J13"/>
    <mergeCell ref="K13:K15"/>
    <mergeCell ref="E14:E15"/>
    <mergeCell ref="B37:C37"/>
    <mergeCell ref="G14:G15"/>
    <mergeCell ref="H14:H15"/>
    <mergeCell ref="B35:C35"/>
    <mergeCell ref="I14:I15"/>
    <mergeCell ref="J14:J15"/>
    <mergeCell ref="J1:K1"/>
    <mergeCell ref="J2:K2"/>
    <mergeCell ref="J7:K7"/>
    <mergeCell ref="B11:K11"/>
    <mergeCell ref="D12:H12"/>
    <mergeCell ref="F14:F15"/>
    <mergeCell ref="J6:K6"/>
    <mergeCell ref="J8:K8"/>
  </mergeCells>
  <printOptions horizontalCentered="1"/>
  <pageMargins left="1.1811023622047245" right="0.5905511811023623" top="0.984251968503937" bottom="0.5905511811023623" header="0" footer="0"/>
  <pageSetup horizontalDpi="600" verticalDpi="600" orientation="landscape" paperSize="9" scale="70" r:id="rId1"/>
</worksheet>
</file>

<file path=xl/worksheets/sheet16.xml><?xml version="1.0" encoding="utf-8"?>
<worksheet xmlns="http://schemas.openxmlformats.org/spreadsheetml/2006/main" xmlns:r="http://schemas.openxmlformats.org/officeDocument/2006/relationships">
  <sheetPr>
    <tabColor rgb="FFFFFF00"/>
    <pageSetUpPr fitToPage="1"/>
  </sheetPr>
  <dimension ref="A1:K39"/>
  <sheetViews>
    <sheetView view="pageBreakPreview" zoomScale="76" zoomScaleSheetLayoutView="76" zoomScalePageLayoutView="0" workbookViewId="0" topLeftCell="A16">
      <selection activeCell="B20" sqref="B20"/>
    </sheetView>
  </sheetViews>
  <sheetFormatPr defaultColWidth="9.140625" defaultRowHeight="12.75"/>
  <cols>
    <col min="1" max="1" width="8.00390625" style="14" customWidth="1"/>
    <col min="2" max="2" width="71.28125" style="14" customWidth="1"/>
    <col min="3" max="3" width="23.28125" style="14" customWidth="1"/>
    <col min="4" max="4" width="19.7109375" style="14" customWidth="1"/>
    <col min="5" max="5" width="19.57421875" style="14" customWidth="1"/>
    <col min="6" max="6" width="19.7109375" style="14" customWidth="1"/>
    <col min="7" max="9" width="9.140625" style="14" hidden="1" customWidth="1"/>
    <col min="10" max="10" width="19.57421875" style="14" customWidth="1"/>
    <col min="11" max="11" width="47.00390625" style="14" customWidth="1"/>
    <col min="12" max="16384" width="9.140625" style="14" customWidth="1"/>
  </cols>
  <sheetData>
    <row r="1" spans="2:11" ht="18.75">
      <c r="B1" s="15"/>
      <c r="C1" s="15"/>
      <c r="D1" s="15"/>
      <c r="E1" s="15"/>
      <c r="F1" s="15"/>
      <c r="G1" s="15"/>
      <c r="H1" s="15"/>
      <c r="I1" s="13" t="s">
        <v>19</v>
      </c>
      <c r="J1" s="531" t="s">
        <v>572</v>
      </c>
      <c r="K1" s="531"/>
    </row>
    <row r="2" spans="2:11" ht="18.75">
      <c r="B2" s="15"/>
      <c r="C2" s="15"/>
      <c r="D2" s="15"/>
      <c r="E2" s="15"/>
      <c r="F2" s="15"/>
      <c r="G2" s="15"/>
      <c r="H2" s="15"/>
      <c r="I2" s="12" t="s">
        <v>11</v>
      </c>
      <c r="J2" s="531" t="s">
        <v>11</v>
      </c>
      <c r="K2" s="531"/>
    </row>
    <row r="3" spans="2:11" ht="18.75">
      <c r="B3" s="15"/>
      <c r="C3" s="15"/>
      <c r="D3" s="15"/>
      <c r="E3" s="15"/>
      <c r="F3" s="15"/>
      <c r="G3" s="15"/>
      <c r="H3" s="15"/>
      <c r="I3" s="12" t="s">
        <v>20</v>
      </c>
      <c r="J3" s="59" t="s">
        <v>489</v>
      </c>
      <c r="K3" s="59"/>
    </row>
    <row r="4" spans="2:11" ht="18.75">
      <c r="B4" s="15"/>
      <c r="C4" s="15"/>
      <c r="D4" s="15"/>
      <c r="E4" s="15"/>
      <c r="F4" s="15"/>
      <c r="G4" s="15"/>
      <c r="H4" s="15"/>
      <c r="I4" s="12" t="s">
        <v>21</v>
      </c>
      <c r="J4" s="59" t="s">
        <v>22</v>
      </c>
      <c r="K4" s="59"/>
    </row>
    <row r="5" spans="2:11" ht="18.75">
      <c r="B5" s="15"/>
      <c r="C5" s="15"/>
      <c r="D5" s="15"/>
      <c r="E5" s="15"/>
      <c r="F5" s="15"/>
      <c r="G5" s="15"/>
      <c r="H5" s="15"/>
      <c r="I5" s="12" t="s">
        <v>23</v>
      </c>
      <c r="J5" s="59" t="s">
        <v>24</v>
      </c>
      <c r="K5" s="59"/>
    </row>
    <row r="6" spans="2:11" ht="18.75">
      <c r="B6" s="15"/>
      <c r="C6" s="15"/>
      <c r="D6" s="15"/>
      <c r="E6" s="15"/>
      <c r="F6" s="15"/>
      <c r="G6" s="15"/>
      <c r="H6" s="16"/>
      <c r="I6" s="12" t="s">
        <v>25</v>
      </c>
      <c r="J6" s="59" t="s">
        <v>494</v>
      </c>
      <c r="K6" s="59"/>
    </row>
    <row r="7" spans="2:11" ht="18.75">
      <c r="B7" s="15"/>
      <c r="C7" s="15"/>
      <c r="D7" s="15"/>
      <c r="E7" s="15"/>
      <c r="F7" s="15"/>
      <c r="G7" s="15"/>
      <c r="H7" s="16"/>
      <c r="I7" s="12"/>
      <c r="J7" s="59" t="s">
        <v>495</v>
      </c>
      <c r="K7" s="59"/>
    </row>
    <row r="8" spans="2:11" ht="18.75">
      <c r="B8" s="15"/>
      <c r="C8" s="15"/>
      <c r="D8" s="15"/>
      <c r="E8" s="15"/>
      <c r="F8" s="15"/>
      <c r="G8" s="15"/>
      <c r="H8" s="16"/>
      <c r="I8" s="12"/>
      <c r="J8" s="59" t="s">
        <v>611</v>
      </c>
      <c r="K8" s="59"/>
    </row>
    <row r="9" spans="2:11" ht="21" customHeight="1">
      <c r="B9" s="15"/>
      <c r="C9" s="15"/>
      <c r="D9" s="15"/>
      <c r="E9" s="15"/>
      <c r="F9" s="15"/>
      <c r="G9" s="15"/>
      <c r="H9" s="16"/>
      <c r="I9" s="12" t="s">
        <v>26</v>
      </c>
      <c r="J9" s="396" t="s">
        <v>624</v>
      </c>
      <c r="K9" s="396"/>
    </row>
    <row r="10" spans="2:11" ht="15.75">
      <c r="B10" s="15"/>
      <c r="C10" s="15"/>
      <c r="D10" s="15"/>
      <c r="E10" s="15"/>
      <c r="F10" s="15"/>
      <c r="G10" s="15"/>
      <c r="H10" s="15"/>
      <c r="I10" s="15"/>
      <c r="J10" s="15"/>
      <c r="K10" s="15"/>
    </row>
    <row r="11" spans="1:11" ht="18.75">
      <c r="A11" s="537" t="s">
        <v>496</v>
      </c>
      <c r="B11" s="537"/>
      <c r="C11" s="537"/>
      <c r="D11" s="537"/>
      <c r="E11" s="537"/>
      <c r="F11" s="537"/>
      <c r="G11" s="537"/>
      <c r="H11" s="537"/>
      <c r="I11" s="537"/>
      <c r="J11" s="537"/>
      <c r="K11" s="537"/>
    </row>
    <row r="12" spans="2:11" ht="15.75">
      <c r="B12" s="15"/>
      <c r="C12" s="15"/>
      <c r="D12" s="542"/>
      <c r="E12" s="542"/>
      <c r="F12" s="542"/>
      <c r="G12" s="542"/>
      <c r="H12" s="542"/>
      <c r="I12" s="15"/>
      <c r="J12" s="15"/>
      <c r="K12" s="35" t="s">
        <v>481</v>
      </c>
    </row>
    <row r="13" spans="1:11" ht="18.75">
      <c r="A13" s="534" t="s">
        <v>33</v>
      </c>
      <c r="B13" s="534" t="s">
        <v>12</v>
      </c>
      <c r="C13" s="534" t="s">
        <v>13</v>
      </c>
      <c r="D13" s="534" t="s">
        <v>488</v>
      </c>
      <c r="E13" s="543" t="s">
        <v>9</v>
      </c>
      <c r="F13" s="543"/>
      <c r="G13" s="543"/>
      <c r="H13" s="543"/>
      <c r="I13" s="543"/>
      <c r="J13" s="598"/>
      <c r="K13" s="539" t="s">
        <v>15</v>
      </c>
    </row>
    <row r="14" spans="1:11" ht="12.75">
      <c r="A14" s="535"/>
      <c r="B14" s="535"/>
      <c r="C14" s="535"/>
      <c r="D14" s="535"/>
      <c r="E14" s="534" t="s">
        <v>484</v>
      </c>
      <c r="F14" s="534" t="s">
        <v>485</v>
      </c>
      <c r="G14" s="534" t="s">
        <v>28</v>
      </c>
      <c r="H14" s="534" t="s">
        <v>29</v>
      </c>
      <c r="I14" s="534" t="s">
        <v>30</v>
      </c>
      <c r="J14" s="539" t="s">
        <v>486</v>
      </c>
      <c r="K14" s="539"/>
    </row>
    <row r="15" spans="1:11" ht="24.75" customHeight="1">
      <c r="A15" s="536"/>
      <c r="B15" s="536"/>
      <c r="C15" s="536"/>
      <c r="D15" s="536"/>
      <c r="E15" s="536"/>
      <c r="F15" s="536"/>
      <c r="G15" s="536"/>
      <c r="H15" s="536"/>
      <c r="I15" s="536"/>
      <c r="J15" s="539"/>
      <c r="K15" s="539"/>
    </row>
    <row r="16" spans="1:11" ht="54.75" customHeight="1">
      <c r="A16" s="36">
        <v>1</v>
      </c>
      <c r="B16" s="65" t="s">
        <v>218</v>
      </c>
      <c r="C16" s="66" t="s">
        <v>16</v>
      </c>
      <c r="D16" s="475">
        <f>F16+E16+J16</f>
        <v>4708.7</v>
      </c>
      <c r="E16" s="475">
        <v>1521.7</v>
      </c>
      <c r="F16" s="476">
        <f>1600-63</f>
        <v>1537</v>
      </c>
      <c r="G16" s="476"/>
      <c r="H16" s="476"/>
      <c r="I16" s="476"/>
      <c r="J16" s="476">
        <v>1650</v>
      </c>
      <c r="K16" s="36" t="s">
        <v>219</v>
      </c>
    </row>
    <row r="17" spans="1:11" ht="59.25" customHeight="1">
      <c r="A17" s="36">
        <v>2</v>
      </c>
      <c r="B17" s="65" t="s">
        <v>513</v>
      </c>
      <c r="C17" s="258" t="s">
        <v>16</v>
      </c>
      <c r="D17" s="475">
        <f>F17+E17+J17</f>
        <v>11549.1</v>
      </c>
      <c r="E17" s="475">
        <f>6103+500+500</f>
        <v>7103</v>
      </c>
      <c r="F17" s="476">
        <f>0+877+2209+427+232+316.5+384.6</f>
        <v>4446.1</v>
      </c>
      <c r="G17" s="476"/>
      <c r="H17" s="476"/>
      <c r="I17" s="476"/>
      <c r="J17" s="476"/>
      <c r="K17" s="36" t="s">
        <v>313</v>
      </c>
    </row>
    <row r="18" spans="1:11" ht="62.25" customHeight="1">
      <c r="A18" s="479" t="s">
        <v>441</v>
      </c>
      <c r="B18" s="480" t="s">
        <v>518</v>
      </c>
      <c r="C18" s="258"/>
      <c r="D18" s="475"/>
      <c r="E18" s="475"/>
      <c r="F18" s="476">
        <v>537</v>
      </c>
      <c r="G18" s="476"/>
      <c r="H18" s="476"/>
      <c r="I18" s="476"/>
      <c r="J18" s="476"/>
      <c r="K18" s="481" t="s">
        <v>313</v>
      </c>
    </row>
    <row r="19" spans="1:11" ht="37.5" customHeight="1">
      <c r="A19" s="479" t="s">
        <v>478</v>
      </c>
      <c r="B19" s="480" t="s">
        <v>519</v>
      </c>
      <c r="C19" s="258"/>
      <c r="D19" s="475"/>
      <c r="E19" s="475"/>
      <c r="F19" s="476">
        <v>20</v>
      </c>
      <c r="G19" s="476"/>
      <c r="H19" s="476"/>
      <c r="I19" s="476"/>
      <c r="J19" s="476"/>
      <c r="K19" s="481" t="s">
        <v>313</v>
      </c>
    </row>
    <row r="20" spans="1:11" ht="27.75" customHeight="1">
      <c r="A20" s="479" t="s">
        <v>514</v>
      </c>
      <c r="B20" s="480" t="s">
        <v>586</v>
      </c>
      <c r="C20" s="258"/>
      <c r="D20" s="475"/>
      <c r="E20" s="475"/>
      <c r="F20" s="476">
        <f>86.9+232+316.5</f>
        <v>635.4</v>
      </c>
      <c r="G20" s="476"/>
      <c r="H20" s="476"/>
      <c r="I20" s="476"/>
      <c r="J20" s="476"/>
      <c r="K20" s="481" t="s">
        <v>313</v>
      </c>
    </row>
    <row r="21" spans="1:11" ht="48.75" customHeight="1">
      <c r="A21" s="479" t="s">
        <v>515</v>
      </c>
      <c r="B21" s="480" t="s">
        <v>587</v>
      </c>
      <c r="C21" s="258"/>
      <c r="D21" s="475"/>
      <c r="E21" s="475"/>
      <c r="F21" s="476">
        <v>233.1</v>
      </c>
      <c r="G21" s="476"/>
      <c r="H21" s="476"/>
      <c r="I21" s="476"/>
      <c r="J21" s="476"/>
      <c r="K21" s="481" t="s">
        <v>313</v>
      </c>
    </row>
    <row r="22" spans="1:11" ht="45" customHeight="1">
      <c r="A22" s="479" t="s">
        <v>516</v>
      </c>
      <c r="B22" s="480" t="s">
        <v>523</v>
      </c>
      <c r="C22" s="258"/>
      <c r="D22" s="475"/>
      <c r="E22" s="475"/>
      <c r="F22" s="476">
        <v>1195</v>
      </c>
      <c r="G22" s="476"/>
      <c r="H22" s="476"/>
      <c r="I22" s="476"/>
      <c r="J22" s="476"/>
      <c r="K22" s="481" t="s">
        <v>313</v>
      </c>
    </row>
    <row r="23" spans="1:11" ht="31.5" customHeight="1">
      <c r="A23" s="479" t="s">
        <v>517</v>
      </c>
      <c r="B23" s="480" t="s">
        <v>524</v>
      </c>
      <c r="C23" s="258"/>
      <c r="D23" s="475"/>
      <c r="E23" s="475"/>
      <c r="F23" s="476">
        <v>463</v>
      </c>
      <c r="G23" s="476"/>
      <c r="H23" s="476"/>
      <c r="I23" s="476"/>
      <c r="J23" s="476"/>
      <c r="K23" s="481" t="s">
        <v>313</v>
      </c>
    </row>
    <row r="24" spans="1:11" ht="33" customHeight="1">
      <c r="A24" s="479" t="s">
        <v>520</v>
      </c>
      <c r="B24" s="480" t="s">
        <v>525</v>
      </c>
      <c r="C24" s="258"/>
      <c r="D24" s="475"/>
      <c r="E24" s="475"/>
      <c r="F24" s="476">
        <v>551</v>
      </c>
      <c r="G24" s="476"/>
      <c r="H24" s="476"/>
      <c r="I24" s="476"/>
      <c r="J24" s="476"/>
      <c r="K24" s="481" t="s">
        <v>313</v>
      </c>
    </row>
    <row r="25" spans="1:11" ht="33" customHeight="1">
      <c r="A25" s="479" t="s">
        <v>585</v>
      </c>
      <c r="B25" s="480" t="s">
        <v>582</v>
      </c>
      <c r="C25" s="258"/>
      <c r="D25" s="475"/>
      <c r="E25" s="475"/>
      <c r="F25" s="476">
        <f>427+384.6</f>
        <v>811.6</v>
      </c>
      <c r="G25" s="476"/>
      <c r="H25" s="476"/>
      <c r="I25" s="476"/>
      <c r="J25" s="476"/>
      <c r="K25" s="481" t="s">
        <v>313</v>
      </c>
    </row>
    <row r="26" spans="1:11" ht="213" customHeight="1">
      <c r="A26" s="36">
        <v>3</v>
      </c>
      <c r="B26" s="65" t="s">
        <v>314</v>
      </c>
      <c r="C26" s="258" t="s">
        <v>73</v>
      </c>
      <c r="D26" s="475">
        <v>13705</v>
      </c>
      <c r="E26" s="477">
        <v>13705</v>
      </c>
      <c r="F26" s="476"/>
      <c r="G26" s="476"/>
      <c r="H26" s="476"/>
      <c r="I26" s="476"/>
      <c r="J26" s="476"/>
      <c r="K26" s="36" t="s">
        <v>315</v>
      </c>
    </row>
    <row r="27" spans="1:11" ht="18.75">
      <c r="A27" s="70"/>
      <c r="B27" s="60" t="s">
        <v>5</v>
      </c>
      <c r="C27" s="71"/>
      <c r="D27" s="180">
        <f>D16+D17+D26</f>
        <v>29962.8</v>
      </c>
      <c r="E27" s="180">
        <f aca="true" t="shared" si="0" ref="E27:J27">E16+E17+E26</f>
        <v>22329.7</v>
      </c>
      <c r="F27" s="180">
        <f t="shared" si="0"/>
        <v>5983.1</v>
      </c>
      <c r="G27" s="180">
        <f t="shared" si="0"/>
        <v>0</v>
      </c>
      <c r="H27" s="180">
        <f t="shared" si="0"/>
        <v>0</v>
      </c>
      <c r="I27" s="180">
        <f t="shared" si="0"/>
        <v>0</v>
      </c>
      <c r="J27" s="180">
        <f t="shared" si="0"/>
        <v>1650</v>
      </c>
      <c r="K27" s="72"/>
    </row>
    <row r="28" spans="1:11" ht="15.75">
      <c r="A28" s="39"/>
      <c r="B28" s="18"/>
      <c r="C28" s="18"/>
      <c r="D28" s="19"/>
      <c r="E28" s="19"/>
      <c r="F28" s="19"/>
      <c r="G28" s="19"/>
      <c r="H28" s="19"/>
      <c r="I28" s="19"/>
      <c r="J28" s="19"/>
      <c r="K28" s="20"/>
    </row>
    <row r="29" spans="2:11" ht="15.75">
      <c r="B29" s="18"/>
      <c r="C29" s="18"/>
      <c r="D29" s="19"/>
      <c r="E29" s="19"/>
      <c r="F29" s="19"/>
      <c r="G29" s="19"/>
      <c r="H29" s="19"/>
      <c r="I29" s="19"/>
      <c r="J29" s="19"/>
      <c r="K29" s="20"/>
    </row>
    <row r="30" spans="2:11" ht="18.75">
      <c r="B30" s="52"/>
      <c r="C30" s="53"/>
      <c r="E30" s="19"/>
      <c r="F30" s="19"/>
      <c r="G30" s="19"/>
      <c r="H30" s="19"/>
      <c r="I30" s="19"/>
      <c r="J30" s="19"/>
      <c r="K30" s="53"/>
    </row>
    <row r="31" spans="2:11" ht="18.75">
      <c r="B31" s="513" t="s">
        <v>18</v>
      </c>
      <c r="C31" s="513"/>
      <c r="D31" s="413"/>
      <c r="E31" s="22"/>
      <c r="F31" s="22"/>
      <c r="G31" s="16"/>
      <c r="H31" s="16"/>
      <c r="I31" s="16"/>
      <c r="J31" s="23"/>
      <c r="K31" s="23" t="s">
        <v>7</v>
      </c>
    </row>
    <row r="32" spans="2:11" ht="15" customHeight="1">
      <c r="B32" s="413"/>
      <c r="C32" s="413"/>
      <c r="D32" s="413"/>
      <c r="E32" s="22"/>
      <c r="F32" s="22"/>
      <c r="G32" s="16"/>
      <c r="H32" s="16"/>
      <c r="I32" s="16"/>
      <c r="J32" s="23"/>
      <c r="K32" s="23"/>
    </row>
    <row r="33" spans="2:11" ht="18.75">
      <c r="B33" s="538" t="s">
        <v>602</v>
      </c>
      <c r="C33" s="538"/>
      <c r="D33" s="25"/>
      <c r="E33" s="26"/>
      <c r="F33" s="26"/>
      <c r="G33" s="26"/>
      <c r="H33" s="26"/>
      <c r="I33" s="26"/>
      <c r="J33" s="15"/>
      <c r="K33" s="15"/>
    </row>
    <row r="34" spans="2:11" ht="15.75">
      <c r="B34" s="27" t="s">
        <v>10</v>
      </c>
      <c r="C34" s="27"/>
      <c r="D34" s="26"/>
      <c r="E34" s="26"/>
      <c r="F34" s="26"/>
      <c r="G34" s="26"/>
      <c r="H34" s="26"/>
      <c r="I34" s="26"/>
      <c r="J34" s="15"/>
      <c r="K34" s="15"/>
    </row>
    <row r="35" spans="2:11" ht="15.75">
      <c r="B35" s="28"/>
      <c r="C35" s="29"/>
      <c r="D35" s="30"/>
      <c r="E35" s="26"/>
      <c r="F35" s="26"/>
      <c r="G35" s="26"/>
      <c r="H35" s="26"/>
      <c r="I35" s="26"/>
      <c r="J35" s="15"/>
      <c r="K35" s="15"/>
    </row>
    <row r="36" spans="3:10" ht="15.75">
      <c r="C36" s="30"/>
      <c r="D36" s="26"/>
      <c r="E36" s="26"/>
      <c r="F36" s="26"/>
      <c r="G36" s="26"/>
      <c r="H36" s="26"/>
      <c r="I36" s="26"/>
      <c r="J36" s="26"/>
    </row>
    <row r="37" spans="3:10" ht="15.75">
      <c r="C37" s="31"/>
      <c r="D37" s="26"/>
      <c r="E37" s="26"/>
      <c r="F37" s="26"/>
      <c r="G37" s="26"/>
      <c r="H37" s="26"/>
      <c r="I37" s="26"/>
      <c r="J37" s="26"/>
    </row>
    <row r="39" ht="12.75">
      <c r="H39" s="32"/>
    </row>
  </sheetData>
  <sheetProtection/>
  <mergeCells count="18">
    <mergeCell ref="B31:C31"/>
    <mergeCell ref="B33:C33"/>
    <mergeCell ref="K13:K15"/>
    <mergeCell ref="E14:E15"/>
    <mergeCell ref="F14:F15"/>
    <mergeCell ref="G14:G15"/>
    <mergeCell ref="H14:H15"/>
    <mergeCell ref="I14:I15"/>
    <mergeCell ref="J14:J15"/>
    <mergeCell ref="J1:K1"/>
    <mergeCell ref="J2:K2"/>
    <mergeCell ref="A11:K11"/>
    <mergeCell ref="D12:H12"/>
    <mergeCell ref="A13:A15"/>
    <mergeCell ref="B13:B15"/>
    <mergeCell ref="C13:C15"/>
    <mergeCell ref="D13:D15"/>
    <mergeCell ref="E13:J13"/>
  </mergeCells>
  <printOptions horizontalCentered="1"/>
  <pageMargins left="1.1811023622047245" right="0.5905511811023623" top="1.1811023622047245" bottom="0.7874015748031497" header="0" footer="0"/>
  <pageSetup fitToWidth="0" fitToHeight="1" horizontalDpi="600" verticalDpi="600" orientation="landscape" paperSize="9" scale="44" r:id="rId1"/>
</worksheet>
</file>

<file path=xl/worksheets/sheet17.xml><?xml version="1.0" encoding="utf-8"?>
<worksheet xmlns="http://schemas.openxmlformats.org/spreadsheetml/2006/main" xmlns:r="http://schemas.openxmlformats.org/officeDocument/2006/relationships">
  <sheetPr>
    <tabColor rgb="FFFFFF00"/>
    <pageSetUpPr fitToPage="1"/>
  </sheetPr>
  <dimension ref="A1:O31"/>
  <sheetViews>
    <sheetView view="pageBreakPreview" zoomScaleSheetLayoutView="100" zoomScalePageLayoutView="0" workbookViewId="0" topLeftCell="A1">
      <selection activeCell="B17" sqref="B17"/>
    </sheetView>
  </sheetViews>
  <sheetFormatPr defaultColWidth="9.140625" defaultRowHeight="12.75"/>
  <cols>
    <col min="1" max="1" width="6.7109375" style="14" customWidth="1"/>
    <col min="2" max="2" width="48.8515625" style="14" customWidth="1"/>
    <col min="3" max="3" width="18.00390625" style="14" customWidth="1"/>
    <col min="4" max="4" width="12.00390625" style="14" customWidth="1"/>
    <col min="5" max="5" width="9.7109375" style="14" customWidth="1"/>
    <col min="6" max="6" width="10.8515625" style="14" customWidth="1"/>
    <col min="7" max="8" width="11.57421875" style="14" hidden="1" customWidth="1"/>
    <col min="9" max="9" width="12.57421875" style="14" hidden="1" customWidth="1"/>
    <col min="10" max="10" width="10.00390625" style="14" customWidth="1"/>
    <col min="11" max="11" width="43.28125" style="14" customWidth="1"/>
    <col min="12" max="13" width="9.140625" style="14" hidden="1" customWidth="1"/>
    <col min="14" max="14" width="9.8515625" style="14" hidden="1" customWidth="1"/>
    <col min="15" max="15" width="10.140625" style="14" customWidth="1"/>
    <col min="16" max="16384" width="9.140625" style="14" customWidth="1"/>
  </cols>
  <sheetData>
    <row r="1" spans="2:12" ht="15.75">
      <c r="B1" s="15"/>
      <c r="C1" s="15"/>
      <c r="D1" s="15"/>
      <c r="E1" s="15"/>
      <c r="F1" s="15"/>
      <c r="G1" s="15"/>
      <c r="H1" s="15"/>
      <c r="I1" s="13" t="s">
        <v>19</v>
      </c>
      <c r="J1" s="544" t="s">
        <v>573</v>
      </c>
      <c r="K1" s="544"/>
      <c r="L1" s="13" t="s">
        <v>19</v>
      </c>
    </row>
    <row r="2" spans="2:12" ht="15.75">
      <c r="B2" s="15"/>
      <c r="C2" s="15"/>
      <c r="D2" s="15"/>
      <c r="E2" s="15"/>
      <c r="F2" s="15"/>
      <c r="G2" s="15"/>
      <c r="H2" s="15"/>
      <c r="I2" s="12" t="s">
        <v>11</v>
      </c>
      <c r="J2" s="544" t="s">
        <v>11</v>
      </c>
      <c r="K2" s="544"/>
      <c r="L2" s="12" t="s">
        <v>11</v>
      </c>
    </row>
    <row r="3" spans="2:12" ht="15.75">
      <c r="B3" s="15"/>
      <c r="C3" s="15"/>
      <c r="D3" s="15"/>
      <c r="E3" s="15"/>
      <c r="F3" s="15"/>
      <c r="G3" s="15"/>
      <c r="H3" s="15"/>
      <c r="I3" s="12" t="s">
        <v>20</v>
      </c>
      <c r="J3" s="12" t="s">
        <v>173</v>
      </c>
      <c r="K3" s="12"/>
      <c r="L3" s="12" t="s">
        <v>20</v>
      </c>
    </row>
    <row r="4" spans="2:12" ht="15.75">
      <c r="B4" s="15"/>
      <c r="C4" s="15"/>
      <c r="D4" s="15"/>
      <c r="E4" s="15"/>
      <c r="F4" s="15"/>
      <c r="G4" s="15"/>
      <c r="H4" s="15"/>
      <c r="I4" s="12" t="s">
        <v>21</v>
      </c>
      <c r="J4" s="12" t="s">
        <v>22</v>
      </c>
      <c r="K4" s="12"/>
      <c r="L4" s="12" t="s">
        <v>21</v>
      </c>
    </row>
    <row r="5" spans="2:12" ht="15.75">
      <c r="B5" s="15"/>
      <c r="C5" s="15"/>
      <c r="D5" s="15"/>
      <c r="E5" s="15"/>
      <c r="F5" s="15"/>
      <c r="G5" s="15"/>
      <c r="H5" s="15"/>
      <c r="I5" s="12" t="s">
        <v>23</v>
      </c>
      <c r="J5" s="12" t="s">
        <v>24</v>
      </c>
      <c r="K5" s="12"/>
      <c r="L5" s="12" t="s">
        <v>23</v>
      </c>
    </row>
    <row r="6" spans="2:12" ht="15.75">
      <c r="B6" s="15"/>
      <c r="C6" s="15"/>
      <c r="D6" s="15"/>
      <c r="E6" s="15"/>
      <c r="F6" s="15"/>
      <c r="G6" s="15"/>
      <c r="H6" s="16"/>
      <c r="I6" s="12" t="s">
        <v>25</v>
      </c>
      <c r="J6" s="12" t="s">
        <v>240</v>
      </c>
      <c r="K6" s="12"/>
      <c r="L6" s="12" t="s">
        <v>25</v>
      </c>
    </row>
    <row r="7" spans="2:15" ht="15.75" customHeight="1">
      <c r="B7" s="15"/>
      <c r="C7" s="15"/>
      <c r="D7" s="15"/>
      <c r="E7" s="15"/>
      <c r="F7" s="15"/>
      <c r="G7" s="15"/>
      <c r="H7" s="16"/>
      <c r="I7" s="12" t="s">
        <v>26</v>
      </c>
      <c r="J7" s="541" t="s">
        <v>610</v>
      </c>
      <c r="K7" s="585"/>
      <c r="L7" s="17"/>
      <c r="M7" s="17"/>
      <c r="N7" s="17"/>
      <c r="O7" s="17"/>
    </row>
    <row r="8" spans="2:12" ht="15.75">
      <c r="B8" s="15"/>
      <c r="C8" s="15"/>
      <c r="D8" s="15"/>
      <c r="E8" s="15"/>
      <c r="F8" s="15"/>
      <c r="G8" s="15"/>
      <c r="H8" s="15"/>
      <c r="I8" s="15"/>
      <c r="J8" s="15" t="s">
        <v>635</v>
      </c>
      <c r="K8" s="15"/>
      <c r="L8" s="15"/>
    </row>
    <row r="9" spans="2:12" ht="21.75" customHeight="1">
      <c r="B9" s="537" t="s">
        <v>555</v>
      </c>
      <c r="C9" s="537"/>
      <c r="D9" s="537"/>
      <c r="E9" s="537"/>
      <c r="F9" s="537"/>
      <c r="G9" s="537"/>
      <c r="H9" s="537"/>
      <c r="I9" s="537"/>
      <c r="J9" s="537"/>
      <c r="K9" s="537"/>
      <c r="L9" s="15"/>
    </row>
    <row r="10" spans="2:12" ht="15.75">
      <c r="B10" s="15"/>
      <c r="C10" s="15"/>
      <c r="D10" s="542"/>
      <c r="E10" s="542"/>
      <c r="F10" s="542"/>
      <c r="G10" s="542"/>
      <c r="H10" s="542"/>
      <c r="I10" s="15"/>
      <c r="J10" s="15"/>
      <c r="K10" s="35" t="s">
        <v>534</v>
      </c>
      <c r="L10" s="15"/>
    </row>
    <row r="11" spans="1:12" ht="15.75" customHeight="1">
      <c r="A11" s="580" t="s">
        <v>33</v>
      </c>
      <c r="B11" s="580" t="s">
        <v>12</v>
      </c>
      <c r="C11" s="580" t="s">
        <v>13</v>
      </c>
      <c r="D11" s="580" t="s">
        <v>505</v>
      </c>
      <c r="E11" s="586" t="s">
        <v>9</v>
      </c>
      <c r="F11" s="586"/>
      <c r="G11" s="586"/>
      <c r="H11" s="586"/>
      <c r="I11" s="586"/>
      <c r="J11" s="587"/>
      <c r="K11" s="583" t="s">
        <v>15</v>
      </c>
      <c r="L11" s="15"/>
    </row>
    <row r="12" spans="1:12" ht="15.75">
      <c r="A12" s="581"/>
      <c r="B12" s="581"/>
      <c r="C12" s="581"/>
      <c r="D12" s="581"/>
      <c r="E12" s="580">
        <v>2018</v>
      </c>
      <c r="F12" s="580">
        <v>2019</v>
      </c>
      <c r="G12" s="580" t="s">
        <v>28</v>
      </c>
      <c r="H12" s="580" t="s">
        <v>29</v>
      </c>
      <c r="I12" s="580" t="s">
        <v>30</v>
      </c>
      <c r="J12" s="583">
        <v>2020</v>
      </c>
      <c r="K12" s="583"/>
      <c r="L12" s="15"/>
    </row>
    <row r="13" spans="1:12" ht="15.75">
      <c r="A13" s="582"/>
      <c r="B13" s="582"/>
      <c r="C13" s="582"/>
      <c r="D13" s="582"/>
      <c r="E13" s="582"/>
      <c r="F13" s="582"/>
      <c r="G13" s="582"/>
      <c r="H13" s="582"/>
      <c r="I13" s="582"/>
      <c r="J13" s="583"/>
      <c r="K13" s="583"/>
      <c r="L13" s="15"/>
    </row>
    <row r="14" spans="1:12" ht="63">
      <c r="A14" s="545">
        <v>1</v>
      </c>
      <c r="B14" s="84" t="s">
        <v>85</v>
      </c>
      <c r="C14" s="615" t="s">
        <v>16</v>
      </c>
      <c r="D14" s="114">
        <f>E14+F14+J14</f>
        <v>4200</v>
      </c>
      <c r="E14" s="115">
        <f>1300+100</f>
        <v>1400</v>
      </c>
      <c r="F14" s="115">
        <f>1300+200</f>
        <v>1500</v>
      </c>
      <c r="G14" s="115">
        <v>1100</v>
      </c>
      <c r="H14" s="115">
        <v>1100</v>
      </c>
      <c r="I14" s="115">
        <v>1100</v>
      </c>
      <c r="J14" s="115">
        <v>1300</v>
      </c>
      <c r="K14" s="615" t="s">
        <v>86</v>
      </c>
      <c r="L14" s="15"/>
    </row>
    <row r="15" spans="1:14" ht="47.25" customHeight="1" hidden="1">
      <c r="A15" s="614"/>
      <c r="B15" s="85" t="s">
        <v>59</v>
      </c>
      <c r="C15" s="616"/>
      <c r="D15" s="114"/>
      <c r="E15" s="116">
        <v>0</v>
      </c>
      <c r="F15" s="115"/>
      <c r="G15" s="115"/>
      <c r="H15" s="115"/>
      <c r="I15" s="115"/>
      <c r="J15" s="115"/>
      <c r="K15" s="616"/>
      <c r="L15" s="15"/>
      <c r="N15" s="55">
        <v>441</v>
      </c>
    </row>
    <row r="16" spans="1:14" ht="54" customHeight="1" hidden="1">
      <c r="A16" s="614"/>
      <c r="B16" s="86" t="s">
        <v>60</v>
      </c>
      <c r="C16" s="616"/>
      <c r="D16" s="114"/>
      <c r="E16" s="117">
        <v>0</v>
      </c>
      <c r="F16" s="115"/>
      <c r="G16" s="115"/>
      <c r="H16" s="115"/>
      <c r="I16" s="115"/>
      <c r="J16" s="115"/>
      <c r="K16" s="616"/>
      <c r="L16" s="15"/>
      <c r="N16" s="55"/>
    </row>
    <row r="17" spans="1:14" ht="94.5">
      <c r="A17" s="546"/>
      <c r="B17" s="84" t="s">
        <v>87</v>
      </c>
      <c r="C17" s="617"/>
      <c r="D17" s="114">
        <f>E17+F17+J17</f>
        <v>1020</v>
      </c>
      <c r="E17" s="120">
        <f>200+90</f>
        <v>290</v>
      </c>
      <c r="F17" s="120">
        <f>200+100+100+130</f>
        <v>530</v>
      </c>
      <c r="G17" s="120">
        <v>200</v>
      </c>
      <c r="H17" s="120">
        <v>200</v>
      </c>
      <c r="I17" s="120">
        <v>200</v>
      </c>
      <c r="J17" s="120">
        <v>200</v>
      </c>
      <c r="K17" s="617"/>
      <c r="L17" s="15"/>
      <c r="N17" s="55"/>
    </row>
    <row r="18" spans="1:12" ht="32.25" customHeight="1">
      <c r="A18" s="87"/>
      <c r="B18" s="83" t="s">
        <v>5</v>
      </c>
      <c r="C18" s="118"/>
      <c r="D18" s="114">
        <f>D17+D14</f>
        <v>5220</v>
      </c>
      <c r="E18" s="114">
        <f>E14+E17</f>
        <v>1690</v>
      </c>
      <c r="F18" s="114">
        <f>F17+F14</f>
        <v>2030</v>
      </c>
      <c r="G18" s="114" t="e">
        <f>G14+G15+#REF!</f>
        <v>#REF!</v>
      </c>
      <c r="H18" s="114" t="e">
        <f>H14+H15+#REF!</f>
        <v>#REF!</v>
      </c>
      <c r="I18" s="114" t="e">
        <f>I14+I15+#REF!</f>
        <v>#REF!</v>
      </c>
      <c r="J18" s="114">
        <f>J17+J14</f>
        <v>1500</v>
      </c>
      <c r="K18" s="119"/>
      <c r="L18" s="15"/>
    </row>
    <row r="19" spans="2:12" ht="15.75">
      <c r="B19" s="18"/>
      <c r="C19" s="18"/>
      <c r="D19" s="19"/>
      <c r="E19" s="19"/>
      <c r="F19" s="19"/>
      <c r="G19" s="19"/>
      <c r="H19" s="19"/>
      <c r="I19" s="19"/>
      <c r="J19" s="19"/>
      <c r="K19" s="20"/>
      <c r="L19" s="15"/>
    </row>
    <row r="20" spans="2:12" ht="15.75" hidden="1">
      <c r="B20" s="18"/>
      <c r="C20" s="18"/>
      <c r="D20" s="19"/>
      <c r="E20" s="19"/>
      <c r="F20" s="19"/>
      <c r="G20" s="19"/>
      <c r="H20" s="19"/>
      <c r="I20" s="19"/>
      <c r="J20" s="19"/>
      <c r="K20" s="20"/>
      <c r="L20" s="15"/>
    </row>
    <row r="21" spans="2:12" ht="15.75">
      <c r="B21" s="18"/>
      <c r="C21" s="18"/>
      <c r="D21" s="19"/>
      <c r="E21" s="19"/>
      <c r="F21" s="19"/>
      <c r="G21" s="19"/>
      <c r="H21" s="19"/>
      <c r="I21" s="19"/>
      <c r="J21" s="19"/>
      <c r="K21" s="20"/>
      <c r="L21" s="15"/>
    </row>
    <row r="22" spans="2:12" ht="9.75" customHeight="1">
      <c r="B22" s="52"/>
      <c r="C22" s="53"/>
      <c r="E22" s="19"/>
      <c r="F22" s="19"/>
      <c r="G22" s="19"/>
      <c r="H22" s="19"/>
      <c r="I22" s="19"/>
      <c r="J22" s="19"/>
      <c r="K22" s="53"/>
      <c r="L22" s="15"/>
    </row>
    <row r="23" spans="2:12" ht="18.75" customHeight="1">
      <c r="B23" s="560" t="s">
        <v>18</v>
      </c>
      <c r="C23" s="560"/>
      <c r="D23" s="413"/>
      <c r="E23" s="22"/>
      <c r="F23" s="22"/>
      <c r="G23" s="16"/>
      <c r="H23" s="16"/>
      <c r="I23" s="16"/>
      <c r="J23" s="23"/>
      <c r="K23" s="23" t="s">
        <v>7</v>
      </c>
      <c r="L23" s="23"/>
    </row>
    <row r="24" spans="2:12" ht="14.25" customHeight="1">
      <c r="B24" s="413"/>
      <c r="C24" s="413"/>
      <c r="D24" s="413"/>
      <c r="E24" s="22"/>
      <c r="F24" s="22"/>
      <c r="G24" s="16"/>
      <c r="H24" s="16"/>
      <c r="I24" s="16"/>
      <c r="J24" s="23"/>
      <c r="K24" s="23"/>
      <c r="L24" s="23"/>
    </row>
    <row r="25" spans="2:11" ht="18.75">
      <c r="B25" s="538" t="s">
        <v>602</v>
      </c>
      <c r="C25" s="538"/>
      <c r="D25" s="25"/>
      <c r="E25" s="26"/>
      <c r="F25" s="26"/>
      <c r="G25" s="26"/>
      <c r="H25" s="26"/>
      <c r="I25" s="26"/>
      <c r="J25" s="15"/>
      <c r="K25" s="15"/>
    </row>
    <row r="26" spans="2:13" ht="15.75">
      <c r="B26" s="27" t="s">
        <v>10</v>
      </c>
      <c r="C26" s="27"/>
      <c r="D26" s="26"/>
      <c r="E26" s="26"/>
      <c r="F26" s="26"/>
      <c r="G26" s="26"/>
      <c r="H26" s="26"/>
      <c r="I26" s="26"/>
      <c r="J26" s="15"/>
      <c r="K26" s="15"/>
      <c r="M26" s="12"/>
    </row>
    <row r="27" spans="2:11" ht="15.75">
      <c r="B27" s="28"/>
      <c r="C27" s="29"/>
      <c r="D27" s="30"/>
      <c r="E27" s="26"/>
      <c r="F27" s="26"/>
      <c r="G27" s="26"/>
      <c r="H27" s="26"/>
      <c r="I27" s="26"/>
      <c r="J27" s="15"/>
      <c r="K27" s="15"/>
    </row>
    <row r="28" spans="3:10" ht="15.75">
      <c r="C28" s="30"/>
      <c r="D28" s="26"/>
      <c r="E28" s="26"/>
      <c r="F28" s="26"/>
      <c r="G28" s="26"/>
      <c r="H28" s="26"/>
      <c r="I28" s="26"/>
      <c r="J28" s="26"/>
    </row>
    <row r="29" spans="3:10" ht="15.75">
      <c r="C29" s="31"/>
      <c r="D29" s="26"/>
      <c r="E29" s="26"/>
      <c r="F29" s="26"/>
      <c r="G29" s="26"/>
      <c r="H29" s="26"/>
      <c r="I29" s="26"/>
      <c r="J29" s="26"/>
    </row>
    <row r="31" ht="12.75">
      <c r="H31" s="32"/>
    </row>
  </sheetData>
  <sheetProtection/>
  <mergeCells count="22">
    <mergeCell ref="B25:C25"/>
    <mergeCell ref="K11:K13"/>
    <mergeCell ref="E12:E13"/>
    <mergeCell ref="F12:F13"/>
    <mergeCell ref="G12:G13"/>
    <mergeCell ref="H12:H13"/>
    <mergeCell ref="C11:C13"/>
    <mergeCell ref="J1:K1"/>
    <mergeCell ref="J2:K2"/>
    <mergeCell ref="J7:K7"/>
    <mergeCell ref="B9:K9"/>
    <mergeCell ref="D10:H10"/>
    <mergeCell ref="B23:C23"/>
    <mergeCell ref="I12:I13"/>
    <mergeCell ref="J12:J13"/>
    <mergeCell ref="A14:A17"/>
    <mergeCell ref="C14:C17"/>
    <mergeCell ref="K14:K17"/>
    <mergeCell ref="A11:A13"/>
    <mergeCell ref="B11:B13"/>
    <mergeCell ref="D11:D13"/>
    <mergeCell ref="E11:J11"/>
  </mergeCells>
  <printOptions horizontalCentered="1"/>
  <pageMargins left="0" right="0" top="1.1811023622047245" bottom="0" header="0" footer="0"/>
  <pageSetup fitToHeight="1" fitToWidth="1" horizontalDpi="600" verticalDpi="600" orientation="landscape" paperSize="9" scale="92" r:id="rId1"/>
</worksheet>
</file>

<file path=xl/worksheets/sheet18.xml><?xml version="1.0" encoding="utf-8"?>
<worksheet xmlns="http://schemas.openxmlformats.org/spreadsheetml/2006/main" xmlns:r="http://schemas.openxmlformats.org/officeDocument/2006/relationships">
  <sheetPr>
    <tabColor rgb="FFFFFF00"/>
    <pageSetUpPr fitToPage="1"/>
  </sheetPr>
  <dimension ref="A1:N154"/>
  <sheetViews>
    <sheetView view="pageBreakPreview" zoomScale="71" zoomScaleSheetLayoutView="71" zoomScalePageLayoutView="0" workbookViewId="0" topLeftCell="A130">
      <selection activeCell="I9" sqref="I9"/>
    </sheetView>
  </sheetViews>
  <sheetFormatPr defaultColWidth="9.140625" defaultRowHeight="12.75"/>
  <cols>
    <col min="1" max="1" width="5.28125" style="16" customWidth="1"/>
    <col min="2" max="2" width="84.00390625" style="136" customWidth="1"/>
    <col min="3" max="3" width="19.8515625" style="16" customWidth="1"/>
    <col min="4" max="4" width="27.28125" style="16" customWidth="1"/>
    <col min="5" max="5" width="17.28125" style="16" customWidth="1"/>
    <col min="6" max="6" width="14.28125" style="16" bestFit="1" customWidth="1"/>
    <col min="7" max="8" width="11.57421875" style="16" hidden="1" customWidth="1"/>
    <col min="9" max="9" width="17.00390625" style="16" customWidth="1"/>
    <col min="10" max="10" width="43.28125" style="16" customWidth="1"/>
    <col min="11" max="12" width="9.140625" style="16" hidden="1" customWidth="1"/>
    <col min="13" max="13" width="9.8515625" style="16" hidden="1" customWidth="1"/>
    <col min="14" max="14" width="10.140625" style="16" customWidth="1"/>
    <col min="15" max="16" width="9.140625" style="16" customWidth="1"/>
    <col min="17" max="16384" width="9.140625" style="14" customWidth="1"/>
  </cols>
  <sheetData>
    <row r="1" spans="2:11" ht="15.75">
      <c r="B1" s="93"/>
      <c r="C1" s="15"/>
      <c r="D1" s="15"/>
      <c r="E1" s="15"/>
      <c r="F1" s="15"/>
      <c r="G1" s="15"/>
      <c r="H1" s="15"/>
      <c r="I1" s="619" t="s">
        <v>574</v>
      </c>
      <c r="J1" s="619"/>
      <c r="K1" s="13" t="s">
        <v>19</v>
      </c>
    </row>
    <row r="2" spans="2:11" ht="15.75">
      <c r="B2" s="93"/>
      <c r="C2" s="15"/>
      <c r="D2" s="15"/>
      <c r="E2" s="15"/>
      <c r="F2" s="15"/>
      <c r="G2" s="15"/>
      <c r="H2" s="15"/>
      <c r="I2" s="544" t="s">
        <v>11</v>
      </c>
      <c r="J2" s="544"/>
      <c r="K2" s="12" t="s">
        <v>11</v>
      </c>
    </row>
    <row r="3" spans="2:11" ht="15.75">
      <c r="B3" s="93"/>
      <c r="C3" s="15"/>
      <c r="D3" s="15"/>
      <c r="E3" s="15"/>
      <c r="F3" s="15"/>
      <c r="G3" s="15"/>
      <c r="H3" s="15"/>
      <c r="I3" s="12" t="s">
        <v>489</v>
      </c>
      <c r="J3" s="12"/>
      <c r="K3" s="12" t="s">
        <v>20</v>
      </c>
    </row>
    <row r="4" spans="2:11" ht="15.75">
      <c r="B4" s="93"/>
      <c r="C4" s="15"/>
      <c r="D4" s="15"/>
      <c r="E4" s="15"/>
      <c r="F4" s="15"/>
      <c r="G4" s="15"/>
      <c r="H4" s="15"/>
      <c r="I4" s="12" t="s">
        <v>22</v>
      </c>
      <c r="J4" s="12"/>
      <c r="K4" s="12" t="s">
        <v>21</v>
      </c>
    </row>
    <row r="5" spans="2:11" ht="15.75">
      <c r="B5" s="93"/>
      <c r="C5" s="15"/>
      <c r="D5" s="15"/>
      <c r="E5" s="15"/>
      <c r="F5" s="15"/>
      <c r="G5" s="15"/>
      <c r="H5" s="15"/>
      <c r="I5" s="12" t="s">
        <v>24</v>
      </c>
      <c r="J5" s="12"/>
      <c r="K5" s="12" t="s">
        <v>23</v>
      </c>
    </row>
    <row r="6" spans="2:11" ht="15.75">
      <c r="B6" s="93"/>
      <c r="C6" s="15"/>
      <c r="D6" s="15"/>
      <c r="E6" s="15"/>
      <c r="F6" s="15"/>
      <c r="G6" s="15"/>
      <c r="I6" s="12" t="s">
        <v>497</v>
      </c>
      <c r="J6" s="12"/>
      <c r="K6" s="12" t="s">
        <v>25</v>
      </c>
    </row>
    <row r="7" spans="2:14" ht="29.25" customHeight="1">
      <c r="B7" s="93"/>
      <c r="C7" s="15"/>
      <c r="D7" s="15"/>
      <c r="E7" s="15"/>
      <c r="F7" s="15"/>
      <c r="G7" s="15"/>
      <c r="I7" s="541" t="s">
        <v>612</v>
      </c>
      <c r="J7" s="585"/>
      <c r="K7" s="17"/>
      <c r="L7" s="17"/>
      <c r="M7" s="17"/>
      <c r="N7" s="17"/>
    </row>
    <row r="8" spans="2:14" ht="15.75" customHeight="1">
      <c r="B8" s="93"/>
      <c r="C8" s="15"/>
      <c r="D8" s="15"/>
      <c r="E8" s="15"/>
      <c r="F8" s="15"/>
      <c r="G8" s="15"/>
      <c r="I8" s="541" t="s">
        <v>636</v>
      </c>
      <c r="J8" s="541"/>
      <c r="K8" s="17"/>
      <c r="L8" s="17"/>
      <c r="M8" s="17"/>
      <c r="N8" s="17"/>
    </row>
    <row r="9" spans="2:11" ht="15.75">
      <c r="B9" s="93"/>
      <c r="C9" s="15"/>
      <c r="D9" s="15"/>
      <c r="E9" s="15"/>
      <c r="F9" s="15"/>
      <c r="G9" s="15"/>
      <c r="H9" s="15"/>
      <c r="I9" s="15"/>
      <c r="J9" s="15"/>
      <c r="K9" s="15"/>
    </row>
    <row r="10" spans="1:11" ht="18.75" customHeight="1">
      <c r="A10" s="588" t="s">
        <v>501</v>
      </c>
      <c r="B10" s="588"/>
      <c r="C10" s="588"/>
      <c r="D10" s="588"/>
      <c r="E10" s="588"/>
      <c r="F10" s="588"/>
      <c r="G10" s="588"/>
      <c r="H10" s="588"/>
      <c r="I10" s="588"/>
      <c r="J10" s="588"/>
      <c r="K10" s="15"/>
    </row>
    <row r="11" spans="2:11" ht="15.75">
      <c r="B11" s="93"/>
      <c r="C11" s="15"/>
      <c r="D11" s="542"/>
      <c r="E11" s="542"/>
      <c r="F11" s="542"/>
      <c r="G11" s="542"/>
      <c r="H11" s="542"/>
      <c r="I11" s="15"/>
      <c r="J11" s="35" t="s">
        <v>481</v>
      </c>
      <c r="K11" s="15"/>
    </row>
    <row r="12" spans="1:11" ht="15.75" customHeight="1">
      <c r="A12" s="539" t="s">
        <v>6</v>
      </c>
      <c r="B12" s="514" t="s">
        <v>12</v>
      </c>
      <c r="C12" s="618" t="s">
        <v>13</v>
      </c>
      <c r="D12" s="534" t="s">
        <v>498</v>
      </c>
      <c r="E12" s="618" t="s">
        <v>9</v>
      </c>
      <c r="F12" s="543"/>
      <c r="G12" s="543"/>
      <c r="H12" s="543"/>
      <c r="I12" s="543"/>
      <c r="J12" s="539" t="s">
        <v>15</v>
      </c>
      <c r="K12" s="15"/>
    </row>
    <row r="13" spans="1:11" ht="15.75" customHeight="1">
      <c r="A13" s="539"/>
      <c r="B13" s="514"/>
      <c r="C13" s="623"/>
      <c r="D13" s="535"/>
      <c r="E13" s="534" t="s">
        <v>499</v>
      </c>
      <c r="F13" s="618" t="s">
        <v>500</v>
      </c>
      <c r="G13" s="543"/>
      <c r="H13" s="598"/>
      <c r="I13" s="534" t="s">
        <v>486</v>
      </c>
      <c r="J13" s="539"/>
      <c r="K13" s="15"/>
    </row>
    <row r="14" spans="1:11" ht="23.25" customHeight="1">
      <c r="A14" s="539"/>
      <c r="B14" s="514"/>
      <c r="C14" s="620"/>
      <c r="D14" s="536"/>
      <c r="E14" s="536"/>
      <c r="F14" s="620"/>
      <c r="G14" s="621"/>
      <c r="H14" s="622"/>
      <c r="I14" s="536"/>
      <c r="J14" s="539"/>
      <c r="K14" s="15"/>
    </row>
    <row r="15" spans="1:13" ht="56.25" customHeight="1">
      <c r="A15" s="36">
        <v>1</v>
      </c>
      <c r="B15" s="123" t="s">
        <v>0</v>
      </c>
      <c r="C15" s="122" t="s">
        <v>158</v>
      </c>
      <c r="D15" s="67">
        <f aca="true" t="shared" si="0" ref="D15:D21">E15</f>
        <v>10230</v>
      </c>
      <c r="E15" s="92">
        <f>E16+E17+E18+E19+E20+E21</f>
        <v>10230</v>
      </c>
      <c r="F15" s="75"/>
      <c r="G15" s="63"/>
      <c r="H15" s="63"/>
      <c r="I15" s="124"/>
      <c r="J15" s="36" t="s">
        <v>49</v>
      </c>
      <c r="K15" s="15"/>
      <c r="M15" s="121"/>
    </row>
    <row r="16" spans="1:13" ht="42" customHeight="1">
      <c r="A16" s="36"/>
      <c r="B16" s="285" t="s">
        <v>246</v>
      </c>
      <c r="C16" s="122" t="s">
        <v>158</v>
      </c>
      <c r="D16" s="67">
        <f t="shared" si="0"/>
        <v>1980</v>
      </c>
      <c r="E16" s="286">
        <v>1980</v>
      </c>
      <c r="F16" s="75"/>
      <c r="G16" s="63"/>
      <c r="H16" s="63"/>
      <c r="I16" s="125"/>
      <c r="J16" s="36"/>
      <c r="K16" s="15"/>
      <c r="M16" s="121"/>
    </row>
    <row r="17" spans="1:13" ht="48" customHeight="1">
      <c r="A17" s="36"/>
      <c r="B17" s="285" t="s">
        <v>247</v>
      </c>
      <c r="C17" s="122" t="s">
        <v>158</v>
      </c>
      <c r="D17" s="67">
        <f t="shared" si="0"/>
        <v>3000</v>
      </c>
      <c r="E17" s="286">
        <v>3000</v>
      </c>
      <c r="F17" s="75"/>
      <c r="G17" s="63"/>
      <c r="H17" s="63"/>
      <c r="I17" s="125"/>
      <c r="J17" s="36"/>
      <c r="K17" s="15"/>
      <c r="M17" s="121"/>
    </row>
    <row r="18" spans="1:13" ht="63" customHeight="1">
      <c r="A18" s="36"/>
      <c r="B18" s="285" t="s">
        <v>502</v>
      </c>
      <c r="C18" s="122" t="s">
        <v>158</v>
      </c>
      <c r="D18" s="67">
        <f t="shared" si="0"/>
        <v>3700</v>
      </c>
      <c r="E18" s="243">
        <v>3700</v>
      </c>
      <c r="F18" s="75"/>
      <c r="G18" s="63"/>
      <c r="H18" s="63"/>
      <c r="I18" s="125"/>
      <c r="J18" s="36"/>
      <c r="K18" s="15"/>
      <c r="M18" s="121"/>
    </row>
    <row r="19" spans="1:13" ht="60.75" customHeight="1">
      <c r="A19" s="77"/>
      <c r="B19" s="285" t="s">
        <v>248</v>
      </c>
      <c r="C19" s="122" t="s">
        <v>158</v>
      </c>
      <c r="D19" s="67">
        <f t="shared" si="0"/>
        <v>350</v>
      </c>
      <c r="E19" s="243">
        <v>350</v>
      </c>
      <c r="F19" s="75"/>
      <c r="G19" s="63"/>
      <c r="H19" s="63"/>
      <c r="I19" s="125"/>
      <c r="J19" s="36"/>
      <c r="K19" s="15"/>
      <c r="M19" s="121"/>
    </row>
    <row r="20" spans="1:13" ht="56.25" customHeight="1">
      <c r="A20" s="36"/>
      <c r="B20" s="285" t="s">
        <v>249</v>
      </c>
      <c r="C20" s="122" t="s">
        <v>158</v>
      </c>
      <c r="D20" s="67">
        <f t="shared" si="0"/>
        <v>500</v>
      </c>
      <c r="E20" s="243">
        <v>500</v>
      </c>
      <c r="F20" s="75"/>
      <c r="G20" s="63"/>
      <c r="H20" s="63"/>
      <c r="I20" s="126"/>
      <c r="J20" s="36"/>
      <c r="K20" s="15"/>
      <c r="M20" s="121"/>
    </row>
    <row r="21" spans="1:13" ht="59.25" customHeight="1">
      <c r="A21" s="36"/>
      <c r="B21" s="285" t="s">
        <v>250</v>
      </c>
      <c r="C21" s="122" t="s">
        <v>158</v>
      </c>
      <c r="D21" s="67">
        <f t="shared" si="0"/>
        <v>700</v>
      </c>
      <c r="E21" s="243">
        <v>700</v>
      </c>
      <c r="F21" s="75"/>
      <c r="G21" s="63"/>
      <c r="H21" s="63"/>
      <c r="I21" s="126"/>
      <c r="J21" s="36"/>
      <c r="K21" s="15"/>
      <c r="M21" s="121"/>
    </row>
    <row r="22" spans="1:13" ht="57" customHeight="1">
      <c r="A22" s="36">
        <v>2</v>
      </c>
      <c r="B22" s="123" t="s">
        <v>1</v>
      </c>
      <c r="C22" s="122" t="s">
        <v>158</v>
      </c>
      <c r="D22" s="67">
        <f>E22+F22</f>
        <v>25400</v>
      </c>
      <c r="E22" s="92">
        <f>E23+E24+E25+E26</f>
        <v>10400</v>
      </c>
      <c r="F22" s="92">
        <f>F23+F24+F25+F26+F27+F28+F29</f>
        <v>15000</v>
      </c>
      <c r="G22" s="63"/>
      <c r="H22" s="63"/>
      <c r="I22" s="127"/>
      <c r="J22" s="36" t="s">
        <v>50</v>
      </c>
      <c r="K22" s="15"/>
      <c r="M22" s="121"/>
    </row>
    <row r="23" spans="1:13" ht="45" customHeight="1">
      <c r="A23" s="36"/>
      <c r="B23" s="285" t="s">
        <v>251</v>
      </c>
      <c r="C23" s="122" t="s">
        <v>158</v>
      </c>
      <c r="D23" s="67">
        <f aca="true" t="shared" si="1" ref="D23:D29">E23+F23</f>
        <v>4000</v>
      </c>
      <c r="E23" s="243">
        <v>4000</v>
      </c>
      <c r="F23" s="75"/>
      <c r="G23" s="63"/>
      <c r="H23" s="63"/>
      <c r="I23" s="125"/>
      <c r="J23" s="36"/>
      <c r="K23" s="15"/>
      <c r="M23" s="121"/>
    </row>
    <row r="24" spans="1:13" ht="48" customHeight="1">
      <c r="A24" s="36"/>
      <c r="B24" s="285" t="s">
        <v>252</v>
      </c>
      <c r="C24" s="122" t="s">
        <v>158</v>
      </c>
      <c r="D24" s="67">
        <f t="shared" si="1"/>
        <v>2500</v>
      </c>
      <c r="E24" s="243">
        <v>2500</v>
      </c>
      <c r="F24" s="75"/>
      <c r="G24" s="63"/>
      <c r="H24" s="63"/>
      <c r="I24" s="125"/>
      <c r="J24" s="36"/>
      <c r="K24" s="15"/>
      <c r="M24" s="121"/>
    </row>
    <row r="25" spans="1:13" ht="38.25" customHeight="1">
      <c r="A25" s="36"/>
      <c r="B25" s="285" t="s">
        <v>253</v>
      </c>
      <c r="C25" s="122" t="s">
        <v>158</v>
      </c>
      <c r="D25" s="67">
        <f t="shared" si="1"/>
        <v>3000</v>
      </c>
      <c r="E25" s="243">
        <v>3000</v>
      </c>
      <c r="F25" s="75"/>
      <c r="G25" s="63"/>
      <c r="H25" s="63"/>
      <c r="I25" s="125"/>
      <c r="J25" s="36"/>
      <c r="K25" s="15"/>
      <c r="M25" s="121"/>
    </row>
    <row r="26" spans="1:13" ht="45.75" customHeight="1">
      <c r="A26" s="36"/>
      <c r="B26" s="285" t="s">
        <v>254</v>
      </c>
      <c r="C26" s="122" t="s">
        <v>158</v>
      </c>
      <c r="D26" s="67">
        <f t="shared" si="1"/>
        <v>900</v>
      </c>
      <c r="E26" s="243">
        <v>900</v>
      </c>
      <c r="F26" s="75"/>
      <c r="G26" s="63"/>
      <c r="H26" s="63"/>
      <c r="I26" s="125"/>
      <c r="J26" s="36"/>
      <c r="K26" s="15"/>
      <c r="M26" s="121"/>
    </row>
    <row r="27" spans="1:13" ht="45.75" customHeight="1">
      <c r="A27" s="36"/>
      <c r="B27" s="285" t="s">
        <v>405</v>
      </c>
      <c r="C27" s="122" t="s">
        <v>158</v>
      </c>
      <c r="D27" s="67">
        <f t="shared" si="1"/>
        <v>5000</v>
      </c>
      <c r="E27" s="243"/>
      <c r="F27" s="75">
        <v>5000</v>
      </c>
      <c r="G27" s="63"/>
      <c r="H27" s="63"/>
      <c r="I27" s="125"/>
      <c r="J27" s="36"/>
      <c r="K27" s="15"/>
      <c r="M27" s="121"/>
    </row>
    <row r="28" spans="1:13" ht="45.75" customHeight="1">
      <c r="A28" s="36"/>
      <c r="B28" s="285" t="s">
        <v>406</v>
      </c>
      <c r="C28" s="122" t="s">
        <v>158</v>
      </c>
      <c r="D28" s="67">
        <f t="shared" si="1"/>
        <v>7000</v>
      </c>
      <c r="E28" s="243"/>
      <c r="F28" s="75">
        <v>7000</v>
      </c>
      <c r="G28" s="63"/>
      <c r="H28" s="63"/>
      <c r="I28" s="125"/>
      <c r="J28" s="36"/>
      <c r="K28" s="15"/>
      <c r="M28" s="121"/>
    </row>
    <row r="29" spans="1:13" ht="45.75" customHeight="1">
      <c r="A29" s="36"/>
      <c r="B29" s="285" t="s">
        <v>407</v>
      </c>
      <c r="C29" s="122" t="s">
        <v>158</v>
      </c>
      <c r="D29" s="67">
        <f t="shared" si="1"/>
        <v>3000</v>
      </c>
      <c r="E29" s="243"/>
      <c r="F29" s="75">
        <v>3000</v>
      </c>
      <c r="G29" s="63"/>
      <c r="H29" s="63"/>
      <c r="I29" s="125"/>
      <c r="J29" s="36"/>
      <c r="K29" s="15"/>
      <c r="M29" s="121"/>
    </row>
    <row r="30" spans="1:13" ht="50.25" customHeight="1">
      <c r="A30" s="36">
        <v>3</v>
      </c>
      <c r="B30" s="123" t="s">
        <v>54</v>
      </c>
      <c r="C30" s="122" t="s">
        <v>158</v>
      </c>
      <c r="D30" s="67">
        <f>E30+F30</f>
        <v>25454.5</v>
      </c>
      <c r="E30" s="92">
        <f>E31+E32+E33+E34+E37+E38</f>
        <v>9202.1</v>
      </c>
      <c r="F30" s="62">
        <f>F35+F36</f>
        <v>16252.400000000001</v>
      </c>
      <c r="G30" s="63"/>
      <c r="H30" s="63"/>
      <c r="I30" s="128"/>
      <c r="J30" s="36" t="s">
        <v>55</v>
      </c>
      <c r="K30" s="15"/>
      <c r="M30" s="121"/>
    </row>
    <row r="31" spans="1:13" ht="62.25" customHeight="1">
      <c r="A31" s="36"/>
      <c r="B31" s="287" t="s">
        <v>255</v>
      </c>
      <c r="C31" s="122" t="s">
        <v>158</v>
      </c>
      <c r="D31" s="67">
        <f aca="true" t="shared" si="2" ref="D31:D43">E31</f>
        <v>454.8</v>
      </c>
      <c r="E31" s="288">
        <v>454.8</v>
      </c>
      <c r="F31" s="75"/>
      <c r="G31" s="63"/>
      <c r="H31" s="63"/>
      <c r="I31" s="129"/>
      <c r="J31" s="36"/>
      <c r="K31" s="15"/>
      <c r="M31" s="121"/>
    </row>
    <row r="32" spans="1:13" ht="42.75" customHeight="1">
      <c r="A32" s="36"/>
      <c r="B32" s="287" t="s">
        <v>256</v>
      </c>
      <c r="C32" s="122" t="s">
        <v>158</v>
      </c>
      <c r="D32" s="67">
        <f t="shared" si="2"/>
        <v>918.2</v>
      </c>
      <c r="E32" s="288">
        <v>918.2</v>
      </c>
      <c r="F32" s="75"/>
      <c r="G32" s="63"/>
      <c r="H32" s="63"/>
      <c r="I32" s="130"/>
      <c r="J32" s="36"/>
      <c r="K32" s="15"/>
      <c r="M32" s="121"/>
    </row>
    <row r="33" spans="1:13" ht="36.75" customHeight="1">
      <c r="A33" s="36"/>
      <c r="B33" s="287" t="s">
        <v>257</v>
      </c>
      <c r="C33" s="122" t="s">
        <v>158</v>
      </c>
      <c r="D33" s="67">
        <f t="shared" si="2"/>
        <v>5000</v>
      </c>
      <c r="E33" s="288">
        <v>5000</v>
      </c>
      <c r="F33" s="75"/>
      <c r="G33" s="63"/>
      <c r="H33" s="63"/>
      <c r="I33" s="130"/>
      <c r="J33" s="36"/>
      <c r="K33" s="15"/>
      <c r="M33" s="121"/>
    </row>
    <row r="34" spans="1:13" ht="51" customHeight="1">
      <c r="A34" s="36"/>
      <c r="B34" s="287" t="s">
        <v>258</v>
      </c>
      <c r="C34" s="122" t="s">
        <v>158</v>
      </c>
      <c r="D34" s="67">
        <f t="shared" si="2"/>
        <v>2700</v>
      </c>
      <c r="E34" s="288">
        <v>2700</v>
      </c>
      <c r="F34" s="75"/>
      <c r="G34" s="63"/>
      <c r="H34" s="63"/>
      <c r="I34" s="130"/>
      <c r="J34" s="36"/>
      <c r="K34" s="15"/>
      <c r="M34" s="121"/>
    </row>
    <row r="35" spans="1:13" ht="51" customHeight="1">
      <c r="A35" s="36"/>
      <c r="B35" s="287" t="s">
        <v>447</v>
      </c>
      <c r="C35" s="122" t="s">
        <v>158</v>
      </c>
      <c r="D35" s="67">
        <f>E35+F35</f>
        <v>9987.2</v>
      </c>
      <c r="E35" s="288"/>
      <c r="F35" s="75">
        <v>9987.2</v>
      </c>
      <c r="G35" s="63"/>
      <c r="H35" s="63"/>
      <c r="I35" s="130"/>
      <c r="J35" s="36"/>
      <c r="K35" s="15"/>
      <c r="M35" s="121"/>
    </row>
    <row r="36" spans="1:13" ht="51" customHeight="1">
      <c r="A36" s="36"/>
      <c r="B36" s="287" t="s">
        <v>448</v>
      </c>
      <c r="C36" s="122" t="s">
        <v>158</v>
      </c>
      <c r="D36" s="67">
        <f>E36+F36</f>
        <v>6265.2</v>
      </c>
      <c r="E36" s="288"/>
      <c r="F36" s="75">
        <v>6265.2</v>
      </c>
      <c r="G36" s="63"/>
      <c r="H36" s="63"/>
      <c r="I36" s="130"/>
      <c r="J36" s="36"/>
      <c r="K36" s="15"/>
      <c r="M36" s="121"/>
    </row>
    <row r="37" spans="1:13" ht="51" customHeight="1">
      <c r="A37" s="36"/>
      <c r="B37" s="287" t="s">
        <v>456</v>
      </c>
      <c r="C37" s="122" t="s">
        <v>158</v>
      </c>
      <c r="D37" s="67">
        <f>E37+F37</f>
        <v>85</v>
      </c>
      <c r="E37" s="288">
        <f>0+85</f>
        <v>85</v>
      </c>
      <c r="F37" s="75"/>
      <c r="G37" s="63"/>
      <c r="H37" s="63"/>
      <c r="I37" s="130"/>
      <c r="J37" s="36"/>
      <c r="K37" s="15"/>
      <c r="M37" s="121"/>
    </row>
    <row r="38" spans="1:13" ht="51" customHeight="1">
      <c r="A38" s="36"/>
      <c r="B38" s="287" t="s">
        <v>457</v>
      </c>
      <c r="C38" s="122" t="s">
        <v>158</v>
      </c>
      <c r="D38" s="67">
        <f>E38+F38</f>
        <v>44.1</v>
      </c>
      <c r="E38" s="288">
        <v>44.1</v>
      </c>
      <c r="F38" s="75"/>
      <c r="G38" s="63"/>
      <c r="H38" s="63"/>
      <c r="I38" s="130"/>
      <c r="J38" s="36"/>
      <c r="K38" s="15"/>
      <c r="M38" s="121"/>
    </row>
    <row r="39" spans="1:13" ht="67.5" customHeight="1">
      <c r="A39" s="36">
        <v>4</v>
      </c>
      <c r="B39" s="123" t="s">
        <v>2</v>
      </c>
      <c r="C39" s="122" t="s">
        <v>158</v>
      </c>
      <c r="D39" s="67">
        <f t="shared" si="2"/>
        <v>537.8</v>
      </c>
      <c r="E39" s="92">
        <f>E40+E41+E42+E43</f>
        <v>537.8</v>
      </c>
      <c r="F39" s="75"/>
      <c r="G39" s="63"/>
      <c r="H39" s="63"/>
      <c r="I39" s="128"/>
      <c r="J39" s="36" t="s">
        <v>51</v>
      </c>
      <c r="K39" s="15"/>
      <c r="M39" s="121"/>
    </row>
    <row r="40" spans="1:13" ht="67.5" customHeight="1">
      <c r="A40" s="36"/>
      <c r="B40" s="285" t="s">
        <v>259</v>
      </c>
      <c r="C40" s="122" t="s">
        <v>158</v>
      </c>
      <c r="D40" s="67">
        <f t="shared" si="2"/>
        <v>13</v>
      </c>
      <c r="E40" s="289">
        <v>13</v>
      </c>
      <c r="F40" s="75"/>
      <c r="G40" s="63"/>
      <c r="H40" s="63"/>
      <c r="I40" s="128"/>
      <c r="J40" s="36"/>
      <c r="K40" s="15"/>
      <c r="M40" s="121"/>
    </row>
    <row r="41" spans="1:13" ht="67.5" customHeight="1">
      <c r="A41" s="36"/>
      <c r="B41" s="285" t="s">
        <v>260</v>
      </c>
      <c r="C41" s="122" t="s">
        <v>158</v>
      </c>
      <c r="D41" s="67">
        <f t="shared" si="2"/>
        <v>9</v>
      </c>
      <c r="E41" s="289">
        <v>9</v>
      </c>
      <c r="F41" s="75"/>
      <c r="G41" s="63"/>
      <c r="H41" s="63"/>
      <c r="I41" s="128"/>
      <c r="J41" s="36"/>
      <c r="K41" s="15"/>
      <c r="M41" s="121"/>
    </row>
    <row r="42" spans="1:13" ht="67.5" customHeight="1">
      <c r="A42" s="36"/>
      <c r="B42" s="285" t="s">
        <v>282</v>
      </c>
      <c r="C42" s="122" t="s">
        <v>158</v>
      </c>
      <c r="D42" s="67">
        <f t="shared" si="2"/>
        <v>200</v>
      </c>
      <c r="E42" s="289">
        <v>200</v>
      </c>
      <c r="F42" s="75"/>
      <c r="G42" s="63"/>
      <c r="H42" s="63"/>
      <c r="I42" s="128"/>
      <c r="J42" s="36"/>
      <c r="K42" s="15"/>
      <c r="M42" s="121"/>
    </row>
    <row r="43" spans="1:13" ht="63" customHeight="1">
      <c r="A43" s="36"/>
      <c r="B43" s="285" t="s">
        <v>261</v>
      </c>
      <c r="C43" s="122" t="s">
        <v>158</v>
      </c>
      <c r="D43" s="67">
        <f t="shared" si="2"/>
        <v>315.8</v>
      </c>
      <c r="E43" s="289">
        <v>315.8</v>
      </c>
      <c r="F43" s="75"/>
      <c r="G43" s="63"/>
      <c r="H43" s="63"/>
      <c r="I43" s="129"/>
      <c r="J43" s="36"/>
      <c r="K43" s="15"/>
      <c r="M43" s="121"/>
    </row>
    <row r="44" spans="1:13" ht="62.25" customHeight="1">
      <c r="A44" s="36">
        <v>5</v>
      </c>
      <c r="B44" s="123" t="s">
        <v>3</v>
      </c>
      <c r="C44" s="122" t="s">
        <v>158</v>
      </c>
      <c r="D44" s="67">
        <f>E44+F44</f>
        <v>37220</v>
      </c>
      <c r="E44" s="92">
        <f>E45+E46+E47+E48+E49+E56+E57+E58+E59+E60+E61+E62</f>
        <v>11085</v>
      </c>
      <c r="F44" s="92">
        <f>F45+F46+F47+F48+F49+F56+F57+F58+F59+F60+F61+F62+F50+F51+F52+F53+F54+F55</f>
        <v>26135</v>
      </c>
      <c r="G44" s="92">
        <f>G45+G46+G47+G48+G49+G56+G57+G58+G59+G60+G61+G62+G50+G51+G52+G53+G54+G55</f>
        <v>0</v>
      </c>
      <c r="H44" s="92">
        <f>H45+H46+H47+H48+H49+H56+H57+H58+H59+H60+H61+H62+H50+H51+H52+H53+H54+H55</f>
        <v>0</v>
      </c>
      <c r="I44" s="92">
        <f>I45+I46+I47+I48+I49+I56+I57+I58+I59+I60+I61+I62+I50+I51+I52+I53+I54+I55+I63</f>
        <v>3797.4</v>
      </c>
      <c r="J44" s="36" t="s">
        <v>52</v>
      </c>
      <c r="K44" s="15"/>
      <c r="M44" s="121"/>
    </row>
    <row r="45" spans="1:13" ht="39" customHeight="1">
      <c r="A45" s="36"/>
      <c r="B45" s="285" t="s">
        <v>262</v>
      </c>
      <c r="C45" s="122" t="s">
        <v>158</v>
      </c>
      <c r="D45" s="67">
        <f>E45+F45</f>
        <v>2600</v>
      </c>
      <c r="E45" s="253">
        <v>1250</v>
      </c>
      <c r="F45" s="75">
        <v>1350</v>
      </c>
      <c r="G45" s="63"/>
      <c r="H45" s="63"/>
      <c r="I45" s="130">
        <v>1350</v>
      </c>
      <c r="J45" s="36"/>
      <c r="K45" s="15"/>
      <c r="M45" s="121"/>
    </row>
    <row r="46" spans="1:13" ht="42" customHeight="1">
      <c r="A46" s="36"/>
      <c r="B46" s="285" t="s">
        <v>263</v>
      </c>
      <c r="C46" s="122" t="s">
        <v>158</v>
      </c>
      <c r="D46" s="67">
        <f aca="true" t="shared" si="3" ref="D46:D59">E46+F46</f>
        <v>2310</v>
      </c>
      <c r="E46" s="253">
        <v>1110</v>
      </c>
      <c r="F46" s="75">
        <v>1200</v>
      </c>
      <c r="G46" s="63"/>
      <c r="H46" s="63"/>
      <c r="I46" s="130"/>
      <c r="J46" s="36"/>
      <c r="K46" s="15"/>
      <c r="M46" s="121"/>
    </row>
    <row r="47" spans="1:13" ht="38.25" customHeight="1">
      <c r="A47" s="36"/>
      <c r="B47" s="285" t="s">
        <v>264</v>
      </c>
      <c r="C47" s="122" t="s">
        <v>158</v>
      </c>
      <c r="D47" s="67">
        <f t="shared" si="3"/>
        <v>7100</v>
      </c>
      <c r="E47" s="253">
        <v>3500</v>
      </c>
      <c r="F47" s="75">
        <v>3600</v>
      </c>
      <c r="G47" s="63"/>
      <c r="H47" s="63"/>
      <c r="I47" s="130"/>
      <c r="J47" s="36"/>
      <c r="K47" s="15"/>
      <c r="M47" s="121"/>
    </row>
    <row r="48" spans="1:13" ht="38.25" customHeight="1">
      <c r="A48" s="36"/>
      <c r="B48" s="285" t="s">
        <v>265</v>
      </c>
      <c r="C48" s="122" t="s">
        <v>158</v>
      </c>
      <c r="D48" s="67">
        <f t="shared" si="3"/>
        <v>6500</v>
      </c>
      <c r="E48" s="253">
        <v>3200</v>
      </c>
      <c r="F48" s="75">
        <v>3300</v>
      </c>
      <c r="G48" s="63"/>
      <c r="H48" s="63"/>
      <c r="I48" s="130"/>
      <c r="J48" s="36"/>
      <c r="K48" s="15"/>
      <c r="M48" s="121"/>
    </row>
    <row r="49" spans="1:13" ht="38.25" customHeight="1">
      <c r="A49" s="36"/>
      <c r="B49" s="285" t="s">
        <v>266</v>
      </c>
      <c r="C49" s="122" t="s">
        <v>158</v>
      </c>
      <c r="D49" s="67">
        <f t="shared" si="3"/>
        <v>1300</v>
      </c>
      <c r="E49" s="253">
        <v>600</v>
      </c>
      <c r="F49" s="75">
        <v>700</v>
      </c>
      <c r="G49" s="63"/>
      <c r="H49" s="63"/>
      <c r="I49" s="130"/>
      <c r="J49" s="36"/>
      <c r="K49" s="15"/>
      <c r="M49" s="121"/>
    </row>
    <row r="50" spans="1:13" ht="38.25" customHeight="1">
      <c r="A50" s="36"/>
      <c r="B50" s="285" t="s">
        <v>408</v>
      </c>
      <c r="C50" s="122" t="s">
        <v>158</v>
      </c>
      <c r="D50" s="67">
        <f t="shared" si="3"/>
        <v>700</v>
      </c>
      <c r="E50" s="253"/>
      <c r="F50" s="75">
        <v>700</v>
      </c>
      <c r="G50" s="63"/>
      <c r="H50" s="63"/>
      <c r="I50" s="130">
        <v>700</v>
      </c>
      <c r="J50" s="36"/>
      <c r="K50" s="15"/>
      <c r="M50" s="121"/>
    </row>
    <row r="51" spans="1:13" ht="38.25" customHeight="1">
      <c r="A51" s="36"/>
      <c r="B51" s="285" t="s">
        <v>409</v>
      </c>
      <c r="C51" s="122" t="s">
        <v>158</v>
      </c>
      <c r="D51" s="67">
        <f t="shared" si="3"/>
        <v>5200</v>
      </c>
      <c r="E51" s="253"/>
      <c r="F51" s="75">
        <v>5200</v>
      </c>
      <c r="G51" s="63"/>
      <c r="H51" s="63"/>
      <c r="I51" s="130"/>
      <c r="J51" s="36"/>
      <c r="K51" s="15"/>
      <c r="M51" s="121"/>
    </row>
    <row r="52" spans="1:13" ht="38.25" customHeight="1">
      <c r="A52" s="36"/>
      <c r="B52" s="285" t="s">
        <v>410</v>
      </c>
      <c r="C52" s="122" t="s">
        <v>158</v>
      </c>
      <c r="D52" s="67">
        <f t="shared" si="3"/>
        <v>3700</v>
      </c>
      <c r="E52" s="253"/>
      <c r="F52" s="75">
        <v>3700</v>
      </c>
      <c r="G52" s="63"/>
      <c r="H52" s="63"/>
      <c r="I52" s="130"/>
      <c r="J52" s="36"/>
      <c r="K52" s="15"/>
      <c r="M52" s="121"/>
    </row>
    <row r="53" spans="1:13" ht="38.25" customHeight="1">
      <c r="A53" s="36"/>
      <c r="B53" s="285" t="s">
        <v>411</v>
      </c>
      <c r="C53" s="122" t="s">
        <v>158</v>
      </c>
      <c r="D53" s="67">
        <f t="shared" si="3"/>
        <v>3100</v>
      </c>
      <c r="E53" s="253"/>
      <c r="F53" s="75">
        <v>3100</v>
      </c>
      <c r="G53" s="63"/>
      <c r="H53" s="63"/>
      <c r="I53" s="130"/>
      <c r="J53" s="36"/>
      <c r="K53" s="15"/>
      <c r="M53" s="121"/>
    </row>
    <row r="54" spans="1:13" ht="38.25" customHeight="1">
      <c r="A54" s="36"/>
      <c r="B54" s="285" t="s">
        <v>412</v>
      </c>
      <c r="C54" s="122" t="s">
        <v>158</v>
      </c>
      <c r="D54" s="67">
        <f t="shared" si="3"/>
        <v>1700</v>
      </c>
      <c r="E54" s="253"/>
      <c r="F54" s="75">
        <v>1700</v>
      </c>
      <c r="G54" s="63"/>
      <c r="H54" s="63"/>
      <c r="I54" s="130">
        <v>1700</v>
      </c>
      <c r="J54" s="36"/>
      <c r="K54" s="15"/>
      <c r="M54" s="121"/>
    </row>
    <row r="55" spans="1:13" ht="38.25" customHeight="1">
      <c r="A55" s="36"/>
      <c r="B55" s="285" t="s">
        <v>413</v>
      </c>
      <c r="C55" s="122" t="s">
        <v>158</v>
      </c>
      <c r="D55" s="67">
        <f t="shared" si="3"/>
        <v>300</v>
      </c>
      <c r="E55" s="253"/>
      <c r="F55" s="75">
        <v>300</v>
      </c>
      <c r="G55" s="63"/>
      <c r="H55" s="63"/>
      <c r="I55" s="130"/>
      <c r="J55" s="36"/>
      <c r="K55" s="15"/>
      <c r="M55" s="121"/>
    </row>
    <row r="56" spans="1:13" ht="38.25" customHeight="1">
      <c r="A56" s="36"/>
      <c r="B56" s="285" t="s">
        <v>267</v>
      </c>
      <c r="C56" s="122" t="s">
        <v>158</v>
      </c>
      <c r="D56" s="67">
        <f t="shared" si="3"/>
        <v>160</v>
      </c>
      <c r="E56" s="253">
        <v>75</v>
      </c>
      <c r="F56" s="75">
        <v>85</v>
      </c>
      <c r="G56" s="63"/>
      <c r="H56" s="63"/>
      <c r="I56" s="130"/>
      <c r="J56" s="36"/>
      <c r="K56" s="15"/>
      <c r="M56" s="121"/>
    </row>
    <row r="57" spans="1:13" ht="38.25" customHeight="1">
      <c r="A57" s="36"/>
      <c r="B57" s="285" t="s">
        <v>268</v>
      </c>
      <c r="C57" s="122" t="s">
        <v>158</v>
      </c>
      <c r="D57" s="67">
        <f t="shared" si="3"/>
        <v>36</v>
      </c>
      <c r="E57" s="253">
        <v>36</v>
      </c>
      <c r="F57" s="75"/>
      <c r="G57" s="63"/>
      <c r="H57" s="63"/>
      <c r="I57" s="130"/>
      <c r="J57" s="36"/>
      <c r="K57" s="15"/>
      <c r="M57" s="121"/>
    </row>
    <row r="58" spans="1:13" ht="38.25" customHeight="1">
      <c r="A58" s="36"/>
      <c r="B58" s="285" t="s">
        <v>269</v>
      </c>
      <c r="C58" s="122" t="s">
        <v>158</v>
      </c>
      <c r="D58" s="67">
        <f t="shared" si="3"/>
        <v>710</v>
      </c>
      <c r="E58" s="253">
        <v>110</v>
      </c>
      <c r="F58" s="75">
        <v>600</v>
      </c>
      <c r="G58" s="63"/>
      <c r="H58" s="63"/>
      <c r="I58" s="130"/>
      <c r="J58" s="36"/>
      <c r="K58" s="15"/>
      <c r="M58" s="121"/>
    </row>
    <row r="59" spans="1:13" ht="69" customHeight="1">
      <c r="A59" s="36"/>
      <c r="B59" s="285" t="s">
        <v>270</v>
      </c>
      <c r="C59" s="122" t="s">
        <v>158</v>
      </c>
      <c r="D59" s="67">
        <f t="shared" si="3"/>
        <v>910</v>
      </c>
      <c r="E59" s="253">
        <v>310</v>
      </c>
      <c r="F59" s="75">
        <v>600</v>
      </c>
      <c r="G59" s="63"/>
      <c r="H59" s="63"/>
      <c r="I59" s="130"/>
      <c r="J59" s="36"/>
      <c r="K59" s="15"/>
      <c r="M59" s="121"/>
    </row>
    <row r="60" spans="1:13" ht="44.25" customHeight="1">
      <c r="A60" s="36"/>
      <c r="B60" s="285" t="s">
        <v>271</v>
      </c>
      <c r="C60" s="122" t="s">
        <v>158</v>
      </c>
      <c r="D60" s="67">
        <f aca="true" t="shared" si="4" ref="D60:D67">E60</f>
        <v>175</v>
      </c>
      <c r="E60" s="253">
        <v>175</v>
      </c>
      <c r="F60" s="75"/>
      <c r="G60" s="63"/>
      <c r="H60" s="63"/>
      <c r="I60" s="130"/>
      <c r="J60" s="36"/>
      <c r="K60" s="15"/>
      <c r="M60" s="121"/>
    </row>
    <row r="61" spans="1:13" ht="66" customHeight="1">
      <c r="A61" s="36"/>
      <c r="B61" s="285" t="s">
        <v>272</v>
      </c>
      <c r="C61" s="122" t="s">
        <v>158</v>
      </c>
      <c r="D61" s="67">
        <f t="shared" si="4"/>
        <v>320</v>
      </c>
      <c r="E61" s="253">
        <v>320</v>
      </c>
      <c r="F61" s="75"/>
      <c r="G61" s="63"/>
      <c r="H61" s="63"/>
      <c r="I61" s="130"/>
      <c r="J61" s="36"/>
      <c r="K61" s="15"/>
      <c r="M61" s="121"/>
    </row>
    <row r="62" spans="1:13" ht="38.25" customHeight="1">
      <c r="A62" s="36"/>
      <c r="B62" s="285" t="s">
        <v>273</v>
      </c>
      <c r="C62" s="122" t="s">
        <v>158</v>
      </c>
      <c r="D62" s="67">
        <f t="shared" si="4"/>
        <v>399</v>
      </c>
      <c r="E62" s="253">
        <v>399</v>
      </c>
      <c r="F62" s="75"/>
      <c r="G62" s="63"/>
      <c r="H62" s="63"/>
      <c r="I62" s="130"/>
      <c r="J62" s="36"/>
      <c r="K62" s="15"/>
      <c r="M62" s="121"/>
    </row>
    <row r="63" spans="1:13" ht="38.25" customHeight="1">
      <c r="A63" s="36"/>
      <c r="B63" s="285" t="s">
        <v>618</v>
      </c>
      <c r="C63" s="122" t="s">
        <v>158</v>
      </c>
      <c r="D63" s="67">
        <f t="shared" si="4"/>
        <v>0</v>
      </c>
      <c r="E63" s="253"/>
      <c r="F63" s="75"/>
      <c r="G63" s="63"/>
      <c r="H63" s="63"/>
      <c r="I63" s="130">
        <v>47.4</v>
      </c>
      <c r="J63" s="36"/>
      <c r="K63" s="15"/>
      <c r="M63" s="121"/>
    </row>
    <row r="64" spans="1:13" ht="63" customHeight="1">
      <c r="A64" s="36">
        <v>6</v>
      </c>
      <c r="B64" s="123" t="s">
        <v>4</v>
      </c>
      <c r="C64" s="122" t="s">
        <v>158</v>
      </c>
      <c r="D64" s="67">
        <f>E64+F64</f>
        <v>6506.2</v>
      </c>
      <c r="E64" s="92">
        <f>E65+E66+E67</f>
        <v>3006.2</v>
      </c>
      <c r="F64" s="92">
        <f>F65+F66+F67+F68</f>
        <v>3500</v>
      </c>
      <c r="G64" s="92">
        <f>G65+G66+G67+G68</f>
        <v>0</v>
      </c>
      <c r="H64" s="92">
        <f>H65+H66+H67+H68</f>
        <v>0</v>
      </c>
      <c r="I64" s="92">
        <f>I65+I66+I67+I68</f>
        <v>3500</v>
      </c>
      <c r="J64" s="36" t="s">
        <v>53</v>
      </c>
      <c r="K64" s="15"/>
      <c r="M64" s="121"/>
    </row>
    <row r="65" spans="1:13" ht="56.25" customHeight="1">
      <c r="A65" s="36"/>
      <c r="B65" s="290" t="s">
        <v>184</v>
      </c>
      <c r="C65" s="122" t="s">
        <v>158</v>
      </c>
      <c r="D65" s="67">
        <f t="shared" si="4"/>
        <v>1812</v>
      </c>
      <c r="E65" s="243">
        <v>1812</v>
      </c>
      <c r="F65" s="247"/>
      <c r="G65" s="63"/>
      <c r="H65" s="63"/>
      <c r="I65" s="126"/>
      <c r="J65" s="36"/>
      <c r="K65" s="15"/>
      <c r="M65" s="121"/>
    </row>
    <row r="66" spans="1:13" ht="53.25" customHeight="1">
      <c r="A66" s="36"/>
      <c r="B66" s="290" t="s">
        <v>185</v>
      </c>
      <c r="C66" s="122" t="s">
        <v>158</v>
      </c>
      <c r="D66" s="67">
        <f t="shared" si="4"/>
        <v>597.1</v>
      </c>
      <c r="E66" s="243">
        <v>597.1</v>
      </c>
      <c r="F66" s="247"/>
      <c r="G66" s="63"/>
      <c r="H66" s="63"/>
      <c r="I66" s="126"/>
      <c r="J66" s="36"/>
      <c r="K66" s="15"/>
      <c r="M66" s="121"/>
    </row>
    <row r="67" spans="1:13" ht="45" customHeight="1">
      <c r="A67" s="36"/>
      <c r="B67" s="290" t="s">
        <v>186</v>
      </c>
      <c r="C67" s="122" t="s">
        <v>158</v>
      </c>
      <c r="D67" s="67">
        <f t="shared" si="4"/>
        <v>597.1</v>
      </c>
      <c r="E67" s="243">
        <v>597.1</v>
      </c>
      <c r="F67" s="247"/>
      <c r="G67" s="63"/>
      <c r="H67" s="63"/>
      <c r="I67" s="126"/>
      <c r="J67" s="36"/>
      <c r="K67" s="15"/>
      <c r="M67" s="121"/>
    </row>
    <row r="68" spans="1:13" ht="41.25" customHeight="1">
      <c r="A68" s="36"/>
      <c r="B68" s="290" t="s">
        <v>446</v>
      </c>
      <c r="C68" s="122" t="s">
        <v>158</v>
      </c>
      <c r="D68" s="67">
        <f>E68+F68</f>
        <v>3500</v>
      </c>
      <c r="E68" s="243"/>
      <c r="F68" s="247">
        <v>3500</v>
      </c>
      <c r="G68" s="63"/>
      <c r="H68" s="63"/>
      <c r="I68" s="126">
        <v>3500</v>
      </c>
      <c r="J68" s="36"/>
      <c r="K68" s="15"/>
      <c r="M68" s="121"/>
    </row>
    <row r="69" spans="1:13" ht="58.5" customHeight="1">
      <c r="A69" s="36">
        <v>7</v>
      </c>
      <c r="B69" s="291" t="s">
        <v>47</v>
      </c>
      <c r="C69" s="122" t="s">
        <v>158</v>
      </c>
      <c r="D69" s="67">
        <f>E69+F69+I69</f>
        <v>76633.072</v>
      </c>
      <c r="E69" s="92">
        <f>E70+E71+E72+E73+E74+E75+E76+E77+E78+E79+E80+E81+E82+E83+E84+E85+E86+E87+E88+E89+E90+E91+E92+E93+E94+E95+E96+E97+E98+E99+E100+E101</f>
        <v>50100.2</v>
      </c>
      <c r="F69" s="92">
        <f>F70+F71+F72+F73+F74+F75+F76+F77+F78+F79+F80+F81+F82+F83+F84+F85+F86+F87+F88+F89+F90+F91+F92+F93+F94+F95+F96+F97+F98+F99+F100+F101+F102+F103+F104+F105+F106+F107+F108+F109+F110+F111+F112+F113+F114+F115+F116+F117+F118+F119+F120+F121+F122</f>
        <v>26532.872000000007</v>
      </c>
      <c r="G69" s="63"/>
      <c r="H69" s="63"/>
      <c r="I69" s="131"/>
      <c r="J69" s="36" t="s">
        <v>48</v>
      </c>
      <c r="K69" s="15"/>
      <c r="M69" s="121"/>
    </row>
    <row r="70" spans="1:13" ht="86.25" customHeight="1">
      <c r="A70" s="36"/>
      <c r="B70" s="292" t="s">
        <v>187</v>
      </c>
      <c r="C70" s="122" t="s">
        <v>158</v>
      </c>
      <c r="D70" s="254">
        <f>E70+F70+I70</f>
        <v>55</v>
      </c>
      <c r="E70" s="243">
        <v>55</v>
      </c>
      <c r="F70" s="251"/>
      <c r="G70" s="63"/>
      <c r="H70" s="63"/>
      <c r="I70" s="131"/>
      <c r="J70" s="36"/>
      <c r="K70" s="15"/>
      <c r="M70" s="121"/>
    </row>
    <row r="71" spans="1:13" ht="58.5" customHeight="1">
      <c r="A71" s="36"/>
      <c r="B71" s="292" t="s">
        <v>281</v>
      </c>
      <c r="C71" s="122" t="s">
        <v>158</v>
      </c>
      <c r="D71" s="254">
        <f aca="true" t="shared" si="5" ref="D71:D100">E71+F71+I71</f>
        <v>1500</v>
      </c>
      <c r="E71" s="243">
        <v>1500</v>
      </c>
      <c r="F71" s="251"/>
      <c r="G71" s="63"/>
      <c r="H71" s="63"/>
      <c r="I71" s="131"/>
      <c r="J71" s="36"/>
      <c r="K71" s="15"/>
      <c r="M71" s="121"/>
    </row>
    <row r="72" spans="1:13" ht="79.5" customHeight="1">
      <c r="A72" s="36"/>
      <c r="B72" s="293" t="s">
        <v>188</v>
      </c>
      <c r="C72" s="122" t="s">
        <v>158</v>
      </c>
      <c r="D72" s="254">
        <f t="shared" si="5"/>
        <v>1308</v>
      </c>
      <c r="E72" s="243">
        <v>1308</v>
      </c>
      <c r="F72" s="251"/>
      <c r="G72" s="63"/>
      <c r="H72" s="63"/>
      <c r="I72" s="131"/>
      <c r="J72" s="36"/>
      <c r="K72" s="15"/>
      <c r="M72" s="121"/>
    </row>
    <row r="73" spans="1:13" ht="58.5" customHeight="1">
      <c r="A73" s="36"/>
      <c r="B73" s="294" t="s">
        <v>189</v>
      </c>
      <c r="C73" s="122" t="s">
        <v>158</v>
      </c>
      <c r="D73" s="254">
        <f t="shared" si="5"/>
        <v>650</v>
      </c>
      <c r="E73" s="243">
        <v>650</v>
      </c>
      <c r="F73" s="251"/>
      <c r="G73" s="63"/>
      <c r="H73" s="63"/>
      <c r="I73" s="131"/>
      <c r="J73" s="36"/>
      <c r="K73" s="15"/>
      <c r="M73" s="121"/>
    </row>
    <row r="74" spans="1:13" ht="38.25" customHeight="1">
      <c r="A74" s="36"/>
      <c r="B74" s="294" t="s">
        <v>190</v>
      </c>
      <c r="C74" s="122" t="s">
        <v>158</v>
      </c>
      <c r="D74" s="254">
        <f t="shared" si="5"/>
        <v>1100</v>
      </c>
      <c r="E74" s="243">
        <v>1100</v>
      </c>
      <c r="F74" s="251"/>
      <c r="G74" s="63"/>
      <c r="H74" s="63"/>
      <c r="I74" s="131"/>
      <c r="J74" s="36"/>
      <c r="K74" s="15"/>
      <c r="M74" s="121"/>
    </row>
    <row r="75" spans="1:13" ht="93" customHeight="1">
      <c r="A75" s="36"/>
      <c r="B75" s="295" t="s">
        <v>191</v>
      </c>
      <c r="C75" s="122" t="s">
        <v>158</v>
      </c>
      <c r="D75" s="254">
        <f t="shared" si="5"/>
        <v>30</v>
      </c>
      <c r="E75" s="252">
        <v>30</v>
      </c>
      <c r="F75" s="251"/>
      <c r="G75" s="63"/>
      <c r="H75" s="63"/>
      <c r="I75" s="131"/>
      <c r="J75" s="36"/>
      <c r="K75" s="15"/>
      <c r="M75" s="121"/>
    </row>
    <row r="76" spans="1:13" ht="58.5" customHeight="1">
      <c r="A76" s="36"/>
      <c r="B76" s="295" t="s">
        <v>192</v>
      </c>
      <c r="C76" s="122" t="s">
        <v>158</v>
      </c>
      <c r="D76" s="254">
        <f t="shared" si="5"/>
        <v>6500</v>
      </c>
      <c r="E76" s="253">
        <v>6500</v>
      </c>
      <c r="F76" s="251"/>
      <c r="G76" s="63"/>
      <c r="H76" s="63"/>
      <c r="I76" s="131"/>
      <c r="J76" s="36"/>
      <c r="K76" s="15"/>
      <c r="M76" s="121"/>
    </row>
    <row r="77" spans="1:13" ht="58.5" customHeight="1">
      <c r="A77" s="36"/>
      <c r="B77" s="297" t="s">
        <v>193</v>
      </c>
      <c r="C77" s="122" t="s">
        <v>158</v>
      </c>
      <c r="D77" s="254">
        <f t="shared" si="5"/>
        <v>1535</v>
      </c>
      <c r="E77" s="253">
        <v>1535</v>
      </c>
      <c r="F77" s="251"/>
      <c r="G77" s="63"/>
      <c r="H77" s="63"/>
      <c r="I77" s="131"/>
      <c r="J77" s="36"/>
      <c r="K77" s="15"/>
      <c r="M77" s="121"/>
    </row>
    <row r="78" spans="1:13" ht="58.5" customHeight="1">
      <c r="A78" s="36"/>
      <c r="B78" s="298" t="s">
        <v>194</v>
      </c>
      <c r="C78" s="122" t="s">
        <v>158</v>
      </c>
      <c r="D78" s="254">
        <f t="shared" si="5"/>
        <v>70</v>
      </c>
      <c r="E78" s="253">
        <v>70</v>
      </c>
      <c r="F78" s="251"/>
      <c r="G78" s="63"/>
      <c r="H78" s="63"/>
      <c r="I78" s="131"/>
      <c r="J78" s="36"/>
      <c r="K78" s="15"/>
      <c r="M78" s="121"/>
    </row>
    <row r="79" spans="1:13" ht="55.5" customHeight="1">
      <c r="A79" s="36"/>
      <c r="B79" s="298" t="s">
        <v>195</v>
      </c>
      <c r="C79" s="122" t="s">
        <v>158</v>
      </c>
      <c r="D79" s="254">
        <f t="shared" si="5"/>
        <v>850</v>
      </c>
      <c r="E79" s="253">
        <v>850</v>
      </c>
      <c r="F79" s="251"/>
      <c r="G79" s="63"/>
      <c r="H79" s="63"/>
      <c r="I79" s="131"/>
      <c r="J79" s="36"/>
      <c r="K79" s="15"/>
      <c r="M79" s="121"/>
    </row>
    <row r="80" spans="1:13" ht="77.25" customHeight="1">
      <c r="A80" s="36"/>
      <c r="B80" s="298" t="s">
        <v>196</v>
      </c>
      <c r="C80" s="122" t="s">
        <v>158</v>
      </c>
      <c r="D80" s="254">
        <f t="shared" si="5"/>
        <v>300</v>
      </c>
      <c r="E80" s="253">
        <v>300</v>
      </c>
      <c r="F80" s="251"/>
      <c r="G80" s="63"/>
      <c r="H80" s="63"/>
      <c r="I80" s="131"/>
      <c r="J80" s="36"/>
      <c r="K80" s="15"/>
      <c r="M80" s="121"/>
    </row>
    <row r="81" spans="1:13" ht="100.5" customHeight="1">
      <c r="A81" s="36"/>
      <c r="B81" s="298" t="s">
        <v>197</v>
      </c>
      <c r="C81" s="122" t="s">
        <v>158</v>
      </c>
      <c r="D81" s="254">
        <f t="shared" si="5"/>
        <v>280</v>
      </c>
      <c r="E81" s="253">
        <v>280</v>
      </c>
      <c r="F81" s="251"/>
      <c r="G81" s="63"/>
      <c r="H81" s="63"/>
      <c r="I81" s="131"/>
      <c r="J81" s="36"/>
      <c r="K81" s="15"/>
      <c r="M81" s="121"/>
    </row>
    <row r="82" spans="1:13" ht="79.5" customHeight="1">
      <c r="A82" s="36"/>
      <c r="B82" s="298" t="s">
        <v>198</v>
      </c>
      <c r="C82" s="122" t="s">
        <v>158</v>
      </c>
      <c r="D82" s="254">
        <f t="shared" si="5"/>
        <v>80</v>
      </c>
      <c r="E82" s="253">
        <v>80</v>
      </c>
      <c r="F82" s="251"/>
      <c r="G82" s="63"/>
      <c r="H82" s="63"/>
      <c r="I82" s="131"/>
      <c r="J82" s="36"/>
      <c r="K82" s="15"/>
      <c r="M82" s="121"/>
    </row>
    <row r="83" spans="1:13" ht="58.5" customHeight="1">
      <c r="A83" s="36"/>
      <c r="B83" s="298" t="s">
        <v>199</v>
      </c>
      <c r="C83" s="122" t="s">
        <v>158</v>
      </c>
      <c r="D83" s="254">
        <f t="shared" si="5"/>
        <v>350</v>
      </c>
      <c r="E83" s="253">
        <v>350</v>
      </c>
      <c r="F83" s="251"/>
      <c r="G83" s="63"/>
      <c r="H83" s="63"/>
      <c r="I83" s="131"/>
      <c r="J83" s="36"/>
      <c r="K83" s="15"/>
      <c r="M83" s="121"/>
    </row>
    <row r="84" spans="1:13" ht="84" customHeight="1">
      <c r="A84" s="36"/>
      <c r="B84" s="298" t="s">
        <v>200</v>
      </c>
      <c r="C84" s="122" t="s">
        <v>158</v>
      </c>
      <c r="D84" s="254">
        <f t="shared" si="5"/>
        <v>80</v>
      </c>
      <c r="E84" s="253">
        <v>80</v>
      </c>
      <c r="F84" s="251"/>
      <c r="G84" s="63"/>
      <c r="H84" s="63"/>
      <c r="I84" s="131"/>
      <c r="J84" s="36"/>
      <c r="K84" s="15"/>
      <c r="M84" s="121"/>
    </row>
    <row r="85" spans="1:13" ht="58.5" customHeight="1">
      <c r="A85" s="36"/>
      <c r="B85" s="298" t="s">
        <v>201</v>
      </c>
      <c r="C85" s="122" t="s">
        <v>158</v>
      </c>
      <c r="D85" s="254">
        <f t="shared" si="5"/>
        <v>550</v>
      </c>
      <c r="E85" s="253">
        <v>550</v>
      </c>
      <c r="F85" s="251"/>
      <c r="G85" s="63"/>
      <c r="H85" s="63"/>
      <c r="I85" s="131"/>
      <c r="J85" s="36"/>
      <c r="K85" s="15"/>
      <c r="M85" s="121"/>
    </row>
    <row r="86" spans="1:13" ht="97.5" customHeight="1">
      <c r="A86" s="36"/>
      <c r="B86" s="298" t="s">
        <v>202</v>
      </c>
      <c r="C86" s="122" t="s">
        <v>158</v>
      </c>
      <c r="D86" s="254">
        <f t="shared" si="5"/>
        <v>80</v>
      </c>
      <c r="E86" s="253">
        <v>80</v>
      </c>
      <c r="F86" s="251"/>
      <c r="G86" s="63"/>
      <c r="H86" s="63"/>
      <c r="I86" s="131"/>
      <c r="J86" s="36"/>
      <c r="K86" s="15"/>
      <c r="M86" s="121"/>
    </row>
    <row r="87" spans="1:13" ht="77.25" customHeight="1">
      <c r="A87" s="36"/>
      <c r="B87" s="298" t="s">
        <v>203</v>
      </c>
      <c r="C87" s="122" t="s">
        <v>158</v>
      </c>
      <c r="D87" s="254">
        <f t="shared" si="5"/>
        <v>320</v>
      </c>
      <c r="E87" s="253">
        <v>320</v>
      </c>
      <c r="F87" s="251"/>
      <c r="G87" s="63"/>
      <c r="H87" s="63"/>
      <c r="I87" s="131"/>
      <c r="J87" s="36"/>
      <c r="K87" s="15"/>
      <c r="M87" s="121"/>
    </row>
    <row r="88" spans="1:13" ht="72.75" customHeight="1">
      <c r="A88" s="36"/>
      <c r="B88" s="298" t="s">
        <v>204</v>
      </c>
      <c r="C88" s="122" t="s">
        <v>158</v>
      </c>
      <c r="D88" s="254">
        <f t="shared" si="5"/>
        <v>210</v>
      </c>
      <c r="E88" s="253">
        <v>210</v>
      </c>
      <c r="F88" s="251"/>
      <c r="G88" s="63"/>
      <c r="H88" s="63"/>
      <c r="I88" s="131"/>
      <c r="J88" s="36"/>
      <c r="K88" s="15"/>
      <c r="M88" s="121"/>
    </row>
    <row r="89" spans="1:13" ht="86.25" customHeight="1">
      <c r="A89" s="36"/>
      <c r="B89" s="298" t="s">
        <v>205</v>
      </c>
      <c r="C89" s="122" t="s">
        <v>158</v>
      </c>
      <c r="D89" s="254">
        <f t="shared" si="5"/>
        <v>215</v>
      </c>
      <c r="E89" s="253">
        <v>215</v>
      </c>
      <c r="F89" s="251"/>
      <c r="G89" s="63"/>
      <c r="H89" s="63"/>
      <c r="I89" s="131"/>
      <c r="J89" s="36"/>
      <c r="K89" s="15"/>
      <c r="M89" s="121"/>
    </row>
    <row r="90" spans="1:13" ht="81" customHeight="1">
      <c r="A90" s="36"/>
      <c r="B90" s="298" t="s">
        <v>206</v>
      </c>
      <c r="C90" s="122" t="s">
        <v>158</v>
      </c>
      <c r="D90" s="254">
        <f t="shared" si="5"/>
        <v>205.2</v>
      </c>
      <c r="E90" s="253">
        <v>205.2</v>
      </c>
      <c r="F90" s="251"/>
      <c r="G90" s="63"/>
      <c r="H90" s="63"/>
      <c r="I90" s="131"/>
      <c r="J90" s="36"/>
      <c r="K90" s="15"/>
      <c r="M90" s="121"/>
    </row>
    <row r="91" spans="1:13" ht="58.5" customHeight="1">
      <c r="A91" s="36"/>
      <c r="B91" s="298" t="s">
        <v>207</v>
      </c>
      <c r="C91" s="122" t="s">
        <v>158</v>
      </c>
      <c r="D91" s="254">
        <f t="shared" si="5"/>
        <v>8950</v>
      </c>
      <c r="E91" s="253">
        <v>8950</v>
      </c>
      <c r="F91" s="251"/>
      <c r="G91" s="63"/>
      <c r="H91" s="63"/>
      <c r="I91" s="131"/>
      <c r="J91" s="36"/>
      <c r="K91" s="15"/>
      <c r="M91" s="121"/>
    </row>
    <row r="92" spans="1:13" ht="58.5" customHeight="1">
      <c r="A92" s="36"/>
      <c r="B92" s="298" t="s">
        <v>208</v>
      </c>
      <c r="C92" s="122" t="s">
        <v>158</v>
      </c>
      <c r="D92" s="254">
        <f t="shared" si="5"/>
        <v>2100</v>
      </c>
      <c r="E92" s="253">
        <v>2100</v>
      </c>
      <c r="F92" s="251"/>
      <c r="G92" s="63"/>
      <c r="H92" s="63"/>
      <c r="I92" s="131"/>
      <c r="J92" s="36"/>
      <c r="K92" s="15"/>
      <c r="M92" s="121"/>
    </row>
    <row r="93" spans="1:13" ht="58.5" customHeight="1">
      <c r="A93" s="36"/>
      <c r="B93" s="299" t="s">
        <v>209</v>
      </c>
      <c r="C93" s="122" t="s">
        <v>158</v>
      </c>
      <c r="D93" s="254">
        <f t="shared" si="5"/>
        <v>3000</v>
      </c>
      <c r="E93" s="253">
        <v>3000</v>
      </c>
      <c r="F93" s="251"/>
      <c r="G93" s="63"/>
      <c r="H93" s="63"/>
      <c r="I93" s="131"/>
      <c r="J93" s="36"/>
      <c r="K93" s="15"/>
      <c r="M93" s="121"/>
    </row>
    <row r="94" spans="1:13" ht="43.5" customHeight="1">
      <c r="A94" s="36"/>
      <c r="B94" s="299" t="s">
        <v>210</v>
      </c>
      <c r="C94" s="122" t="s">
        <v>158</v>
      </c>
      <c r="D94" s="254">
        <f t="shared" si="5"/>
        <v>4475</v>
      </c>
      <c r="E94" s="253">
        <v>4475</v>
      </c>
      <c r="F94" s="251"/>
      <c r="G94" s="63"/>
      <c r="H94" s="63"/>
      <c r="I94" s="131"/>
      <c r="J94" s="36"/>
      <c r="K94" s="15"/>
      <c r="M94" s="121"/>
    </row>
    <row r="95" spans="1:13" ht="35.25" customHeight="1">
      <c r="A95" s="36"/>
      <c r="B95" s="299" t="s">
        <v>211</v>
      </c>
      <c r="C95" s="122" t="s">
        <v>158</v>
      </c>
      <c r="D95" s="254">
        <f t="shared" si="5"/>
        <v>2300</v>
      </c>
      <c r="E95" s="253">
        <v>2300</v>
      </c>
      <c r="F95" s="251"/>
      <c r="G95" s="63"/>
      <c r="H95" s="63"/>
      <c r="I95" s="131"/>
      <c r="J95" s="36"/>
      <c r="K95" s="15"/>
      <c r="M95" s="121"/>
    </row>
    <row r="96" spans="1:13" ht="37.5" customHeight="1">
      <c r="A96" s="36"/>
      <c r="B96" s="299" t="s">
        <v>212</v>
      </c>
      <c r="C96" s="122" t="s">
        <v>158</v>
      </c>
      <c r="D96" s="254">
        <f t="shared" si="5"/>
        <v>4806</v>
      </c>
      <c r="E96" s="253">
        <v>2403</v>
      </c>
      <c r="F96" s="251">
        <v>2403</v>
      </c>
      <c r="G96" s="63"/>
      <c r="H96" s="63"/>
      <c r="I96" s="132"/>
      <c r="J96" s="36"/>
      <c r="K96" s="15"/>
      <c r="M96" s="121"/>
    </row>
    <row r="97" spans="1:13" ht="36.75" customHeight="1">
      <c r="A97" s="36"/>
      <c r="B97" s="298" t="s">
        <v>213</v>
      </c>
      <c r="C97" s="122" t="s">
        <v>158</v>
      </c>
      <c r="D97" s="254">
        <f t="shared" si="5"/>
        <v>3429</v>
      </c>
      <c r="E97" s="253">
        <v>3429</v>
      </c>
      <c r="F97" s="251"/>
      <c r="G97" s="63"/>
      <c r="H97" s="63"/>
      <c r="I97" s="132"/>
      <c r="J97" s="36"/>
      <c r="K97" s="15"/>
      <c r="M97" s="121"/>
    </row>
    <row r="98" spans="1:13" ht="39" customHeight="1">
      <c r="A98" s="36"/>
      <c r="B98" s="298" t="s">
        <v>214</v>
      </c>
      <c r="C98" s="122" t="s">
        <v>158</v>
      </c>
      <c r="D98" s="254">
        <f t="shared" si="5"/>
        <v>1950</v>
      </c>
      <c r="E98" s="253">
        <v>1950</v>
      </c>
      <c r="F98" s="251"/>
      <c r="G98" s="63"/>
      <c r="H98" s="63"/>
      <c r="I98" s="132"/>
      <c r="J98" s="36"/>
      <c r="K98" s="15"/>
      <c r="M98" s="121"/>
    </row>
    <row r="99" spans="1:13" ht="40.5" customHeight="1">
      <c r="A99" s="36"/>
      <c r="B99" s="298" t="s">
        <v>215</v>
      </c>
      <c r="C99" s="122" t="s">
        <v>158</v>
      </c>
      <c r="D99" s="254">
        <f t="shared" si="5"/>
        <v>2100</v>
      </c>
      <c r="E99" s="253">
        <v>2100</v>
      </c>
      <c r="F99" s="246"/>
      <c r="G99" s="63"/>
      <c r="H99" s="63"/>
      <c r="I99" s="38"/>
      <c r="J99" s="36"/>
      <c r="K99" s="15"/>
      <c r="M99" s="121"/>
    </row>
    <row r="100" spans="1:13" ht="38.25" customHeight="1">
      <c r="A100" s="36"/>
      <c r="B100" s="298" t="s">
        <v>216</v>
      </c>
      <c r="C100" s="122" t="s">
        <v>158</v>
      </c>
      <c r="D100" s="254">
        <f t="shared" si="5"/>
        <v>2500</v>
      </c>
      <c r="E100" s="253">
        <v>2500</v>
      </c>
      <c r="F100" s="246"/>
      <c r="G100" s="133"/>
      <c r="H100" s="133"/>
      <c r="I100" s="134"/>
      <c r="J100" s="36"/>
      <c r="K100" s="15"/>
      <c r="M100" s="121"/>
    </row>
    <row r="101" spans="1:13" ht="65.25" customHeight="1">
      <c r="A101" s="36"/>
      <c r="B101" s="296" t="s">
        <v>217</v>
      </c>
      <c r="C101" s="122" t="s">
        <v>158</v>
      </c>
      <c r="D101" s="254">
        <f>E101+F101+I101</f>
        <v>625</v>
      </c>
      <c r="E101" s="253">
        <v>625</v>
      </c>
      <c r="F101" s="246"/>
      <c r="G101" s="133"/>
      <c r="H101" s="133"/>
      <c r="I101" s="134"/>
      <c r="J101" s="36"/>
      <c r="K101" s="15"/>
      <c r="M101" s="121"/>
    </row>
    <row r="102" spans="1:13" ht="55.5" customHeight="1">
      <c r="A102" s="36"/>
      <c r="B102" s="296" t="s">
        <v>415</v>
      </c>
      <c r="C102" s="122" t="s">
        <v>158</v>
      </c>
      <c r="D102" s="254">
        <f aca="true" t="shared" si="6" ref="D102:D122">E102+F102+I102</f>
        <v>4800</v>
      </c>
      <c r="E102" s="253"/>
      <c r="F102" s="246">
        <v>4800</v>
      </c>
      <c r="G102" s="133"/>
      <c r="H102" s="133"/>
      <c r="I102" s="134"/>
      <c r="J102" s="36"/>
      <c r="K102" s="15"/>
      <c r="M102" s="121"/>
    </row>
    <row r="103" spans="1:13" ht="34.5" customHeight="1">
      <c r="A103" s="36"/>
      <c r="B103" s="296" t="s">
        <v>416</v>
      </c>
      <c r="C103" s="122" t="s">
        <v>158</v>
      </c>
      <c r="D103" s="254">
        <f t="shared" si="6"/>
        <v>2600</v>
      </c>
      <c r="E103" s="253"/>
      <c r="F103" s="246">
        <v>2600</v>
      </c>
      <c r="G103" s="133"/>
      <c r="H103" s="133"/>
      <c r="I103" s="134"/>
      <c r="J103" s="36"/>
      <c r="K103" s="15"/>
      <c r="M103" s="121"/>
    </row>
    <row r="104" spans="1:13" ht="37.5" customHeight="1">
      <c r="A104" s="36"/>
      <c r="B104" s="296" t="s">
        <v>417</v>
      </c>
      <c r="C104" s="122" t="s">
        <v>158</v>
      </c>
      <c r="D104" s="254">
        <f t="shared" si="6"/>
        <v>2800</v>
      </c>
      <c r="E104" s="253"/>
      <c r="F104" s="246">
        <v>2800</v>
      </c>
      <c r="G104" s="133"/>
      <c r="H104" s="133"/>
      <c r="I104" s="134"/>
      <c r="J104" s="36"/>
      <c r="K104" s="15"/>
      <c r="M104" s="121"/>
    </row>
    <row r="105" spans="1:13" ht="36.75" customHeight="1">
      <c r="A105" s="36"/>
      <c r="B105" s="296" t="s">
        <v>418</v>
      </c>
      <c r="C105" s="122" t="s">
        <v>158</v>
      </c>
      <c r="D105" s="254">
        <f t="shared" si="6"/>
        <v>1755</v>
      </c>
      <c r="E105" s="253"/>
      <c r="F105" s="246">
        <v>1755</v>
      </c>
      <c r="G105" s="133"/>
      <c r="H105" s="133"/>
      <c r="I105" s="134"/>
      <c r="J105" s="36"/>
      <c r="K105" s="15"/>
      <c r="M105" s="121"/>
    </row>
    <row r="106" spans="1:13" ht="36" customHeight="1">
      <c r="A106" s="36"/>
      <c r="B106" s="296" t="s">
        <v>419</v>
      </c>
      <c r="C106" s="122" t="s">
        <v>158</v>
      </c>
      <c r="D106" s="254">
        <f t="shared" si="6"/>
        <v>3511</v>
      </c>
      <c r="E106" s="253"/>
      <c r="F106" s="246">
        <v>3511</v>
      </c>
      <c r="G106" s="133"/>
      <c r="H106" s="133"/>
      <c r="I106" s="134"/>
      <c r="J106" s="36"/>
      <c r="K106" s="15"/>
      <c r="M106" s="121"/>
    </row>
    <row r="107" spans="1:13" ht="52.5" customHeight="1">
      <c r="A107" s="36"/>
      <c r="B107" s="296" t="s">
        <v>420</v>
      </c>
      <c r="C107" s="122" t="s">
        <v>158</v>
      </c>
      <c r="D107" s="254">
        <f t="shared" si="6"/>
        <v>1260</v>
      </c>
      <c r="E107" s="253"/>
      <c r="F107" s="246">
        <v>1260</v>
      </c>
      <c r="G107" s="133"/>
      <c r="H107" s="133"/>
      <c r="I107" s="134"/>
      <c r="J107" s="36"/>
      <c r="K107" s="15"/>
      <c r="M107" s="121"/>
    </row>
    <row r="108" spans="1:13" ht="36.75" customHeight="1">
      <c r="A108" s="36"/>
      <c r="B108" s="296" t="s">
        <v>421</v>
      </c>
      <c r="C108" s="122" t="s">
        <v>158</v>
      </c>
      <c r="D108" s="254">
        <f t="shared" si="6"/>
        <v>667</v>
      </c>
      <c r="E108" s="253"/>
      <c r="F108" s="246">
        <v>667</v>
      </c>
      <c r="G108" s="133"/>
      <c r="H108" s="133"/>
      <c r="I108" s="134"/>
      <c r="J108" s="36"/>
      <c r="K108" s="15"/>
      <c r="M108" s="121"/>
    </row>
    <row r="109" spans="1:13" ht="35.25" customHeight="1">
      <c r="A109" s="36"/>
      <c r="B109" s="296" t="s">
        <v>422</v>
      </c>
      <c r="C109" s="122" t="s">
        <v>158</v>
      </c>
      <c r="D109" s="254">
        <f t="shared" si="6"/>
        <v>6.092</v>
      </c>
      <c r="E109" s="253"/>
      <c r="F109" s="246">
        <v>6.092</v>
      </c>
      <c r="G109" s="133"/>
      <c r="H109" s="133"/>
      <c r="I109" s="134"/>
      <c r="J109" s="36"/>
      <c r="K109" s="15"/>
      <c r="M109" s="121"/>
    </row>
    <row r="110" spans="1:13" ht="35.25" customHeight="1">
      <c r="A110" s="36"/>
      <c r="B110" s="296" t="s">
        <v>423</v>
      </c>
      <c r="C110" s="122" t="s">
        <v>158</v>
      </c>
      <c r="D110" s="254">
        <f t="shared" si="6"/>
        <v>7.38</v>
      </c>
      <c r="E110" s="253"/>
      <c r="F110" s="246">
        <v>7.38</v>
      </c>
      <c r="G110" s="133"/>
      <c r="H110" s="133"/>
      <c r="I110" s="134"/>
      <c r="J110" s="36"/>
      <c r="K110" s="15"/>
      <c r="M110" s="121"/>
    </row>
    <row r="111" spans="1:13" ht="35.25" customHeight="1">
      <c r="A111" s="36"/>
      <c r="B111" s="296" t="s">
        <v>424</v>
      </c>
      <c r="C111" s="122" t="s">
        <v>158</v>
      </c>
      <c r="D111" s="254">
        <f t="shared" si="6"/>
        <v>9.68</v>
      </c>
      <c r="E111" s="253"/>
      <c r="F111" s="246">
        <v>9.68</v>
      </c>
      <c r="G111" s="133"/>
      <c r="H111" s="133"/>
      <c r="I111" s="134"/>
      <c r="J111" s="36"/>
      <c r="K111" s="15"/>
      <c r="M111" s="121"/>
    </row>
    <row r="112" spans="1:13" ht="53.25" customHeight="1">
      <c r="A112" s="36"/>
      <c r="B112" s="296" t="s">
        <v>425</v>
      </c>
      <c r="C112" s="122" t="s">
        <v>158</v>
      </c>
      <c r="D112" s="254">
        <f t="shared" si="6"/>
        <v>257.38</v>
      </c>
      <c r="E112" s="253"/>
      <c r="F112" s="246">
        <v>257.38</v>
      </c>
      <c r="G112" s="133"/>
      <c r="H112" s="133"/>
      <c r="I112" s="134"/>
      <c r="J112" s="36"/>
      <c r="K112" s="15"/>
      <c r="M112" s="121"/>
    </row>
    <row r="113" spans="1:13" ht="53.25" customHeight="1">
      <c r="A113" s="36"/>
      <c r="B113" s="296" t="s">
        <v>426</v>
      </c>
      <c r="C113" s="122" t="s">
        <v>158</v>
      </c>
      <c r="D113" s="254">
        <f t="shared" si="6"/>
        <v>79.86</v>
      </c>
      <c r="E113" s="253"/>
      <c r="F113" s="246">
        <v>79.86</v>
      </c>
      <c r="G113" s="133"/>
      <c r="H113" s="133"/>
      <c r="I113" s="134"/>
      <c r="J113" s="36"/>
      <c r="K113" s="15"/>
      <c r="M113" s="121"/>
    </row>
    <row r="114" spans="1:13" ht="56.25" customHeight="1">
      <c r="A114" s="36"/>
      <c r="B114" s="296" t="s">
        <v>427</v>
      </c>
      <c r="C114" s="122" t="s">
        <v>158</v>
      </c>
      <c r="D114" s="254">
        <f t="shared" si="6"/>
        <v>746.83</v>
      </c>
      <c r="E114" s="253"/>
      <c r="F114" s="246">
        <v>746.83</v>
      </c>
      <c r="G114" s="133"/>
      <c r="H114" s="133"/>
      <c r="I114" s="134"/>
      <c r="J114" s="36"/>
      <c r="K114" s="15"/>
      <c r="M114" s="121"/>
    </row>
    <row r="115" spans="1:13" ht="37.5" customHeight="1">
      <c r="A115" s="36"/>
      <c r="B115" s="296" t="s">
        <v>428</v>
      </c>
      <c r="C115" s="122" t="s">
        <v>158</v>
      </c>
      <c r="D115" s="254">
        <f t="shared" si="6"/>
        <v>35.75</v>
      </c>
      <c r="E115" s="253"/>
      <c r="F115" s="246">
        <v>35.75</v>
      </c>
      <c r="G115" s="133"/>
      <c r="H115" s="133"/>
      <c r="I115" s="134"/>
      <c r="J115" s="36"/>
      <c r="K115" s="15"/>
      <c r="M115" s="121"/>
    </row>
    <row r="116" spans="1:13" ht="36" customHeight="1">
      <c r="A116" s="36"/>
      <c r="B116" s="296" t="s">
        <v>429</v>
      </c>
      <c r="C116" s="122" t="s">
        <v>158</v>
      </c>
      <c r="D116" s="254">
        <f t="shared" si="6"/>
        <v>15.4</v>
      </c>
      <c r="E116" s="253"/>
      <c r="F116" s="246">
        <v>15.4</v>
      </c>
      <c r="G116" s="133"/>
      <c r="H116" s="133"/>
      <c r="I116" s="134"/>
      <c r="J116" s="36"/>
      <c r="K116" s="15"/>
      <c r="M116" s="121"/>
    </row>
    <row r="117" spans="1:13" ht="36" customHeight="1">
      <c r="A117" s="36"/>
      <c r="B117" s="296" t="s">
        <v>430</v>
      </c>
      <c r="C117" s="122" t="s">
        <v>158</v>
      </c>
      <c r="D117" s="254">
        <f t="shared" si="6"/>
        <v>310</v>
      </c>
      <c r="E117" s="253"/>
      <c r="F117" s="246">
        <v>310</v>
      </c>
      <c r="G117" s="133"/>
      <c r="H117" s="133"/>
      <c r="I117" s="134"/>
      <c r="J117" s="36"/>
      <c r="K117" s="15"/>
      <c r="M117" s="121"/>
    </row>
    <row r="118" spans="1:13" ht="36" customHeight="1">
      <c r="A118" s="36"/>
      <c r="B118" s="296" t="s">
        <v>431</v>
      </c>
      <c r="C118" s="122" t="s">
        <v>158</v>
      </c>
      <c r="D118" s="254">
        <f t="shared" si="6"/>
        <v>92</v>
      </c>
      <c r="E118" s="253"/>
      <c r="F118" s="246">
        <v>92</v>
      </c>
      <c r="G118" s="133"/>
      <c r="H118" s="133"/>
      <c r="I118" s="134"/>
      <c r="J118" s="36"/>
      <c r="K118" s="15"/>
      <c r="M118" s="121"/>
    </row>
    <row r="119" spans="1:13" ht="36" customHeight="1">
      <c r="A119" s="36"/>
      <c r="B119" s="296" t="s">
        <v>432</v>
      </c>
      <c r="C119" s="122" t="s">
        <v>158</v>
      </c>
      <c r="D119" s="254">
        <f t="shared" si="6"/>
        <v>1715</v>
      </c>
      <c r="E119" s="253"/>
      <c r="F119" s="246">
        <v>1715</v>
      </c>
      <c r="G119" s="133"/>
      <c r="H119" s="133"/>
      <c r="I119" s="134"/>
      <c r="J119" s="36"/>
      <c r="K119" s="15"/>
      <c r="M119" s="121"/>
    </row>
    <row r="120" spans="1:13" ht="36" customHeight="1">
      <c r="A120" s="36"/>
      <c r="B120" s="296" t="s">
        <v>433</v>
      </c>
      <c r="C120" s="122" t="s">
        <v>158</v>
      </c>
      <c r="D120" s="254">
        <f t="shared" si="6"/>
        <v>2836.5</v>
      </c>
      <c r="E120" s="253"/>
      <c r="F120" s="246">
        <v>2836.5</v>
      </c>
      <c r="G120" s="133"/>
      <c r="H120" s="133"/>
      <c r="I120" s="134"/>
      <c r="J120" s="36"/>
      <c r="K120" s="15"/>
      <c r="M120" s="121"/>
    </row>
    <row r="121" spans="1:13" ht="41.25" customHeight="1">
      <c r="A121" s="36"/>
      <c r="B121" s="296" t="s">
        <v>434</v>
      </c>
      <c r="C121" s="122" t="s">
        <v>158</v>
      </c>
      <c r="D121" s="254">
        <f t="shared" si="6"/>
        <v>625</v>
      </c>
      <c r="E121" s="253"/>
      <c r="F121" s="246">
        <v>625</v>
      </c>
      <c r="G121" s="133"/>
      <c r="H121" s="133"/>
      <c r="I121" s="134"/>
      <c r="J121" s="36"/>
      <c r="K121" s="15"/>
      <c r="M121" s="121"/>
    </row>
    <row r="122" spans="1:13" ht="35.25" customHeight="1">
      <c r="A122" s="36"/>
      <c r="B122" s="490" t="s">
        <v>588</v>
      </c>
      <c r="C122" s="122" t="s">
        <v>158</v>
      </c>
      <c r="D122" s="254">
        <f t="shared" si="6"/>
        <v>0</v>
      </c>
      <c r="E122" s="253"/>
      <c r="F122" s="246">
        <f>1000-1000</f>
        <v>0</v>
      </c>
      <c r="G122" s="133"/>
      <c r="H122" s="133"/>
      <c r="I122" s="134"/>
      <c r="J122" s="36"/>
      <c r="K122" s="15"/>
      <c r="M122" s="121"/>
    </row>
    <row r="123" spans="1:13" ht="56.25">
      <c r="A123" s="36">
        <v>8</v>
      </c>
      <c r="B123" s="137" t="s">
        <v>176</v>
      </c>
      <c r="C123" s="122"/>
      <c r="D123" s="138">
        <f aca="true" t="shared" si="7" ref="D123:D140">E123+F123+I123</f>
        <v>2112.7</v>
      </c>
      <c r="E123" s="308">
        <f>E124+E125+E126+E127+E128</f>
        <v>2112.7</v>
      </c>
      <c r="F123" s="134"/>
      <c r="G123" s="135"/>
      <c r="H123" s="135"/>
      <c r="I123" s="138"/>
      <c r="J123" s="36" t="s">
        <v>179</v>
      </c>
      <c r="K123" s="15"/>
      <c r="M123" s="121"/>
    </row>
    <row r="124" spans="1:13" ht="75">
      <c r="A124" s="36"/>
      <c r="B124" s="290" t="s">
        <v>283</v>
      </c>
      <c r="C124" s="122" t="s">
        <v>158</v>
      </c>
      <c r="D124" s="138">
        <f t="shared" si="7"/>
        <v>1568.6</v>
      </c>
      <c r="E124" s="243">
        <v>1568.6</v>
      </c>
      <c r="F124" s="247"/>
      <c r="G124" s="135"/>
      <c r="H124" s="135"/>
      <c r="I124" s="138"/>
      <c r="J124" s="36"/>
      <c r="K124" s="15"/>
      <c r="M124" s="121"/>
    </row>
    <row r="125" spans="1:13" ht="37.5">
      <c r="A125" s="36"/>
      <c r="B125" s="290" t="s">
        <v>180</v>
      </c>
      <c r="C125" s="122" t="s">
        <v>158</v>
      </c>
      <c r="D125" s="138">
        <f t="shared" si="7"/>
        <v>171.5</v>
      </c>
      <c r="E125" s="250">
        <v>171.5</v>
      </c>
      <c r="F125" s="247"/>
      <c r="G125" s="135"/>
      <c r="H125" s="135"/>
      <c r="I125" s="138"/>
      <c r="J125" s="36"/>
      <c r="K125" s="15"/>
      <c r="M125" s="121"/>
    </row>
    <row r="126" spans="1:13" ht="56.25">
      <c r="A126" s="36"/>
      <c r="B126" s="290" t="s">
        <v>181</v>
      </c>
      <c r="C126" s="122" t="s">
        <v>158</v>
      </c>
      <c r="D126" s="138">
        <f t="shared" si="7"/>
        <v>107.7</v>
      </c>
      <c r="E126" s="243">
        <v>107.7</v>
      </c>
      <c r="F126" s="247"/>
      <c r="G126" s="135"/>
      <c r="H126" s="135"/>
      <c r="I126" s="138"/>
      <c r="J126" s="36"/>
      <c r="K126" s="15"/>
      <c r="M126" s="121"/>
    </row>
    <row r="127" spans="1:13" ht="56.25">
      <c r="A127" s="36"/>
      <c r="B127" s="290" t="s">
        <v>182</v>
      </c>
      <c r="C127" s="122" t="s">
        <v>158</v>
      </c>
      <c r="D127" s="138">
        <f t="shared" si="7"/>
        <v>182.8</v>
      </c>
      <c r="E127" s="243">
        <v>182.8</v>
      </c>
      <c r="F127" s="247"/>
      <c r="G127" s="135"/>
      <c r="H127" s="135"/>
      <c r="I127" s="138"/>
      <c r="J127" s="36"/>
      <c r="K127" s="15"/>
      <c r="M127" s="121"/>
    </row>
    <row r="128" spans="1:13" ht="56.25">
      <c r="A128" s="36"/>
      <c r="B128" s="290" t="s">
        <v>183</v>
      </c>
      <c r="C128" s="122" t="s">
        <v>158</v>
      </c>
      <c r="D128" s="138">
        <f t="shared" si="7"/>
        <v>82.1</v>
      </c>
      <c r="E128" s="243">
        <v>82.1</v>
      </c>
      <c r="F128" s="247"/>
      <c r="G128" s="135"/>
      <c r="H128" s="135"/>
      <c r="I128" s="138"/>
      <c r="J128" s="36"/>
      <c r="K128" s="15"/>
      <c r="M128" s="121"/>
    </row>
    <row r="129" spans="1:13" ht="56.25">
      <c r="A129" s="36">
        <v>9</v>
      </c>
      <c r="B129" s="139" t="s">
        <v>83</v>
      </c>
      <c r="C129" s="122"/>
      <c r="D129" s="248">
        <f>E129+F129+I129</f>
        <v>1162.4</v>
      </c>
      <c r="E129" s="249">
        <f>E130+E131+E133</f>
        <v>559.4</v>
      </c>
      <c r="F129" s="249">
        <f>F130+F131+F133+F132+F134+F135</f>
        <v>603</v>
      </c>
      <c r="G129" s="135"/>
      <c r="H129" s="135"/>
      <c r="I129" s="138"/>
      <c r="J129" s="36" t="s">
        <v>84</v>
      </c>
      <c r="K129" s="15"/>
      <c r="M129" s="121"/>
    </row>
    <row r="130" spans="1:13" ht="84.75" customHeight="1">
      <c r="A130" s="36"/>
      <c r="B130" s="290" t="s">
        <v>177</v>
      </c>
      <c r="C130" s="122" t="s">
        <v>158</v>
      </c>
      <c r="D130" s="248">
        <f t="shared" si="7"/>
        <v>47</v>
      </c>
      <c r="E130" s="312">
        <v>47</v>
      </c>
      <c r="F130" s="247"/>
      <c r="G130" s="135"/>
      <c r="H130" s="135"/>
      <c r="I130" s="134"/>
      <c r="J130" s="36"/>
      <c r="K130" s="15"/>
      <c r="M130" s="121"/>
    </row>
    <row r="131" spans="1:13" ht="45" customHeight="1">
      <c r="A131" s="36"/>
      <c r="B131" s="290" t="s">
        <v>178</v>
      </c>
      <c r="C131" s="122" t="s">
        <v>158</v>
      </c>
      <c r="D131" s="248">
        <f t="shared" si="7"/>
        <v>12.4</v>
      </c>
      <c r="E131" s="312">
        <v>12.4</v>
      </c>
      <c r="F131" s="247"/>
      <c r="G131" s="135"/>
      <c r="H131" s="135"/>
      <c r="I131" s="134"/>
      <c r="J131" s="36"/>
      <c r="K131" s="15"/>
      <c r="M131" s="121"/>
    </row>
    <row r="132" spans="1:13" ht="45" customHeight="1">
      <c r="A132" s="36"/>
      <c r="B132" s="290" t="s">
        <v>414</v>
      </c>
      <c r="C132" s="122" t="s">
        <v>158</v>
      </c>
      <c r="D132" s="248">
        <f t="shared" si="7"/>
        <v>540</v>
      </c>
      <c r="E132" s="312"/>
      <c r="F132" s="247">
        <f>540-20.8-42.2+63</f>
        <v>540</v>
      </c>
      <c r="G132" s="135"/>
      <c r="H132" s="135"/>
      <c r="I132" s="134"/>
      <c r="J132" s="36"/>
      <c r="K132" s="15"/>
      <c r="M132" s="121"/>
    </row>
    <row r="133" spans="1:13" ht="45" customHeight="1">
      <c r="A133" s="36"/>
      <c r="B133" s="290" t="s">
        <v>299</v>
      </c>
      <c r="C133" s="122" t="s">
        <v>158</v>
      </c>
      <c r="D133" s="248">
        <f t="shared" si="7"/>
        <v>500</v>
      </c>
      <c r="E133" s="312">
        <v>500</v>
      </c>
      <c r="F133" s="247"/>
      <c r="G133" s="135"/>
      <c r="H133" s="135"/>
      <c r="I133" s="134"/>
      <c r="J133" s="36"/>
      <c r="K133" s="15"/>
      <c r="M133" s="121"/>
    </row>
    <row r="134" spans="1:13" ht="45" customHeight="1">
      <c r="A134" s="36"/>
      <c r="B134" s="290" t="s">
        <v>473</v>
      </c>
      <c r="C134" s="309"/>
      <c r="D134" s="248">
        <f t="shared" si="7"/>
        <v>20.8</v>
      </c>
      <c r="E134" s="312"/>
      <c r="F134" s="247">
        <v>20.8</v>
      </c>
      <c r="G134" s="135"/>
      <c r="H134" s="135"/>
      <c r="I134" s="134"/>
      <c r="J134" s="36"/>
      <c r="K134" s="15"/>
      <c r="M134" s="121"/>
    </row>
    <row r="135" spans="1:13" ht="45" customHeight="1">
      <c r="A135" s="36"/>
      <c r="B135" s="290" t="s">
        <v>474</v>
      </c>
      <c r="C135" s="309"/>
      <c r="D135" s="248">
        <f t="shared" si="7"/>
        <v>42.2</v>
      </c>
      <c r="E135" s="312"/>
      <c r="F135" s="247">
        <v>42.2</v>
      </c>
      <c r="G135" s="135"/>
      <c r="H135" s="135"/>
      <c r="I135" s="134"/>
      <c r="J135" s="36"/>
      <c r="K135" s="15"/>
      <c r="M135" s="121"/>
    </row>
    <row r="136" spans="1:13" ht="53.25" customHeight="1">
      <c r="A136" s="36"/>
      <c r="B136" s="139" t="s">
        <v>287</v>
      </c>
      <c r="C136" s="309"/>
      <c r="D136" s="248">
        <f t="shared" si="7"/>
        <v>30680</v>
      </c>
      <c r="E136" s="311">
        <f>E137+E138+E139+E140</f>
        <v>30680</v>
      </c>
      <c r="F136" s="247"/>
      <c r="G136" s="135"/>
      <c r="H136" s="135"/>
      <c r="I136" s="134"/>
      <c r="J136" s="36" t="s">
        <v>292</v>
      </c>
      <c r="K136" s="15"/>
      <c r="M136" s="121"/>
    </row>
    <row r="137" spans="1:13" ht="39.75" customHeight="1">
      <c r="A137" s="36"/>
      <c r="B137" s="310" t="s">
        <v>288</v>
      </c>
      <c r="C137" s="122" t="s">
        <v>158</v>
      </c>
      <c r="D137" s="248">
        <f t="shared" si="7"/>
        <v>15500</v>
      </c>
      <c r="E137" s="313">
        <v>15500</v>
      </c>
      <c r="F137" s="247"/>
      <c r="G137" s="135"/>
      <c r="H137" s="135"/>
      <c r="I137" s="134"/>
      <c r="J137" s="36"/>
      <c r="K137" s="15"/>
      <c r="M137" s="121"/>
    </row>
    <row r="138" spans="1:13" ht="42" customHeight="1">
      <c r="A138" s="36"/>
      <c r="B138" s="310" t="s">
        <v>289</v>
      </c>
      <c r="C138" s="122" t="s">
        <v>158</v>
      </c>
      <c r="D138" s="248">
        <f t="shared" si="7"/>
        <v>4700</v>
      </c>
      <c r="E138" s="313">
        <v>4700</v>
      </c>
      <c r="F138" s="247"/>
      <c r="G138" s="135"/>
      <c r="H138" s="135"/>
      <c r="I138" s="134"/>
      <c r="J138" s="36"/>
      <c r="K138" s="15"/>
      <c r="M138" s="121"/>
    </row>
    <row r="139" spans="1:13" ht="40.5" customHeight="1">
      <c r="A139" s="36"/>
      <c r="B139" s="310" t="s">
        <v>290</v>
      </c>
      <c r="C139" s="122" t="s">
        <v>158</v>
      </c>
      <c r="D139" s="248">
        <f t="shared" si="7"/>
        <v>4780</v>
      </c>
      <c r="E139" s="312">
        <v>4780</v>
      </c>
      <c r="F139" s="247"/>
      <c r="G139" s="135"/>
      <c r="H139" s="135"/>
      <c r="I139" s="134"/>
      <c r="J139" s="36"/>
      <c r="K139" s="15"/>
      <c r="M139" s="121"/>
    </row>
    <row r="140" spans="1:13" ht="37.5" customHeight="1">
      <c r="A140" s="36"/>
      <c r="B140" s="310" t="s">
        <v>291</v>
      </c>
      <c r="C140" s="122" t="s">
        <v>158</v>
      </c>
      <c r="D140" s="248">
        <f t="shared" si="7"/>
        <v>5700</v>
      </c>
      <c r="E140" s="312">
        <v>5700</v>
      </c>
      <c r="F140" s="247"/>
      <c r="G140" s="135"/>
      <c r="H140" s="135"/>
      <c r="I140" s="134"/>
      <c r="J140" s="36"/>
      <c r="K140" s="15"/>
      <c r="M140" s="121"/>
    </row>
    <row r="141" spans="1:11" ht="20.25">
      <c r="A141" s="70"/>
      <c r="B141" s="300" t="s">
        <v>5</v>
      </c>
      <c r="C141" s="140"/>
      <c r="D141" s="301">
        <f>D129+D123+D69+D64+D44+D39+D30+D22+D15+D136</f>
        <v>215936.67200000002</v>
      </c>
      <c r="E141" s="301">
        <f>E129+E123+E69+E64+E44+E39+E30+E22+E15+E136</f>
        <v>127913.40000000001</v>
      </c>
      <c r="F141" s="141">
        <f>F136+F129+F123+F69+F64+F44+F39+F30+F22+F15</f>
        <v>88023.272</v>
      </c>
      <c r="G141" s="141">
        <f>G136+G129+G123+G69+G64+G44+G39+G30+G22+G15</f>
        <v>0</v>
      </c>
      <c r="H141" s="141">
        <f>H136+H129+H123+H69+H64+H44+H39+H30+H22+H15</f>
        <v>0</v>
      </c>
      <c r="I141" s="141">
        <f>I136+I129+I123+I69+I64+I44+I39+I30+I22+I15</f>
        <v>7297.4</v>
      </c>
      <c r="J141" s="72"/>
      <c r="K141" s="15"/>
    </row>
    <row r="142" spans="1:11" ht="15.75">
      <c r="A142" s="142"/>
      <c r="B142" s="143"/>
      <c r="C142" s="143"/>
      <c r="D142" s="144"/>
      <c r="E142" s="144"/>
      <c r="F142" s="144"/>
      <c r="G142" s="144"/>
      <c r="H142" s="144"/>
      <c r="I142" s="144"/>
      <c r="J142" s="20"/>
      <c r="K142" s="15"/>
    </row>
    <row r="143" spans="1:11" ht="15.75">
      <c r="A143" s="142"/>
      <c r="B143" s="143"/>
      <c r="C143" s="18"/>
      <c r="D143" s="19"/>
      <c r="E143" s="19"/>
      <c r="F143" s="19"/>
      <c r="G143" s="19"/>
      <c r="H143" s="19"/>
      <c r="I143" s="19"/>
      <c r="J143" s="20"/>
      <c r="K143" s="15"/>
    </row>
    <row r="144" spans="2:11" ht="15.75">
      <c r="B144" s="143"/>
      <c r="C144" s="18"/>
      <c r="D144" s="19"/>
      <c r="E144" s="19"/>
      <c r="F144" s="19"/>
      <c r="G144" s="19"/>
      <c r="H144" s="19"/>
      <c r="I144" s="19"/>
      <c r="J144" s="20"/>
      <c r="K144" s="15"/>
    </row>
    <row r="145" spans="2:11" ht="30.75" customHeight="1">
      <c r="B145" s="513" t="s">
        <v>18</v>
      </c>
      <c r="C145" s="513"/>
      <c r="D145" s="413"/>
      <c r="E145" s="413"/>
      <c r="F145" s="22"/>
      <c r="I145" s="23"/>
      <c r="J145" s="23" t="s">
        <v>31</v>
      </c>
      <c r="K145" s="23"/>
    </row>
    <row r="146" spans="2:11" ht="16.5" customHeight="1">
      <c r="B146" s="274"/>
      <c r="C146" s="413"/>
      <c r="D146" s="413"/>
      <c r="E146" s="413"/>
      <c r="F146" s="22"/>
      <c r="I146" s="23"/>
      <c r="J146" s="23"/>
      <c r="K146" s="23"/>
    </row>
    <row r="147" spans="2:11" ht="18.75">
      <c r="B147" s="274"/>
      <c r="C147" s="413"/>
      <c r="D147" s="413"/>
      <c r="E147" s="413"/>
      <c r="F147" s="22"/>
      <c r="I147" s="23"/>
      <c r="J147" s="23"/>
      <c r="K147" s="23"/>
    </row>
    <row r="148" spans="2:10" ht="18.75">
      <c r="B148" s="538" t="s">
        <v>602</v>
      </c>
      <c r="C148" s="538"/>
      <c r="D148" s="25"/>
      <c r="E148" s="25"/>
      <c r="F148" s="26"/>
      <c r="G148" s="26"/>
      <c r="H148" s="26"/>
      <c r="I148" s="15"/>
      <c r="J148" s="15"/>
    </row>
    <row r="149" spans="2:12" ht="15.75" customHeight="1">
      <c r="B149" s="379" t="s">
        <v>10</v>
      </c>
      <c r="C149" s="17"/>
      <c r="D149" s="26"/>
      <c r="E149" s="26"/>
      <c r="F149" s="26"/>
      <c r="G149" s="26"/>
      <c r="H149" s="26"/>
      <c r="I149" s="15"/>
      <c r="J149" s="15"/>
      <c r="L149" s="12"/>
    </row>
    <row r="150" spans="2:10" ht="15.75">
      <c r="B150" s="146"/>
      <c r="C150" s="29"/>
      <c r="D150" s="30"/>
      <c r="E150" s="30"/>
      <c r="F150" s="26"/>
      <c r="G150" s="26"/>
      <c r="H150" s="26"/>
      <c r="I150" s="15"/>
      <c r="J150" s="15"/>
    </row>
    <row r="151" spans="3:9" ht="15.75">
      <c r="C151" s="30"/>
      <c r="D151" s="26"/>
      <c r="E151" s="26"/>
      <c r="F151" s="26"/>
      <c r="G151" s="26"/>
      <c r="H151" s="26"/>
      <c r="I151" s="26"/>
    </row>
    <row r="152" spans="3:9" ht="15.75">
      <c r="C152" s="31"/>
      <c r="D152" s="26"/>
      <c r="E152" s="26"/>
      <c r="F152" s="26"/>
      <c r="G152" s="26"/>
      <c r="H152" s="26"/>
      <c r="I152" s="26"/>
    </row>
    <row r="154" ht="12.75">
      <c r="H154" s="147"/>
    </row>
  </sheetData>
  <sheetProtection/>
  <mergeCells count="17">
    <mergeCell ref="A10:J10"/>
    <mergeCell ref="A12:A14"/>
    <mergeCell ref="B12:B14"/>
    <mergeCell ref="C12:C14"/>
    <mergeCell ref="J12:J14"/>
    <mergeCell ref="I13:I14"/>
    <mergeCell ref="D12:D14"/>
    <mergeCell ref="B145:C145"/>
    <mergeCell ref="B148:C148"/>
    <mergeCell ref="E12:I12"/>
    <mergeCell ref="D11:H11"/>
    <mergeCell ref="I1:J1"/>
    <mergeCell ref="I2:J2"/>
    <mergeCell ref="I7:J7"/>
    <mergeCell ref="E13:E14"/>
    <mergeCell ref="F13:H14"/>
    <mergeCell ref="I8:J8"/>
  </mergeCells>
  <printOptions horizontalCentered="1"/>
  <pageMargins left="1.1811023622047245" right="0.5905511811023623" top="1.1811023622047245" bottom="0.7874015748031497" header="0" footer="0"/>
  <pageSetup fitToHeight="0" fitToWidth="1" horizontalDpi="600" verticalDpi="600" orientation="landscape" paperSize="9" scale="56" r:id="rId1"/>
</worksheet>
</file>

<file path=xl/worksheets/sheet19.xml><?xml version="1.0" encoding="utf-8"?>
<worksheet xmlns="http://schemas.openxmlformats.org/spreadsheetml/2006/main" xmlns:r="http://schemas.openxmlformats.org/officeDocument/2006/relationships">
  <sheetPr>
    <tabColor rgb="FFFFFF00"/>
    <pageSetUpPr fitToPage="1"/>
  </sheetPr>
  <dimension ref="A1:O29"/>
  <sheetViews>
    <sheetView view="pageBreakPreview" zoomScaleSheetLayoutView="100" zoomScalePageLayoutView="0" workbookViewId="0" topLeftCell="A1">
      <selection activeCell="A9" sqref="A9:K9"/>
    </sheetView>
  </sheetViews>
  <sheetFormatPr defaultColWidth="9.140625" defaultRowHeight="12.75"/>
  <cols>
    <col min="1" max="1" width="6.7109375" style="14" customWidth="1"/>
    <col min="2" max="2" width="48.57421875" style="14" customWidth="1"/>
    <col min="3" max="3" width="18.00390625" style="14" customWidth="1"/>
    <col min="4" max="4" width="12.00390625" style="14" customWidth="1"/>
    <col min="5" max="5" width="9.7109375" style="14" customWidth="1"/>
    <col min="6" max="6" width="10.8515625" style="14" customWidth="1"/>
    <col min="7" max="8" width="11.57421875" style="14" hidden="1" customWidth="1"/>
    <col min="9" max="9" width="12.57421875" style="14" hidden="1" customWidth="1"/>
    <col min="10" max="10" width="10.00390625" style="14" customWidth="1"/>
    <col min="11" max="11" width="43.28125" style="14" customWidth="1"/>
    <col min="12" max="13" width="9.140625" style="14" hidden="1" customWidth="1"/>
    <col min="14" max="14" width="9.8515625" style="14" hidden="1" customWidth="1"/>
    <col min="15" max="15" width="10.140625" style="14" customWidth="1"/>
    <col min="16" max="16384" width="9.140625" style="14" customWidth="1"/>
  </cols>
  <sheetData>
    <row r="1" spans="2:12" ht="15.75">
      <c r="B1" s="15"/>
      <c r="C1" s="15"/>
      <c r="D1" s="15"/>
      <c r="E1" s="15"/>
      <c r="F1" s="15"/>
      <c r="G1" s="15"/>
      <c r="H1" s="15"/>
      <c r="I1" s="13" t="s">
        <v>19</v>
      </c>
      <c r="J1" s="544" t="s">
        <v>575</v>
      </c>
      <c r="K1" s="544"/>
      <c r="L1" s="13" t="s">
        <v>19</v>
      </c>
    </row>
    <row r="2" spans="2:12" ht="15.75">
      <c r="B2" s="15"/>
      <c r="C2" s="15"/>
      <c r="D2" s="15"/>
      <c r="E2" s="15"/>
      <c r="F2" s="15"/>
      <c r="G2" s="15"/>
      <c r="H2" s="15"/>
      <c r="I2" s="12" t="s">
        <v>11</v>
      </c>
      <c r="J2" s="544" t="s">
        <v>11</v>
      </c>
      <c r="K2" s="544"/>
      <c r="L2" s="12" t="s">
        <v>11</v>
      </c>
    </row>
    <row r="3" spans="2:12" ht="15.75">
      <c r="B3" s="15"/>
      <c r="C3" s="15"/>
      <c r="D3" s="15"/>
      <c r="E3" s="15"/>
      <c r="F3" s="15"/>
      <c r="G3" s="15"/>
      <c r="H3" s="15"/>
      <c r="I3" s="12" t="s">
        <v>20</v>
      </c>
      <c r="J3" s="12" t="s">
        <v>503</v>
      </c>
      <c r="K3" s="12"/>
      <c r="L3" s="12" t="s">
        <v>20</v>
      </c>
    </row>
    <row r="4" spans="2:12" ht="15.75">
      <c r="B4" s="15"/>
      <c r="C4" s="15"/>
      <c r="D4" s="15"/>
      <c r="E4" s="15"/>
      <c r="F4" s="15"/>
      <c r="G4" s="15"/>
      <c r="H4" s="15"/>
      <c r="I4" s="12" t="s">
        <v>21</v>
      </c>
      <c r="J4" s="12" t="s">
        <v>22</v>
      </c>
      <c r="K4" s="12"/>
      <c r="L4" s="12" t="s">
        <v>21</v>
      </c>
    </row>
    <row r="5" spans="2:12" ht="15.75">
      <c r="B5" s="15"/>
      <c r="C5" s="15"/>
      <c r="D5" s="15"/>
      <c r="E5" s="15"/>
      <c r="F5" s="15"/>
      <c r="G5" s="15"/>
      <c r="H5" s="15"/>
      <c r="I5" s="12" t="s">
        <v>23</v>
      </c>
      <c r="J5" s="12" t="s">
        <v>24</v>
      </c>
      <c r="K5" s="12"/>
      <c r="L5" s="12" t="s">
        <v>23</v>
      </c>
    </row>
    <row r="6" spans="2:12" ht="15.75">
      <c r="B6" s="15"/>
      <c r="C6" s="15"/>
      <c r="D6" s="15"/>
      <c r="E6" s="15"/>
      <c r="F6" s="15"/>
      <c r="G6" s="15"/>
      <c r="H6" s="16"/>
      <c r="I6" s="12" t="s">
        <v>25</v>
      </c>
      <c r="J6" s="12" t="s">
        <v>497</v>
      </c>
      <c r="K6" s="12"/>
      <c r="L6" s="12" t="s">
        <v>25</v>
      </c>
    </row>
    <row r="7" spans="2:15" ht="28.5" customHeight="1">
      <c r="B7" s="15"/>
      <c r="C7" s="15"/>
      <c r="D7" s="15"/>
      <c r="E7" s="15"/>
      <c r="F7" s="15"/>
      <c r="G7" s="15"/>
      <c r="H7" s="16"/>
      <c r="I7" s="12" t="s">
        <v>26</v>
      </c>
      <c r="J7" s="541" t="s">
        <v>613</v>
      </c>
      <c r="K7" s="585"/>
      <c r="L7" s="17"/>
      <c r="M7" s="17"/>
      <c r="N7" s="17"/>
      <c r="O7" s="17"/>
    </row>
    <row r="8" spans="2:12" ht="15.75">
      <c r="B8" s="15"/>
      <c r="C8" s="15"/>
      <c r="D8" s="15"/>
      <c r="E8" s="15"/>
      <c r="F8" s="15"/>
      <c r="G8" s="15"/>
      <c r="H8" s="15"/>
      <c r="I8" s="15"/>
      <c r="J8" s="15" t="s">
        <v>628</v>
      </c>
      <c r="K8" s="15"/>
      <c r="L8" s="15"/>
    </row>
    <row r="9" spans="1:12" ht="35.25" customHeight="1">
      <c r="A9" s="537" t="s">
        <v>504</v>
      </c>
      <c r="B9" s="537"/>
      <c r="C9" s="537"/>
      <c r="D9" s="537"/>
      <c r="E9" s="537"/>
      <c r="F9" s="537"/>
      <c r="G9" s="537"/>
      <c r="H9" s="537"/>
      <c r="I9" s="537"/>
      <c r="J9" s="537"/>
      <c r="K9" s="537"/>
      <c r="L9" s="15"/>
    </row>
    <row r="10" spans="2:12" ht="23.25" customHeight="1">
      <c r="B10" s="15"/>
      <c r="C10" s="15"/>
      <c r="D10" s="542"/>
      <c r="E10" s="542"/>
      <c r="F10" s="542"/>
      <c r="G10" s="542"/>
      <c r="H10" s="542"/>
      <c r="I10" s="15"/>
      <c r="J10" s="15"/>
      <c r="K10" s="35" t="s">
        <v>481</v>
      </c>
      <c r="L10" s="15"/>
    </row>
    <row r="11" spans="1:12" ht="15.75" customHeight="1">
      <c r="A11" s="580" t="s">
        <v>33</v>
      </c>
      <c r="B11" s="580" t="s">
        <v>12</v>
      </c>
      <c r="C11" s="580" t="s">
        <v>13</v>
      </c>
      <c r="D11" s="580" t="s">
        <v>505</v>
      </c>
      <c r="E11" s="586" t="s">
        <v>9</v>
      </c>
      <c r="F11" s="586"/>
      <c r="G11" s="586"/>
      <c r="H11" s="586"/>
      <c r="I11" s="586"/>
      <c r="J11" s="587"/>
      <c r="K11" s="583" t="s">
        <v>15</v>
      </c>
      <c r="L11" s="15"/>
    </row>
    <row r="12" spans="1:12" ht="15.75">
      <c r="A12" s="581"/>
      <c r="B12" s="581"/>
      <c r="C12" s="581"/>
      <c r="D12" s="581"/>
      <c r="E12" s="580" t="s">
        <v>506</v>
      </c>
      <c r="F12" s="580" t="s">
        <v>507</v>
      </c>
      <c r="G12" s="580" t="s">
        <v>28</v>
      </c>
      <c r="H12" s="580" t="s">
        <v>29</v>
      </c>
      <c r="I12" s="580" t="s">
        <v>30</v>
      </c>
      <c r="J12" s="583" t="s">
        <v>508</v>
      </c>
      <c r="K12" s="583"/>
      <c r="L12" s="15"/>
    </row>
    <row r="13" spans="1:12" ht="15.75">
      <c r="A13" s="582"/>
      <c r="B13" s="582"/>
      <c r="C13" s="582"/>
      <c r="D13" s="582"/>
      <c r="E13" s="582"/>
      <c r="F13" s="582"/>
      <c r="G13" s="582"/>
      <c r="H13" s="582"/>
      <c r="I13" s="582"/>
      <c r="J13" s="583"/>
      <c r="K13" s="583"/>
      <c r="L13" s="15"/>
    </row>
    <row r="14" spans="1:12" ht="63">
      <c r="A14" s="36">
        <v>1</v>
      </c>
      <c r="B14" s="84" t="s">
        <v>509</v>
      </c>
      <c r="C14" s="84" t="s">
        <v>16</v>
      </c>
      <c r="D14" s="114">
        <f>E14+F14+J14</f>
        <v>17972.5</v>
      </c>
      <c r="E14" s="115">
        <v>1980</v>
      </c>
      <c r="F14" s="115">
        <f>7000+992.5</f>
        <v>7992.5</v>
      </c>
      <c r="G14" s="115">
        <v>1980</v>
      </c>
      <c r="H14" s="115">
        <v>1980</v>
      </c>
      <c r="I14" s="115">
        <v>1980</v>
      </c>
      <c r="J14" s="115">
        <v>8000</v>
      </c>
      <c r="K14" s="84" t="s">
        <v>445</v>
      </c>
      <c r="L14" s="15"/>
    </row>
    <row r="15" spans="1:14" ht="47.25" hidden="1">
      <c r="A15" s="36">
        <v>2</v>
      </c>
      <c r="B15" s="85" t="s">
        <v>59</v>
      </c>
      <c r="C15" s="84" t="s">
        <v>16</v>
      </c>
      <c r="D15" s="114">
        <f>E15+F15+J15</f>
        <v>0</v>
      </c>
      <c r="E15" s="116">
        <v>0</v>
      </c>
      <c r="F15" s="115"/>
      <c r="G15" s="115"/>
      <c r="H15" s="115"/>
      <c r="I15" s="115"/>
      <c r="J15" s="115"/>
      <c r="K15" s="84" t="s">
        <v>51</v>
      </c>
      <c r="L15" s="15"/>
      <c r="N15" s="55">
        <v>441</v>
      </c>
    </row>
    <row r="16" spans="1:14" ht="54" customHeight="1" hidden="1">
      <c r="A16" s="36">
        <v>3</v>
      </c>
      <c r="B16" s="86" t="s">
        <v>60</v>
      </c>
      <c r="C16" s="173" t="s">
        <v>16</v>
      </c>
      <c r="D16" s="114">
        <f>E16+F16+J16</f>
        <v>0</v>
      </c>
      <c r="E16" s="117">
        <v>0</v>
      </c>
      <c r="F16" s="115"/>
      <c r="G16" s="115"/>
      <c r="H16" s="115"/>
      <c r="I16" s="115"/>
      <c r="J16" s="115"/>
      <c r="K16" s="84" t="s">
        <v>94</v>
      </c>
      <c r="L16" s="15"/>
      <c r="N16" s="55"/>
    </row>
    <row r="17" spans="1:12" ht="32.25" customHeight="1">
      <c r="A17" s="87"/>
      <c r="B17" s="83" t="s">
        <v>5</v>
      </c>
      <c r="C17" s="118"/>
      <c r="D17" s="114">
        <f>E17+F17+J17</f>
        <v>17972.5</v>
      </c>
      <c r="E17" s="114">
        <f>E14+E15+E16</f>
        <v>1980</v>
      </c>
      <c r="F17" s="114">
        <f>F14+F15+F16</f>
        <v>7992.5</v>
      </c>
      <c r="G17" s="114" t="e">
        <f>G14+G15+#REF!</f>
        <v>#REF!</v>
      </c>
      <c r="H17" s="114" t="e">
        <f>H14+H15+#REF!</f>
        <v>#REF!</v>
      </c>
      <c r="I17" s="114" t="e">
        <f>I14+I15+#REF!</f>
        <v>#REF!</v>
      </c>
      <c r="J17" s="114">
        <f>J14+J15+J16</f>
        <v>8000</v>
      </c>
      <c r="K17" s="119"/>
      <c r="L17" s="15"/>
    </row>
    <row r="18" spans="2:12" ht="11.25" customHeight="1">
      <c r="B18" s="18"/>
      <c r="C18" s="18"/>
      <c r="D18" s="182"/>
      <c r="E18" s="182"/>
      <c r="F18" s="182"/>
      <c r="G18" s="182"/>
      <c r="H18" s="182"/>
      <c r="I18" s="182"/>
      <c r="J18" s="182"/>
      <c r="K18" s="20"/>
      <c r="L18" s="15"/>
    </row>
    <row r="19" spans="2:12" ht="11.25" customHeight="1">
      <c r="B19" s="18"/>
      <c r="C19" s="18"/>
      <c r="D19" s="19"/>
      <c r="E19" s="19"/>
      <c r="F19" s="19"/>
      <c r="G19" s="19"/>
      <c r="H19" s="19"/>
      <c r="I19" s="19"/>
      <c r="J19" s="19"/>
      <c r="K19" s="20"/>
      <c r="L19" s="15"/>
    </row>
    <row r="20" spans="2:12" ht="11.25" customHeight="1">
      <c r="B20" s="52"/>
      <c r="C20" s="53"/>
      <c r="E20" s="19"/>
      <c r="F20" s="19"/>
      <c r="G20" s="19"/>
      <c r="H20" s="19"/>
      <c r="I20" s="19"/>
      <c r="J20" s="19"/>
      <c r="K20" s="53"/>
      <c r="L20" s="15"/>
    </row>
    <row r="21" spans="1:12" ht="16.5" customHeight="1">
      <c r="A21" s="16"/>
      <c r="B21" s="560" t="s">
        <v>18</v>
      </c>
      <c r="C21" s="560"/>
      <c r="D21" s="413"/>
      <c r="E21" s="22"/>
      <c r="F21" s="22"/>
      <c r="G21" s="16"/>
      <c r="H21" s="16"/>
      <c r="I21" s="16"/>
      <c r="J21" s="23"/>
      <c r="K21" s="23" t="s">
        <v>7</v>
      </c>
      <c r="L21" s="23"/>
    </row>
    <row r="22" spans="1:12" ht="10.5" customHeight="1">
      <c r="A22" s="16"/>
      <c r="B22" s="413"/>
      <c r="C22" s="413"/>
      <c r="D22" s="413"/>
      <c r="E22" s="22"/>
      <c r="F22" s="22"/>
      <c r="G22" s="16"/>
      <c r="H22" s="16"/>
      <c r="I22" s="16"/>
      <c r="J22" s="23"/>
      <c r="K22" s="23"/>
      <c r="L22" s="23"/>
    </row>
    <row r="23" spans="1:11" ht="18.75">
      <c r="A23" s="16"/>
      <c r="B23" s="538" t="s">
        <v>602</v>
      </c>
      <c r="C23" s="538"/>
      <c r="D23" s="25"/>
      <c r="E23" s="26"/>
      <c r="F23" s="26"/>
      <c r="G23" s="26"/>
      <c r="H23" s="26"/>
      <c r="I23" s="26"/>
      <c r="J23" s="15"/>
      <c r="K23" s="15"/>
    </row>
    <row r="24" spans="2:13" ht="15.75">
      <c r="B24" s="27" t="s">
        <v>10</v>
      </c>
      <c r="C24" s="27"/>
      <c r="D24" s="26"/>
      <c r="E24" s="26"/>
      <c r="F24" s="26"/>
      <c r="G24" s="26"/>
      <c r="H24" s="26"/>
      <c r="I24" s="26"/>
      <c r="J24" s="15"/>
      <c r="K24" s="15"/>
      <c r="M24" s="12"/>
    </row>
    <row r="25" spans="2:11" ht="15.75">
      <c r="B25" s="28"/>
      <c r="C25" s="29"/>
      <c r="D25" s="30"/>
      <c r="E25" s="26"/>
      <c r="F25" s="26"/>
      <c r="G25" s="26"/>
      <c r="H25" s="26"/>
      <c r="I25" s="26"/>
      <c r="J25" s="15"/>
      <c r="K25" s="15"/>
    </row>
    <row r="26" spans="3:10" ht="15.75">
      <c r="C26" s="30"/>
      <c r="D26" s="26"/>
      <c r="E26" s="26"/>
      <c r="F26" s="26"/>
      <c r="G26" s="26"/>
      <c r="H26" s="26"/>
      <c r="I26" s="26"/>
      <c r="J26" s="26"/>
    </row>
    <row r="27" spans="3:10" ht="15.75">
      <c r="C27" s="31"/>
      <c r="D27" s="26"/>
      <c r="E27" s="26"/>
      <c r="F27" s="26"/>
      <c r="G27" s="26"/>
      <c r="H27" s="26"/>
      <c r="I27" s="26"/>
      <c r="J27" s="26"/>
    </row>
    <row r="29" ht="12.75">
      <c r="H29" s="32"/>
    </row>
  </sheetData>
  <sheetProtection/>
  <mergeCells count="19">
    <mergeCell ref="B21:C21"/>
    <mergeCell ref="B23:C23"/>
    <mergeCell ref="K11:K13"/>
    <mergeCell ref="E12:E13"/>
    <mergeCell ref="F12:F13"/>
    <mergeCell ref="G12:G13"/>
    <mergeCell ref="H12:H13"/>
    <mergeCell ref="I12:I13"/>
    <mergeCell ref="J12:J13"/>
    <mergeCell ref="J1:K1"/>
    <mergeCell ref="J2:K2"/>
    <mergeCell ref="J7:K7"/>
    <mergeCell ref="D10:H10"/>
    <mergeCell ref="A11:A13"/>
    <mergeCell ref="B11:B13"/>
    <mergeCell ref="C11:C13"/>
    <mergeCell ref="D11:D13"/>
    <mergeCell ref="E11:J11"/>
    <mergeCell ref="A9:K9"/>
  </mergeCells>
  <printOptions horizontalCentered="1"/>
  <pageMargins left="1.1811023622047245" right="0.5905511811023623" top="1.1811023622047245" bottom="0.7874015748031497" header="0" footer="0"/>
  <pageSetup fitToHeight="1" fitToWidth="1" horizontalDpi="600" verticalDpi="600" orientation="landscape" paperSize="9" scale="81" r:id="rId1"/>
</worksheet>
</file>

<file path=xl/worksheets/sheet2.xml><?xml version="1.0" encoding="utf-8"?>
<worksheet xmlns="http://schemas.openxmlformats.org/spreadsheetml/2006/main" xmlns:r="http://schemas.openxmlformats.org/officeDocument/2006/relationships">
  <sheetPr>
    <pageSetUpPr fitToPage="1"/>
  </sheetPr>
  <dimension ref="A2:L43"/>
  <sheetViews>
    <sheetView tabSelected="1" zoomScale="75" zoomScaleNormal="75" zoomScalePageLayoutView="0" workbookViewId="0" topLeftCell="A1">
      <selection activeCell="F25" sqref="F25"/>
    </sheetView>
  </sheetViews>
  <sheetFormatPr defaultColWidth="9.140625" defaultRowHeight="12.75"/>
  <cols>
    <col min="1" max="1" width="11.00390625" style="380" customWidth="1"/>
    <col min="2" max="2" width="61.57421875" style="380" customWidth="1"/>
    <col min="3" max="3" width="13.421875" style="380" hidden="1" customWidth="1"/>
    <col min="4" max="4" width="16.421875" style="380" customWidth="1"/>
    <col min="5" max="6" width="15.7109375" style="380" customWidth="1"/>
    <col min="7" max="7" width="47.8515625" style="380" customWidth="1"/>
    <col min="8" max="8" width="65.57421875" style="380" customWidth="1"/>
    <col min="9" max="9" width="15.7109375" style="380" customWidth="1"/>
    <col min="10" max="10" width="16.00390625" style="380" customWidth="1"/>
    <col min="11" max="11" width="14.140625" style="380" customWidth="1"/>
    <col min="12" max="12" width="12.421875" style="380" hidden="1" customWidth="1"/>
    <col min="13" max="13" width="14.8515625" style="380" customWidth="1"/>
    <col min="14" max="14" width="14.28125" style="380" customWidth="1"/>
    <col min="15" max="15" width="27.7109375" style="380" customWidth="1"/>
    <col min="16" max="16" width="19.140625" style="380" customWidth="1"/>
    <col min="17" max="17" width="15.140625" style="380" customWidth="1"/>
    <col min="18" max="18" width="14.140625" style="380" customWidth="1"/>
    <col min="19" max="19" width="17.28125" style="380" customWidth="1"/>
    <col min="20" max="20" width="13.8515625" style="380" customWidth="1"/>
  </cols>
  <sheetData>
    <row r="1" ht="11.25" customHeight="1"/>
    <row r="2" spans="1:12" s="380" customFormat="1" ht="42" customHeight="1">
      <c r="A2" s="512" t="s">
        <v>512</v>
      </c>
      <c r="B2" s="512"/>
      <c r="C2" s="512"/>
      <c r="D2" s="512"/>
      <c r="E2" s="512"/>
      <c r="F2" s="512"/>
      <c r="G2" s="512"/>
      <c r="H2" s="512"/>
      <c r="I2" s="407"/>
      <c r="J2" s="407"/>
      <c r="K2" s="407"/>
      <c r="L2" s="407"/>
    </row>
    <row r="3" spans="1:12" s="380" customFormat="1" ht="12.75" customHeight="1">
      <c r="A3" s="368"/>
      <c r="B3" s="368"/>
      <c r="C3" s="368"/>
      <c r="D3" s="408"/>
      <c r="E3" s="368"/>
      <c r="F3" s="368"/>
      <c r="G3" s="407"/>
      <c r="H3" s="478" t="s">
        <v>481</v>
      </c>
      <c r="I3" s="407"/>
      <c r="J3" s="407"/>
      <c r="K3" s="407"/>
      <c r="L3" s="407"/>
    </row>
    <row r="4" spans="1:12" s="380" customFormat="1" ht="6" customHeight="1">
      <c r="A4" s="368"/>
      <c r="B4" s="368"/>
      <c r="C4" s="368"/>
      <c r="D4" s="408"/>
      <c r="E4" s="368"/>
      <c r="F4" s="368"/>
      <c r="G4" s="407"/>
      <c r="H4" s="407"/>
      <c r="I4" s="407"/>
      <c r="J4" s="407"/>
      <c r="K4" s="407"/>
      <c r="L4" s="407"/>
    </row>
    <row r="5" spans="1:12" s="380" customFormat="1" ht="37.5" customHeight="1">
      <c r="A5" s="514" t="s">
        <v>6</v>
      </c>
      <c r="B5" s="503" t="s">
        <v>154</v>
      </c>
      <c r="C5" s="503" t="s">
        <v>13</v>
      </c>
      <c r="D5" s="425" t="s">
        <v>397</v>
      </c>
      <c r="E5" s="457" t="s">
        <v>398</v>
      </c>
      <c r="F5" s="503" t="s">
        <v>476</v>
      </c>
      <c r="G5" s="503" t="s">
        <v>475</v>
      </c>
      <c r="H5" s="465" t="s">
        <v>399</v>
      </c>
      <c r="I5" s="407"/>
      <c r="J5" s="407"/>
      <c r="K5" s="407"/>
      <c r="L5" s="407"/>
    </row>
    <row r="6" spans="1:12" s="380" customFormat="1" ht="15" customHeight="1">
      <c r="A6" s="514"/>
      <c r="B6" s="504"/>
      <c r="C6" s="504"/>
      <c r="D6" s="503">
        <v>2019</v>
      </c>
      <c r="E6" s="503">
        <v>2019</v>
      </c>
      <c r="F6" s="504"/>
      <c r="G6" s="504"/>
      <c r="H6" s="458"/>
      <c r="I6" s="407"/>
      <c r="J6" s="407"/>
      <c r="K6" s="407"/>
      <c r="L6" s="407"/>
    </row>
    <row r="7" spans="1:12" s="380" customFormat="1" ht="15" customHeight="1">
      <c r="A7" s="514"/>
      <c r="B7" s="505"/>
      <c r="C7" s="505"/>
      <c r="D7" s="505"/>
      <c r="E7" s="505"/>
      <c r="F7" s="505"/>
      <c r="G7" s="505"/>
      <c r="H7" s="459"/>
      <c r="I7" s="407"/>
      <c r="J7" s="407"/>
      <c r="K7" s="407"/>
      <c r="L7" s="407"/>
    </row>
    <row r="8" spans="1:12" s="380" customFormat="1" ht="43.5" customHeight="1">
      <c r="A8" s="258">
        <v>1</v>
      </c>
      <c r="B8" s="175" t="s">
        <v>531</v>
      </c>
      <c r="C8" s="177" t="s">
        <v>16</v>
      </c>
      <c r="D8" s="383">
        <v>55956.4</v>
      </c>
      <c r="E8" s="383">
        <f>50238.9-80-200-3</f>
        <v>49955.9</v>
      </c>
      <c r="F8" s="383">
        <f>E8-D8</f>
        <v>-6000.5</v>
      </c>
      <c r="G8" s="509" t="s">
        <v>593</v>
      </c>
      <c r="H8" s="506" t="s">
        <v>646</v>
      </c>
      <c r="I8" s="407"/>
      <c r="J8" s="407"/>
      <c r="K8" s="407"/>
      <c r="L8" s="407"/>
    </row>
    <row r="9" spans="1:12" s="380" customFormat="1" ht="34.5" customHeight="1">
      <c r="A9" s="328" t="s">
        <v>317</v>
      </c>
      <c r="B9" s="175" t="s">
        <v>90</v>
      </c>
      <c r="C9" s="177"/>
      <c r="D9" s="383">
        <v>16841</v>
      </c>
      <c r="E9" s="383">
        <f>11123.5-80-200-3</f>
        <v>10840.5</v>
      </c>
      <c r="F9" s="383">
        <f aca="true" t="shared" si="0" ref="F9:F23">E9-D9</f>
        <v>-6000.5</v>
      </c>
      <c r="G9" s="510"/>
      <c r="H9" s="507"/>
      <c r="I9" s="407"/>
      <c r="J9" s="407"/>
      <c r="K9" s="407"/>
      <c r="L9" s="407"/>
    </row>
    <row r="10" spans="1:12" s="380" customFormat="1" ht="38.25" customHeight="1">
      <c r="A10" s="258">
        <v>2</v>
      </c>
      <c r="B10" s="175" t="s">
        <v>527</v>
      </c>
      <c r="C10" s="177" t="s">
        <v>16</v>
      </c>
      <c r="D10" s="383">
        <v>58845</v>
      </c>
      <c r="E10" s="383">
        <v>64015</v>
      </c>
      <c r="F10" s="383">
        <f t="shared" si="0"/>
        <v>5170</v>
      </c>
      <c r="G10" s="509" t="s">
        <v>619</v>
      </c>
      <c r="H10" s="506" t="s">
        <v>647</v>
      </c>
      <c r="I10" s="136"/>
      <c r="J10" s="136"/>
      <c r="K10" s="136"/>
      <c r="L10" s="136"/>
    </row>
    <row r="11" spans="1:12" s="380" customFormat="1" ht="24" customHeight="1">
      <c r="A11" s="328" t="s">
        <v>441</v>
      </c>
      <c r="B11" s="175" t="s">
        <v>466</v>
      </c>
      <c r="C11" s="177"/>
      <c r="D11" s="383">
        <v>38425</v>
      </c>
      <c r="E11" s="383">
        <v>43425</v>
      </c>
      <c r="F11" s="383">
        <f t="shared" si="0"/>
        <v>5000</v>
      </c>
      <c r="G11" s="510"/>
      <c r="H11" s="507"/>
      <c r="I11" s="136"/>
      <c r="J11" s="136"/>
      <c r="K11" s="136"/>
      <c r="L11" s="136"/>
    </row>
    <row r="12" spans="1:12" s="380" customFormat="1" ht="39.75" customHeight="1">
      <c r="A12" s="328" t="s">
        <v>478</v>
      </c>
      <c r="B12" s="175" t="s">
        <v>310</v>
      </c>
      <c r="C12" s="177"/>
      <c r="D12" s="383">
        <v>0</v>
      </c>
      <c r="E12" s="383">
        <v>50</v>
      </c>
      <c r="F12" s="383">
        <f t="shared" si="0"/>
        <v>50</v>
      </c>
      <c r="G12" s="510"/>
      <c r="H12" s="507"/>
      <c r="I12" s="136"/>
      <c r="J12" s="136"/>
      <c r="K12" s="136"/>
      <c r="L12" s="136"/>
    </row>
    <row r="13" spans="1:12" s="380" customFormat="1" ht="25.5" customHeight="1">
      <c r="A13" s="328" t="s">
        <v>514</v>
      </c>
      <c r="B13" s="175" t="s">
        <v>311</v>
      </c>
      <c r="C13" s="177"/>
      <c r="D13" s="383">
        <v>330</v>
      </c>
      <c r="E13" s="383">
        <v>450</v>
      </c>
      <c r="F13" s="383">
        <f t="shared" si="0"/>
        <v>120</v>
      </c>
      <c r="G13" s="511"/>
      <c r="H13" s="508"/>
      <c r="I13" s="136"/>
      <c r="J13" s="136"/>
      <c r="K13" s="136"/>
      <c r="L13" s="136"/>
    </row>
    <row r="14" spans="1:12" s="380" customFormat="1" ht="34.5" customHeight="1">
      <c r="A14" s="258">
        <v>3</v>
      </c>
      <c r="B14" s="175" t="s">
        <v>620</v>
      </c>
      <c r="C14" s="177"/>
      <c r="D14" s="383">
        <v>5667</v>
      </c>
      <c r="E14" s="383">
        <v>5983.1</v>
      </c>
      <c r="F14" s="383">
        <f t="shared" si="0"/>
        <v>316.10000000000036</v>
      </c>
      <c r="G14" s="487" t="s">
        <v>526</v>
      </c>
      <c r="H14" s="506" t="s">
        <v>648</v>
      </c>
      <c r="I14" s="407"/>
      <c r="J14" s="407"/>
      <c r="K14" s="407"/>
      <c r="L14" s="407"/>
    </row>
    <row r="15" spans="1:12" s="380" customFormat="1" ht="41.25" customHeight="1">
      <c r="A15" s="328" t="s">
        <v>581</v>
      </c>
      <c r="B15" s="175" t="s">
        <v>586</v>
      </c>
      <c r="C15" s="177"/>
      <c r="D15" s="383">
        <v>318.9</v>
      </c>
      <c r="E15" s="383">
        <v>635</v>
      </c>
      <c r="F15" s="383">
        <f t="shared" si="0"/>
        <v>316.1</v>
      </c>
      <c r="G15" s="489"/>
      <c r="H15" s="507"/>
      <c r="I15" s="407"/>
      <c r="J15" s="407"/>
      <c r="K15" s="407"/>
      <c r="L15" s="407"/>
    </row>
    <row r="16" spans="1:12" s="380" customFormat="1" ht="34.5" customHeight="1">
      <c r="A16" s="328" t="s">
        <v>643</v>
      </c>
      <c r="B16" s="175" t="s">
        <v>555</v>
      </c>
      <c r="C16" s="494"/>
      <c r="D16" s="383">
        <v>1900</v>
      </c>
      <c r="E16" s="383">
        <v>2030</v>
      </c>
      <c r="F16" s="383">
        <f t="shared" si="0"/>
        <v>130</v>
      </c>
      <c r="G16" s="509" t="s">
        <v>642</v>
      </c>
      <c r="H16" s="506" t="s">
        <v>649</v>
      </c>
      <c r="I16" s="407"/>
      <c r="J16" s="407"/>
      <c r="K16" s="407"/>
      <c r="L16" s="407"/>
    </row>
    <row r="17" spans="1:12" s="380" customFormat="1" ht="65.25" customHeight="1">
      <c r="A17" s="328" t="s">
        <v>644</v>
      </c>
      <c r="B17" s="175" t="s">
        <v>87</v>
      </c>
      <c r="C17" s="494"/>
      <c r="D17" s="383">
        <v>400</v>
      </c>
      <c r="E17" s="383">
        <v>530</v>
      </c>
      <c r="F17" s="383">
        <f t="shared" si="0"/>
        <v>130</v>
      </c>
      <c r="G17" s="510"/>
      <c r="H17" s="507"/>
      <c r="I17" s="407"/>
      <c r="J17" s="407"/>
      <c r="K17" s="407"/>
      <c r="L17" s="407"/>
    </row>
    <row r="18" spans="1:12" s="380" customFormat="1" ht="35.25" customHeight="1" hidden="1">
      <c r="A18" s="328" t="s">
        <v>596</v>
      </c>
      <c r="B18" s="499" t="s">
        <v>599</v>
      </c>
      <c r="C18" s="494"/>
      <c r="D18" s="383"/>
      <c r="E18" s="383"/>
      <c r="F18" s="383">
        <f t="shared" si="0"/>
        <v>0</v>
      </c>
      <c r="G18" s="487" t="s">
        <v>598</v>
      </c>
      <c r="H18" s="506" t="s">
        <v>600</v>
      </c>
      <c r="I18" s="407"/>
      <c r="J18" s="407"/>
      <c r="K18" s="407"/>
      <c r="L18" s="407"/>
    </row>
    <row r="19" spans="1:12" s="380" customFormat="1" ht="44.25" customHeight="1" hidden="1">
      <c r="A19" s="328" t="s">
        <v>597</v>
      </c>
      <c r="B19" s="499" t="s">
        <v>153</v>
      </c>
      <c r="C19" s="494"/>
      <c r="D19" s="383"/>
      <c r="E19" s="383"/>
      <c r="F19" s="383">
        <f t="shared" si="0"/>
        <v>0</v>
      </c>
      <c r="G19" s="488"/>
      <c r="H19" s="508"/>
      <c r="I19" s="407"/>
      <c r="J19" s="407"/>
      <c r="K19" s="407"/>
      <c r="L19" s="407"/>
    </row>
    <row r="20" spans="1:12" s="380" customFormat="1" ht="58.5" customHeight="1">
      <c r="A20" s="328" t="s">
        <v>583</v>
      </c>
      <c r="B20" s="175" t="s">
        <v>533</v>
      </c>
      <c r="C20" s="494"/>
      <c r="D20" s="383">
        <v>22929.5</v>
      </c>
      <c r="E20" s="383">
        <v>22934.9</v>
      </c>
      <c r="F20" s="383">
        <f t="shared" si="0"/>
        <v>5.400000000001455</v>
      </c>
      <c r="G20" s="509" t="s">
        <v>653</v>
      </c>
      <c r="H20" s="506" t="s">
        <v>650</v>
      </c>
      <c r="I20" s="407"/>
      <c r="J20" s="407"/>
      <c r="K20" s="407"/>
      <c r="L20" s="407"/>
    </row>
    <row r="21" spans="1:12" s="380" customFormat="1" ht="42.75" customHeight="1">
      <c r="A21" s="328" t="s">
        <v>584</v>
      </c>
      <c r="B21" s="175" t="s">
        <v>232</v>
      </c>
      <c r="C21" s="494"/>
      <c r="D21" s="383">
        <v>3.5</v>
      </c>
      <c r="E21" s="383">
        <v>8.9</v>
      </c>
      <c r="F21" s="383">
        <f t="shared" si="0"/>
        <v>5.4</v>
      </c>
      <c r="G21" s="511"/>
      <c r="H21" s="508"/>
      <c r="I21" s="407"/>
      <c r="J21" s="407"/>
      <c r="K21" s="407"/>
      <c r="L21" s="407"/>
    </row>
    <row r="22" spans="1:12" s="380" customFormat="1" ht="34.5" customHeight="1">
      <c r="A22" s="328" t="s">
        <v>652</v>
      </c>
      <c r="B22" s="175" t="s">
        <v>539</v>
      </c>
      <c r="C22" s="177"/>
      <c r="D22" s="383">
        <v>8515</v>
      </c>
      <c r="E22" s="383">
        <v>8611</v>
      </c>
      <c r="F22" s="383">
        <f t="shared" si="0"/>
        <v>96</v>
      </c>
      <c r="G22" s="509" t="s">
        <v>645</v>
      </c>
      <c r="H22" s="506" t="s">
        <v>651</v>
      </c>
      <c r="I22" s="407"/>
      <c r="J22" s="407"/>
      <c r="K22" s="407"/>
      <c r="L22" s="407"/>
    </row>
    <row r="23" spans="1:12" s="380" customFormat="1" ht="40.5" customHeight="1">
      <c r="A23" s="328" t="s">
        <v>597</v>
      </c>
      <c r="B23" s="175" t="s">
        <v>590</v>
      </c>
      <c r="C23" s="177"/>
      <c r="D23" s="383">
        <v>15</v>
      </c>
      <c r="E23" s="383">
        <v>111</v>
      </c>
      <c r="F23" s="383">
        <f t="shared" si="0"/>
        <v>96</v>
      </c>
      <c r="G23" s="511"/>
      <c r="H23" s="508"/>
      <c r="I23" s="407"/>
      <c r="J23" s="407"/>
      <c r="K23" s="407"/>
      <c r="L23" s="407"/>
    </row>
    <row r="24" spans="1:12" s="380" customFormat="1" ht="45" customHeight="1">
      <c r="A24" s="328" t="s">
        <v>660</v>
      </c>
      <c r="B24" s="501" t="s">
        <v>633</v>
      </c>
      <c r="C24" s="177"/>
      <c r="D24" s="383">
        <v>4807.375</v>
      </c>
      <c r="E24" s="383">
        <f>4807.375+200+80+3</f>
        <v>5090.375</v>
      </c>
      <c r="F24" s="383">
        <f>E24-D24</f>
        <v>283</v>
      </c>
      <c r="G24" s="509" t="s">
        <v>645</v>
      </c>
      <c r="H24" s="506" t="s">
        <v>659</v>
      </c>
      <c r="I24" s="407"/>
      <c r="J24" s="407"/>
      <c r="K24" s="407"/>
      <c r="L24" s="407"/>
    </row>
    <row r="25" spans="1:12" s="380" customFormat="1" ht="30.75" customHeight="1">
      <c r="A25" s="328" t="s">
        <v>656</v>
      </c>
      <c r="B25" s="501" t="s">
        <v>657</v>
      </c>
      <c r="C25" s="177"/>
      <c r="D25" s="383">
        <v>0</v>
      </c>
      <c r="E25" s="383">
        <f>0+200</f>
        <v>200</v>
      </c>
      <c r="F25" s="383">
        <f>E25-D25</f>
        <v>200</v>
      </c>
      <c r="G25" s="510"/>
      <c r="H25" s="507"/>
      <c r="I25" s="407"/>
      <c r="J25" s="407"/>
      <c r="K25" s="407"/>
      <c r="L25" s="407"/>
    </row>
    <row r="26" spans="1:12" s="380" customFormat="1" ht="36.75" customHeight="1">
      <c r="A26" s="328" t="s">
        <v>661</v>
      </c>
      <c r="B26" s="502" t="s">
        <v>658</v>
      </c>
      <c r="C26" s="177"/>
      <c r="D26" s="383">
        <v>0</v>
      </c>
      <c r="E26" s="383">
        <f>0+80</f>
        <v>80</v>
      </c>
      <c r="F26" s="383">
        <f>E26-D26</f>
        <v>80</v>
      </c>
      <c r="G26" s="510"/>
      <c r="H26" s="507"/>
      <c r="I26" s="407"/>
      <c r="J26" s="407"/>
      <c r="K26" s="407"/>
      <c r="L26" s="407"/>
    </row>
    <row r="27" spans="1:12" s="380" customFormat="1" ht="18" customHeight="1">
      <c r="A27" s="328" t="s">
        <v>662</v>
      </c>
      <c r="B27" s="502" t="s">
        <v>603</v>
      </c>
      <c r="C27" s="177"/>
      <c r="D27" s="383">
        <v>12</v>
      </c>
      <c r="E27" s="383">
        <v>15</v>
      </c>
      <c r="F27" s="383">
        <f>E27-D27</f>
        <v>3</v>
      </c>
      <c r="G27" s="511"/>
      <c r="H27" s="508"/>
      <c r="I27" s="407"/>
      <c r="J27" s="407"/>
      <c r="K27" s="407"/>
      <c r="L27" s="407"/>
    </row>
    <row r="28" spans="1:12" s="380" customFormat="1" ht="18.75">
      <c r="A28" s="514" t="s">
        <v>5</v>
      </c>
      <c r="B28" s="514"/>
      <c r="C28" s="425"/>
      <c r="D28" s="138">
        <f>D8+D10+D18+D14+D16+D20+D22+D24</f>
        <v>158620.275</v>
      </c>
      <c r="E28" s="138">
        <f>E8+E10+E18+E14+E16+E20+E22+E24</f>
        <v>158620.275</v>
      </c>
      <c r="F28" s="383">
        <f>E28-D28</f>
        <v>0</v>
      </c>
      <c r="G28" s="412"/>
      <c r="H28" s="412"/>
      <c r="I28" s="407"/>
      <c r="J28" s="407"/>
      <c r="K28" s="407"/>
      <c r="L28" s="407"/>
    </row>
    <row r="29" spans="1:12" s="380" customFormat="1" ht="15.75">
      <c r="A29" s="143"/>
      <c r="B29" s="143"/>
      <c r="C29" s="143"/>
      <c r="D29" s="143"/>
      <c r="E29" s="369"/>
      <c r="F29" s="369"/>
      <c r="G29" s="407"/>
      <c r="H29" s="407"/>
      <c r="I29" s="407"/>
      <c r="J29" s="407"/>
      <c r="K29" s="407"/>
      <c r="L29" s="407"/>
    </row>
    <row r="30" spans="1:12" s="380" customFormat="1" ht="15.75">
      <c r="A30" s="143"/>
      <c r="B30" s="143"/>
      <c r="C30" s="143"/>
      <c r="D30" s="143"/>
      <c r="E30" s="369"/>
      <c r="F30" s="369"/>
      <c r="G30" s="407"/>
      <c r="H30" s="407"/>
      <c r="I30" s="407"/>
      <c r="J30" s="407"/>
      <c r="K30" s="407"/>
      <c r="L30" s="407"/>
    </row>
    <row r="31" spans="1:12" s="380" customFormat="1" ht="15.75">
      <c r="A31" s="143"/>
      <c r="B31" s="143"/>
      <c r="C31" s="143"/>
      <c r="D31" s="143"/>
      <c r="E31" s="144"/>
      <c r="F31" s="144"/>
      <c r="G31" s="407"/>
      <c r="H31" s="407"/>
      <c r="I31" s="407"/>
      <c r="J31" s="407"/>
      <c r="K31" s="407"/>
      <c r="L31" s="407"/>
    </row>
    <row r="32" spans="1:12" s="380" customFormat="1" ht="33" customHeight="1">
      <c r="A32" s="513" t="s">
        <v>621</v>
      </c>
      <c r="B32" s="513"/>
      <c r="C32" s="513"/>
      <c r="D32" s="513"/>
      <c r="E32" s="203"/>
      <c r="F32" s="203"/>
      <c r="G32" s="68"/>
      <c r="H32" s="261" t="s">
        <v>622</v>
      </c>
      <c r="I32" s="407"/>
      <c r="J32" s="407"/>
      <c r="K32" s="407"/>
      <c r="L32" s="407"/>
    </row>
    <row r="33" spans="1:12" s="380" customFormat="1" ht="18.75">
      <c r="A33" s="414"/>
      <c r="B33" s="414"/>
      <c r="C33" s="414"/>
      <c r="D33" s="415"/>
      <c r="E33" s="144"/>
      <c r="F33" s="144"/>
      <c r="G33" s="376"/>
      <c r="H33" s="407"/>
      <c r="I33" s="407"/>
      <c r="J33" s="407"/>
      <c r="K33" s="407"/>
      <c r="L33" s="407"/>
    </row>
    <row r="34" spans="1:12" s="380" customFormat="1" ht="18.75">
      <c r="A34" s="515"/>
      <c r="B34" s="515"/>
      <c r="C34" s="424"/>
      <c r="D34" s="178"/>
      <c r="E34" s="416"/>
      <c r="F34" s="416"/>
      <c r="G34" s="407"/>
      <c r="H34" s="407"/>
      <c r="I34" s="407"/>
      <c r="J34" s="407"/>
      <c r="K34" s="407"/>
      <c r="L34" s="407"/>
    </row>
    <row r="35" s="380" customFormat="1" ht="15">
      <c r="A35" s="393"/>
    </row>
    <row r="36" s="380" customFormat="1" ht="15">
      <c r="A36" s="393"/>
    </row>
    <row r="37" s="380" customFormat="1" ht="15">
      <c r="A37" s="393"/>
    </row>
    <row r="38" s="380" customFormat="1" ht="15">
      <c r="A38" s="393"/>
    </row>
    <row r="39" s="380" customFormat="1" ht="15">
      <c r="A39" s="393"/>
    </row>
    <row r="40" s="380" customFormat="1" ht="15">
      <c r="A40" s="393"/>
    </row>
    <row r="41" s="380" customFormat="1" ht="15">
      <c r="A41" s="393"/>
    </row>
    <row r="42" s="380" customFormat="1" ht="15">
      <c r="A42" s="393"/>
    </row>
    <row r="43" s="380" customFormat="1" ht="15">
      <c r="A43" s="393"/>
    </row>
    <row r="44" s="380" customFormat="1" ht="15"/>
  </sheetData>
  <sheetProtection/>
  <mergeCells count="25">
    <mergeCell ref="A2:H2"/>
    <mergeCell ref="E6:E7"/>
    <mergeCell ref="F5:F7"/>
    <mergeCell ref="G8:G9"/>
    <mergeCell ref="H8:H9"/>
    <mergeCell ref="G10:G13"/>
    <mergeCell ref="H10:H13"/>
    <mergeCell ref="A32:D32"/>
    <mergeCell ref="A28:B28"/>
    <mergeCell ref="G5:G7"/>
    <mergeCell ref="A34:B34"/>
    <mergeCell ref="A5:A7"/>
    <mergeCell ref="B5:B7"/>
    <mergeCell ref="C5:C7"/>
    <mergeCell ref="D6:D7"/>
    <mergeCell ref="G20:G21"/>
    <mergeCell ref="H24:H27"/>
    <mergeCell ref="G24:G27"/>
    <mergeCell ref="H20:H21"/>
    <mergeCell ref="G22:G23"/>
    <mergeCell ref="H22:H23"/>
    <mergeCell ref="H14:H15"/>
    <mergeCell ref="G16:G17"/>
    <mergeCell ref="H16:H17"/>
    <mergeCell ref="H18:H19"/>
  </mergeCells>
  <printOptions/>
  <pageMargins left="1.1811023622047245" right="0.5905511811023623" top="0.7874015748031497" bottom="0.7874015748031497" header="0.31496062992125984" footer="0.31496062992125984"/>
  <pageSetup fitToWidth="0" fitToHeight="1" horizontalDpi="600" verticalDpi="600" orientation="landscape" paperSize="9" scale="44" r:id="rId1"/>
</worksheet>
</file>

<file path=xl/worksheets/sheet20.xml><?xml version="1.0" encoding="utf-8"?>
<worksheet xmlns="http://schemas.openxmlformats.org/spreadsheetml/2006/main" xmlns:r="http://schemas.openxmlformats.org/officeDocument/2006/relationships">
  <sheetPr>
    <tabColor rgb="FFFFFF00"/>
    <pageSetUpPr fitToPage="1"/>
  </sheetPr>
  <dimension ref="A1:O31"/>
  <sheetViews>
    <sheetView view="pageBreakPreview" zoomScaleSheetLayoutView="100" zoomScalePageLayoutView="0" workbookViewId="0" topLeftCell="A1">
      <selection activeCell="B9" sqref="B9:K9"/>
    </sheetView>
  </sheetViews>
  <sheetFormatPr defaultColWidth="9.140625" defaultRowHeight="12.75"/>
  <cols>
    <col min="1" max="1" width="6.7109375" style="14" customWidth="1"/>
    <col min="2" max="2" width="45.28125" style="14" customWidth="1"/>
    <col min="3" max="3" width="18.00390625" style="14" customWidth="1"/>
    <col min="4" max="4" width="13.28125" style="14" customWidth="1"/>
    <col min="5" max="5" width="9.7109375" style="14" customWidth="1"/>
    <col min="6" max="6" width="10.8515625" style="14" customWidth="1"/>
    <col min="7" max="8" width="11.57421875" style="14" hidden="1" customWidth="1"/>
    <col min="9" max="9" width="12.57421875" style="14" hidden="1" customWidth="1"/>
    <col min="10" max="10" width="14.57421875" style="14" customWidth="1"/>
    <col min="11" max="11" width="43.28125" style="14" customWidth="1"/>
    <col min="12" max="13" width="9.140625" style="14" hidden="1" customWidth="1"/>
    <col min="14" max="14" width="9.8515625" style="14" hidden="1" customWidth="1"/>
    <col min="15" max="15" width="10.140625" style="14" customWidth="1"/>
    <col min="16" max="16384" width="9.140625" style="14" customWidth="1"/>
  </cols>
  <sheetData>
    <row r="1" spans="2:12" ht="15.75">
      <c r="B1" s="15"/>
      <c r="C1" s="15"/>
      <c r="D1" s="15"/>
      <c r="E1" s="15"/>
      <c r="F1" s="15"/>
      <c r="G1" s="15"/>
      <c r="H1" s="15"/>
      <c r="I1" s="13" t="s">
        <v>19</v>
      </c>
      <c r="J1" s="544" t="s">
        <v>576</v>
      </c>
      <c r="K1" s="544"/>
      <c r="L1" s="13" t="s">
        <v>19</v>
      </c>
    </row>
    <row r="2" spans="2:12" ht="15.75">
      <c r="B2" s="15"/>
      <c r="C2" s="15"/>
      <c r="D2" s="15"/>
      <c r="E2" s="15"/>
      <c r="F2" s="15"/>
      <c r="G2" s="15"/>
      <c r="H2" s="15"/>
      <c r="I2" s="12" t="s">
        <v>11</v>
      </c>
      <c r="J2" s="544" t="s">
        <v>11</v>
      </c>
      <c r="K2" s="544"/>
      <c r="L2" s="12" t="s">
        <v>11</v>
      </c>
    </row>
    <row r="3" spans="2:12" ht="15.75">
      <c r="B3" s="15"/>
      <c r="C3" s="15"/>
      <c r="D3" s="15"/>
      <c r="E3" s="15"/>
      <c r="F3" s="15"/>
      <c r="G3" s="15"/>
      <c r="H3" s="15"/>
      <c r="I3" s="12" t="s">
        <v>20</v>
      </c>
      <c r="J3" s="12" t="s">
        <v>174</v>
      </c>
      <c r="K3" s="12"/>
      <c r="L3" s="12" t="s">
        <v>20</v>
      </c>
    </row>
    <row r="4" spans="2:12" ht="15.75">
      <c r="B4" s="15"/>
      <c r="C4" s="15"/>
      <c r="D4" s="15"/>
      <c r="E4" s="15"/>
      <c r="F4" s="15"/>
      <c r="G4" s="15"/>
      <c r="H4" s="15"/>
      <c r="I4" s="12" t="s">
        <v>21</v>
      </c>
      <c r="J4" s="12" t="s">
        <v>22</v>
      </c>
      <c r="K4" s="12"/>
      <c r="L4" s="12" t="s">
        <v>21</v>
      </c>
    </row>
    <row r="5" spans="2:12" ht="15.75">
      <c r="B5" s="15"/>
      <c r="C5" s="15"/>
      <c r="D5" s="15"/>
      <c r="E5" s="15"/>
      <c r="F5" s="15"/>
      <c r="G5" s="15"/>
      <c r="H5" s="15"/>
      <c r="I5" s="12" t="s">
        <v>23</v>
      </c>
      <c r="J5" s="12" t="s">
        <v>24</v>
      </c>
      <c r="K5" s="12"/>
      <c r="L5" s="12" t="s">
        <v>23</v>
      </c>
    </row>
    <row r="6" spans="2:12" ht="15.75">
      <c r="B6" s="15"/>
      <c r="C6" s="15"/>
      <c r="D6" s="15"/>
      <c r="E6" s="15"/>
      <c r="F6" s="15"/>
      <c r="G6" s="15"/>
      <c r="H6" s="16"/>
      <c r="I6" s="12" t="s">
        <v>25</v>
      </c>
      <c r="J6" s="12" t="s">
        <v>240</v>
      </c>
      <c r="K6" s="12"/>
      <c r="L6" s="12" t="s">
        <v>25</v>
      </c>
    </row>
    <row r="7" spans="2:15" ht="15.75" customHeight="1">
      <c r="B7" s="15"/>
      <c r="C7" s="15"/>
      <c r="D7" s="15"/>
      <c r="E7" s="15"/>
      <c r="F7" s="15"/>
      <c r="G7" s="15"/>
      <c r="H7" s="16"/>
      <c r="I7" s="12" t="s">
        <v>26</v>
      </c>
      <c r="J7" s="541" t="s">
        <v>610</v>
      </c>
      <c r="K7" s="585"/>
      <c r="L7" s="17"/>
      <c r="M7" s="17"/>
      <c r="N7" s="17"/>
      <c r="O7" s="17"/>
    </row>
    <row r="8" spans="2:12" ht="15.75">
      <c r="B8" s="15"/>
      <c r="C8" s="15"/>
      <c r="D8" s="15"/>
      <c r="E8" s="15"/>
      <c r="F8" s="15"/>
      <c r="G8" s="15"/>
      <c r="H8" s="15"/>
      <c r="I8" s="15"/>
      <c r="J8" s="15" t="s">
        <v>629</v>
      </c>
      <c r="K8" s="15"/>
      <c r="L8" s="15"/>
    </row>
    <row r="9" spans="2:12" ht="38.25" customHeight="1">
      <c r="B9" s="537" t="s">
        <v>556</v>
      </c>
      <c r="C9" s="537"/>
      <c r="D9" s="537"/>
      <c r="E9" s="537"/>
      <c r="F9" s="537"/>
      <c r="G9" s="537"/>
      <c r="H9" s="537"/>
      <c r="I9" s="537"/>
      <c r="J9" s="537"/>
      <c r="K9" s="537"/>
      <c r="L9" s="15"/>
    </row>
    <row r="10" spans="2:12" ht="15.75">
      <c r="B10" s="15"/>
      <c r="C10" s="15"/>
      <c r="D10" s="542"/>
      <c r="E10" s="542"/>
      <c r="F10" s="542"/>
      <c r="G10" s="542"/>
      <c r="H10" s="542"/>
      <c r="I10" s="15"/>
      <c r="J10" s="15"/>
      <c r="K10" s="35" t="s">
        <v>534</v>
      </c>
      <c r="L10" s="15"/>
    </row>
    <row r="11" spans="1:12" ht="15.75" customHeight="1">
      <c r="A11" s="580" t="s">
        <v>33</v>
      </c>
      <c r="B11" s="580" t="s">
        <v>12</v>
      </c>
      <c r="C11" s="580" t="s">
        <v>13</v>
      </c>
      <c r="D11" s="580" t="s">
        <v>488</v>
      </c>
      <c r="E11" s="586" t="s">
        <v>9</v>
      </c>
      <c r="F11" s="586"/>
      <c r="G11" s="586"/>
      <c r="H11" s="586"/>
      <c r="I11" s="586"/>
      <c r="J11" s="587"/>
      <c r="K11" s="583" t="s">
        <v>15</v>
      </c>
      <c r="L11" s="15"/>
    </row>
    <row r="12" spans="1:12" ht="15.75">
      <c r="A12" s="581"/>
      <c r="B12" s="581"/>
      <c r="C12" s="581"/>
      <c r="D12" s="581"/>
      <c r="E12" s="580" t="s">
        <v>543</v>
      </c>
      <c r="F12" s="580" t="s">
        <v>537</v>
      </c>
      <c r="G12" s="580" t="s">
        <v>28</v>
      </c>
      <c r="H12" s="580" t="s">
        <v>29</v>
      </c>
      <c r="I12" s="580" t="s">
        <v>30</v>
      </c>
      <c r="J12" s="583" t="s">
        <v>544</v>
      </c>
      <c r="K12" s="583"/>
      <c r="L12" s="15"/>
    </row>
    <row r="13" spans="1:12" ht="15.75">
      <c r="A13" s="582"/>
      <c r="B13" s="582"/>
      <c r="C13" s="582"/>
      <c r="D13" s="582"/>
      <c r="E13" s="582"/>
      <c r="F13" s="582"/>
      <c r="G13" s="582"/>
      <c r="H13" s="582"/>
      <c r="I13" s="582"/>
      <c r="J13" s="583"/>
      <c r="K13" s="583"/>
      <c r="L13" s="15"/>
    </row>
    <row r="14" spans="1:12" ht="69.75" customHeight="1">
      <c r="A14" s="36">
        <v>1</v>
      </c>
      <c r="B14" s="84" t="s">
        <v>153</v>
      </c>
      <c r="C14" s="84" t="s">
        <v>16</v>
      </c>
      <c r="D14" s="114">
        <f>SUM(E14:J14)</f>
        <v>4715</v>
      </c>
      <c r="E14" s="115">
        <v>3000</v>
      </c>
      <c r="F14" s="116">
        <f>3000-1285</f>
        <v>1715</v>
      </c>
      <c r="G14" s="115"/>
      <c r="H14" s="115"/>
      <c r="I14" s="115"/>
      <c r="J14" s="115"/>
      <c r="K14" s="84" t="s">
        <v>32</v>
      </c>
      <c r="L14" s="15"/>
    </row>
    <row r="15" spans="1:14" ht="47.25" hidden="1">
      <c r="A15" s="36">
        <v>2</v>
      </c>
      <c r="B15" s="85" t="s">
        <v>59</v>
      </c>
      <c r="C15" s="84" t="s">
        <v>16</v>
      </c>
      <c r="D15" s="114">
        <f>SUM(E15:J15)</f>
        <v>0</v>
      </c>
      <c r="E15" s="116">
        <v>0</v>
      </c>
      <c r="F15" s="115"/>
      <c r="G15" s="115"/>
      <c r="H15" s="115"/>
      <c r="I15" s="115"/>
      <c r="J15" s="115"/>
      <c r="K15" s="84" t="s">
        <v>51</v>
      </c>
      <c r="L15" s="15"/>
      <c r="N15" s="55">
        <v>441</v>
      </c>
    </row>
    <row r="16" spans="1:14" ht="54" customHeight="1" hidden="1">
      <c r="A16" s="36">
        <v>3</v>
      </c>
      <c r="B16" s="86" t="s">
        <v>60</v>
      </c>
      <c r="C16" s="173" t="s">
        <v>16</v>
      </c>
      <c r="D16" s="114">
        <f>SUM(E16:J16)</f>
        <v>0</v>
      </c>
      <c r="E16" s="117">
        <v>0</v>
      </c>
      <c r="F16" s="115"/>
      <c r="G16" s="115"/>
      <c r="H16" s="115"/>
      <c r="I16" s="115"/>
      <c r="J16" s="115"/>
      <c r="K16" s="84" t="s">
        <v>94</v>
      </c>
      <c r="L16" s="15"/>
      <c r="N16" s="55"/>
    </row>
    <row r="17" spans="1:12" ht="32.25" customHeight="1">
      <c r="A17" s="87"/>
      <c r="B17" s="83" t="s">
        <v>5</v>
      </c>
      <c r="C17" s="118"/>
      <c r="D17" s="114">
        <f aca="true" t="shared" si="0" ref="D17:J17">D14+D15+D16</f>
        <v>4715</v>
      </c>
      <c r="E17" s="114">
        <f t="shared" si="0"/>
        <v>3000</v>
      </c>
      <c r="F17" s="114">
        <f t="shared" si="0"/>
        <v>1715</v>
      </c>
      <c r="G17" s="114">
        <f t="shared" si="0"/>
        <v>0</v>
      </c>
      <c r="H17" s="114">
        <f t="shared" si="0"/>
        <v>0</v>
      </c>
      <c r="I17" s="114">
        <f t="shared" si="0"/>
        <v>0</v>
      </c>
      <c r="J17" s="114">
        <f t="shared" si="0"/>
        <v>0</v>
      </c>
      <c r="K17" s="119"/>
      <c r="L17" s="15"/>
    </row>
    <row r="18" spans="2:12" ht="15.75">
      <c r="B18" s="18"/>
      <c r="C18" s="18"/>
      <c r="D18" s="19"/>
      <c r="E18" s="19"/>
      <c r="F18" s="19"/>
      <c r="G18" s="19"/>
      <c r="H18" s="19"/>
      <c r="I18" s="19"/>
      <c r="J18" s="19"/>
      <c r="K18" s="20"/>
      <c r="L18" s="15"/>
    </row>
    <row r="19" spans="2:12" ht="15.75" hidden="1">
      <c r="B19" s="18"/>
      <c r="C19" s="18"/>
      <c r="D19" s="19"/>
      <c r="E19" s="19"/>
      <c r="F19" s="19"/>
      <c r="G19" s="19"/>
      <c r="H19" s="19"/>
      <c r="I19" s="19"/>
      <c r="J19" s="19"/>
      <c r="K19" s="20"/>
      <c r="L19" s="15"/>
    </row>
    <row r="20" spans="2:12" ht="15.75">
      <c r="B20" s="18"/>
      <c r="C20" s="18"/>
      <c r="D20" s="19"/>
      <c r="E20" s="19"/>
      <c r="F20" s="19"/>
      <c r="G20" s="19"/>
      <c r="H20" s="19"/>
      <c r="I20" s="19"/>
      <c r="J20" s="19"/>
      <c r="K20" s="20"/>
      <c r="L20" s="15"/>
    </row>
    <row r="21" spans="2:12" ht="15.75">
      <c r="B21" s="18"/>
      <c r="C21" s="18"/>
      <c r="D21" s="19"/>
      <c r="E21" s="19"/>
      <c r="F21" s="19"/>
      <c r="G21" s="19"/>
      <c r="H21" s="19"/>
      <c r="I21" s="19"/>
      <c r="J21" s="19"/>
      <c r="K21" s="20"/>
      <c r="L21" s="15"/>
    </row>
    <row r="22" spans="2:12" ht="18.75">
      <c r="B22" s="52"/>
      <c r="C22" s="53"/>
      <c r="E22" s="19"/>
      <c r="F22" s="19"/>
      <c r="G22" s="19"/>
      <c r="H22" s="19"/>
      <c r="I22" s="19"/>
      <c r="J22" s="19"/>
      <c r="K22" s="53"/>
      <c r="L22" s="15"/>
    </row>
    <row r="23" spans="2:12" ht="21" customHeight="1">
      <c r="B23" s="560" t="s">
        <v>18</v>
      </c>
      <c r="C23" s="560"/>
      <c r="D23" s="413"/>
      <c r="E23" s="22"/>
      <c r="F23" s="22"/>
      <c r="G23" s="16"/>
      <c r="H23" s="16"/>
      <c r="I23" s="16"/>
      <c r="J23" s="23"/>
      <c r="K23" s="23" t="s">
        <v>7</v>
      </c>
      <c r="L23" s="23"/>
    </row>
    <row r="24" spans="2:12" ht="13.5" customHeight="1">
      <c r="B24" s="413"/>
      <c r="C24" s="413"/>
      <c r="D24" s="413"/>
      <c r="E24" s="22"/>
      <c r="F24" s="22"/>
      <c r="G24" s="16"/>
      <c r="H24" s="16"/>
      <c r="I24" s="16"/>
      <c r="J24" s="23"/>
      <c r="K24" s="23"/>
      <c r="L24" s="23"/>
    </row>
    <row r="25" spans="2:11" ht="18.75">
      <c r="B25" s="538" t="s">
        <v>602</v>
      </c>
      <c r="C25" s="538"/>
      <c r="D25" s="25"/>
      <c r="E25" s="26"/>
      <c r="F25" s="26"/>
      <c r="G25" s="26"/>
      <c r="H25" s="26"/>
      <c r="I25" s="26"/>
      <c r="J25" s="15"/>
      <c r="K25" s="15"/>
    </row>
    <row r="26" spans="2:13" ht="15.75">
      <c r="B26" s="27" t="s">
        <v>10</v>
      </c>
      <c r="C26" s="27"/>
      <c r="D26" s="26"/>
      <c r="E26" s="26"/>
      <c r="F26" s="26"/>
      <c r="G26" s="26"/>
      <c r="H26" s="26"/>
      <c r="I26" s="26"/>
      <c r="J26" s="15"/>
      <c r="K26" s="15"/>
      <c r="M26" s="12"/>
    </row>
    <row r="27" spans="2:11" ht="15.75">
      <c r="B27" s="28"/>
      <c r="C27" s="29"/>
      <c r="D27" s="30"/>
      <c r="E27" s="26"/>
      <c r="F27" s="26"/>
      <c r="G27" s="26"/>
      <c r="H27" s="26"/>
      <c r="I27" s="26"/>
      <c r="J27" s="15"/>
      <c r="K27" s="15"/>
    </row>
    <row r="28" spans="3:10" ht="15.75">
      <c r="C28" s="30"/>
      <c r="D28" s="26"/>
      <c r="E28" s="26"/>
      <c r="F28" s="26"/>
      <c r="G28" s="26"/>
      <c r="H28" s="26"/>
      <c r="I28" s="26"/>
      <c r="J28" s="26"/>
    </row>
    <row r="29" spans="3:10" ht="15.75">
      <c r="C29" s="31"/>
      <c r="D29" s="26"/>
      <c r="E29" s="26"/>
      <c r="F29" s="26"/>
      <c r="G29" s="26"/>
      <c r="H29" s="26"/>
      <c r="I29" s="26"/>
      <c r="J29" s="26"/>
    </row>
    <row r="31" ht="12.75">
      <c r="H31" s="32"/>
    </row>
  </sheetData>
  <sheetProtection/>
  <mergeCells count="19">
    <mergeCell ref="B23:C23"/>
    <mergeCell ref="B25:C25"/>
    <mergeCell ref="K11:K13"/>
    <mergeCell ref="E12:E13"/>
    <mergeCell ref="F12:F13"/>
    <mergeCell ref="G12:G13"/>
    <mergeCell ref="H12:H13"/>
    <mergeCell ref="I12:I13"/>
    <mergeCell ref="J12:J13"/>
    <mergeCell ref="J1:K1"/>
    <mergeCell ref="J2:K2"/>
    <mergeCell ref="J7:K7"/>
    <mergeCell ref="B9:K9"/>
    <mergeCell ref="D10:H10"/>
    <mergeCell ref="A11:A13"/>
    <mergeCell ref="B11:B13"/>
    <mergeCell ref="C11:C13"/>
    <mergeCell ref="D11:D13"/>
    <mergeCell ref="E11:J11"/>
  </mergeCells>
  <printOptions horizontalCentered="1"/>
  <pageMargins left="0" right="0" top="1.1811023622047245" bottom="0" header="0" footer="0"/>
  <pageSetup fitToHeight="1" fitToWidth="1" horizontalDpi="600" verticalDpi="600" orientation="landscape" paperSize="9" scale="91" r:id="rId1"/>
</worksheet>
</file>

<file path=xl/worksheets/sheet21.xml><?xml version="1.0" encoding="utf-8"?>
<worksheet xmlns="http://schemas.openxmlformats.org/spreadsheetml/2006/main" xmlns:r="http://schemas.openxmlformats.org/officeDocument/2006/relationships">
  <sheetPr>
    <tabColor rgb="FFFFFF00"/>
    <pageSetUpPr fitToPage="1"/>
  </sheetPr>
  <dimension ref="A1:L68"/>
  <sheetViews>
    <sheetView view="pageLayout" zoomScale="57" zoomScalePageLayoutView="57" workbookViewId="0" topLeftCell="A48">
      <selection activeCell="A1" sqref="A1:H66"/>
    </sheetView>
  </sheetViews>
  <sheetFormatPr defaultColWidth="9.140625" defaultRowHeight="12.75"/>
  <cols>
    <col min="1" max="1" width="10.7109375" style="14" customWidth="1"/>
    <col min="2" max="2" width="63.8515625" style="14" customWidth="1"/>
    <col min="3" max="3" width="22.421875" style="14" customWidth="1"/>
    <col min="4" max="4" width="25.8515625" style="14" customWidth="1"/>
    <col min="5" max="5" width="35.421875" style="14" customWidth="1"/>
    <col min="6" max="6" width="19.140625" style="14" customWidth="1"/>
    <col min="7" max="7" width="17.7109375" style="14" customWidth="1"/>
    <col min="8" max="8" width="47.421875" style="14" customWidth="1"/>
    <col min="9" max="10" width="9.140625" style="14" hidden="1" customWidth="1"/>
    <col min="11" max="11" width="9.8515625" style="14" customWidth="1"/>
    <col min="12" max="12" width="10.140625" style="14" customWidth="1"/>
    <col min="13" max="16384" width="9.140625" style="14" customWidth="1"/>
  </cols>
  <sheetData>
    <row r="1" spans="2:10" ht="18.75">
      <c r="B1" s="15"/>
      <c r="C1" s="15"/>
      <c r="D1" s="15"/>
      <c r="E1" s="15"/>
      <c r="F1" s="15"/>
      <c r="G1" s="531" t="s">
        <v>577</v>
      </c>
      <c r="H1" s="531"/>
      <c r="I1" s="13" t="s">
        <v>19</v>
      </c>
      <c r="J1" s="14">
        <f>J18+J19+J20</f>
        <v>0</v>
      </c>
    </row>
    <row r="2" spans="2:9" ht="18.75">
      <c r="B2" s="15"/>
      <c r="C2" s="15"/>
      <c r="D2" s="15"/>
      <c r="E2" s="15"/>
      <c r="F2" s="15"/>
      <c r="G2" s="531" t="s">
        <v>11</v>
      </c>
      <c r="H2" s="531"/>
      <c r="I2" s="12" t="s">
        <v>11</v>
      </c>
    </row>
    <row r="3" spans="2:9" ht="18.75">
      <c r="B3" s="15"/>
      <c r="C3" s="15"/>
      <c r="D3" s="15"/>
      <c r="E3" s="15"/>
      <c r="F3" s="15"/>
      <c r="G3" s="59" t="s">
        <v>173</v>
      </c>
      <c r="H3" s="59"/>
      <c r="I3" s="12" t="s">
        <v>20</v>
      </c>
    </row>
    <row r="4" spans="2:9" ht="18.75">
      <c r="B4" s="15"/>
      <c r="C4" s="15"/>
      <c r="D4" s="15"/>
      <c r="E4" s="15"/>
      <c r="F4" s="15"/>
      <c r="G4" s="59" t="s">
        <v>22</v>
      </c>
      <c r="H4" s="59"/>
      <c r="I4" s="12" t="s">
        <v>21</v>
      </c>
    </row>
    <row r="5" spans="2:9" ht="18.75">
      <c r="B5" s="15"/>
      <c r="C5" s="15"/>
      <c r="D5" s="15"/>
      <c r="E5" s="15"/>
      <c r="F5" s="15"/>
      <c r="G5" s="59" t="s">
        <v>46</v>
      </c>
      <c r="H5" s="59"/>
      <c r="I5" s="12" t="s">
        <v>23</v>
      </c>
    </row>
    <row r="6" spans="2:9" ht="18.75">
      <c r="B6" s="15"/>
      <c r="C6" s="15"/>
      <c r="D6" s="15"/>
      <c r="E6" s="15"/>
      <c r="F6" s="15"/>
      <c r="G6" s="59" t="s">
        <v>242</v>
      </c>
      <c r="H6" s="59"/>
      <c r="I6" s="12" t="s">
        <v>25</v>
      </c>
    </row>
    <row r="7" spans="2:12" ht="15.75" customHeight="1">
      <c r="B7" s="15"/>
      <c r="C7" s="15"/>
      <c r="D7" s="15"/>
      <c r="E7" s="15"/>
      <c r="F7" s="15"/>
      <c r="G7" s="532" t="s">
        <v>610</v>
      </c>
      <c r="H7" s="533"/>
      <c r="I7" s="17"/>
      <c r="J7" s="17"/>
      <c r="K7" s="17"/>
      <c r="L7" s="17"/>
    </row>
    <row r="8" spans="2:9" ht="3.75" customHeight="1">
      <c r="B8" s="15"/>
      <c r="C8" s="15"/>
      <c r="D8" s="15"/>
      <c r="E8" s="15"/>
      <c r="F8" s="15"/>
      <c r="G8" s="15"/>
      <c r="H8" s="15"/>
      <c r="I8" s="15"/>
    </row>
    <row r="9" spans="2:9" ht="14.25" customHeight="1">
      <c r="B9" s="15"/>
      <c r="C9" s="15"/>
      <c r="D9" s="15"/>
      <c r="E9" s="15"/>
      <c r="F9" s="15"/>
      <c r="G9" s="15" t="s">
        <v>636</v>
      </c>
      <c r="H9" s="15"/>
      <c r="I9" s="15"/>
    </row>
    <row r="10" spans="2:9" ht="18" customHeight="1">
      <c r="B10" s="588" t="s">
        <v>558</v>
      </c>
      <c r="C10" s="588"/>
      <c r="D10" s="588"/>
      <c r="E10" s="588"/>
      <c r="F10" s="588"/>
      <c r="G10" s="588"/>
      <c r="H10" s="588"/>
      <c r="I10" s="15"/>
    </row>
    <row r="11" spans="2:9" ht="15.75" hidden="1">
      <c r="B11" s="15"/>
      <c r="C11" s="15"/>
      <c r="D11" s="542"/>
      <c r="E11" s="542"/>
      <c r="F11" s="542"/>
      <c r="G11" s="15"/>
      <c r="H11" s="15"/>
      <c r="I11" s="15"/>
    </row>
    <row r="12" spans="1:9" ht="15.75" customHeight="1">
      <c r="A12" s="545" t="s">
        <v>6</v>
      </c>
      <c r="B12" s="534" t="s">
        <v>12</v>
      </c>
      <c r="C12" s="534" t="s">
        <v>13</v>
      </c>
      <c r="D12" s="534" t="s">
        <v>14</v>
      </c>
      <c r="E12" s="543" t="s">
        <v>9</v>
      </c>
      <c r="F12" s="543"/>
      <c r="G12" s="598"/>
      <c r="H12" s="539" t="s">
        <v>15</v>
      </c>
      <c r="I12" s="15"/>
    </row>
    <row r="13" spans="1:9" ht="15.75" customHeight="1">
      <c r="A13" s="614"/>
      <c r="B13" s="535"/>
      <c r="C13" s="535"/>
      <c r="D13" s="535"/>
      <c r="E13" s="534">
        <v>2018</v>
      </c>
      <c r="F13" s="534">
        <v>2019</v>
      </c>
      <c r="G13" s="539">
        <v>2020</v>
      </c>
      <c r="H13" s="539"/>
      <c r="I13" s="15"/>
    </row>
    <row r="14" spans="1:9" ht="14.25" customHeight="1">
      <c r="A14" s="546"/>
      <c r="B14" s="536"/>
      <c r="C14" s="536"/>
      <c r="D14" s="536"/>
      <c r="E14" s="536"/>
      <c r="F14" s="536"/>
      <c r="G14" s="539"/>
      <c r="H14" s="539"/>
      <c r="I14" s="15"/>
    </row>
    <row r="15" spans="1:9" ht="20.25" customHeight="1">
      <c r="A15" s="641">
        <v>1</v>
      </c>
      <c r="B15" s="534" t="s">
        <v>355</v>
      </c>
      <c r="C15" s="84" t="s">
        <v>16</v>
      </c>
      <c r="D15" s="348">
        <f>SUM(E15:G16)</f>
        <v>276037.4</v>
      </c>
      <c r="E15" s="349">
        <v>89037.4</v>
      </c>
      <c r="F15" s="349">
        <v>92000</v>
      </c>
      <c r="G15" s="349">
        <v>95000</v>
      </c>
      <c r="H15" s="624" t="s">
        <v>32</v>
      </c>
      <c r="I15" s="15"/>
    </row>
    <row r="16" spans="1:9" ht="43.5" customHeight="1" hidden="1">
      <c r="A16" s="642"/>
      <c r="B16" s="535"/>
      <c r="C16" s="84" t="s">
        <v>73</v>
      </c>
      <c r="D16" s="348">
        <f aca="true" t="shared" si="0" ref="D16:D57">E16+F16+G16</f>
        <v>0</v>
      </c>
      <c r="E16" s="337"/>
      <c r="F16" s="338"/>
      <c r="G16" s="339"/>
      <c r="H16" s="626"/>
      <c r="I16" s="15"/>
    </row>
    <row r="17" spans="1:9" ht="24" customHeight="1">
      <c r="A17" s="642"/>
      <c r="B17" s="535"/>
      <c r="C17" s="84" t="s">
        <v>89</v>
      </c>
      <c r="D17" s="348">
        <f t="shared" si="0"/>
        <v>30</v>
      </c>
      <c r="E17" s="349">
        <f>E51</f>
        <v>30</v>
      </c>
      <c r="F17" s="338"/>
      <c r="G17" s="339"/>
      <c r="H17" s="626"/>
      <c r="I17" s="15"/>
    </row>
    <row r="18" spans="1:9" ht="24" customHeight="1">
      <c r="A18" s="643"/>
      <c r="B18" s="536"/>
      <c r="C18" s="84" t="s">
        <v>73</v>
      </c>
      <c r="D18" s="350">
        <f t="shared" si="0"/>
        <v>5512.9220000000005</v>
      </c>
      <c r="E18" s="351">
        <f>E29+E32+E47+E49+E31</f>
        <v>5512.9220000000005</v>
      </c>
      <c r="F18" s="338"/>
      <c r="G18" s="340"/>
      <c r="H18" s="625"/>
      <c r="I18" s="15"/>
    </row>
    <row r="19" spans="1:9" ht="53.25" customHeight="1">
      <c r="A19" s="335" t="s">
        <v>304</v>
      </c>
      <c r="B19" s="428" t="s">
        <v>316</v>
      </c>
      <c r="C19" s="66" t="s">
        <v>16</v>
      </c>
      <c r="D19" s="336">
        <f t="shared" si="0"/>
        <v>3979.4</v>
      </c>
      <c r="E19" s="337">
        <f>1200-946</f>
        <v>254</v>
      </c>
      <c r="F19" s="338">
        <v>3725.4</v>
      </c>
      <c r="G19" s="340"/>
      <c r="H19" s="436" t="s">
        <v>32</v>
      </c>
      <c r="I19" s="15"/>
    </row>
    <row r="20" spans="1:9" ht="32.25" customHeight="1">
      <c r="A20" s="335" t="s">
        <v>317</v>
      </c>
      <c r="B20" s="428" t="s">
        <v>318</v>
      </c>
      <c r="C20" s="66" t="s">
        <v>16</v>
      </c>
      <c r="D20" s="336">
        <f t="shared" si="0"/>
        <v>5500</v>
      </c>
      <c r="E20" s="337">
        <v>2000</v>
      </c>
      <c r="F20" s="338">
        <v>3500</v>
      </c>
      <c r="G20" s="340"/>
      <c r="H20" s="436" t="s">
        <v>32</v>
      </c>
      <c r="I20" s="15"/>
    </row>
    <row r="21" spans="1:9" ht="93" customHeight="1">
      <c r="A21" s="335" t="s">
        <v>320</v>
      </c>
      <c r="B21" s="428" t="s">
        <v>321</v>
      </c>
      <c r="C21" s="66" t="s">
        <v>16</v>
      </c>
      <c r="D21" s="336">
        <f t="shared" si="0"/>
        <v>250</v>
      </c>
      <c r="E21" s="337">
        <v>250</v>
      </c>
      <c r="F21" s="338"/>
      <c r="G21" s="340"/>
      <c r="H21" s="436" t="s">
        <v>32</v>
      </c>
      <c r="I21" s="15"/>
    </row>
    <row r="22" spans="1:9" ht="69" customHeight="1">
      <c r="A22" s="335" t="s">
        <v>322</v>
      </c>
      <c r="B22" s="428" t="s">
        <v>323</v>
      </c>
      <c r="C22" s="66" t="s">
        <v>16</v>
      </c>
      <c r="D22" s="336">
        <f t="shared" si="0"/>
        <v>240</v>
      </c>
      <c r="E22" s="337">
        <v>240</v>
      </c>
      <c r="F22" s="338"/>
      <c r="G22" s="340"/>
      <c r="H22" s="436" t="s">
        <v>32</v>
      </c>
      <c r="I22" s="15"/>
    </row>
    <row r="23" spans="1:9" ht="75">
      <c r="A23" s="353" t="s">
        <v>324</v>
      </c>
      <c r="B23" s="345" t="s">
        <v>325</v>
      </c>
      <c r="C23" s="352" t="s">
        <v>16</v>
      </c>
      <c r="D23" s="336">
        <f t="shared" si="0"/>
        <v>240</v>
      </c>
      <c r="E23" s="354">
        <v>240</v>
      </c>
      <c r="F23" s="355"/>
      <c r="G23" s="356"/>
      <c r="H23" s="434" t="s">
        <v>32</v>
      </c>
      <c r="I23" s="23"/>
    </row>
    <row r="24" spans="1:9" ht="56.25">
      <c r="A24" s="357" t="s">
        <v>326</v>
      </c>
      <c r="B24" s="299" t="s">
        <v>327</v>
      </c>
      <c r="C24" s="333" t="s">
        <v>16</v>
      </c>
      <c r="D24" s="336">
        <f t="shared" si="0"/>
        <v>14920</v>
      </c>
      <c r="E24" s="342">
        <v>650</v>
      </c>
      <c r="F24" s="342">
        <v>14270</v>
      </c>
      <c r="G24" s="358"/>
      <c r="H24" s="437" t="s">
        <v>32</v>
      </c>
      <c r="I24" s="23"/>
    </row>
    <row r="25" spans="1:9" ht="56.25">
      <c r="A25" s="341" t="s">
        <v>328</v>
      </c>
      <c r="B25" s="346" t="s">
        <v>329</v>
      </c>
      <c r="C25" s="359" t="s">
        <v>16</v>
      </c>
      <c r="D25" s="336">
        <f t="shared" si="0"/>
        <v>1300</v>
      </c>
      <c r="E25" s="338">
        <v>1300</v>
      </c>
      <c r="F25" s="338"/>
      <c r="G25" s="343"/>
      <c r="H25" s="438" t="s">
        <v>32</v>
      </c>
      <c r="I25" s="23"/>
    </row>
    <row r="26" spans="1:8" ht="56.25">
      <c r="A26" s="335" t="s">
        <v>330</v>
      </c>
      <c r="B26" s="299" t="s">
        <v>331</v>
      </c>
      <c r="C26" s="66" t="s">
        <v>16</v>
      </c>
      <c r="D26" s="336">
        <f t="shared" si="0"/>
        <v>2180</v>
      </c>
      <c r="E26" s="337">
        <f>1980-1780</f>
        <v>200</v>
      </c>
      <c r="F26" s="338">
        <v>1980</v>
      </c>
      <c r="G26" s="340"/>
      <c r="H26" s="436" t="s">
        <v>32</v>
      </c>
    </row>
    <row r="27" spans="1:10" ht="117" customHeight="1">
      <c r="A27" s="344" t="s">
        <v>332</v>
      </c>
      <c r="B27" s="299" t="s">
        <v>333</v>
      </c>
      <c r="C27" s="66" t="s">
        <v>16</v>
      </c>
      <c r="D27" s="336">
        <f t="shared" si="0"/>
        <v>12350</v>
      </c>
      <c r="E27" s="433">
        <v>350</v>
      </c>
      <c r="F27" s="342">
        <v>12000</v>
      </c>
      <c r="G27" s="336"/>
      <c r="H27" s="436" t="s">
        <v>32</v>
      </c>
      <c r="J27" s="12"/>
    </row>
    <row r="28" spans="1:8" ht="18.75">
      <c r="A28" s="627" t="s">
        <v>334</v>
      </c>
      <c r="B28" s="629" t="s">
        <v>335</v>
      </c>
      <c r="C28" s="333" t="s">
        <v>16</v>
      </c>
      <c r="D28" s="336">
        <f t="shared" si="0"/>
        <v>426.74</v>
      </c>
      <c r="E28" s="338">
        <v>426.74</v>
      </c>
      <c r="F28" s="338"/>
      <c r="G28" s="338"/>
      <c r="H28" s="631" t="s">
        <v>32</v>
      </c>
    </row>
    <row r="29" spans="1:8" ht="114" customHeight="1">
      <c r="A29" s="628"/>
      <c r="B29" s="630"/>
      <c r="C29" s="333" t="s">
        <v>73</v>
      </c>
      <c r="D29" s="336">
        <f t="shared" si="0"/>
        <v>1224.322</v>
      </c>
      <c r="E29" s="347">
        <v>1224.322</v>
      </c>
      <c r="F29" s="338"/>
      <c r="G29" s="338"/>
      <c r="H29" s="632"/>
    </row>
    <row r="30" spans="1:8" ht="18.75">
      <c r="A30" s="637" t="s">
        <v>336</v>
      </c>
      <c r="B30" s="639" t="s">
        <v>337</v>
      </c>
      <c r="C30" s="333" t="s">
        <v>16</v>
      </c>
      <c r="D30" s="336">
        <f t="shared" si="0"/>
        <v>269</v>
      </c>
      <c r="E30" s="347">
        <v>269</v>
      </c>
      <c r="F30" s="338"/>
      <c r="G30" s="338"/>
      <c r="H30" s="624" t="s">
        <v>32</v>
      </c>
    </row>
    <row r="31" spans="1:8" ht="37.5">
      <c r="A31" s="638"/>
      <c r="B31" s="640"/>
      <c r="C31" s="66" t="s">
        <v>73</v>
      </c>
      <c r="D31" s="336">
        <f t="shared" si="0"/>
        <v>2420</v>
      </c>
      <c r="E31" s="337">
        <v>2420</v>
      </c>
      <c r="F31" s="338"/>
      <c r="G31" s="339"/>
      <c r="H31" s="625"/>
    </row>
    <row r="32" spans="1:8" ht="56.25">
      <c r="A32" s="357" t="s">
        <v>338</v>
      </c>
      <c r="B32" s="299" t="s">
        <v>339</v>
      </c>
      <c r="C32" s="333" t="s">
        <v>73</v>
      </c>
      <c r="D32" s="336">
        <f t="shared" si="0"/>
        <v>621.6</v>
      </c>
      <c r="E32" s="338">
        <v>621.6</v>
      </c>
      <c r="F32" s="338"/>
      <c r="G32" s="338"/>
      <c r="H32" s="437" t="s">
        <v>32</v>
      </c>
    </row>
    <row r="33" spans="1:8" ht="62.25" customHeight="1">
      <c r="A33" s="344" t="s">
        <v>340</v>
      </c>
      <c r="B33" s="299" t="s">
        <v>341</v>
      </c>
      <c r="C33" s="66" t="s">
        <v>16</v>
      </c>
      <c r="D33" s="336">
        <f t="shared" si="0"/>
        <v>20</v>
      </c>
      <c r="E33" s="338">
        <v>20</v>
      </c>
      <c r="F33" s="338"/>
      <c r="G33" s="339"/>
      <c r="H33" s="436" t="s">
        <v>32</v>
      </c>
    </row>
    <row r="34" spans="1:8" ht="49.5">
      <c r="A34" s="633" t="s">
        <v>342</v>
      </c>
      <c r="B34" s="635" t="s">
        <v>343</v>
      </c>
      <c r="C34" s="258" t="s">
        <v>16</v>
      </c>
      <c r="D34" s="336">
        <f t="shared" si="0"/>
        <v>4750</v>
      </c>
      <c r="E34" s="337">
        <f>500+500</f>
        <v>1000</v>
      </c>
      <c r="F34" s="337">
        <v>3750</v>
      </c>
      <c r="G34" s="337"/>
      <c r="H34" s="439" t="s">
        <v>32</v>
      </c>
    </row>
    <row r="35" spans="1:8" ht="37.5">
      <c r="A35" s="634"/>
      <c r="B35" s="636"/>
      <c r="C35" s="332" t="s">
        <v>89</v>
      </c>
      <c r="D35" s="336"/>
      <c r="E35" s="337"/>
      <c r="F35" s="337"/>
      <c r="G35" s="337"/>
      <c r="H35" s="439"/>
    </row>
    <row r="36" spans="1:8" ht="103.5" customHeight="1">
      <c r="A36" s="360" t="s">
        <v>344</v>
      </c>
      <c r="B36" s="299" t="s">
        <v>346</v>
      </c>
      <c r="C36" s="332" t="s">
        <v>16</v>
      </c>
      <c r="D36" s="336">
        <f t="shared" si="0"/>
        <v>1150</v>
      </c>
      <c r="E36" s="338">
        <v>700</v>
      </c>
      <c r="F36" s="338">
        <v>450</v>
      </c>
      <c r="G36" s="339"/>
      <c r="H36" s="436" t="s">
        <v>32</v>
      </c>
    </row>
    <row r="37" spans="1:8" ht="56.25">
      <c r="A37" s="360" t="s">
        <v>345</v>
      </c>
      <c r="B37" s="345" t="s">
        <v>348</v>
      </c>
      <c r="C37" s="361" t="s">
        <v>16</v>
      </c>
      <c r="D37" s="336">
        <f t="shared" si="0"/>
        <v>295</v>
      </c>
      <c r="E37" s="354">
        <v>295</v>
      </c>
      <c r="F37" s="354"/>
      <c r="G37" s="354"/>
      <c r="H37" s="440" t="s">
        <v>32</v>
      </c>
    </row>
    <row r="38" spans="1:8" ht="42" customHeight="1">
      <c r="A38" s="360" t="s">
        <v>347</v>
      </c>
      <c r="B38" s="259" t="s">
        <v>350</v>
      </c>
      <c r="C38" s="66" t="s">
        <v>16</v>
      </c>
      <c r="D38" s="336">
        <f t="shared" si="0"/>
        <v>1785</v>
      </c>
      <c r="E38" s="342">
        <f>1000-665</f>
        <v>335</v>
      </c>
      <c r="F38" s="342">
        <f>0+1450</f>
        <v>1450</v>
      </c>
      <c r="G38" s="336"/>
      <c r="H38" s="436" t="s">
        <v>32</v>
      </c>
    </row>
    <row r="39" spans="1:8" ht="40.5" customHeight="1">
      <c r="A39" s="360" t="s">
        <v>349</v>
      </c>
      <c r="B39" s="346" t="s">
        <v>352</v>
      </c>
      <c r="C39" s="362" t="s">
        <v>16</v>
      </c>
      <c r="D39" s="336">
        <f t="shared" si="0"/>
        <v>3000</v>
      </c>
      <c r="E39" s="338">
        <v>3000</v>
      </c>
      <c r="F39" s="338"/>
      <c r="G39" s="339"/>
      <c r="H39" s="435" t="s">
        <v>32</v>
      </c>
    </row>
    <row r="40" spans="1:8" ht="33" customHeight="1">
      <c r="A40" s="360" t="s">
        <v>351</v>
      </c>
      <c r="B40" s="299" t="s">
        <v>354</v>
      </c>
      <c r="C40" s="332" t="s">
        <v>16</v>
      </c>
      <c r="D40" s="336">
        <f t="shared" si="0"/>
        <v>376.8</v>
      </c>
      <c r="E40" s="338">
        <v>376.8</v>
      </c>
      <c r="F40" s="338"/>
      <c r="G40" s="339"/>
      <c r="H40" s="436" t="s">
        <v>32</v>
      </c>
    </row>
    <row r="41" spans="1:8" ht="56.25">
      <c r="A41" s="360" t="s">
        <v>353</v>
      </c>
      <c r="B41" s="255" t="s">
        <v>357</v>
      </c>
      <c r="C41" s="332" t="s">
        <v>16</v>
      </c>
      <c r="D41" s="336">
        <f t="shared" si="0"/>
        <v>350</v>
      </c>
      <c r="E41" s="342">
        <v>350</v>
      </c>
      <c r="F41" s="342"/>
      <c r="G41" s="336"/>
      <c r="H41" s="436" t="s">
        <v>32</v>
      </c>
    </row>
    <row r="42" spans="1:8" ht="56.25">
      <c r="A42" s="360" t="s">
        <v>356</v>
      </c>
      <c r="B42" s="255" t="s">
        <v>359</v>
      </c>
      <c r="C42" s="332" t="s">
        <v>16</v>
      </c>
      <c r="D42" s="336">
        <f t="shared" si="0"/>
        <v>250</v>
      </c>
      <c r="E42" s="342">
        <v>250</v>
      </c>
      <c r="F42" s="342"/>
      <c r="G42" s="336"/>
      <c r="H42" s="436" t="s">
        <v>32</v>
      </c>
    </row>
    <row r="43" spans="1:8" ht="76.5" customHeight="1">
      <c r="A43" s="360" t="s">
        <v>358</v>
      </c>
      <c r="B43" s="255" t="s">
        <v>458</v>
      </c>
      <c r="C43" s="332" t="s">
        <v>16</v>
      </c>
      <c r="D43" s="336">
        <f t="shared" si="0"/>
        <v>2744</v>
      </c>
      <c r="E43" s="342">
        <f>1194</f>
        <v>1194</v>
      </c>
      <c r="F43" s="342">
        <f>1550</f>
        <v>1550</v>
      </c>
      <c r="G43" s="336"/>
      <c r="H43" s="436" t="s">
        <v>32</v>
      </c>
    </row>
    <row r="44" spans="1:8" ht="75">
      <c r="A44" s="360" t="s">
        <v>360</v>
      </c>
      <c r="B44" s="255" t="s">
        <v>384</v>
      </c>
      <c r="C44" s="332" t="s">
        <v>16</v>
      </c>
      <c r="D44" s="336">
        <f t="shared" si="0"/>
        <v>1497</v>
      </c>
      <c r="E44" s="338">
        <v>1497</v>
      </c>
      <c r="F44" s="338"/>
      <c r="G44" s="339"/>
      <c r="H44" s="436" t="s">
        <v>32</v>
      </c>
    </row>
    <row r="45" spans="1:8" ht="56.25">
      <c r="A45" s="360" t="s">
        <v>361</v>
      </c>
      <c r="B45" s="255" t="s">
        <v>362</v>
      </c>
      <c r="C45" s="332" t="s">
        <v>16</v>
      </c>
      <c r="D45" s="336">
        <f t="shared" si="0"/>
        <v>1200</v>
      </c>
      <c r="E45" s="338">
        <f>200+1000</f>
        <v>1200</v>
      </c>
      <c r="F45" s="338"/>
      <c r="G45" s="339"/>
      <c r="H45" s="436" t="s">
        <v>32</v>
      </c>
    </row>
    <row r="46" spans="1:8" ht="49.5">
      <c r="A46" s="360" t="s">
        <v>363</v>
      </c>
      <c r="B46" s="255" t="s">
        <v>364</v>
      </c>
      <c r="C46" s="332" t="s">
        <v>16</v>
      </c>
      <c r="D46" s="336">
        <f t="shared" si="0"/>
        <v>3690</v>
      </c>
      <c r="E46" s="338">
        <v>250</v>
      </c>
      <c r="F46" s="338">
        <f>3640-200</f>
        <v>3440</v>
      </c>
      <c r="G46" s="339"/>
      <c r="H46" s="436" t="s">
        <v>32</v>
      </c>
    </row>
    <row r="47" spans="1:8" ht="54" customHeight="1">
      <c r="A47" s="633" t="s">
        <v>385</v>
      </c>
      <c r="B47" s="635" t="s">
        <v>387</v>
      </c>
      <c r="C47" s="332" t="s">
        <v>73</v>
      </c>
      <c r="D47" s="336">
        <f t="shared" si="0"/>
        <v>950</v>
      </c>
      <c r="E47" s="338">
        <v>950</v>
      </c>
      <c r="F47" s="338"/>
      <c r="G47" s="339"/>
      <c r="H47" s="624" t="s">
        <v>32</v>
      </c>
    </row>
    <row r="48" spans="1:8" ht="18.75">
      <c r="A48" s="634"/>
      <c r="B48" s="636"/>
      <c r="C48" s="332" t="s">
        <v>16</v>
      </c>
      <c r="D48" s="336">
        <f t="shared" si="0"/>
        <v>28.5</v>
      </c>
      <c r="E48" s="338">
        <v>28.5</v>
      </c>
      <c r="F48" s="338"/>
      <c r="G48" s="339"/>
      <c r="H48" s="625"/>
    </row>
    <row r="49" spans="1:8" ht="33.75" customHeight="1">
      <c r="A49" s="633" t="s">
        <v>386</v>
      </c>
      <c r="B49" s="635" t="s">
        <v>389</v>
      </c>
      <c r="C49" s="332" t="s">
        <v>73</v>
      </c>
      <c r="D49" s="336">
        <f t="shared" si="0"/>
        <v>297</v>
      </c>
      <c r="E49" s="338">
        <v>297</v>
      </c>
      <c r="F49" s="338"/>
      <c r="G49" s="339"/>
      <c r="H49" s="624" t="s">
        <v>32</v>
      </c>
    </row>
    <row r="50" spans="1:8" ht="18.75">
      <c r="A50" s="634"/>
      <c r="B50" s="636"/>
      <c r="C50" s="332" t="s">
        <v>16</v>
      </c>
      <c r="D50" s="336">
        <f t="shared" si="0"/>
        <v>8.9</v>
      </c>
      <c r="E50" s="338">
        <v>8.9</v>
      </c>
      <c r="F50" s="338"/>
      <c r="G50" s="339"/>
      <c r="H50" s="625"/>
    </row>
    <row r="51" spans="1:8" ht="49.5">
      <c r="A51" s="360" t="s">
        <v>388</v>
      </c>
      <c r="B51" s="255" t="s">
        <v>390</v>
      </c>
      <c r="C51" s="332" t="s">
        <v>89</v>
      </c>
      <c r="D51" s="336">
        <f t="shared" si="0"/>
        <v>30</v>
      </c>
      <c r="E51" s="338">
        <v>30</v>
      </c>
      <c r="F51" s="338"/>
      <c r="G51" s="339"/>
      <c r="H51" s="436" t="s">
        <v>32</v>
      </c>
    </row>
    <row r="52" spans="1:8" ht="36" customHeight="1">
      <c r="A52" s="360" t="s">
        <v>435</v>
      </c>
      <c r="B52" s="426" t="s">
        <v>439</v>
      </c>
      <c r="C52" s="332" t="s">
        <v>16</v>
      </c>
      <c r="D52" s="336">
        <f t="shared" si="0"/>
        <v>400</v>
      </c>
      <c r="E52" s="338"/>
      <c r="F52" s="338">
        <v>400</v>
      </c>
      <c r="G52" s="339"/>
      <c r="H52" s="436" t="s">
        <v>32</v>
      </c>
    </row>
    <row r="53" spans="1:8" ht="49.5" customHeight="1">
      <c r="A53" s="360" t="s">
        <v>436</v>
      </c>
      <c r="B53" s="427" t="s">
        <v>440</v>
      </c>
      <c r="C53" s="332" t="s">
        <v>16</v>
      </c>
      <c r="D53" s="336">
        <f t="shared" si="0"/>
        <v>250</v>
      </c>
      <c r="E53" s="338"/>
      <c r="F53" s="338">
        <v>250</v>
      </c>
      <c r="G53" s="339"/>
      <c r="H53" s="436" t="s">
        <v>32</v>
      </c>
    </row>
    <row r="54" spans="1:8" ht="49.5">
      <c r="A54" s="360" t="s">
        <v>437</v>
      </c>
      <c r="B54" s="255" t="s">
        <v>438</v>
      </c>
      <c r="C54" s="332" t="s">
        <v>16</v>
      </c>
      <c r="D54" s="336">
        <f t="shared" si="0"/>
        <v>1000</v>
      </c>
      <c r="E54" s="338"/>
      <c r="F54" s="338">
        <v>1000</v>
      </c>
      <c r="G54" s="339"/>
      <c r="H54" s="436" t="s">
        <v>32</v>
      </c>
    </row>
    <row r="55" spans="1:8" ht="88.5" customHeight="1">
      <c r="A55" s="360" t="s">
        <v>591</v>
      </c>
      <c r="B55" s="493" t="s">
        <v>592</v>
      </c>
      <c r="C55" s="258" t="s">
        <v>16</v>
      </c>
      <c r="D55" s="336">
        <f t="shared" si="0"/>
        <v>0</v>
      </c>
      <c r="E55" s="338"/>
      <c r="F55" s="338">
        <f>0+200-200</f>
        <v>0</v>
      </c>
      <c r="G55" s="339"/>
      <c r="H55" s="436" t="s">
        <v>32</v>
      </c>
    </row>
    <row r="56" spans="1:8" ht="54" customHeight="1">
      <c r="A56" s="360" t="s">
        <v>637</v>
      </c>
      <c r="B56" s="493" t="s">
        <v>638</v>
      </c>
      <c r="C56" s="332" t="s">
        <v>16</v>
      </c>
      <c r="D56" s="336">
        <f t="shared" si="0"/>
        <v>316.5</v>
      </c>
      <c r="E56" s="338"/>
      <c r="F56" s="338">
        <f>0+316.5</f>
        <v>316.5</v>
      </c>
      <c r="G56" s="339"/>
      <c r="H56" s="436" t="s">
        <v>32</v>
      </c>
    </row>
    <row r="57" spans="1:8" ht="51.75" customHeight="1">
      <c r="A57" s="360" t="s">
        <v>654</v>
      </c>
      <c r="B57" s="490" t="s">
        <v>655</v>
      </c>
      <c r="C57" s="332" t="s">
        <v>16</v>
      </c>
      <c r="D57" s="336">
        <f t="shared" si="0"/>
        <v>50</v>
      </c>
      <c r="E57" s="338"/>
      <c r="F57" s="338">
        <f>0+50</f>
        <v>50</v>
      </c>
      <c r="G57" s="339"/>
      <c r="H57" s="436" t="s">
        <v>32</v>
      </c>
    </row>
    <row r="58" spans="1:8" ht="18.75">
      <c r="A58" s="77"/>
      <c r="B58" s="60" t="s">
        <v>5</v>
      </c>
      <c r="C58" s="71"/>
      <c r="D58" s="404">
        <f>D15+D18+D17</f>
        <v>281580.32200000004</v>
      </c>
      <c r="E58" s="404">
        <f>E15+E18+E17</f>
        <v>94580.322</v>
      </c>
      <c r="F58" s="404">
        <f>F15+F18+F17</f>
        <v>92000</v>
      </c>
      <c r="G58" s="404">
        <f>G15+G18+G17</f>
        <v>95000</v>
      </c>
      <c r="H58" s="441"/>
    </row>
    <row r="59" spans="1:8" ht="16.5">
      <c r="A59" s="106" t="s">
        <v>74</v>
      </c>
      <c r="B59" s="18"/>
      <c r="C59" s="18"/>
      <c r="D59" s="94"/>
      <c r="E59" s="19"/>
      <c r="F59" s="19"/>
      <c r="G59" s="19"/>
      <c r="H59" s="442"/>
    </row>
    <row r="60" spans="2:8" ht="16.5">
      <c r="B60" s="18"/>
      <c r="C60" s="18"/>
      <c r="D60" s="19"/>
      <c r="E60" s="19"/>
      <c r="F60" s="19"/>
      <c r="G60" s="19"/>
      <c r="H60" s="442"/>
    </row>
    <row r="61" spans="2:8" ht="18.75">
      <c r="B61" s="52"/>
      <c r="C61" s="53"/>
      <c r="E61" s="19"/>
      <c r="F61" s="19"/>
      <c r="G61" s="19"/>
      <c r="H61" s="443"/>
    </row>
    <row r="62" spans="2:8" ht="23.25" customHeight="1">
      <c r="B62" s="413" t="s">
        <v>18</v>
      </c>
      <c r="C62" s="413"/>
      <c r="D62" s="413"/>
      <c r="E62" s="22"/>
      <c r="F62" s="22"/>
      <c r="G62" s="23"/>
      <c r="H62" s="23" t="s">
        <v>7</v>
      </c>
    </row>
    <row r="63" spans="2:8" ht="18.75">
      <c r="B63" s="21"/>
      <c r="C63" s="21"/>
      <c r="D63" s="21"/>
      <c r="E63" s="22"/>
      <c r="F63" s="22"/>
      <c r="G63" s="23"/>
      <c r="H63" s="24"/>
    </row>
    <row r="64" spans="2:8" ht="18.75">
      <c r="B64" s="538" t="s">
        <v>602</v>
      </c>
      <c r="C64" s="538"/>
      <c r="D64" s="25"/>
      <c r="E64" s="26"/>
      <c r="F64" s="26"/>
      <c r="G64" s="15"/>
      <c r="H64" s="15"/>
    </row>
    <row r="65" spans="2:8" ht="15.75">
      <c r="B65" s="17" t="s">
        <v>10</v>
      </c>
      <c r="C65" s="17"/>
      <c r="D65" s="26"/>
      <c r="E65" s="26"/>
      <c r="F65" s="26"/>
      <c r="G65" s="15"/>
      <c r="H65" s="15"/>
    </row>
    <row r="66" spans="2:8" ht="15.75">
      <c r="B66" s="28"/>
      <c r="C66" s="29"/>
      <c r="D66" s="30"/>
      <c r="E66" s="26"/>
      <c r="F66" s="26"/>
      <c r="G66" s="15"/>
      <c r="H66" s="15"/>
    </row>
    <row r="67" spans="3:7" ht="15.75">
      <c r="C67" s="30"/>
      <c r="D67" s="26"/>
      <c r="E67" s="26"/>
      <c r="F67" s="26"/>
      <c r="G67" s="26"/>
    </row>
    <row r="68" spans="3:7" ht="15.75">
      <c r="C68" s="31"/>
      <c r="D68" s="26"/>
      <c r="E68" s="26"/>
      <c r="F68" s="26"/>
      <c r="G68" s="26"/>
    </row>
  </sheetData>
  <sheetProtection/>
  <mergeCells count="32">
    <mergeCell ref="A34:A35"/>
    <mergeCell ref="B34:B35"/>
    <mergeCell ref="H49:H50"/>
    <mergeCell ref="A47:A48"/>
    <mergeCell ref="B47:B48"/>
    <mergeCell ref="H47:H48"/>
    <mergeCell ref="A12:A14"/>
    <mergeCell ref="B12:B14"/>
    <mergeCell ref="F13:F14"/>
    <mergeCell ref="G13:G14"/>
    <mergeCell ref="A49:A50"/>
    <mergeCell ref="B49:B50"/>
    <mergeCell ref="A30:A31"/>
    <mergeCell ref="B30:B31"/>
    <mergeCell ref="C12:C14"/>
    <mergeCell ref="A15:A18"/>
    <mergeCell ref="B15:B18"/>
    <mergeCell ref="H30:H31"/>
    <mergeCell ref="H15:H18"/>
    <mergeCell ref="A28:A29"/>
    <mergeCell ref="B28:B29"/>
    <mergeCell ref="H28:H29"/>
    <mergeCell ref="B64:C64"/>
    <mergeCell ref="G1:H1"/>
    <mergeCell ref="G2:H2"/>
    <mergeCell ref="G7:H7"/>
    <mergeCell ref="B10:H10"/>
    <mergeCell ref="D11:F11"/>
    <mergeCell ref="D12:D14"/>
    <mergeCell ref="E12:G12"/>
    <mergeCell ref="E13:E14"/>
    <mergeCell ref="H12:H14"/>
  </mergeCells>
  <printOptions horizontalCentered="1"/>
  <pageMargins left="0" right="0" top="1.1811023622047245" bottom="0.7874015748031497" header="0" footer="0"/>
  <pageSetup fitToHeight="0" fitToWidth="1" horizontalDpi="600" verticalDpi="600" orientation="landscape" paperSize="9" scale="61" r:id="rId1"/>
</worksheet>
</file>

<file path=xl/worksheets/sheet22.xml><?xml version="1.0" encoding="utf-8"?>
<worksheet xmlns="http://schemas.openxmlformats.org/spreadsheetml/2006/main" xmlns:r="http://schemas.openxmlformats.org/officeDocument/2006/relationships">
  <sheetPr>
    <tabColor rgb="FFFFFF00"/>
    <pageSetUpPr fitToPage="1"/>
  </sheetPr>
  <dimension ref="A1:K29"/>
  <sheetViews>
    <sheetView view="pageBreakPreview" zoomScaleSheetLayoutView="100" zoomScalePageLayoutView="0" workbookViewId="0" topLeftCell="A1">
      <selection activeCell="A1" sqref="A1:K24"/>
    </sheetView>
  </sheetViews>
  <sheetFormatPr defaultColWidth="9.140625" defaultRowHeight="12.75"/>
  <cols>
    <col min="1" max="1" width="5.57421875" style="0" customWidth="1"/>
    <col min="2" max="2" width="50.00390625" style="0" bestFit="1" customWidth="1"/>
    <col min="3" max="3" width="21.8515625" style="0" customWidth="1"/>
    <col min="4" max="4" width="22.8515625" style="0" customWidth="1"/>
    <col min="5" max="5" width="14.00390625" style="0" customWidth="1"/>
    <col min="6" max="6" width="13.421875" style="0" customWidth="1"/>
    <col min="7" max="8" width="11.57421875" style="0" hidden="1" customWidth="1"/>
    <col min="9" max="9" width="12.57421875" style="0" hidden="1" customWidth="1"/>
    <col min="10" max="10" width="13.57421875" style="0" customWidth="1"/>
    <col min="11" max="11" width="43.28125" style="0" customWidth="1"/>
  </cols>
  <sheetData>
    <row r="1" spans="2:11" ht="15.75">
      <c r="B1" s="1"/>
      <c r="C1" s="1"/>
      <c r="D1" s="1"/>
      <c r="E1" s="1"/>
      <c r="F1" s="1"/>
      <c r="G1" s="1"/>
      <c r="H1" s="1"/>
      <c r="I1" s="2" t="s">
        <v>19</v>
      </c>
      <c r="J1" s="613" t="s">
        <v>578</v>
      </c>
      <c r="K1" s="613"/>
    </row>
    <row r="2" spans="2:11" ht="15.75">
      <c r="B2" s="1"/>
      <c r="C2" s="1"/>
      <c r="D2" s="1"/>
      <c r="E2" s="1"/>
      <c r="F2" s="1"/>
      <c r="G2" s="1"/>
      <c r="H2" s="1"/>
      <c r="I2" s="3" t="s">
        <v>11</v>
      </c>
      <c r="J2" s="585" t="s">
        <v>11</v>
      </c>
      <c r="K2" s="585"/>
    </row>
    <row r="3" spans="2:11" ht="15.75">
      <c r="B3" s="1"/>
      <c r="C3" s="1"/>
      <c r="D3" s="1"/>
      <c r="E3" s="1"/>
      <c r="F3" s="1"/>
      <c r="G3" s="1"/>
      <c r="H3" s="1"/>
      <c r="I3" s="3" t="s">
        <v>20</v>
      </c>
      <c r="J3" s="3" t="s">
        <v>173</v>
      </c>
      <c r="K3" s="3"/>
    </row>
    <row r="4" spans="2:11" ht="15.75">
      <c r="B4" s="1"/>
      <c r="C4" s="1"/>
      <c r="D4" s="1"/>
      <c r="E4" s="1"/>
      <c r="F4" s="1"/>
      <c r="G4" s="1"/>
      <c r="H4" s="1"/>
      <c r="I4" s="3" t="s">
        <v>21</v>
      </c>
      <c r="J4" s="3" t="s">
        <v>22</v>
      </c>
      <c r="K4" s="3"/>
    </row>
    <row r="5" spans="2:11" ht="15.75">
      <c r="B5" s="1"/>
      <c r="C5" s="1"/>
      <c r="D5" s="1"/>
      <c r="E5" s="1"/>
      <c r="F5" s="1"/>
      <c r="G5" s="1"/>
      <c r="H5" s="1"/>
      <c r="I5" s="3" t="s">
        <v>23</v>
      </c>
      <c r="J5" s="3" t="s">
        <v>46</v>
      </c>
      <c r="K5" s="3"/>
    </row>
    <row r="6" spans="2:11" ht="15.75">
      <c r="B6" s="1"/>
      <c r="C6" s="1"/>
      <c r="D6" s="1"/>
      <c r="E6" s="1"/>
      <c r="F6" s="1"/>
      <c r="G6" s="1"/>
      <c r="H6" s="9"/>
      <c r="I6" s="3" t="s">
        <v>25</v>
      </c>
      <c r="J6" s="3" t="s">
        <v>243</v>
      </c>
      <c r="K6" s="3"/>
    </row>
    <row r="7" spans="2:11" ht="15.75" customHeight="1">
      <c r="B7" s="1"/>
      <c r="C7" s="1"/>
      <c r="D7" s="1"/>
      <c r="E7" s="1"/>
      <c r="F7" s="1"/>
      <c r="G7" s="1"/>
      <c r="H7" s="9"/>
      <c r="I7" s="3" t="s">
        <v>26</v>
      </c>
      <c r="J7" s="541" t="s">
        <v>610</v>
      </c>
      <c r="K7" s="585"/>
    </row>
    <row r="8" spans="2:11" ht="15.75">
      <c r="B8" s="1"/>
      <c r="C8" s="1"/>
      <c r="D8" s="1"/>
      <c r="E8" s="1"/>
      <c r="F8" s="1"/>
      <c r="G8" s="1"/>
      <c r="H8" s="1"/>
      <c r="I8" s="1"/>
      <c r="J8" s="1" t="s">
        <v>631</v>
      </c>
      <c r="K8" s="1"/>
    </row>
    <row r="9" spans="2:11" ht="18.75">
      <c r="B9" s="547" t="s">
        <v>559</v>
      </c>
      <c r="C9" s="547"/>
      <c r="D9" s="547"/>
      <c r="E9" s="547"/>
      <c r="F9" s="547"/>
      <c r="G9" s="547"/>
      <c r="H9" s="547"/>
      <c r="I9" s="547"/>
      <c r="J9" s="547"/>
      <c r="K9" s="547"/>
    </row>
    <row r="10" spans="2:11" ht="15.75">
      <c r="B10" s="1"/>
      <c r="C10" s="1"/>
      <c r="D10" s="590"/>
      <c r="E10" s="590"/>
      <c r="F10" s="590"/>
      <c r="G10" s="590"/>
      <c r="H10" s="590"/>
      <c r="I10" s="1"/>
      <c r="J10" s="1"/>
      <c r="K10" s="46" t="s">
        <v>534</v>
      </c>
    </row>
    <row r="11" spans="1:11" ht="18.75">
      <c r="A11" s="553" t="s">
        <v>6</v>
      </c>
      <c r="B11" s="644" t="s">
        <v>12</v>
      </c>
      <c r="C11" s="644" t="s">
        <v>13</v>
      </c>
      <c r="D11" s="644" t="s">
        <v>551</v>
      </c>
      <c r="E11" s="647" t="s">
        <v>9</v>
      </c>
      <c r="F11" s="647"/>
      <c r="G11" s="647"/>
      <c r="H11" s="647"/>
      <c r="I11" s="647"/>
      <c r="J11" s="648"/>
      <c r="K11" s="550" t="s">
        <v>15</v>
      </c>
    </row>
    <row r="12" spans="1:11" ht="17.25" customHeight="1">
      <c r="A12" s="554"/>
      <c r="B12" s="645"/>
      <c r="C12" s="645"/>
      <c r="D12" s="645"/>
      <c r="E12" s="644" t="s">
        <v>560</v>
      </c>
      <c r="F12" s="644" t="s">
        <v>561</v>
      </c>
      <c r="G12" s="644" t="s">
        <v>28</v>
      </c>
      <c r="H12" s="644" t="s">
        <v>29</v>
      </c>
      <c r="I12" s="644" t="s">
        <v>30</v>
      </c>
      <c r="J12" s="550" t="s">
        <v>562</v>
      </c>
      <c r="K12" s="550"/>
    </row>
    <row r="13" spans="1:11" ht="12.75">
      <c r="A13" s="555"/>
      <c r="B13" s="646"/>
      <c r="C13" s="646"/>
      <c r="D13" s="646"/>
      <c r="E13" s="646"/>
      <c r="F13" s="646"/>
      <c r="G13" s="646"/>
      <c r="H13" s="646"/>
      <c r="I13" s="646"/>
      <c r="J13" s="550"/>
      <c r="K13" s="550"/>
    </row>
    <row r="14" spans="1:11" ht="51.75" customHeight="1">
      <c r="A14" s="155">
        <v>1</v>
      </c>
      <c r="B14" s="47" t="s">
        <v>171</v>
      </c>
      <c r="C14" s="47" t="s">
        <v>16</v>
      </c>
      <c r="D14" s="156">
        <f>E14+F14+J14</f>
        <v>-2074.09</v>
      </c>
      <c r="E14" s="79">
        <f>-2079.09+5+2054.09</f>
        <v>-20</v>
      </c>
      <c r="F14" s="79">
        <v>-2054.09</v>
      </c>
      <c r="G14" s="79"/>
      <c r="H14" s="79"/>
      <c r="I14" s="79"/>
      <c r="J14" s="79">
        <v>0</v>
      </c>
      <c r="K14" s="185" t="s">
        <v>175</v>
      </c>
    </row>
    <row r="15" spans="1:11" ht="41.25" customHeight="1">
      <c r="A15" s="155">
        <v>2</v>
      </c>
      <c r="B15" s="47" t="s">
        <v>171</v>
      </c>
      <c r="C15" s="47" t="s">
        <v>451</v>
      </c>
      <c r="D15" s="156">
        <f>E15+F15+J15</f>
        <v>-740</v>
      </c>
      <c r="E15" s="79">
        <v>0</v>
      </c>
      <c r="F15" s="79">
        <v>-740</v>
      </c>
      <c r="G15" s="79"/>
      <c r="H15" s="79"/>
      <c r="I15" s="79"/>
      <c r="J15" s="79">
        <v>0</v>
      </c>
      <c r="K15" s="185" t="s">
        <v>452</v>
      </c>
    </row>
    <row r="16" spans="1:11" ht="18.75">
      <c r="A16" s="157"/>
      <c r="B16" s="57" t="s">
        <v>5</v>
      </c>
      <c r="C16" s="58"/>
      <c r="D16" s="80">
        <f>D14+D15</f>
        <v>-2814.09</v>
      </c>
      <c r="E16" s="80">
        <f aca="true" t="shared" si="0" ref="E16:J16">SUM(E14)</f>
        <v>-20</v>
      </c>
      <c r="F16" s="80">
        <f>SUM(F14:F15)</f>
        <v>-2794.09</v>
      </c>
      <c r="G16" s="80">
        <f t="shared" si="0"/>
        <v>0</v>
      </c>
      <c r="H16" s="80">
        <f t="shared" si="0"/>
        <v>0</v>
      </c>
      <c r="I16" s="80">
        <f t="shared" si="0"/>
        <v>0</v>
      </c>
      <c r="J16" s="80">
        <f t="shared" si="0"/>
        <v>0</v>
      </c>
      <c r="K16" s="81"/>
    </row>
    <row r="17" spans="2:11" ht="18.75">
      <c r="B17" s="158"/>
      <c r="C17" s="4"/>
      <c r="D17" s="6"/>
      <c r="E17" s="6"/>
      <c r="F17" s="6"/>
      <c r="G17" s="6"/>
      <c r="H17" s="6"/>
      <c r="I17" s="6"/>
      <c r="J17" s="6"/>
      <c r="K17" s="42"/>
    </row>
    <row r="18" spans="2:11" ht="15.75">
      <c r="B18" s="4"/>
      <c r="C18" s="4"/>
      <c r="D18" s="6"/>
      <c r="E18" s="6"/>
      <c r="F18" s="6"/>
      <c r="G18" s="6"/>
      <c r="H18" s="6"/>
      <c r="I18" s="6"/>
      <c r="J18" s="6"/>
      <c r="K18" s="42"/>
    </row>
    <row r="19" spans="2:11" ht="15.75">
      <c r="B19" s="4"/>
      <c r="C19" s="4"/>
      <c r="D19" s="6"/>
      <c r="E19" s="6"/>
      <c r="F19" s="6"/>
      <c r="G19" s="6"/>
      <c r="H19" s="6"/>
      <c r="I19" s="6"/>
      <c r="J19" s="6"/>
      <c r="K19" s="42"/>
    </row>
    <row r="20" spans="2:11" ht="18.75">
      <c r="B20" s="159"/>
      <c r="C20" s="160"/>
      <c r="E20" s="6"/>
      <c r="F20" s="6"/>
      <c r="G20" s="6"/>
      <c r="H20" s="6"/>
      <c r="I20" s="6"/>
      <c r="J20" s="6"/>
      <c r="K20" s="160"/>
    </row>
    <row r="21" spans="1:11" ht="18.75">
      <c r="A21" s="161"/>
      <c r="B21" s="444" t="s">
        <v>18</v>
      </c>
      <c r="C21" s="444"/>
      <c r="D21" s="161"/>
      <c r="E21" s="444"/>
      <c r="F21" s="649" t="s">
        <v>7</v>
      </c>
      <c r="G21" s="649"/>
      <c r="H21" s="649"/>
      <c r="I21" s="649"/>
      <c r="J21" s="649"/>
      <c r="K21" s="164"/>
    </row>
    <row r="22" spans="1:11" ht="30.75" customHeight="1">
      <c r="A22" s="161"/>
      <c r="B22" s="444"/>
      <c r="C22" s="444"/>
      <c r="D22" s="161"/>
      <c r="E22" s="444"/>
      <c r="F22" s="237"/>
      <c r="G22" s="237"/>
      <c r="H22" s="237"/>
      <c r="I22" s="237"/>
      <c r="J22" s="237"/>
      <c r="K22" s="164"/>
    </row>
    <row r="23" spans="1:11" ht="18.75">
      <c r="A23" s="161"/>
      <c r="B23" s="165" t="s">
        <v>602</v>
      </c>
      <c r="C23" s="165"/>
      <c r="D23" s="161"/>
      <c r="E23" s="166"/>
      <c r="F23" s="167"/>
      <c r="G23" s="167"/>
      <c r="H23" s="167"/>
      <c r="I23" s="167"/>
      <c r="J23" s="167"/>
      <c r="K23" s="168"/>
    </row>
    <row r="24" spans="1:11" ht="30.75" customHeight="1">
      <c r="A24" s="161"/>
      <c r="B24" s="169" t="s">
        <v>10</v>
      </c>
      <c r="C24" s="161"/>
      <c r="D24" s="169"/>
      <c r="E24" s="167"/>
      <c r="F24" s="167"/>
      <c r="G24" s="167"/>
      <c r="H24" s="167"/>
      <c r="I24" s="167"/>
      <c r="J24" s="167"/>
      <c r="K24" s="168"/>
    </row>
    <row r="25" spans="2:11" ht="15.75">
      <c r="B25" s="43"/>
      <c r="C25" s="10"/>
      <c r="D25" s="44"/>
      <c r="E25" s="7"/>
      <c r="F25" s="7"/>
      <c r="G25" s="7"/>
      <c r="H25" s="7"/>
      <c r="I25" s="7"/>
      <c r="J25" s="1"/>
      <c r="K25" s="1"/>
    </row>
    <row r="26" spans="3:10" ht="15.75">
      <c r="C26" s="44"/>
      <c r="D26" s="7"/>
      <c r="E26" s="7"/>
      <c r="F26" s="7"/>
      <c r="G26" s="7"/>
      <c r="H26" s="7"/>
      <c r="I26" s="7"/>
      <c r="J26" s="7"/>
    </row>
    <row r="27" spans="3:10" ht="15.75">
      <c r="C27" s="45"/>
      <c r="D27" s="7"/>
      <c r="E27" s="7"/>
      <c r="F27" s="7"/>
      <c r="G27" s="7"/>
      <c r="H27" s="7"/>
      <c r="I27" s="7"/>
      <c r="J27" s="7"/>
    </row>
    <row r="29" ht="12.75">
      <c r="H29" s="5"/>
    </row>
  </sheetData>
  <sheetProtection/>
  <mergeCells count="18">
    <mergeCell ref="F21:J21"/>
    <mergeCell ref="K11:K13"/>
    <mergeCell ref="E12:E13"/>
    <mergeCell ref="F12:F13"/>
    <mergeCell ref="G12:G13"/>
    <mergeCell ref="H12:H13"/>
    <mergeCell ref="I12:I13"/>
    <mergeCell ref="J12:J13"/>
    <mergeCell ref="J1:K1"/>
    <mergeCell ref="J2:K2"/>
    <mergeCell ref="J7:K7"/>
    <mergeCell ref="B9:K9"/>
    <mergeCell ref="D10:H10"/>
    <mergeCell ref="A11:A13"/>
    <mergeCell ref="B11:B13"/>
    <mergeCell ref="C11:C13"/>
    <mergeCell ref="D11:D13"/>
    <mergeCell ref="E11:J11"/>
  </mergeCells>
  <printOptions horizontalCentered="1"/>
  <pageMargins left="0" right="0" top="1.1811023622047245" bottom="0" header="0" footer="0"/>
  <pageSetup fitToHeight="1" fitToWidth="1" horizontalDpi="600" verticalDpi="600" orientation="landscape" paperSize="9" scale="80" r:id="rId1"/>
</worksheet>
</file>

<file path=xl/worksheets/sheet23.xml><?xml version="1.0" encoding="utf-8"?>
<worksheet xmlns="http://schemas.openxmlformats.org/spreadsheetml/2006/main" xmlns:r="http://schemas.openxmlformats.org/officeDocument/2006/relationships">
  <sheetPr>
    <tabColor rgb="FFFFFF00"/>
    <pageSetUpPr fitToPage="1"/>
  </sheetPr>
  <dimension ref="A1:K28"/>
  <sheetViews>
    <sheetView view="pageBreakPreview" zoomScaleSheetLayoutView="100" zoomScalePageLayoutView="0" workbookViewId="0" topLeftCell="A1">
      <selection activeCell="A1" sqref="A1:K23"/>
    </sheetView>
  </sheetViews>
  <sheetFormatPr defaultColWidth="9.140625" defaultRowHeight="12.75"/>
  <cols>
    <col min="1" max="1" width="5.57421875" style="0" customWidth="1"/>
    <col min="2" max="2" width="50.00390625" style="0" bestFit="1" customWidth="1"/>
    <col min="3" max="3" width="21.8515625" style="0" customWidth="1"/>
    <col min="4" max="4" width="22.8515625" style="0" customWidth="1"/>
    <col min="5" max="5" width="14.00390625" style="0" customWidth="1"/>
    <col min="6" max="6" width="13.421875" style="0" customWidth="1"/>
    <col min="7" max="8" width="11.57421875" style="0" hidden="1" customWidth="1"/>
    <col min="9" max="9" width="12.57421875" style="0" hidden="1" customWidth="1"/>
    <col min="10" max="10" width="13.57421875" style="0" customWidth="1"/>
    <col min="11" max="11" width="43.28125" style="0" customWidth="1"/>
  </cols>
  <sheetData>
    <row r="1" spans="2:11" ht="18.75">
      <c r="B1" s="1"/>
      <c r="C1" s="1"/>
      <c r="D1" s="1"/>
      <c r="E1" s="1"/>
      <c r="F1" s="1"/>
      <c r="G1" s="1"/>
      <c r="H1" s="1"/>
      <c r="I1" s="2" t="s">
        <v>19</v>
      </c>
      <c r="J1" s="565" t="s">
        <v>579</v>
      </c>
      <c r="K1" s="565"/>
    </row>
    <row r="2" spans="2:11" ht="18.75">
      <c r="B2" s="1"/>
      <c r="C2" s="1"/>
      <c r="D2" s="1"/>
      <c r="E2" s="1"/>
      <c r="F2" s="1"/>
      <c r="G2" s="1"/>
      <c r="H2" s="1"/>
      <c r="I2" s="3" t="s">
        <v>11</v>
      </c>
      <c r="J2" s="533" t="s">
        <v>11</v>
      </c>
      <c r="K2" s="533"/>
    </row>
    <row r="3" spans="2:11" ht="18.75">
      <c r="B3" s="1"/>
      <c r="C3" s="1"/>
      <c r="D3" s="1"/>
      <c r="E3" s="1"/>
      <c r="F3" s="1"/>
      <c r="G3" s="1"/>
      <c r="H3" s="1"/>
      <c r="I3" s="3" t="s">
        <v>20</v>
      </c>
      <c r="J3" s="56" t="s">
        <v>173</v>
      </c>
      <c r="K3" s="56"/>
    </row>
    <row r="4" spans="2:11" ht="18.75">
      <c r="B4" s="1"/>
      <c r="C4" s="1"/>
      <c r="D4" s="1"/>
      <c r="E4" s="1"/>
      <c r="F4" s="1"/>
      <c r="G4" s="1"/>
      <c r="H4" s="1"/>
      <c r="I4" s="3" t="s">
        <v>21</v>
      </c>
      <c r="J4" s="56" t="s">
        <v>22</v>
      </c>
      <c r="K4" s="56"/>
    </row>
    <row r="5" spans="2:11" ht="18.75">
      <c r="B5" s="1"/>
      <c r="C5" s="1"/>
      <c r="D5" s="1"/>
      <c r="E5" s="1"/>
      <c r="F5" s="1"/>
      <c r="G5" s="1"/>
      <c r="H5" s="1"/>
      <c r="I5" s="3" t="s">
        <v>23</v>
      </c>
      <c r="J5" s="56" t="s">
        <v>46</v>
      </c>
      <c r="K5" s="56"/>
    </row>
    <row r="6" spans="2:11" ht="18.75">
      <c r="B6" s="1"/>
      <c r="C6" s="1"/>
      <c r="D6" s="1"/>
      <c r="E6" s="1"/>
      <c r="F6" s="1"/>
      <c r="G6" s="1"/>
      <c r="H6" s="9"/>
      <c r="I6" s="3" t="s">
        <v>25</v>
      </c>
      <c r="J6" s="56" t="s">
        <v>615</v>
      </c>
      <c r="K6" s="56"/>
    </row>
    <row r="7" spans="2:11" ht="15.75" customHeight="1">
      <c r="B7" s="1"/>
      <c r="C7" s="1"/>
      <c r="D7" s="1"/>
      <c r="E7" s="1"/>
      <c r="F7" s="1"/>
      <c r="G7" s="1"/>
      <c r="H7" s="9"/>
      <c r="I7" s="3" t="s">
        <v>26</v>
      </c>
      <c r="J7" s="532" t="s">
        <v>639</v>
      </c>
      <c r="K7" s="533"/>
    </row>
    <row r="8" spans="2:11" ht="15.75">
      <c r="B8" s="1"/>
      <c r="C8" s="1"/>
      <c r="D8" s="1"/>
      <c r="E8" s="1"/>
      <c r="F8" s="1"/>
      <c r="G8" s="1"/>
      <c r="H8" s="1"/>
      <c r="I8" s="1"/>
      <c r="J8" s="1"/>
      <c r="K8" s="1"/>
    </row>
    <row r="9" spans="2:11" ht="18.75">
      <c r="B9" s="547" t="s">
        <v>563</v>
      </c>
      <c r="C9" s="547"/>
      <c r="D9" s="547"/>
      <c r="E9" s="547"/>
      <c r="F9" s="547"/>
      <c r="G9" s="547"/>
      <c r="H9" s="547"/>
      <c r="I9" s="547"/>
      <c r="J9" s="547"/>
      <c r="K9" s="547"/>
    </row>
    <row r="10" spans="2:11" ht="15.75">
      <c r="B10" s="1"/>
      <c r="C10" s="1"/>
      <c r="D10" s="590"/>
      <c r="E10" s="590"/>
      <c r="F10" s="590"/>
      <c r="G10" s="590"/>
      <c r="H10" s="590"/>
      <c r="I10" s="1"/>
      <c r="J10" s="1"/>
      <c r="K10" s="46" t="s">
        <v>534</v>
      </c>
    </row>
    <row r="11" spans="1:11" ht="18.75">
      <c r="A11" s="553" t="s">
        <v>6</v>
      </c>
      <c r="B11" s="644" t="s">
        <v>12</v>
      </c>
      <c r="C11" s="644" t="s">
        <v>13</v>
      </c>
      <c r="D11" s="644" t="s">
        <v>551</v>
      </c>
      <c r="E11" s="647" t="s">
        <v>9</v>
      </c>
      <c r="F11" s="647"/>
      <c r="G11" s="647"/>
      <c r="H11" s="647"/>
      <c r="I11" s="647"/>
      <c r="J11" s="648"/>
      <c r="K11" s="550" t="s">
        <v>15</v>
      </c>
    </row>
    <row r="12" spans="1:11" ht="17.25" customHeight="1">
      <c r="A12" s="554"/>
      <c r="B12" s="645"/>
      <c r="C12" s="645"/>
      <c r="D12" s="645"/>
      <c r="E12" s="644">
        <v>2018</v>
      </c>
      <c r="F12" s="644">
        <v>2019</v>
      </c>
      <c r="G12" s="644" t="s">
        <v>28</v>
      </c>
      <c r="H12" s="644" t="s">
        <v>29</v>
      </c>
      <c r="I12" s="644" t="s">
        <v>30</v>
      </c>
      <c r="J12" s="550">
        <v>2020</v>
      </c>
      <c r="K12" s="550"/>
    </row>
    <row r="13" spans="1:11" ht="12.75">
      <c r="A13" s="555"/>
      <c r="B13" s="646"/>
      <c r="C13" s="646"/>
      <c r="D13" s="646"/>
      <c r="E13" s="646"/>
      <c r="F13" s="646"/>
      <c r="G13" s="646"/>
      <c r="H13" s="646"/>
      <c r="I13" s="646"/>
      <c r="J13" s="550"/>
      <c r="K13" s="550"/>
    </row>
    <row r="14" spans="1:11" ht="47.25">
      <c r="A14" s="155">
        <v>1</v>
      </c>
      <c r="B14" s="47" t="s">
        <v>297</v>
      </c>
      <c r="C14" s="47" t="s">
        <v>16</v>
      </c>
      <c r="D14" s="156">
        <f>E14+F14+J14</f>
        <v>74070.2</v>
      </c>
      <c r="E14" s="79">
        <v>74070.2</v>
      </c>
      <c r="F14" s="79">
        <v>0</v>
      </c>
      <c r="G14" s="79"/>
      <c r="H14" s="79"/>
      <c r="I14" s="79"/>
      <c r="J14" s="79">
        <v>0</v>
      </c>
      <c r="K14" s="185" t="s">
        <v>298</v>
      </c>
    </row>
    <row r="15" spans="1:11" ht="18.75">
      <c r="A15" s="157"/>
      <c r="B15" s="57" t="s">
        <v>5</v>
      </c>
      <c r="C15" s="58"/>
      <c r="D15" s="80">
        <f>D14</f>
        <v>74070.2</v>
      </c>
      <c r="E15" s="80">
        <f aca="true" t="shared" si="0" ref="E15:J15">SUM(E14)</f>
        <v>74070.2</v>
      </c>
      <c r="F15" s="80">
        <f t="shared" si="0"/>
        <v>0</v>
      </c>
      <c r="G15" s="80">
        <f t="shared" si="0"/>
        <v>0</v>
      </c>
      <c r="H15" s="80">
        <f t="shared" si="0"/>
        <v>0</v>
      </c>
      <c r="I15" s="80">
        <f t="shared" si="0"/>
        <v>0</v>
      </c>
      <c r="J15" s="80">
        <f t="shared" si="0"/>
        <v>0</v>
      </c>
      <c r="K15" s="81"/>
    </row>
    <row r="16" spans="2:11" ht="18.75">
      <c r="B16" s="158"/>
      <c r="C16" s="4"/>
      <c r="D16" s="6"/>
      <c r="E16" s="6"/>
      <c r="F16" s="6"/>
      <c r="G16" s="6"/>
      <c r="H16" s="6"/>
      <c r="I16" s="6"/>
      <c r="J16" s="6"/>
      <c r="K16" s="42"/>
    </row>
    <row r="17" spans="2:11" ht="15.75">
      <c r="B17" s="4"/>
      <c r="C17" s="4"/>
      <c r="D17" s="6"/>
      <c r="E17" s="6"/>
      <c r="F17" s="6"/>
      <c r="G17" s="6"/>
      <c r="H17" s="6"/>
      <c r="I17" s="6"/>
      <c r="J17" s="6"/>
      <c r="K17" s="42"/>
    </row>
    <row r="18" spans="2:11" ht="15.75">
      <c r="B18" s="4"/>
      <c r="C18" s="4"/>
      <c r="D18" s="6"/>
      <c r="E18" s="6"/>
      <c r="F18" s="6"/>
      <c r="G18" s="6"/>
      <c r="H18" s="6"/>
      <c r="I18" s="6"/>
      <c r="J18" s="6"/>
      <c r="K18" s="42"/>
    </row>
    <row r="19" spans="2:11" ht="18.75">
      <c r="B19" s="159"/>
      <c r="C19" s="160"/>
      <c r="E19" s="6"/>
      <c r="F19" s="6"/>
      <c r="G19" s="6"/>
      <c r="H19" s="6"/>
      <c r="I19" s="6"/>
      <c r="J19" s="6"/>
      <c r="K19" s="160"/>
    </row>
    <row r="20" spans="1:11" ht="18.75">
      <c r="A20" s="161"/>
      <c r="B20" s="444" t="s">
        <v>18</v>
      </c>
      <c r="C20" s="444"/>
      <c r="D20" s="161"/>
      <c r="E20" s="444"/>
      <c r="F20" s="649" t="s">
        <v>7</v>
      </c>
      <c r="G20" s="649"/>
      <c r="H20" s="649"/>
      <c r="I20" s="649"/>
      <c r="J20" s="649"/>
      <c r="K20" s="164"/>
    </row>
    <row r="21" spans="1:11" ht="30.75" customHeight="1">
      <c r="A21" s="161"/>
      <c r="B21" s="162"/>
      <c r="C21" s="162"/>
      <c r="D21" s="161"/>
      <c r="E21" s="162"/>
      <c r="F21" s="163"/>
      <c r="G21" s="163"/>
      <c r="H21" s="163"/>
      <c r="I21" s="163"/>
      <c r="J21" s="163"/>
      <c r="K21" s="164"/>
    </row>
    <row r="22" spans="1:11" ht="18.75">
      <c r="A22" s="161"/>
      <c r="B22" s="165" t="s">
        <v>614</v>
      </c>
      <c r="C22" s="165"/>
      <c r="D22" s="161"/>
      <c r="E22" s="166"/>
      <c r="F22" s="167"/>
      <c r="G22" s="167"/>
      <c r="H22" s="167"/>
      <c r="I22" s="167"/>
      <c r="J22" s="167"/>
      <c r="K22" s="168"/>
    </row>
    <row r="23" spans="1:11" ht="30.75" customHeight="1">
      <c r="A23" s="161"/>
      <c r="B23" s="169" t="s">
        <v>10</v>
      </c>
      <c r="C23" s="161"/>
      <c r="D23" s="169"/>
      <c r="E23" s="167"/>
      <c r="F23" s="167"/>
      <c r="G23" s="167"/>
      <c r="H23" s="167"/>
      <c r="I23" s="167"/>
      <c r="J23" s="167"/>
      <c r="K23" s="168"/>
    </row>
    <row r="24" spans="2:11" ht="15.75">
      <c r="B24" s="43"/>
      <c r="C24" s="10"/>
      <c r="D24" s="44"/>
      <c r="E24" s="7"/>
      <c r="F24" s="7"/>
      <c r="G24" s="7"/>
      <c r="H24" s="7"/>
      <c r="I24" s="7"/>
      <c r="J24" s="1"/>
      <c r="K24" s="1"/>
    </row>
    <row r="25" spans="3:10" ht="15.75">
      <c r="C25" s="44"/>
      <c r="D25" s="7"/>
      <c r="E25" s="7"/>
      <c r="F25" s="7"/>
      <c r="G25" s="7"/>
      <c r="H25" s="7"/>
      <c r="I25" s="7"/>
      <c r="J25" s="7"/>
    </row>
    <row r="26" spans="3:10" ht="15.75">
      <c r="C26" s="45"/>
      <c r="D26" s="7"/>
      <c r="E26" s="7"/>
      <c r="F26" s="7"/>
      <c r="G26" s="7"/>
      <c r="H26" s="7"/>
      <c r="I26" s="7"/>
      <c r="J26" s="7"/>
    </row>
    <row r="28" ht="12.75">
      <c r="H28" s="5"/>
    </row>
  </sheetData>
  <sheetProtection/>
  <mergeCells count="18">
    <mergeCell ref="J1:K1"/>
    <mergeCell ref="J2:K2"/>
    <mergeCell ref="J7:K7"/>
    <mergeCell ref="B9:K9"/>
    <mergeCell ref="D10:H10"/>
    <mergeCell ref="A11:A13"/>
    <mergeCell ref="B11:B13"/>
    <mergeCell ref="C11:C13"/>
    <mergeCell ref="D11:D13"/>
    <mergeCell ref="E11:J11"/>
    <mergeCell ref="F20:J20"/>
    <mergeCell ref="K11:K13"/>
    <mergeCell ref="E12:E13"/>
    <mergeCell ref="F12:F13"/>
    <mergeCell ref="G12:G13"/>
    <mergeCell ref="H12:H13"/>
    <mergeCell ref="I12:I13"/>
    <mergeCell ref="J12:J13"/>
  </mergeCells>
  <printOptions horizontalCentered="1"/>
  <pageMargins left="0" right="0" top="1.1811023622047245" bottom="0" header="0" footer="0"/>
  <pageSetup fitToHeight="1" fitToWidth="1" horizontalDpi="600" verticalDpi="600" orientation="landscape" paperSize="9" scale="80" r:id="rId1"/>
</worksheet>
</file>

<file path=xl/worksheets/sheet24.xml><?xml version="1.0" encoding="utf-8"?>
<worksheet xmlns="http://schemas.openxmlformats.org/spreadsheetml/2006/main" xmlns:r="http://schemas.openxmlformats.org/officeDocument/2006/relationships">
  <sheetPr>
    <tabColor rgb="FF0070C0"/>
    <pageSetUpPr fitToPage="1"/>
  </sheetPr>
  <dimension ref="A1:K29"/>
  <sheetViews>
    <sheetView zoomScalePageLayoutView="0" workbookViewId="0" topLeftCell="A9">
      <selection activeCell="B20" sqref="B20:K27"/>
    </sheetView>
  </sheetViews>
  <sheetFormatPr defaultColWidth="9.140625" defaultRowHeight="12.75"/>
  <cols>
    <col min="2" max="2" width="38.7109375" style="0" customWidth="1"/>
    <col min="3" max="3" width="15.57421875" style="0" customWidth="1"/>
    <col min="4" max="4" width="13.57421875" style="0" customWidth="1"/>
    <col min="10" max="10" width="27.421875" style="0" customWidth="1"/>
    <col min="11" max="11" width="36.140625" style="0" customWidth="1"/>
  </cols>
  <sheetData>
    <row r="1" spans="1:11" ht="18.75">
      <c r="A1" s="396"/>
      <c r="B1" s="396"/>
      <c r="C1" s="396"/>
      <c r="D1" s="396"/>
      <c r="E1" s="396"/>
      <c r="F1" s="396"/>
      <c r="G1" s="396"/>
      <c r="H1" s="396"/>
      <c r="I1" s="650" t="s">
        <v>400</v>
      </c>
      <c r="J1" s="650"/>
      <c r="K1" s="650"/>
    </row>
    <row r="2" spans="1:11" ht="18.75">
      <c r="A2" s="396"/>
      <c r="B2" s="396"/>
      <c r="C2" s="396"/>
      <c r="D2" s="396"/>
      <c r="E2" s="396"/>
      <c r="F2" s="396"/>
      <c r="G2" s="396"/>
      <c r="H2" s="396"/>
      <c r="I2" s="599" t="s">
        <v>11</v>
      </c>
      <c r="J2" s="599"/>
      <c r="K2" s="599"/>
    </row>
    <row r="3" spans="1:11" ht="18.75">
      <c r="A3" s="396"/>
      <c r="B3" s="396"/>
      <c r="C3" s="396"/>
      <c r="D3" s="396"/>
      <c r="E3" s="396"/>
      <c r="F3" s="396"/>
      <c r="G3" s="396"/>
      <c r="H3" s="396"/>
      <c r="I3" s="651" t="s">
        <v>370</v>
      </c>
      <c r="J3" s="651"/>
      <c r="K3" s="651"/>
    </row>
    <row r="4" spans="1:11" ht="18.75">
      <c r="A4" s="396"/>
      <c r="B4" s="396"/>
      <c r="C4" s="396"/>
      <c r="D4" s="396"/>
      <c r="E4" s="396"/>
      <c r="F4" s="396"/>
      <c r="G4" s="396"/>
      <c r="H4" s="396"/>
      <c r="I4" s="651" t="s">
        <v>34</v>
      </c>
      <c r="J4" s="651"/>
      <c r="K4" s="651"/>
    </row>
    <row r="5" spans="1:11" ht="18.75">
      <c r="A5" s="396"/>
      <c r="B5" s="396"/>
      <c r="C5" s="396"/>
      <c r="D5" s="396"/>
      <c r="E5" s="396"/>
      <c r="F5" s="396"/>
      <c r="G5" s="396"/>
      <c r="H5" s="396"/>
      <c r="I5" s="651" t="s">
        <v>8</v>
      </c>
      <c r="J5" s="651"/>
      <c r="K5" s="651"/>
    </row>
    <row r="6" spans="1:11" ht="18.75">
      <c r="A6" s="396"/>
      <c r="B6" s="396"/>
      <c r="C6" s="396"/>
      <c r="D6" s="396"/>
      <c r="E6" s="396"/>
      <c r="F6" s="396"/>
      <c r="G6" s="396"/>
      <c r="H6" s="396"/>
      <c r="I6" s="651" t="s">
        <v>371</v>
      </c>
      <c r="J6" s="651"/>
      <c r="K6" s="651"/>
    </row>
    <row r="7" spans="1:11" ht="18.75" customHeight="1">
      <c r="A7" s="396"/>
      <c r="B7" s="396"/>
      <c r="C7" s="396"/>
      <c r="D7" s="396"/>
      <c r="E7" s="396"/>
      <c r="F7" s="396"/>
      <c r="G7" s="396"/>
      <c r="H7" s="396"/>
      <c r="I7" s="653" t="s">
        <v>372</v>
      </c>
      <c r="J7" s="653"/>
      <c r="K7" s="653"/>
    </row>
    <row r="8" spans="1:11" ht="18.75">
      <c r="A8" s="396"/>
      <c r="B8" s="396"/>
      <c r="C8" s="396"/>
      <c r="D8" s="396"/>
      <c r="E8" s="396"/>
      <c r="F8" s="396"/>
      <c r="G8" s="396"/>
      <c r="H8" s="396"/>
      <c r="I8" s="73" t="s">
        <v>403</v>
      </c>
      <c r="J8" s="73"/>
      <c r="K8" s="73"/>
    </row>
    <row r="9" spans="1:11" ht="18.75">
      <c r="A9" s="396"/>
      <c r="B9" s="396"/>
      <c r="C9" s="396"/>
      <c r="D9" s="396"/>
      <c r="E9" s="396"/>
      <c r="F9" s="396"/>
      <c r="G9" s="396"/>
      <c r="H9" s="396"/>
      <c r="I9" s="396"/>
      <c r="J9" s="396"/>
      <c r="K9" s="396"/>
    </row>
    <row r="10" spans="1:11" ht="18.75">
      <c r="A10" s="396"/>
      <c r="B10" s="537" t="s">
        <v>374</v>
      </c>
      <c r="C10" s="537"/>
      <c r="D10" s="537"/>
      <c r="E10" s="537"/>
      <c r="F10" s="537"/>
      <c r="G10" s="537"/>
      <c r="H10" s="537"/>
      <c r="I10" s="537"/>
      <c r="J10" s="537"/>
      <c r="K10" s="537"/>
    </row>
    <row r="11" spans="1:11" ht="18.75">
      <c r="A11" s="396"/>
      <c r="B11" s="396"/>
      <c r="C11" s="396"/>
      <c r="D11" s="652"/>
      <c r="E11" s="652"/>
      <c r="F11" s="652"/>
      <c r="G11" s="652"/>
      <c r="H11" s="652"/>
      <c r="I11" s="396"/>
      <c r="J11" s="396"/>
      <c r="K11" s="396"/>
    </row>
    <row r="12" spans="1:11" ht="18.75">
      <c r="A12" s="534" t="s">
        <v>33</v>
      </c>
      <c r="B12" s="534" t="s">
        <v>12</v>
      </c>
      <c r="C12" s="534" t="s">
        <v>13</v>
      </c>
      <c r="D12" s="534" t="s">
        <v>14</v>
      </c>
      <c r="E12" s="543" t="s">
        <v>9</v>
      </c>
      <c r="F12" s="543"/>
      <c r="G12" s="543"/>
      <c r="H12" s="543"/>
      <c r="I12" s="543"/>
      <c r="J12" s="598"/>
      <c r="K12" s="539" t="s">
        <v>15</v>
      </c>
    </row>
    <row r="13" spans="1:11" ht="12.75">
      <c r="A13" s="535"/>
      <c r="B13" s="535"/>
      <c r="C13" s="535"/>
      <c r="D13" s="535"/>
      <c r="E13" s="534" t="s">
        <v>375</v>
      </c>
      <c r="F13" s="534" t="s">
        <v>376</v>
      </c>
      <c r="G13" s="534" t="s">
        <v>28</v>
      </c>
      <c r="H13" s="534" t="s">
        <v>29</v>
      </c>
      <c r="I13" s="534" t="s">
        <v>30</v>
      </c>
      <c r="J13" s="539" t="s">
        <v>377</v>
      </c>
      <c r="K13" s="539"/>
    </row>
    <row r="14" spans="1:11" ht="39" customHeight="1">
      <c r="A14" s="536"/>
      <c r="B14" s="536"/>
      <c r="C14" s="536"/>
      <c r="D14" s="536"/>
      <c r="E14" s="536"/>
      <c r="F14" s="536"/>
      <c r="G14" s="536"/>
      <c r="H14" s="536"/>
      <c r="I14" s="536"/>
      <c r="J14" s="539"/>
      <c r="K14" s="539"/>
    </row>
    <row r="15" spans="1:11" ht="70.5" customHeight="1">
      <c r="A15" s="36">
        <v>1</v>
      </c>
      <c r="B15" s="61" t="s">
        <v>378</v>
      </c>
      <c r="C15" s="36" t="s">
        <v>16</v>
      </c>
      <c r="D15" s="62">
        <f>SUM(E15:J15)</f>
        <v>0</v>
      </c>
      <c r="E15" s="63">
        <f>490.67-490.67</f>
        <v>0</v>
      </c>
      <c r="F15" s="109"/>
      <c r="G15" s="108"/>
      <c r="H15" s="108"/>
      <c r="I15" s="108"/>
      <c r="J15" s="108"/>
      <c r="K15" s="36" t="s">
        <v>379</v>
      </c>
    </row>
    <row r="16" spans="1:11" ht="69.75" customHeight="1" hidden="1">
      <c r="A16" s="36">
        <v>2</v>
      </c>
      <c r="B16" s="61" t="s">
        <v>59</v>
      </c>
      <c r="C16" s="36" t="s">
        <v>16</v>
      </c>
      <c r="D16" s="107">
        <f>SUM(E16:J16)</f>
        <v>0</v>
      </c>
      <c r="E16" s="109">
        <v>0</v>
      </c>
      <c r="F16" s="108"/>
      <c r="G16" s="108"/>
      <c r="H16" s="108"/>
      <c r="I16" s="108"/>
      <c r="J16" s="108"/>
      <c r="K16" s="36" t="s">
        <v>51</v>
      </c>
    </row>
    <row r="17" spans="1:11" ht="74.25" customHeight="1" hidden="1">
      <c r="A17" s="36">
        <v>3</v>
      </c>
      <c r="B17" s="110" t="s">
        <v>60</v>
      </c>
      <c r="C17" s="111" t="s">
        <v>16</v>
      </c>
      <c r="D17" s="107">
        <f>SUM(E17:J17)</f>
        <v>0</v>
      </c>
      <c r="E17" s="112">
        <v>0</v>
      </c>
      <c r="F17" s="108"/>
      <c r="G17" s="108"/>
      <c r="H17" s="108"/>
      <c r="I17" s="108"/>
      <c r="J17" s="108"/>
      <c r="K17" s="36" t="s">
        <v>380</v>
      </c>
    </row>
    <row r="18" spans="1:11" ht="18.75">
      <c r="A18" s="397"/>
      <c r="B18" s="60" t="s">
        <v>5</v>
      </c>
      <c r="C18" s="71"/>
      <c r="D18" s="107">
        <f>D15</f>
        <v>0</v>
      </c>
      <c r="E18" s="152">
        <f aca="true" t="shared" si="0" ref="E18:J18">E15</f>
        <v>0</v>
      </c>
      <c r="F18" s="107">
        <f t="shared" si="0"/>
        <v>0</v>
      </c>
      <c r="G18" s="107">
        <f t="shared" si="0"/>
        <v>0</v>
      </c>
      <c r="H18" s="107">
        <f t="shared" si="0"/>
        <v>0</v>
      </c>
      <c r="I18" s="107">
        <f t="shared" si="0"/>
        <v>0</v>
      </c>
      <c r="J18" s="107">
        <f t="shared" si="0"/>
        <v>0</v>
      </c>
      <c r="K18" s="72"/>
    </row>
    <row r="19" spans="1:11" ht="18.75">
      <c r="A19" s="396"/>
      <c r="B19" s="52"/>
      <c r="C19" s="52"/>
      <c r="D19" s="398"/>
      <c r="E19" s="398"/>
      <c r="F19" s="398"/>
      <c r="G19" s="398"/>
      <c r="H19" s="398"/>
      <c r="I19" s="398"/>
      <c r="J19" s="398"/>
      <c r="K19" s="399"/>
    </row>
    <row r="20" spans="2:11" ht="18.75">
      <c r="B20" s="560" t="s">
        <v>18</v>
      </c>
      <c r="C20" s="560"/>
      <c r="D20" s="423"/>
      <c r="E20" s="8"/>
      <c r="F20" s="8"/>
      <c r="G20" s="9"/>
      <c r="H20" s="9"/>
      <c r="I20" s="9"/>
      <c r="J20" s="48"/>
      <c r="K20" s="48" t="s">
        <v>31</v>
      </c>
    </row>
    <row r="21" spans="2:11" ht="12.75" customHeight="1">
      <c r="B21" s="423"/>
      <c r="C21" s="423"/>
      <c r="D21" s="423"/>
      <c r="E21" s="8"/>
      <c r="F21" s="8"/>
      <c r="G21" s="9"/>
      <c r="H21" s="9"/>
      <c r="I21" s="9"/>
      <c r="J21" s="48"/>
      <c r="K21" s="48"/>
    </row>
    <row r="22" spans="2:11" ht="18.75" customHeight="1" hidden="1">
      <c r="B22" s="423"/>
      <c r="C22" s="423"/>
      <c r="D22" s="423"/>
      <c r="E22" s="8"/>
      <c r="F22" s="8"/>
      <c r="G22" s="9"/>
      <c r="H22" s="9"/>
      <c r="I22" s="9"/>
      <c r="J22" s="48"/>
      <c r="K22" s="48"/>
    </row>
    <row r="23" spans="2:11" ht="18.75" customHeight="1" hidden="1">
      <c r="B23" s="423"/>
      <c r="C23" s="423"/>
      <c r="D23" s="423"/>
      <c r="E23" s="8"/>
      <c r="F23" s="8"/>
      <c r="G23" s="9"/>
      <c r="H23" s="9"/>
      <c r="I23" s="9"/>
      <c r="J23" s="48"/>
      <c r="K23" s="48"/>
    </row>
    <row r="24" spans="2:11" ht="23.25" customHeight="1" hidden="1">
      <c r="B24" s="423"/>
      <c r="C24" s="423"/>
      <c r="D24" s="423"/>
      <c r="E24" s="8"/>
      <c r="F24" s="8"/>
      <c r="G24" s="9"/>
      <c r="H24" s="9"/>
      <c r="I24" s="9"/>
      <c r="J24" s="48"/>
      <c r="K24" s="48"/>
    </row>
    <row r="25" spans="2:11" ht="18.75">
      <c r="B25" s="423"/>
      <c r="C25" s="423"/>
      <c r="D25" s="423"/>
      <c r="E25" s="8"/>
      <c r="F25" s="8"/>
      <c r="G25" s="9"/>
      <c r="H25" s="9"/>
      <c r="I25" s="9"/>
      <c r="J25" s="48"/>
      <c r="K25" s="48"/>
    </row>
    <row r="26" spans="2:11" ht="18.75">
      <c r="B26" s="596" t="s">
        <v>17</v>
      </c>
      <c r="C26" s="596"/>
      <c r="D26" s="49"/>
      <c r="E26" s="7"/>
      <c r="F26" s="7"/>
      <c r="G26" s="7"/>
      <c r="H26" s="7"/>
      <c r="I26" s="7"/>
      <c r="J26" s="1"/>
      <c r="K26" s="1"/>
    </row>
    <row r="27" spans="2:11" ht="15.75">
      <c r="B27" s="183" t="s">
        <v>10</v>
      </c>
      <c r="C27" s="183"/>
      <c r="D27" s="7"/>
      <c r="E27" s="7"/>
      <c r="F27" s="7"/>
      <c r="G27" s="7"/>
      <c r="H27" s="7"/>
      <c r="I27" s="7"/>
      <c r="J27" s="1"/>
      <c r="K27" s="1"/>
    </row>
    <row r="28" spans="2:11" ht="15.75">
      <c r="B28" s="43"/>
      <c r="C28" s="10"/>
      <c r="D28" s="44"/>
      <c r="E28" s="7"/>
      <c r="F28" s="7"/>
      <c r="G28" s="7"/>
      <c r="H28" s="7"/>
      <c r="I28" s="7"/>
      <c r="J28" s="1"/>
      <c r="K28" s="1"/>
    </row>
    <row r="29" spans="3:10" ht="15.75">
      <c r="C29" s="44"/>
      <c r="D29" s="7"/>
      <c r="E29" s="7"/>
      <c r="F29" s="7"/>
      <c r="G29" s="7"/>
      <c r="H29" s="7"/>
      <c r="I29" s="7"/>
      <c r="J29" s="7"/>
    </row>
  </sheetData>
  <sheetProtection/>
  <mergeCells count="23">
    <mergeCell ref="B20:C20"/>
    <mergeCell ref="B26:C26"/>
    <mergeCell ref="A12:A14"/>
    <mergeCell ref="B12:B14"/>
    <mergeCell ref="C12:C14"/>
    <mergeCell ref="D12:D14"/>
    <mergeCell ref="J13:J14"/>
    <mergeCell ref="I13:I14"/>
    <mergeCell ref="K12:K14"/>
    <mergeCell ref="I4:K4"/>
    <mergeCell ref="I5:K5"/>
    <mergeCell ref="I6:K6"/>
    <mergeCell ref="I7:K7"/>
    <mergeCell ref="I1:K1"/>
    <mergeCell ref="I2:K2"/>
    <mergeCell ref="I3:K3"/>
    <mergeCell ref="F13:F14"/>
    <mergeCell ref="B10:K10"/>
    <mergeCell ref="D11:H11"/>
    <mergeCell ref="E13:E14"/>
    <mergeCell ref="G13:G14"/>
    <mergeCell ref="H13:H14"/>
    <mergeCell ref="E12:J12"/>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71" r:id="rId1"/>
</worksheet>
</file>

<file path=xl/worksheets/sheet25.xml><?xml version="1.0" encoding="utf-8"?>
<worksheet xmlns="http://schemas.openxmlformats.org/spreadsheetml/2006/main" xmlns:r="http://schemas.openxmlformats.org/officeDocument/2006/relationships">
  <dimension ref="A1:K24"/>
  <sheetViews>
    <sheetView zoomScalePageLayoutView="0" workbookViewId="0" topLeftCell="A6">
      <selection activeCell="B10" sqref="B10:K10"/>
    </sheetView>
  </sheetViews>
  <sheetFormatPr defaultColWidth="9.140625" defaultRowHeight="12.75"/>
  <cols>
    <col min="2" max="2" width="32.140625" style="0" customWidth="1"/>
    <col min="3" max="3" width="20.140625" style="0" customWidth="1"/>
    <col min="4" max="4" width="17.28125" style="0" customWidth="1"/>
    <col min="5" max="5" width="17.57421875" style="0" customWidth="1"/>
    <col min="11" max="11" width="46.421875" style="0" customWidth="1"/>
  </cols>
  <sheetData>
    <row r="1" spans="1:11" ht="18.75">
      <c r="A1" s="396"/>
      <c r="B1" s="396"/>
      <c r="C1" s="396"/>
      <c r="D1" s="396"/>
      <c r="E1" s="396"/>
      <c r="F1" s="396"/>
      <c r="G1" s="396"/>
      <c r="H1" s="396"/>
      <c r="I1" s="261" t="s">
        <v>19</v>
      </c>
      <c r="J1" s="650" t="s">
        <v>381</v>
      </c>
      <c r="K1" s="650"/>
    </row>
    <row r="2" spans="1:11" ht="18.75">
      <c r="A2" s="396"/>
      <c r="B2" s="396"/>
      <c r="C2" s="396"/>
      <c r="D2" s="396"/>
      <c r="E2" s="396"/>
      <c r="F2" s="396"/>
      <c r="G2" s="396"/>
      <c r="H2" s="396"/>
      <c r="I2" s="261"/>
      <c r="J2" s="201" t="s">
        <v>11</v>
      </c>
      <c r="K2" s="367"/>
    </row>
    <row r="3" spans="1:11" ht="18.75">
      <c r="A3" s="396"/>
      <c r="B3" s="396"/>
      <c r="C3" s="396"/>
      <c r="D3" s="396"/>
      <c r="E3" s="396"/>
      <c r="F3" s="396"/>
      <c r="G3" s="396"/>
      <c r="H3" s="396"/>
      <c r="I3" s="59" t="s">
        <v>11</v>
      </c>
      <c r="J3" s="651" t="s">
        <v>370</v>
      </c>
      <c r="K3" s="651"/>
    </row>
    <row r="4" spans="1:11" ht="18.75">
      <c r="A4" s="396"/>
      <c r="B4" s="396"/>
      <c r="C4" s="396"/>
      <c r="D4" s="396"/>
      <c r="E4" s="396"/>
      <c r="F4" s="396"/>
      <c r="G4" s="396"/>
      <c r="H4" s="396"/>
      <c r="I4" s="59" t="s">
        <v>20</v>
      </c>
      <c r="J4" s="651" t="s">
        <v>34</v>
      </c>
      <c r="K4" s="651"/>
    </row>
    <row r="5" spans="1:11" ht="18.75">
      <c r="A5" s="396"/>
      <c r="B5" s="396"/>
      <c r="C5" s="396"/>
      <c r="D5" s="396"/>
      <c r="E5" s="396"/>
      <c r="F5" s="396"/>
      <c r="G5" s="396"/>
      <c r="H5" s="396"/>
      <c r="I5" s="59" t="s">
        <v>21</v>
      </c>
      <c r="J5" s="651" t="s">
        <v>8</v>
      </c>
      <c r="K5" s="651"/>
    </row>
    <row r="6" spans="1:11" ht="18.75">
      <c r="A6" s="396"/>
      <c r="B6" s="396"/>
      <c r="C6" s="396"/>
      <c r="D6" s="396"/>
      <c r="E6" s="396"/>
      <c r="F6" s="396"/>
      <c r="G6" s="396"/>
      <c r="H6" s="396"/>
      <c r="I6" s="59" t="s">
        <v>23</v>
      </c>
      <c r="J6" s="651" t="s">
        <v>371</v>
      </c>
      <c r="K6" s="651"/>
    </row>
    <row r="7" spans="1:11" ht="18.75">
      <c r="A7" s="396"/>
      <c r="B7" s="396"/>
      <c r="C7" s="396"/>
      <c r="D7" s="396"/>
      <c r="E7" s="396"/>
      <c r="F7" s="396"/>
      <c r="G7" s="396"/>
      <c r="H7" s="396"/>
      <c r="I7" s="59" t="s">
        <v>25</v>
      </c>
      <c r="J7" s="653" t="s">
        <v>372</v>
      </c>
      <c r="K7" s="651"/>
    </row>
    <row r="8" spans="1:11" ht="18.75">
      <c r="A8" s="396"/>
      <c r="B8" s="396"/>
      <c r="C8" s="396"/>
      <c r="D8" s="396"/>
      <c r="E8" s="396"/>
      <c r="F8" s="396"/>
      <c r="G8" s="396"/>
      <c r="H8" s="396"/>
      <c r="I8" s="59" t="s">
        <v>26</v>
      </c>
      <c r="J8" s="396" t="s">
        <v>373</v>
      </c>
      <c r="K8" s="59"/>
    </row>
    <row r="9" spans="1:11" ht="18.75">
      <c r="A9" s="396"/>
      <c r="B9" s="396"/>
      <c r="C9" s="396"/>
      <c r="D9" s="396"/>
      <c r="E9" s="396"/>
      <c r="F9" s="396"/>
      <c r="G9" s="396"/>
      <c r="H9" s="396"/>
      <c r="I9" s="396"/>
      <c r="J9" s="396"/>
      <c r="K9" s="396"/>
    </row>
    <row r="10" spans="1:11" ht="18.75">
      <c r="A10" s="396"/>
      <c r="B10" s="537" t="s">
        <v>382</v>
      </c>
      <c r="C10" s="537"/>
      <c r="D10" s="537"/>
      <c r="E10" s="537"/>
      <c r="F10" s="537"/>
      <c r="G10" s="537"/>
      <c r="H10" s="537"/>
      <c r="I10" s="537"/>
      <c r="J10" s="537"/>
      <c r="K10" s="537"/>
    </row>
    <row r="11" spans="1:11" ht="18.75">
      <c r="A11" s="396"/>
      <c r="B11" s="396"/>
      <c r="C11" s="396"/>
      <c r="D11" s="652"/>
      <c r="E11" s="652"/>
      <c r="F11" s="652"/>
      <c r="G11" s="652"/>
      <c r="H11" s="652"/>
      <c r="I11" s="396"/>
      <c r="J11" s="396"/>
      <c r="K11" s="396"/>
    </row>
    <row r="12" spans="1:11" ht="18.75">
      <c r="A12" s="534" t="s">
        <v>33</v>
      </c>
      <c r="B12" s="534" t="s">
        <v>12</v>
      </c>
      <c r="C12" s="534" t="s">
        <v>13</v>
      </c>
      <c r="D12" s="534" t="s">
        <v>14</v>
      </c>
      <c r="E12" s="543" t="s">
        <v>9</v>
      </c>
      <c r="F12" s="543"/>
      <c r="G12" s="543"/>
      <c r="H12" s="543"/>
      <c r="I12" s="543"/>
      <c r="J12" s="598"/>
      <c r="K12" s="539" t="s">
        <v>15</v>
      </c>
    </row>
    <row r="13" spans="1:11" ht="12.75">
      <c r="A13" s="535"/>
      <c r="B13" s="535"/>
      <c r="C13" s="535"/>
      <c r="D13" s="535"/>
      <c r="E13" s="534" t="s">
        <v>375</v>
      </c>
      <c r="F13" s="534" t="s">
        <v>376</v>
      </c>
      <c r="G13" s="534" t="s">
        <v>28</v>
      </c>
      <c r="H13" s="534" t="s">
        <v>29</v>
      </c>
      <c r="I13" s="534" t="s">
        <v>30</v>
      </c>
      <c r="J13" s="539" t="s">
        <v>377</v>
      </c>
      <c r="K13" s="539"/>
    </row>
    <row r="14" spans="1:11" ht="37.5" customHeight="1">
      <c r="A14" s="536"/>
      <c r="B14" s="536"/>
      <c r="C14" s="536"/>
      <c r="D14" s="536"/>
      <c r="E14" s="536"/>
      <c r="F14" s="536"/>
      <c r="G14" s="536"/>
      <c r="H14" s="536"/>
      <c r="I14" s="536"/>
      <c r="J14" s="539"/>
      <c r="K14" s="539"/>
    </row>
    <row r="15" spans="1:11" ht="66.75" customHeight="1">
      <c r="A15" s="36">
        <v>1</v>
      </c>
      <c r="B15" s="61" t="s">
        <v>383</v>
      </c>
      <c r="C15" s="36" t="s">
        <v>16</v>
      </c>
      <c r="D15" s="62">
        <f>SUM(E15:J15)</f>
        <v>2178</v>
      </c>
      <c r="E15" s="63">
        <v>2178</v>
      </c>
      <c r="F15" s="109"/>
      <c r="G15" s="108"/>
      <c r="H15" s="108"/>
      <c r="I15" s="108"/>
      <c r="J15" s="108"/>
      <c r="K15" s="36" t="s">
        <v>379</v>
      </c>
    </row>
    <row r="16" spans="1:11" ht="66.75" customHeight="1" hidden="1">
      <c r="A16" s="36">
        <v>2</v>
      </c>
      <c r="B16" s="61" t="s">
        <v>59</v>
      </c>
      <c r="C16" s="36" t="s">
        <v>16</v>
      </c>
      <c r="D16" s="107">
        <f>SUM(E16:J16)</f>
        <v>0</v>
      </c>
      <c r="E16" s="109">
        <v>0</v>
      </c>
      <c r="F16" s="108"/>
      <c r="G16" s="108"/>
      <c r="H16" s="108"/>
      <c r="I16" s="108"/>
      <c r="J16" s="108"/>
      <c r="K16" s="36" t="s">
        <v>51</v>
      </c>
    </row>
    <row r="17" spans="1:11" ht="66.75" customHeight="1" hidden="1">
      <c r="A17" s="36">
        <v>3</v>
      </c>
      <c r="B17" s="110" t="s">
        <v>60</v>
      </c>
      <c r="C17" s="111" t="s">
        <v>16</v>
      </c>
      <c r="D17" s="107">
        <f>SUM(E17:J17)</f>
        <v>0</v>
      </c>
      <c r="E17" s="112">
        <v>0</v>
      </c>
      <c r="F17" s="108"/>
      <c r="G17" s="108"/>
      <c r="H17" s="108"/>
      <c r="I17" s="108"/>
      <c r="J17" s="108"/>
      <c r="K17" s="36" t="s">
        <v>380</v>
      </c>
    </row>
    <row r="18" spans="1:11" ht="66.75" customHeight="1">
      <c r="A18" s="397"/>
      <c r="B18" s="60" t="s">
        <v>5</v>
      </c>
      <c r="C18" s="71"/>
      <c r="D18" s="107">
        <f>D15</f>
        <v>2178</v>
      </c>
      <c r="E18" s="152">
        <f aca="true" t="shared" si="0" ref="E18:J18">E15</f>
        <v>2178</v>
      </c>
      <c r="F18" s="107">
        <f t="shared" si="0"/>
        <v>0</v>
      </c>
      <c r="G18" s="107">
        <f t="shared" si="0"/>
        <v>0</v>
      </c>
      <c r="H18" s="107">
        <f t="shared" si="0"/>
        <v>0</v>
      </c>
      <c r="I18" s="107">
        <f t="shared" si="0"/>
        <v>0</v>
      </c>
      <c r="J18" s="107">
        <f t="shared" si="0"/>
        <v>0</v>
      </c>
      <c r="K18" s="72"/>
    </row>
    <row r="19" spans="1:11" ht="15.75">
      <c r="A19" s="14"/>
      <c r="B19" s="18"/>
      <c r="C19" s="18"/>
      <c r="D19" s="19"/>
      <c r="E19" s="19"/>
      <c r="F19" s="19"/>
      <c r="G19" s="19"/>
      <c r="H19" s="19"/>
      <c r="I19" s="19"/>
      <c r="J19" s="19"/>
      <c r="K19" s="20"/>
    </row>
    <row r="20" spans="1:11" ht="15.75">
      <c r="A20" s="14"/>
      <c r="B20" s="18"/>
      <c r="C20" s="18"/>
      <c r="D20" s="19"/>
      <c r="E20" s="19"/>
      <c r="F20" s="19"/>
      <c r="G20" s="19"/>
      <c r="H20" s="19"/>
      <c r="I20" s="19"/>
      <c r="J20" s="19"/>
      <c r="K20" s="20"/>
    </row>
    <row r="21" spans="1:11" ht="15.75">
      <c r="A21" s="14"/>
      <c r="B21" s="18"/>
      <c r="C21" s="18"/>
      <c r="D21" s="19"/>
      <c r="E21" s="19"/>
      <c r="F21" s="19"/>
      <c r="G21" s="19"/>
      <c r="H21" s="19"/>
      <c r="I21" s="19"/>
      <c r="J21" s="19"/>
      <c r="K21" s="20"/>
    </row>
    <row r="22" spans="1:11" ht="15.75">
      <c r="A22" s="14"/>
      <c r="B22" s="18"/>
      <c r="C22" s="18"/>
      <c r="D22" s="19"/>
      <c r="E22" s="19"/>
      <c r="F22" s="19"/>
      <c r="G22" s="19"/>
      <c r="H22" s="19"/>
      <c r="I22" s="19"/>
      <c r="J22" s="19"/>
      <c r="K22" s="20"/>
    </row>
    <row r="23" spans="1:11" ht="18.75">
      <c r="A23" s="14"/>
      <c r="B23" s="52"/>
      <c r="C23" s="53"/>
      <c r="D23" s="14"/>
      <c r="E23" s="19"/>
      <c r="F23" s="19"/>
      <c r="G23" s="19"/>
      <c r="H23" s="19"/>
      <c r="I23" s="19"/>
      <c r="J23" s="19"/>
      <c r="K23" s="53"/>
    </row>
    <row r="24" spans="1:11" ht="23.25">
      <c r="A24" s="14"/>
      <c r="B24" s="654" t="s">
        <v>18</v>
      </c>
      <c r="C24" s="654"/>
      <c r="D24" s="373"/>
      <c r="E24" s="374"/>
      <c r="F24" s="374"/>
      <c r="G24" s="375"/>
      <c r="H24" s="375"/>
      <c r="I24" s="375"/>
      <c r="J24" s="400"/>
      <c r="K24" s="400" t="s">
        <v>7</v>
      </c>
    </row>
  </sheetData>
  <sheetProtection/>
  <mergeCells count="21">
    <mergeCell ref="A12:A14"/>
    <mergeCell ref="B12:B14"/>
    <mergeCell ref="C12:C14"/>
    <mergeCell ref="D12:D14"/>
    <mergeCell ref="E12:J12"/>
    <mergeCell ref="J13:J14"/>
    <mergeCell ref="F13:F14"/>
    <mergeCell ref="B24:C24"/>
    <mergeCell ref="B10:K10"/>
    <mergeCell ref="D11:H11"/>
    <mergeCell ref="J7:K7"/>
    <mergeCell ref="E13:E14"/>
    <mergeCell ref="G13:G14"/>
    <mergeCell ref="H13:H14"/>
    <mergeCell ref="J1:K1"/>
    <mergeCell ref="J3:K3"/>
    <mergeCell ref="J4:K4"/>
    <mergeCell ref="J5:K5"/>
    <mergeCell ref="J6:K6"/>
    <mergeCell ref="I13:I14"/>
    <mergeCell ref="K12:K14"/>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FFFF00"/>
    <pageSetUpPr fitToPage="1"/>
  </sheetPr>
  <dimension ref="A1:K25"/>
  <sheetViews>
    <sheetView zoomScalePageLayoutView="0" workbookViewId="0" topLeftCell="A1">
      <selection activeCell="A1" sqref="A1:K25"/>
    </sheetView>
  </sheetViews>
  <sheetFormatPr defaultColWidth="9.140625" defaultRowHeight="12.75"/>
  <cols>
    <col min="1" max="1" width="6.7109375" style="0" customWidth="1"/>
    <col min="2" max="2" width="50.421875" style="0" customWidth="1"/>
    <col min="3" max="3" width="18.00390625" style="0" customWidth="1"/>
    <col min="4" max="4" width="12.00390625" style="0" customWidth="1"/>
    <col min="5" max="5" width="11.140625" style="0" customWidth="1"/>
    <col min="6" max="6" width="10.8515625" style="0" customWidth="1"/>
    <col min="7" max="9" width="0" style="0" hidden="1" customWidth="1"/>
    <col min="10" max="10" width="10.00390625" style="0" customWidth="1"/>
    <col min="11" max="11" width="53.7109375" style="0" customWidth="1"/>
  </cols>
  <sheetData>
    <row r="1" spans="1:11" ht="15" customHeight="1">
      <c r="A1" s="396"/>
      <c r="B1" s="396"/>
      <c r="C1" s="396"/>
      <c r="D1" s="396"/>
      <c r="E1" s="396"/>
      <c r="F1" s="396"/>
      <c r="G1" s="396"/>
      <c r="H1" s="396"/>
      <c r="I1" s="261" t="s">
        <v>19</v>
      </c>
      <c r="J1" s="650" t="s">
        <v>580</v>
      </c>
      <c r="K1" s="650"/>
    </row>
    <row r="2" spans="1:11" ht="17.25" customHeight="1">
      <c r="A2" s="396"/>
      <c r="B2" s="396"/>
      <c r="C2" s="396"/>
      <c r="D2" s="396"/>
      <c r="E2" s="396"/>
      <c r="F2" s="396"/>
      <c r="G2" s="396"/>
      <c r="H2" s="396"/>
      <c r="I2" s="261"/>
      <c r="J2" s="201" t="s">
        <v>11</v>
      </c>
      <c r="K2" s="367"/>
    </row>
    <row r="3" spans="1:11" ht="18.75">
      <c r="A3" s="396"/>
      <c r="B3" s="396"/>
      <c r="C3" s="396"/>
      <c r="D3" s="396"/>
      <c r="E3" s="396"/>
      <c r="F3" s="396"/>
      <c r="G3" s="396"/>
      <c r="H3" s="396"/>
      <c r="I3" s="59" t="s">
        <v>11</v>
      </c>
      <c r="J3" s="651" t="s">
        <v>172</v>
      </c>
      <c r="K3" s="651"/>
    </row>
    <row r="4" spans="1:11" ht="18.75">
      <c r="A4" s="396"/>
      <c r="B4" s="396"/>
      <c r="C4" s="396"/>
      <c r="D4" s="396"/>
      <c r="E4" s="396"/>
      <c r="F4" s="396"/>
      <c r="G4" s="396"/>
      <c r="H4" s="396"/>
      <c r="I4" s="59" t="s">
        <v>20</v>
      </c>
      <c r="J4" s="651" t="s">
        <v>34</v>
      </c>
      <c r="K4" s="651"/>
    </row>
    <row r="5" spans="1:11" ht="18.75">
      <c r="A5" s="396"/>
      <c r="B5" s="396"/>
      <c r="C5" s="396"/>
      <c r="D5" s="396"/>
      <c r="E5" s="396"/>
      <c r="F5" s="396"/>
      <c r="G5" s="396"/>
      <c r="H5" s="396"/>
      <c r="I5" s="59" t="s">
        <v>21</v>
      </c>
      <c r="J5" s="651" t="s">
        <v>8</v>
      </c>
      <c r="K5" s="651"/>
    </row>
    <row r="6" spans="1:11" ht="18.75">
      <c r="A6" s="396"/>
      <c r="B6" s="396"/>
      <c r="C6" s="396"/>
      <c r="D6" s="396"/>
      <c r="E6" s="396"/>
      <c r="F6" s="396"/>
      <c r="G6" s="396"/>
      <c r="H6" s="396"/>
      <c r="I6" s="59" t="s">
        <v>23</v>
      </c>
      <c r="J6" s="651" t="s">
        <v>442</v>
      </c>
      <c r="K6" s="651"/>
    </row>
    <row r="7" spans="1:11" ht="18" customHeight="1">
      <c r="A7" s="396"/>
      <c r="B7" s="396"/>
      <c r="C7" s="396"/>
      <c r="D7" s="396"/>
      <c r="E7" s="396"/>
      <c r="F7" s="396"/>
      <c r="G7" s="396"/>
      <c r="H7" s="396"/>
      <c r="I7" s="59" t="s">
        <v>25</v>
      </c>
      <c r="J7" s="653" t="s">
        <v>616</v>
      </c>
      <c r="K7" s="651"/>
    </row>
    <row r="8" spans="1:11" ht="18.75">
      <c r="A8" s="396"/>
      <c r="B8" s="396"/>
      <c r="C8" s="396"/>
      <c r="D8" s="396"/>
      <c r="E8" s="396"/>
      <c r="F8" s="396"/>
      <c r="G8" s="396"/>
      <c r="H8" s="396"/>
      <c r="I8" s="59" t="s">
        <v>26</v>
      </c>
      <c r="J8" s="396" t="s">
        <v>629</v>
      </c>
      <c r="K8" s="59"/>
    </row>
    <row r="9" spans="1:11" ht="18.75">
      <c r="A9" s="396"/>
      <c r="B9" s="396"/>
      <c r="C9" s="396"/>
      <c r="D9" s="396"/>
      <c r="E9" s="396"/>
      <c r="F9" s="396"/>
      <c r="G9" s="396"/>
      <c r="H9" s="396"/>
      <c r="I9" s="396"/>
      <c r="J9" s="396"/>
      <c r="K9" s="396"/>
    </row>
    <row r="10" spans="1:11" ht="18.75">
      <c r="A10" s="396"/>
      <c r="B10" s="537" t="s">
        <v>557</v>
      </c>
      <c r="C10" s="537"/>
      <c r="D10" s="537"/>
      <c r="E10" s="537"/>
      <c r="F10" s="537"/>
      <c r="G10" s="537"/>
      <c r="H10" s="537"/>
      <c r="I10" s="537"/>
      <c r="J10" s="537"/>
      <c r="K10" s="537"/>
    </row>
    <row r="11" spans="1:11" ht="18.75">
      <c r="A11" s="396"/>
      <c r="B11" s="396"/>
      <c r="C11" s="396"/>
      <c r="D11" s="652"/>
      <c r="E11" s="652"/>
      <c r="F11" s="652"/>
      <c r="G11" s="652"/>
      <c r="H11" s="652"/>
      <c r="I11" s="396"/>
      <c r="J11" s="396"/>
      <c r="K11" s="396"/>
    </row>
    <row r="12" spans="1:11" ht="18.75">
      <c r="A12" s="534" t="s">
        <v>33</v>
      </c>
      <c r="B12" s="534" t="s">
        <v>12</v>
      </c>
      <c r="C12" s="534" t="s">
        <v>13</v>
      </c>
      <c r="D12" s="534" t="s">
        <v>505</v>
      </c>
      <c r="E12" s="543" t="s">
        <v>9</v>
      </c>
      <c r="F12" s="543"/>
      <c r="G12" s="543"/>
      <c r="H12" s="543"/>
      <c r="I12" s="543"/>
      <c r="J12" s="598"/>
      <c r="K12" s="539" t="s">
        <v>15</v>
      </c>
    </row>
    <row r="13" spans="1:11" ht="12.75">
      <c r="A13" s="535"/>
      <c r="B13" s="535"/>
      <c r="C13" s="535"/>
      <c r="D13" s="535"/>
      <c r="E13" s="580" t="s">
        <v>535</v>
      </c>
      <c r="F13" s="580" t="s">
        <v>540</v>
      </c>
      <c r="G13" s="580" t="s">
        <v>28</v>
      </c>
      <c r="H13" s="580" t="s">
        <v>29</v>
      </c>
      <c r="I13" s="580" t="s">
        <v>30</v>
      </c>
      <c r="J13" s="583" t="s">
        <v>508</v>
      </c>
      <c r="K13" s="539"/>
    </row>
    <row r="14" spans="1:11" ht="18.75" customHeight="1">
      <c r="A14" s="536"/>
      <c r="B14" s="536"/>
      <c r="C14" s="536"/>
      <c r="D14" s="536"/>
      <c r="E14" s="582"/>
      <c r="F14" s="582"/>
      <c r="G14" s="582"/>
      <c r="H14" s="582"/>
      <c r="I14" s="582"/>
      <c r="J14" s="583"/>
      <c r="K14" s="539"/>
    </row>
    <row r="15" spans="1:11" ht="75">
      <c r="A15" s="36">
        <v>1</v>
      </c>
      <c r="B15" s="61" t="s">
        <v>383</v>
      </c>
      <c r="C15" s="36" t="s">
        <v>16</v>
      </c>
      <c r="D15" s="445">
        <f>SUM(E15:J15)</f>
        <v>3384.58</v>
      </c>
      <c r="E15" s="446">
        <f>2178+70+27.98</f>
        <v>2275.98</v>
      </c>
      <c r="F15" s="109">
        <v>1108.6</v>
      </c>
      <c r="G15" s="108"/>
      <c r="H15" s="108"/>
      <c r="I15" s="108"/>
      <c r="J15" s="108"/>
      <c r="K15" s="36" t="s">
        <v>379</v>
      </c>
    </row>
    <row r="16" spans="1:11" ht="18.75">
      <c r="A16" s="397"/>
      <c r="B16" s="60" t="s">
        <v>5</v>
      </c>
      <c r="C16" s="71"/>
      <c r="D16" s="445">
        <f>D15</f>
        <v>3384.58</v>
      </c>
      <c r="E16" s="447">
        <f aca="true" t="shared" si="0" ref="E16:J16">E15</f>
        <v>2275.98</v>
      </c>
      <c r="F16" s="107">
        <f t="shared" si="0"/>
        <v>1108.6</v>
      </c>
      <c r="G16" s="107">
        <f t="shared" si="0"/>
        <v>0</v>
      </c>
      <c r="H16" s="107">
        <f t="shared" si="0"/>
        <v>0</v>
      </c>
      <c r="I16" s="107">
        <f t="shared" si="0"/>
        <v>0</v>
      </c>
      <c r="J16" s="107">
        <f t="shared" si="0"/>
        <v>0</v>
      </c>
      <c r="K16" s="72"/>
    </row>
    <row r="17" spans="1:11" ht="15.75">
      <c r="A17" s="14"/>
      <c r="B17" s="18"/>
      <c r="C17" s="18"/>
      <c r="D17" s="19"/>
      <c r="E17" s="19"/>
      <c r="F17" s="19"/>
      <c r="G17" s="19"/>
      <c r="H17" s="19"/>
      <c r="I17" s="19"/>
      <c r="J17" s="19"/>
      <c r="K17" s="20"/>
    </row>
    <row r="18" spans="1:11" ht="15.75">
      <c r="A18" s="14"/>
      <c r="B18" s="18"/>
      <c r="C18" s="18"/>
      <c r="D18" s="19"/>
      <c r="E18" s="19"/>
      <c r="F18" s="19"/>
      <c r="G18" s="19"/>
      <c r="H18" s="19"/>
      <c r="I18" s="19"/>
      <c r="J18" s="19"/>
      <c r="K18" s="20"/>
    </row>
    <row r="19" spans="1:11" ht="15.75">
      <c r="A19" s="14"/>
      <c r="B19" s="18"/>
      <c r="C19" s="18"/>
      <c r="D19" s="19"/>
      <c r="E19" s="19"/>
      <c r="F19" s="19"/>
      <c r="G19" s="19"/>
      <c r="H19" s="19"/>
      <c r="I19" s="19"/>
      <c r="J19" s="19"/>
      <c r="K19" s="20"/>
    </row>
    <row r="20" spans="1:11" ht="15.75">
      <c r="A20" s="14"/>
      <c r="B20" s="18"/>
      <c r="C20" s="18"/>
      <c r="D20" s="19"/>
      <c r="E20" s="19"/>
      <c r="F20" s="19"/>
      <c r="G20" s="19"/>
      <c r="H20" s="19"/>
      <c r="I20" s="19"/>
      <c r="J20" s="19"/>
      <c r="K20" s="20"/>
    </row>
    <row r="21" spans="1:11" ht="18.75">
      <c r="A21" s="14"/>
      <c r="B21" s="52"/>
      <c r="C21" s="53"/>
      <c r="D21" s="14"/>
      <c r="E21" s="19"/>
      <c r="F21" s="19"/>
      <c r="G21" s="19"/>
      <c r="H21" s="19"/>
      <c r="I21" s="19"/>
      <c r="J21" s="19"/>
      <c r="K21" s="53"/>
    </row>
    <row r="22" spans="1:11" ht="18.75">
      <c r="A22" s="14"/>
      <c r="B22" s="513" t="s">
        <v>18</v>
      </c>
      <c r="C22" s="513"/>
      <c r="D22" s="413"/>
      <c r="E22" s="22"/>
      <c r="F22" s="22"/>
      <c r="G22" s="68"/>
      <c r="H22" s="68"/>
      <c r="I22" s="68"/>
      <c r="J22" s="23"/>
      <c r="K22" s="23" t="s">
        <v>7</v>
      </c>
    </row>
    <row r="23" spans="1:11" ht="18.75">
      <c r="A23" s="14"/>
      <c r="B23" s="413"/>
      <c r="C23" s="413"/>
      <c r="D23" s="413"/>
      <c r="E23" s="22"/>
      <c r="F23" s="22"/>
      <c r="G23" s="16"/>
      <c r="H23" s="16"/>
      <c r="I23" s="16"/>
      <c r="J23" s="23"/>
      <c r="K23" s="23"/>
    </row>
    <row r="24" spans="1:11" ht="18.75">
      <c r="A24" s="14"/>
      <c r="B24" s="538" t="s">
        <v>602</v>
      </c>
      <c r="C24" s="538"/>
      <c r="D24" s="25"/>
      <c r="E24" s="26"/>
      <c r="F24" s="26"/>
      <c r="G24" s="26"/>
      <c r="H24" s="26"/>
      <c r="I24" s="26"/>
      <c r="J24" s="15"/>
      <c r="K24" s="15"/>
    </row>
    <row r="25" spans="1:11" ht="15.75">
      <c r="A25" s="14"/>
      <c r="B25" s="27" t="s">
        <v>10</v>
      </c>
      <c r="C25" s="27"/>
      <c r="D25" s="26"/>
      <c r="E25" s="26"/>
      <c r="F25" s="26"/>
      <c r="G25" s="26"/>
      <c r="H25" s="26"/>
      <c r="I25" s="26"/>
      <c r="J25" s="15"/>
      <c r="K25" s="15"/>
    </row>
  </sheetData>
  <sheetProtection/>
  <mergeCells count="22">
    <mergeCell ref="J1:K1"/>
    <mergeCell ref="J3:K3"/>
    <mergeCell ref="J4:K4"/>
    <mergeCell ref="J5:K5"/>
    <mergeCell ref="J6:K6"/>
    <mergeCell ref="J7:K7"/>
    <mergeCell ref="B10:K10"/>
    <mergeCell ref="D11:H11"/>
    <mergeCell ref="A12:A14"/>
    <mergeCell ref="B12:B14"/>
    <mergeCell ref="C12:C14"/>
    <mergeCell ref="D12:D14"/>
    <mergeCell ref="E12:J12"/>
    <mergeCell ref="K12:K14"/>
    <mergeCell ref="E13:E14"/>
    <mergeCell ref="F13:F14"/>
    <mergeCell ref="G13:G14"/>
    <mergeCell ref="H13:H14"/>
    <mergeCell ref="I13:I14"/>
    <mergeCell ref="J13:J14"/>
    <mergeCell ref="B22:C22"/>
    <mergeCell ref="B24:C24"/>
  </mergeCells>
  <printOptions/>
  <pageMargins left="0.7086614173228347" right="0.7086614173228347" top="1.1811023622047245" bottom="0.7480314960629921" header="0.31496062992125984" footer="0.31496062992125984"/>
  <pageSetup fitToHeight="0" fitToWidth="1" horizontalDpi="600" verticalDpi="600" orientation="landscape" paperSize="9" scale="77" r:id="rId1"/>
</worksheet>
</file>

<file path=xl/worksheets/sheet3.xml><?xml version="1.0" encoding="utf-8"?>
<worksheet xmlns="http://schemas.openxmlformats.org/spreadsheetml/2006/main" xmlns:r="http://schemas.openxmlformats.org/officeDocument/2006/relationships">
  <dimension ref="A1:L25"/>
  <sheetViews>
    <sheetView zoomScale="75" zoomScaleNormal="75" zoomScalePageLayoutView="0" workbookViewId="0" topLeftCell="A1">
      <selection activeCell="H15" sqref="H15"/>
    </sheetView>
  </sheetViews>
  <sheetFormatPr defaultColWidth="9.140625" defaultRowHeight="12.75"/>
  <cols>
    <col min="1" max="1" width="7.140625" style="380" customWidth="1"/>
    <col min="2" max="2" width="46.00390625" style="380" customWidth="1"/>
    <col min="3" max="3" width="13.421875" style="380" hidden="1" customWidth="1"/>
    <col min="4" max="4" width="16.421875" style="380" customWidth="1"/>
    <col min="5" max="6" width="15.7109375" style="380" customWidth="1"/>
    <col min="7" max="7" width="28.28125" style="380" customWidth="1"/>
    <col min="8" max="8" width="63.28125" style="380" customWidth="1"/>
    <col min="9" max="9" width="15.7109375" style="380" customWidth="1"/>
    <col min="10" max="10" width="16.00390625" style="380" customWidth="1"/>
    <col min="11" max="11" width="14.140625" style="380" customWidth="1"/>
    <col min="12" max="12" width="12.421875" style="380" hidden="1" customWidth="1"/>
    <col min="13" max="13" width="14.8515625" style="380" customWidth="1"/>
    <col min="14" max="14" width="14.28125" style="380" customWidth="1"/>
    <col min="15" max="15" width="27.7109375" style="380" customWidth="1"/>
    <col min="16" max="16" width="19.140625" style="380" customWidth="1"/>
    <col min="17" max="17" width="15.140625" style="380" customWidth="1"/>
    <col min="18" max="18" width="14.140625" style="380" customWidth="1"/>
    <col min="19" max="19" width="17.28125" style="380" customWidth="1"/>
    <col min="20" max="20" width="13.8515625" style="380" customWidth="1"/>
  </cols>
  <sheetData>
    <row r="1" spans="1:12" s="380" customFormat="1" ht="20.25" customHeight="1">
      <c r="A1" s="368"/>
      <c r="B1" s="368"/>
      <c r="C1" s="368"/>
      <c r="D1" s="408"/>
      <c r="E1" s="382"/>
      <c r="F1" s="382"/>
      <c r="G1" s="407"/>
      <c r="H1" s="407"/>
      <c r="I1" s="407"/>
      <c r="J1" s="407"/>
      <c r="K1" s="407"/>
      <c r="L1" s="407"/>
    </row>
    <row r="2" spans="1:12" s="380" customFormat="1" ht="38.25" customHeight="1">
      <c r="A2" s="512" t="s">
        <v>396</v>
      </c>
      <c r="B2" s="512"/>
      <c r="C2" s="512"/>
      <c r="D2" s="512"/>
      <c r="E2" s="512"/>
      <c r="F2" s="512"/>
      <c r="G2" s="512"/>
      <c r="H2" s="512"/>
      <c r="I2" s="407"/>
      <c r="J2" s="407"/>
      <c r="K2" s="407"/>
      <c r="L2" s="407"/>
    </row>
    <row r="3" spans="1:12" s="380" customFormat="1" ht="20.25" customHeight="1">
      <c r="A3" s="368"/>
      <c r="B3" s="368"/>
      <c r="C3" s="368"/>
      <c r="D3" s="408"/>
      <c r="E3" s="368"/>
      <c r="F3" s="368"/>
      <c r="G3" s="407"/>
      <c r="H3" s="407"/>
      <c r="I3" s="407"/>
      <c r="J3" s="407"/>
      <c r="K3" s="407"/>
      <c r="L3" s="407"/>
    </row>
    <row r="4" spans="1:12" s="380" customFormat="1" ht="20.25" customHeight="1">
      <c r="A4" s="368"/>
      <c r="B4" s="368"/>
      <c r="C4" s="368"/>
      <c r="D4" s="408"/>
      <c r="E4" s="368"/>
      <c r="F4" s="368"/>
      <c r="G4" s="407"/>
      <c r="H4" s="466" t="s">
        <v>482</v>
      </c>
      <c r="I4" s="407"/>
      <c r="J4" s="407"/>
      <c r="K4" s="407"/>
      <c r="L4" s="407"/>
    </row>
    <row r="5" spans="1:12" s="380" customFormat="1" ht="40.5" customHeight="1">
      <c r="A5" s="514" t="s">
        <v>6</v>
      </c>
      <c r="B5" s="503" t="s">
        <v>154</v>
      </c>
      <c r="C5" s="503" t="s">
        <v>13</v>
      </c>
      <c r="D5" s="403" t="s">
        <v>397</v>
      </c>
      <c r="E5" s="411" t="s">
        <v>398</v>
      </c>
      <c r="F5" s="503" t="s">
        <v>476</v>
      </c>
      <c r="G5" s="514" t="s">
        <v>479</v>
      </c>
      <c r="H5" s="503" t="s">
        <v>399</v>
      </c>
      <c r="I5" s="407"/>
      <c r="J5" s="407"/>
      <c r="K5" s="407"/>
      <c r="L5" s="407"/>
    </row>
    <row r="6" spans="1:12" s="380" customFormat="1" ht="20.25" customHeight="1">
      <c r="A6" s="514"/>
      <c r="B6" s="504"/>
      <c r="C6" s="504"/>
      <c r="D6" s="503">
        <v>2018</v>
      </c>
      <c r="E6" s="522">
        <v>2018</v>
      </c>
      <c r="F6" s="504"/>
      <c r="G6" s="514"/>
      <c r="H6" s="504"/>
      <c r="I6" s="407"/>
      <c r="J6" s="407"/>
      <c r="K6" s="407"/>
      <c r="L6" s="407"/>
    </row>
    <row r="7" spans="1:12" s="380" customFormat="1" ht="20.25" customHeight="1">
      <c r="A7" s="514"/>
      <c r="B7" s="505"/>
      <c r="C7" s="505"/>
      <c r="D7" s="505"/>
      <c r="E7" s="523"/>
      <c r="F7" s="505"/>
      <c r="G7" s="514"/>
      <c r="H7" s="505"/>
      <c r="I7" s="407"/>
      <c r="J7" s="407"/>
      <c r="K7" s="407"/>
      <c r="L7" s="407"/>
    </row>
    <row r="8" spans="1:12" s="380" customFormat="1" ht="51" customHeight="1">
      <c r="A8" s="258">
        <v>1</v>
      </c>
      <c r="B8" s="175" t="s">
        <v>477</v>
      </c>
      <c r="C8" s="177" t="s">
        <v>16</v>
      </c>
      <c r="D8" s="383">
        <v>368473.4</v>
      </c>
      <c r="E8" s="383">
        <v>368400</v>
      </c>
      <c r="F8" s="383">
        <f>E8-D8</f>
        <v>-73.40000000002328</v>
      </c>
      <c r="G8" s="509" t="s">
        <v>480</v>
      </c>
      <c r="H8" s="506" t="s">
        <v>460</v>
      </c>
      <c r="I8" s="407"/>
      <c r="J8" s="407"/>
      <c r="K8" s="407"/>
      <c r="L8" s="407"/>
    </row>
    <row r="9" spans="1:12" s="380" customFormat="1" ht="49.5" customHeight="1">
      <c r="A9" s="328" t="s">
        <v>304</v>
      </c>
      <c r="B9" s="175" t="s">
        <v>100</v>
      </c>
      <c r="C9" s="177"/>
      <c r="D9" s="383">
        <v>50073.4</v>
      </c>
      <c r="E9" s="383">
        <v>50000</v>
      </c>
      <c r="F9" s="383">
        <f>E9-D9</f>
        <v>-73.40000000000146</v>
      </c>
      <c r="G9" s="511"/>
      <c r="H9" s="508"/>
      <c r="I9" s="407"/>
      <c r="J9" s="407"/>
      <c r="K9" s="407"/>
      <c r="L9" s="407"/>
    </row>
    <row r="10" spans="1:12" s="380" customFormat="1" ht="18.75">
      <c r="A10" s="514" t="s">
        <v>5</v>
      </c>
      <c r="B10" s="514"/>
      <c r="C10" s="403"/>
      <c r="D10" s="138">
        <f>SUM(D8:D8)</f>
        <v>368473.4</v>
      </c>
      <c r="E10" s="138">
        <f>SUM(E8:E8)</f>
        <v>368400</v>
      </c>
      <c r="F10" s="138"/>
      <c r="G10" s="412"/>
      <c r="H10" s="412"/>
      <c r="I10" s="407"/>
      <c r="J10" s="407"/>
      <c r="K10" s="407"/>
      <c r="L10" s="407"/>
    </row>
    <row r="11" spans="1:12" s="380" customFormat="1" ht="15.75">
      <c r="A11" s="143"/>
      <c r="B11" s="143"/>
      <c r="C11" s="143"/>
      <c r="D11" s="143"/>
      <c r="E11" s="369"/>
      <c r="F11" s="369"/>
      <c r="G11" s="407"/>
      <c r="H11" s="407"/>
      <c r="I11" s="407"/>
      <c r="J11" s="407"/>
      <c r="K11" s="407"/>
      <c r="L11" s="407"/>
    </row>
    <row r="12" spans="1:12" s="380" customFormat="1" ht="15.75">
      <c r="A12" s="143"/>
      <c r="B12" s="143"/>
      <c r="C12" s="143"/>
      <c r="D12" s="143"/>
      <c r="E12" s="369"/>
      <c r="F12" s="369"/>
      <c r="G12" s="407"/>
      <c r="H12" s="407"/>
      <c r="I12" s="407"/>
      <c r="J12" s="407"/>
      <c r="K12" s="407"/>
      <c r="L12" s="407"/>
    </row>
    <row r="13" spans="1:12" s="380" customFormat="1" ht="15.75">
      <c r="A13" s="143"/>
      <c r="B13" s="143"/>
      <c r="C13" s="143"/>
      <c r="D13" s="143"/>
      <c r="E13" s="144"/>
      <c r="F13" s="144"/>
      <c r="G13" s="407"/>
      <c r="H13" s="407"/>
      <c r="I13" s="407"/>
      <c r="J13" s="407"/>
      <c r="K13" s="407"/>
      <c r="L13" s="407"/>
    </row>
    <row r="14" spans="1:12" s="380" customFormat="1" ht="18.75">
      <c r="A14" s="513" t="s">
        <v>521</v>
      </c>
      <c r="B14" s="513"/>
      <c r="C14" s="413"/>
      <c r="D14" s="22"/>
      <c r="E14" s="203"/>
      <c r="F14" s="203"/>
      <c r="G14" s="68"/>
      <c r="H14" s="261" t="s">
        <v>522</v>
      </c>
      <c r="I14" s="407"/>
      <c r="J14" s="407"/>
      <c r="K14" s="407"/>
      <c r="L14" s="407"/>
    </row>
    <row r="15" spans="1:12" s="380" customFormat="1" ht="18.75">
      <c r="A15" s="414"/>
      <c r="B15" s="414"/>
      <c r="C15" s="414"/>
      <c r="D15" s="415"/>
      <c r="E15" s="144"/>
      <c r="F15" s="144"/>
      <c r="G15" s="376"/>
      <c r="H15" s="407"/>
      <c r="I15" s="407"/>
      <c r="J15" s="407"/>
      <c r="K15" s="407"/>
      <c r="L15" s="407"/>
    </row>
    <row r="16" spans="1:12" s="380" customFormat="1" ht="18.75">
      <c r="A16" s="515"/>
      <c r="B16" s="515"/>
      <c r="C16" s="401"/>
      <c r="D16" s="178"/>
      <c r="E16" s="416"/>
      <c r="F16" s="416"/>
      <c r="G16" s="407"/>
      <c r="H16" s="407"/>
      <c r="I16" s="407"/>
      <c r="J16" s="407"/>
      <c r="K16" s="407"/>
      <c r="L16" s="407"/>
    </row>
    <row r="17" s="380" customFormat="1" ht="15">
      <c r="A17" s="393"/>
    </row>
    <row r="18" s="380" customFormat="1" ht="15">
      <c r="A18" s="393"/>
    </row>
    <row r="19" s="380" customFormat="1" ht="15">
      <c r="A19" s="393"/>
    </row>
    <row r="20" s="380" customFormat="1" ht="15">
      <c r="A20" s="393"/>
    </row>
    <row r="21" s="380" customFormat="1" ht="15">
      <c r="A21" s="393"/>
    </row>
    <row r="22" s="380" customFormat="1" ht="15">
      <c r="A22" s="393"/>
    </row>
    <row r="23" s="380" customFormat="1" ht="15">
      <c r="A23" s="393"/>
    </row>
    <row r="24" s="380" customFormat="1" ht="15">
      <c r="A24" s="393"/>
    </row>
    <row r="25" s="380" customFormat="1" ht="15">
      <c r="A25" s="393"/>
    </row>
    <row r="26" s="380" customFormat="1" ht="15"/>
  </sheetData>
  <sheetProtection/>
  <mergeCells count="14">
    <mergeCell ref="H5:H7"/>
    <mergeCell ref="G8:G9"/>
    <mergeCell ref="H8:H9"/>
    <mergeCell ref="A5:A7"/>
    <mergeCell ref="A2:H2"/>
    <mergeCell ref="A14:B14"/>
    <mergeCell ref="F5:F7"/>
    <mergeCell ref="G5:G7"/>
    <mergeCell ref="A16:B16"/>
    <mergeCell ref="B5:B7"/>
    <mergeCell ref="C5:C7"/>
    <mergeCell ref="D6:D7"/>
    <mergeCell ref="E6:E7"/>
    <mergeCell ref="A10:B10"/>
  </mergeCells>
  <printOptions/>
  <pageMargins left="1.1811023622047245" right="0.5905511811023623" top="0.7874015748031497" bottom="0.7874015748031497" header="0.31496062992125984" footer="0.31496062992125984"/>
  <pageSetup fitToHeight="0" horizontalDpi="600" verticalDpi="600" orientation="landscape" paperSize="9" scale="65" r:id="rId1"/>
</worksheet>
</file>

<file path=xl/worksheets/sheet4.xml><?xml version="1.0" encoding="utf-8"?>
<worksheet xmlns="http://schemas.openxmlformats.org/spreadsheetml/2006/main" xmlns:r="http://schemas.openxmlformats.org/officeDocument/2006/relationships">
  <sheetPr>
    <pageSetUpPr fitToPage="1"/>
  </sheetPr>
  <dimension ref="A1:U82"/>
  <sheetViews>
    <sheetView zoomScale="75" zoomScaleNormal="75" zoomScalePageLayoutView="0" workbookViewId="0" topLeftCell="A1">
      <selection activeCell="P34" sqref="P34"/>
    </sheetView>
  </sheetViews>
  <sheetFormatPr defaultColWidth="9.140625" defaultRowHeight="12.75"/>
  <cols>
    <col min="1" max="1" width="5.00390625" style="380" customWidth="1"/>
    <col min="2" max="2" width="64.140625" style="380" customWidth="1"/>
    <col min="3" max="3" width="21.57421875" style="380" customWidth="1"/>
    <col min="4" max="4" width="13.421875" style="380" hidden="1" customWidth="1"/>
    <col min="5" max="5" width="14.7109375" style="380" customWidth="1"/>
    <col min="6" max="6" width="12.8515625" style="380" customWidth="1"/>
    <col min="7" max="7" width="20.7109375" style="380" customWidth="1"/>
    <col min="8" max="8" width="16.00390625" style="380" customWidth="1"/>
    <col min="9" max="9" width="15.28125" style="380" customWidth="1"/>
    <col min="10" max="10" width="15.7109375" style="380" customWidth="1"/>
    <col min="11" max="11" width="16.00390625" style="380" customWidth="1"/>
    <col min="12" max="12" width="14.140625" style="380" customWidth="1"/>
    <col min="13" max="13" width="12.421875" style="380" hidden="1" customWidth="1"/>
    <col min="14" max="14" width="14.8515625" style="380" customWidth="1"/>
    <col min="15" max="15" width="14.28125" style="380" customWidth="1"/>
    <col min="16" max="16" width="27.7109375" style="380" customWidth="1"/>
    <col min="17" max="17" width="19.140625" style="380" customWidth="1"/>
    <col min="18" max="18" width="15.140625" style="380" customWidth="1"/>
    <col min="19" max="19" width="14.140625" style="380" customWidth="1"/>
    <col min="20" max="20" width="17.28125" style="380" customWidth="1"/>
    <col min="21" max="21" width="13.8515625" style="380" customWidth="1"/>
  </cols>
  <sheetData>
    <row r="1" spans="1:21" ht="15.75">
      <c r="A1" s="368"/>
      <c r="B1" s="368"/>
      <c r="C1" s="368"/>
      <c r="D1" s="368"/>
      <c r="E1" s="368"/>
      <c r="F1" s="368"/>
      <c r="G1" s="368"/>
      <c r="H1" s="368"/>
      <c r="I1" s="463"/>
      <c r="J1" s="463"/>
      <c r="K1" s="463"/>
      <c r="L1" s="463"/>
      <c r="M1" s="463"/>
      <c r="N1" s="463"/>
      <c r="O1" s="368" t="s">
        <v>92</v>
      </c>
      <c r="P1" s="379"/>
      <c r="Q1" s="463"/>
      <c r="R1" s="463"/>
      <c r="S1" s="463"/>
      <c r="T1" s="463"/>
      <c r="U1" s="463"/>
    </row>
    <row r="2" spans="1:21" ht="9" customHeight="1">
      <c r="A2" s="368"/>
      <c r="B2" s="368"/>
      <c r="C2" s="368"/>
      <c r="D2" s="368"/>
      <c r="E2" s="368"/>
      <c r="F2" s="368"/>
      <c r="G2" s="368"/>
      <c r="H2" s="368"/>
      <c r="I2" s="463"/>
      <c r="J2" s="463"/>
      <c r="K2" s="463"/>
      <c r="L2" s="463"/>
      <c r="M2" s="463"/>
      <c r="N2" s="463"/>
      <c r="O2" s="524" t="s">
        <v>640</v>
      </c>
      <c r="P2" s="524"/>
      <c r="Q2" s="524"/>
      <c r="R2" s="524"/>
      <c r="S2" s="464"/>
      <c r="T2" s="464"/>
      <c r="U2" s="464"/>
    </row>
    <row r="3" spans="1:20" ht="15.75">
      <c r="A3" s="368"/>
      <c r="B3" s="368"/>
      <c r="C3" s="368"/>
      <c r="D3" s="368"/>
      <c r="E3" s="368"/>
      <c r="F3" s="368"/>
      <c r="G3" s="368"/>
      <c r="H3" s="368"/>
      <c r="I3" s="463"/>
      <c r="J3" s="463"/>
      <c r="K3" s="463"/>
      <c r="L3" s="463"/>
      <c r="M3" s="463"/>
      <c r="N3" s="463"/>
      <c r="O3" s="524"/>
      <c r="P3" s="524"/>
      <c r="Q3" s="524"/>
      <c r="R3" s="524"/>
      <c r="S3" s="382"/>
      <c r="T3" s="382"/>
    </row>
    <row r="4" spans="1:20" ht="15.75">
      <c r="A4" s="368"/>
      <c r="B4" s="368"/>
      <c r="C4" s="368"/>
      <c r="D4" s="368"/>
      <c r="E4" s="368"/>
      <c r="F4" s="368"/>
      <c r="G4" s="368"/>
      <c r="H4" s="368"/>
      <c r="I4" s="463"/>
      <c r="J4" s="463"/>
      <c r="K4" s="463"/>
      <c r="L4" s="463"/>
      <c r="M4" s="463"/>
      <c r="N4" s="463"/>
      <c r="O4" s="524"/>
      <c r="P4" s="524"/>
      <c r="Q4" s="524"/>
      <c r="R4" s="524"/>
      <c r="S4" s="382"/>
      <c r="T4" s="382"/>
    </row>
    <row r="5" spans="1:20" ht="15.75">
      <c r="A5" s="368"/>
      <c r="B5" s="368"/>
      <c r="C5" s="368"/>
      <c r="D5" s="368"/>
      <c r="E5" s="368"/>
      <c r="F5" s="368"/>
      <c r="G5" s="368"/>
      <c r="H5" s="368"/>
      <c r="I5" s="463"/>
      <c r="J5" s="463"/>
      <c r="K5" s="463"/>
      <c r="L5" s="463"/>
      <c r="M5" s="463"/>
      <c r="N5" s="463"/>
      <c r="O5" s="524"/>
      <c r="P5" s="524"/>
      <c r="Q5" s="524"/>
      <c r="R5" s="524"/>
      <c r="S5" s="382"/>
      <c r="T5" s="382"/>
    </row>
    <row r="6" spans="1:20" ht="15.75">
      <c r="A6" s="368"/>
      <c r="B6" s="368"/>
      <c r="C6" s="368"/>
      <c r="D6" s="368"/>
      <c r="E6" s="368"/>
      <c r="F6" s="368"/>
      <c r="G6" s="368"/>
      <c r="H6" s="368"/>
      <c r="I6" s="463"/>
      <c r="J6" s="463"/>
      <c r="K6" s="463"/>
      <c r="L6" s="463"/>
      <c r="M6" s="463"/>
      <c r="N6" s="463"/>
      <c r="O6" s="524"/>
      <c r="P6" s="524"/>
      <c r="Q6" s="524"/>
      <c r="R6" s="524"/>
      <c r="S6" s="382"/>
      <c r="T6" s="382"/>
    </row>
    <row r="7" spans="1:20" ht="30" customHeight="1">
      <c r="A7" s="368"/>
      <c r="B7" s="368"/>
      <c r="C7" s="368"/>
      <c r="D7" s="368"/>
      <c r="E7" s="368"/>
      <c r="F7" s="368"/>
      <c r="G7" s="368"/>
      <c r="H7" s="368"/>
      <c r="I7" s="463"/>
      <c r="J7" s="463"/>
      <c r="K7" s="463"/>
      <c r="L7" s="463"/>
      <c r="M7" s="463"/>
      <c r="N7" s="463"/>
      <c r="O7" s="524"/>
      <c r="P7" s="524"/>
      <c r="Q7" s="524"/>
      <c r="R7" s="524"/>
      <c r="S7" s="382"/>
      <c r="T7" s="382"/>
    </row>
    <row r="8" spans="1:20" ht="15.75">
      <c r="A8" s="368"/>
      <c r="B8" s="368"/>
      <c r="C8" s="368"/>
      <c r="D8" s="368"/>
      <c r="E8" s="368"/>
      <c r="F8" s="368"/>
      <c r="G8" s="368"/>
      <c r="H8" s="368"/>
      <c r="I8" s="463"/>
      <c r="J8" s="463"/>
      <c r="K8" s="463"/>
      <c r="L8" s="463"/>
      <c r="M8" s="463"/>
      <c r="N8" s="463"/>
      <c r="O8" s="381"/>
      <c r="P8" s="464"/>
      <c r="Q8" s="464"/>
      <c r="R8" s="464"/>
      <c r="S8" s="382"/>
      <c r="T8" s="382"/>
    </row>
    <row r="9" spans="1:20" ht="15.75" customHeight="1">
      <c r="A9" s="528" t="s">
        <v>510</v>
      </c>
      <c r="B9" s="528"/>
      <c r="C9" s="528"/>
      <c r="D9" s="528"/>
      <c r="E9" s="528"/>
      <c r="F9" s="528"/>
      <c r="G9" s="528"/>
      <c r="H9" s="528"/>
      <c r="I9" s="528"/>
      <c r="J9" s="528"/>
      <c r="K9" s="528"/>
      <c r="L9" s="528"/>
      <c r="M9" s="528"/>
      <c r="N9" s="528"/>
      <c r="O9" s="528"/>
      <c r="P9" s="528"/>
      <c r="Q9" s="528"/>
      <c r="R9" s="528"/>
      <c r="S9" s="528"/>
      <c r="T9" s="528"/>
    </row>
    <row r="10" spans="1:21" ht="15.75">
      <c r="A10" s="368"/>
      <c r="B10" s="368"/>
      <c r="C10" s="368"/>
      <c r="D10" s="368"/>
      <c r="E10" s="368"/>
      <c r="F10" s="368"/>
      <c r="G10" s="368"/>
      <c r="H10" s="368"/>
      <c r="I10" s="368"/>
      <c r="J10" s="368"/>
      <c r="K10" s="368"/>
      <c r="L10" s="368"/>
      <c r="M10" s="529"/>
      <c r="N10" s="529"/>
      <c r="O10" s="529"/>
      <c r="P10" s="529"/>
      <c r="Q10" s="529"/>
      <c r="R10" s="529"/>
      <c r="S10" s="529"/>
      <c r="T10" s="529"/>
      <c r="U10" s="380" t="s">
        <v>481</v>
      </c>
    </row>
    <row r="11" spans="1:21" ht="15.75" customHeight="1">
      <c r="A11" s="503" t="s">
        <v>6</v>
      </c>
      <c r="B11" s="503" t="s">
        <v>154</v>
      </c>
      <c r="C11" s="503" t="s">
        <v>483</v>
      </c>
      <c r="D11" s="467"/>
      <c r="E11" s="525" t="s">
        <v>155</v>
      </c>
      <c r="F11" s="526"/>
      <c r="G11" s="526"/>
      <c r="H11" s="527"/>
      <c r="I11" s="525" t="s">
        <v>9</v>
      </c>
      <c r="J11" s="526"/>
      <c r="K11" s="526"/>
      <c r="L11" s="526"/>
      <c r="M11" s="526"/>
      <c r="N11" s="526"/>
      <c r="O11" s="526"/>
      <c r="P11" s="526"/>
      <c r="Q11" s="526"/>
      <c r="R11" s="526"/>
      <c r="S11" s="526"/>
      <c r="T11" s="526"/>
      <c r="U11" s="527"/>
    </row>
    <row r="12" spans="1:21" ht="15.75" customHeight="1">
      <c r="A12" s="504"/>
      <c r="B12" s="504"/>
      <c r="C12" s="504"/>
      <c r="D12" s="461"/>
      <c r="E12" s="503" t="s">
        <v>156</v>
      </c>
      <c r="F12" s="503" t="s">
        <v>157</v>
      </c>
      <c r="G12" s="503" t="s">
        <v>158</v>
      </c>
      <c r="H12" s="503" t="s">
        <v>295</v>
      </c>
      <c r="I12" s="525" t="s">
        <v>484</v>
      </c>
      <c r="J12" s="526"/>
      <c r="K12" s="526"/>
      <c r="L12" s="527"/>
      <c r="M12" s="503" t="s">
        <v>159</v>
      </c>
      <c r="N12" s="525" t="s">
        <v>485</v>
      </c>
      <c r="O12" s="526"/>
      <c r="P12" s="526"/>
      <c r="Q12" s="527"/>
      <c r="R12" s="525" t="s">
        <v>486</v>
      </c>
      <c r="S12" s="526"/>
      <c r="T12" s="526"/>
      <c r="U12" s="527"/>
    </row>
    <row r="13" spans="1:21" ht="37.5">
      <c r="A13" s="505"/>
      <c r="B13" s="505"/>
      <c r="C13" s="505"/>
      <c r="D13" s="462"/>
      <c r="E13" s="505"/>
      <c r="F13" s="505"/>
      <c r="G13" s="505"/>
      <c r="H13" s="505"/>
      <c r="I13" s="460" t="s">
        <v>156</v>
      </c>
      <c r="J13" s="460" t="s">
        <v>157</v>
      </c>
      <c r="K13" s="460" t="s">
        <v>158</v>
      </c>
      <c r="L13" s="460" t="s">
        <v>295</v>
      </c>
      <c r="M13" s="505"/>
      <c r="N13" s="460" t="s">
        <v>156</v>
      </c>
      <c r="O13" s="460" t="s">
        <v>157</v>
      </c>
      <c r="P13" s="460" t="s">
        <v>158</v>
      </c>
      <c r="Q13" s="460" t="s">
        <v>295</v>
      </c>
      <c r="R13" s="460" t="s">
        <v>156</v>
      </c>
      <c r="S13" s="460" t="s">
        <v>157</v>
      </c>
      <c r="T13" s="460" t="s">
        <v>158</v>
      </c>
      <c r="U13" s="460" t="s">
        <v>295</v>
      </c>
    </row>
    <row r="14" spans="1:21" ht="37.5">
      <c r="A14" s="258">
        <v>1</v>
      </c>
      <c r="B14" s="181" t="s">
        <v>366</v>
      </c>
      <c r="C14" s="134">
        <f>E14+F14+G14+H14</f>
        <v>1157027.98</v>
      </c>
      <c r="D14" s="134">
        <f>E14+F14+G14</f>
        <v>1157027.98</v>
      </c>
      <c r="E14" s="134">
        <f>I14+N14+R14</f>
        <v>82900</v>
      </c>
      <c r="F14" s="134"/>
      <c r="G14" s="134">
        <f>K14+P14+T14</f>
        <v>1074127.98</v>
      </c>
      <c r="H14" s="138"/>
      <c r="I14" s="134">
        <v>41900</v>
      </c>
      <c r="J14" s="134"/>
      <c r="K14" s="134">
        <f>324400+2000+73.4+100-73.4</f>
        <v>326500</v>
      </c>
      <c r="L14" s="468"/>
      <c r="M14" s="134" t="e">
        <f>#REF!</f>
        <v>#REF!</v>
      </c>
      <c r="N14" s="134">
        <v>41000</v>
      </c>
      <c r="O14" s="134"/>
      <c r="P14" s="134">
        <f>359992+3650+1000+70.48</f>
        <v>364712.48</v>
      </c>
      <c r="Q14" s="134"/>
      <c r="R14" s="134">
        <v>0</v>
      </c>
      <c r="S14" s="134"/>
      <c r="T14" s="134">
        <v>382915.5</v>
      </c>
      <c r="U14" s="469"/>
    </row>
    <row r="15" spans="1:21" ht="37.5">
      <c r="A15" s="258">
        <f>A14+1</f>
        <v>2</v>
      </c>
      <c r="B15" s="181" t="s">
        <v>160</v>
      </c>
      <c r="C15" s="134">
        <f>E15+F15+G15+H15</f>
        <v>175178.9</v>
      </c>
      <c r="D15" s="134">
        <f aca="true" t="shared" si="0" ref="D15:D25">E15+F15+G15</f>
        <v>175178.9</v>
      </c>
      <c r="E15" s="134">
        <f>I15+N15+R15</f>
        <v>0</v>
      </c>
      <c r="F15" s="134"/>
      <c r="G15" s="134">
        <f aca="true" t="shared" si="1" ref="G15:G33">K15+P15+T15</f>
        <v>175178.9</v>
      </c>
      <c r="H15" s="138"/>
      <c r="I15" s="134"/>
      <c r="J15" s="134"/>
      <c r="K15" s="134">
        <f>55000+750+190</f>
        <v>55940</v>
      </c>
      <c r="L15" s="469"/>
      <c r="M15" s="134">
        <v>4760</v>
      </c>
      <c r="N15" s="134">
        <v>0</v>
      </c>
      <c r="O15" s="134">
        <v>0</v>
      </c>
      <c r="P15" s="134">
        <f>62000-1000-427-232+1500-1500-4384.6-5.4-96-50-120-5000-130-316.1</f>
        <v>50238.9</v>
      </c>
      <c r="Q15" s="134"/>
      <c r="R15" s="134"/>
      <c r="S15" s="134">
        <v>0</v>
      </c>
      <c r="T15" s="134">
        <v>69000</v>
      </c>
      <c r="U15" s="469"/>
    </row>
    <row r="16" spans="1:21" ht="56.25">
      <c r="A16" s="258">
        <f aca="true" t="shared" si="2" ref="A16:A23">A15+1</f>
        <v>3</v>
      </c>
      <c r="B16" s="181" t="s">
        <v>161</v>
      </c>
      <c r="C16" s="134">
        <f>E16+F16+G16+H16</f>
        <v>135445.33299999998</v>
      </c>
      <c r="D16" s="134">
        <f t="shared" si="0"/>
        <v>133704.33299999998</v>
      </c>
      <c r="E16" s="134">
        <f aca="true" t="shared" si="3" ref="E16:E22">I16+N16+R16</f>
        <v>0</v>
      </c>
      <c r="F16" s="134">
        <f>J16+O16+S16</f>
        <v>0</v>
      </c>
      <c r="G16" s="134">
        <f>K16+P16+T16</f>
        <v>133704.33299999998</v>
      </c>
      <c r="H16" s="134">
        <f>L16+Q16+U16</f>
        <v>1741</v>
      </c>
      <c r="I16" s="134"/>
      <c r="J16" s="134"/>
      <c r="K16" s="37">
        <f>42867+500+138.333-540</f>
        <v>42965.333</v>
      </c>
      <c r="L16" s="470">
        <v>540</v>
      </c>
      <c r="M16" s="134">
        <v>13299.9</v>
      </c>
      <c r="N16" s="134"/>
      <c r="O16" s="134">
        <v>0</v>
      </c>
      <c r="P16" s="134">
        <f>43416+700+17+350+41+900+600</f>
        <v>46024</v>
      </c>
      <c r="Q16" s="134">
        <f>560+41</f>
        <v>601</v>
      </c>
      <c r="R16" s="134"/>
      <c r="S16" s="134"/>
      <c r="T16" s="134">
        <v>44715</v>
      </c>
      <c r="U16" s="470">
        <v>600</v>
      </c>
    </row>
    <row r="17" spans="1:21" ht="61.5" customHeight="1">
      <c r="A17" s="258">
        <f t="shared" si="2"/>
        <v>4</v>
      </c>
      <c r="B17" s="181" t="s">
        <v>162</v>
      </c>
      <c r="C17" s="134">
        <f aca="true" t="shared" si="4" ref="C17:C32">E17+F17+G17+H17</f>
        <v>68201.6</v>
      </c>
      <c r="D17" s="134">
        <f t="shared" si="0"/>
        <v>67742.6</v>
      </c>
      <c r="E17" s="134">
        <f t="shared" si="3"/>
        <v>0</v>
      </c>
      <c r="F17" s="134"/>
      <c r="G17" s="134">
        <f t="shared" si="1"/>
        <v>67742.6</v>
      </c>
      <c r="H17" s="134">
        <f>L17+Q17+U17</f>
        <v>459</v>
      </c>
      <c r="I17" s="134"/>
      <c r="J17" s="134"/>
      <c r="K17" s="37">
        <f>21696.7</f>
        <v>21696.7</v>
      </c>
      <c r="L17" s="470">
        <v>116</v>
      </c>
      <c r="M17" s="134">
        <v>117795.5</v>
      </c>
      <c r="N17" s="134"/>
      <c r="O17" s="134"/>
      <c r="P17" s="134">
        <f>22613.5+98+5.4</f>
        <v>22716.9</v>
      </c>
      <c r="Q17" s="134">
        <f>120+98</f>
        <v>218</v>
      </c>
      <c r="R17" s="134"/>
      <c r="S17" s="134"/>
      <c r="T17" s="134">
        <v>23329</v>
      </c>
      <c r="U17" s="470">
        <v>125</v>
      </c>
    </row>
    <row r="18" spans="1:21" ht="18.75">
      <c r="A18" s="258">
        <f t="shared" si="2"/>
        <v>5</v>
      </c>
      <c r="B18" s="181" t="s">
        <v>163</v>
      </c>
      <c r="C18" s="134">
        <f t="shared" si="4"/>
        <v>19692.4</v>
      </c>
      <c r="D18" s="134">
        <f t="shared" si="0"/>
        <v>19692.4</v>
      </c>
      <c r="E18" s="134">
        <f t="shared" si="3"/>
        <v>0</v>
      </c>
      <c r="F18" s="134"/>
      <c r="G18" s="134">
        <f t="shared" si="1"/>
        <v>19692.4</v>
      </c>
      <c r="H18" s="138"/>
      <c r="I18" s="134"/>
      <c r="J18" s="134"/>
      <c r="K18" s="37">
        <v>5421.4</v>
      </c>
      <c r="L18" s="469"/>
      <c r="M18" s="134">
        <v>7405.3</v>
      </c>
      <c r="N18" s="134"/>
      <c r="O18" s="134"/>
      <c r="P18" s="134">
        <f>5500+3000+15+96</f>
        <v>8611</v>
      </c>
      <c r="Q18" s="134"/>
      <c r="R18" s="134"/>
      <c r="S18" s="134"/>
      <c r="T18" s="134">
        <v>5660</v>
      </c>
      <c r="U18" s="469"/>
    </row>
    <row r="19" spans="1:21" ht="37.5">
      <c r="A19" s="258">
        <f t="shared" si="2"/>
        <v>6</v>
      </c>
      <c r="B19" s="181" t="s">
        <v>164</v>
      </c>
      <c r="C19" s="134">
        <f t="shared" si="4"/>
        <v>61858.7</v>
      </c>
      <c r="D19" s="134">
        <f t="shared" si="0"/>
        <v>61858.7</v>
      </c>
      <c r="E19" s="134">
        <f t="shared" si="3"/>
        <v>0</v>
      </c>
      <c r="F19" s="134"/>
      <c r="G19" s="134">
        <f t="shared" si="1"/>
        <v>61858.7</v>
      </c>
      <c r="H19" s="138"/>
      <c r="I19" s="134"/>
      <c r="J19" s="134"/>
      <c r="K19" s="37">
        <f>20075+25</f>
        <v>20100</v>
      </c>
      <c r="L19" s="469"/>
      <c r="M19" s="134">
        <v>22035.5</v>
      </c>
      <c r="N19" s="134"/>
      <c r="O19" s="134"/>
      <c r="P19" s="134">
        <f>20255+2928.7-3000</f>
        <v>20183.7</v>
      </c>
      <c r="Q19" s="134"/>
      <c r="R19" s="134"/>
      <c r="S19" s="134"/>
      <c r="T19" s="134">
        <v>21575</v>
      </c>
      <c r="U19" s="469"/>
    </row>
    <row r="20" spans="1:21" ht="37.5">
      <c r="A20" s="258">
        <f t="shared" si="2"/>
        <v>7</v>
      </c>
      <c r="B20" s="181" t="s">
        <v>165</v>
      </c>
      <c r="C20" s="134">
        <f t="shared" si="4"/>
        <v>3600</v>
      </c>
      <c r="D20" s="134">
        <f t="shared" si="0"/>
        <v>3600</v>
      </c>
      <c r="E20" s="134">
        <f t="shared" si="3"/>
        <v>0</v>
      </c>
      <c r="F20" s="134"/>
      <c r="G20" s="134">
        <f t="shared" si="1"/>
        <v>3600</v>
      </c>
      <c r="H20" s="138"/>
      <c r="I20" s="134"/>
      <c r="J20" s="134"/>
      <c r="K20" s="37">
        <v>1000</v>
      </c>
      <c r="L20" s="469"/>
      <c r="M20" s="134">
        <v>13568.2</v>
      </c>
      <c r="N20" s="134"/>
      <c r="O20" s="134"/>
      <c r="P20" s="134">
        <v>1200</v>
      </c>
      <c r="Q20" s="134"/>
      <c r="R20" s="134"/>
      <c r="S20" s="134"/>
      <c r="T20" s="134">
        <v>1400</v>
      </c>
      <c r="U20" s="469"/>
    </row>
    <row r="21" spans="1:21" ht="37.5">
      <c r="A21" s="258">
        <f t="shared" si="2"/>
        <v>8</v>
      </c>
      <c r="B21" s="181" t="s">
        <v>285</v>
      </c>
      <c r="C21" s="134">
        <f t="shared" si="4"/>
        <v>55616.2</v>
      </c>
      <c r="D21" s="134">
        <f t="shared" si="0"/>
        <v>55616.2</v>
      </c>
      <c r="E21" s="134">
        <f t="shared" si="3"/>
        <v>19399</v>
      </c>
      <c r="F21" s="134"/>
      <c r="G21" s="134">
        <f t="shared" si="1"/>
        <v>36217.2</v>
      </c>
      <c r="H21" s="138"/>
      <c r="I21" s="134">
        <f>0+5075</f>
        <v>5075</v>
      </c>
      <c r="J21" s="134"/>
      <c r="K21" s="37">
        <f>11780+152.2</f>
        <v>11932.2</v>
      </c>
      <c r="L21" s="469"/>
      <c r="M21" s="134">
        <v>2008.9</v>
      </c>
      <c r="N21" s="134">
        <f>0+6097+6401+20+500+636+670</f>
        <v>14324</v>
      </c>
      <c r="O21" s="134"/>
      <c r="P21" s="134">
        <f>12000+185</f>
        <v>12185</v>
      </c>
      <c r="Q21" s="134"/>
      <c r="R21" s="134">
        <f>575-575</f>
        <v>0</v>
      </c>
      <c r="S21" s="134"/>
      <c r="T21" s="134">
        <v>12100</v>
      </c>
      <c r="U21" s="469"/>
    </row>
    <row r="22" spans="1:21" ht="37.5">
      <c r="A22" s="258">
        <f t="shared" si="2"/>
        <v>9</v>
      </c>
      <c r="B22" s="181" t="s">
        <v>166</v>
      </c>
      <c r="C22" s="134">
        <f>E22+F22+G22+H22</f>
        <v>231274.50000000003</v>
      </c>
      <c r="D22" s="134">
        <f t="shared" si="0"/>
        <v>231274.50000000003</v>
      </c>
      <c r="E22" s="134">
        <f t="shared" si="3"/>
        <v>25810.6</v>
      </c>
      <c r="F22" s="134">
        <f>J22+O22+S22</f>
        <v>0</v>
      </c>
      <c r="G22" s="420">
        <f>K22+P22+T22</f>
        <v>205463.90000000002</v>
      </c>
      <c r="H22" s="138"/>
      <c r="I22" s="134">
        <f>160+1522+8354</f>
        <v>10036</v>
      </c>
      <c r="J22" s="134"/>
      <c r="K22" s="37">
        <f>66045.7+675.6</f>
        <v>66721.3</v>
      </c>
      <c r="L22" s="469"/>
      <c r="M22" s="134">
        <v>882.7</v>
      </c>
      <c r="N22" s="134">
        <f>5339.3+4663.3+4487+990+295</f>
        <v>15774.6</v>
      </c>
      <c r="O22" s="134"/>
      <c r="P22" s="134">
        <f>68000+742.6</f>
        <v>68742.6</v>
      </c>
      <c r="Q22" s="134"/>
      <c r="R22" s="134"/>
      <c r="S22" s="134"/>
      <c r="T22" s="134">
        <v>70000</v>
      </c>
      <c r="U22" s="469"/>
    </row>
    <row r="23" spans="1:21" ht="56.25">
      <c r="A23" s="258">
        <f t="shared" si="2"/>
        <v>10</v>
      </c>
      <c r="B23" s="181" t="s">
        <v>167</v>
      </c>
      <c r="C23" s="134">
        <f t="shared" si="4"/>
        <v>13824.646999999999</v>
      </c>
      <c r="D23" s="420">
        <f t="shared" si="0"/>
        <v>13824.646999999999</v>
      </c>
      <c r="E23" s="420"/>
      <c r="F23" s="420"/>
      <c r="G23" s="134">
        <f t="shared" si="1"/>
        <v>13824.646999999999</v>
      </c>
      <c r="H23" s="141"/>
      <c r="I23" s="420"/>
      <c r="J23" s="420"/>
      <c r="K23" s="471">
        <f>4152.22+1+150+34+150</f>
        <v>4487.22</v>
      </c>
      <c r="L23" s="472"/>
      <c r="M23" s="420">
        <v>1969.3</v>
      </c>
      <c r="N23" s="420"/>
      <c r="O23" s="420"/>
      <c r="P23" s="420">
        <f>4304.855+100+51+250+30+29.82+12+16.2+13.5</f>
        <v>4807.374999999999</v>
      </c>
      <c r="Q23" s="420"/>
      <c r="R23" s="420"/>
      <c r="S23" s="420"/>
      <c r="T23" s="420">
        <v>4530.052</v>
      </c>
      <c r="U23" s="469"/>
    </row>
    <row r="24" spans="1:21" ht="37.5">
      <c r="A24" s="258">
        <v>11</v>
      </c>
      <c r="B24" s="181" t="s">
        <v>168</v>
      </c>
      <c r="C24" s="134">
        <f>E24+F24+G24+H24</f>
        <v>97158.4</v>
      </c>
      <c r="D24" s="134">
        <f t="shared" si="0"/>
        <v>97158.4</v>
      </c>
      <c r="E24" s="134"/>
      <c r="F24" s="134"/>
      <c r="G24" s="134">
        <f>K24+P24+T24</f>
        <v>97158.4</v>
      </c>
      <c r="H24" s="138"/>
      <c r="I24" s="134"/>
      <c r="J24" s="134"/>
      <c r="K24" s="37">
        <f>7720.4+2240+3000-1400+700+35+2000+60+3000+1000+90+3000+10+2000+38</f>
        <v>23493.4</v>
      </c>
      <c r="L24" s="469"/>
      <c r="M24" s="134"/>
      <c r="N24" s="134"/>
      <c r="O24" s="134"/>
      <c r="P24" s="134">
        <f>8580+2300+200+4000+4000+20000+3200+1000+2725+1000+140+3200+4000+1000+3500+50+120+5000</f>
        <v>64015</v>
      </c>
      <c r="Q24" s="134"/>
      <c r="R24" s="134"/>
      <c r="S24" s="134"/>
      <c r="T24" s="134">
        <v>9650</v>
      </c>
      <c r="U24" s="469"/>
    </row>
    <row r="25" spans="1:21" ht="37.5">
      <c r="A25" s="258">
        <v>12</v>
      </c>
      <c r="B25" s="181" t="s">
        <v>169</v>
      </c>
      <c r="C25" s="134">
        <f t="shared" si="4"/>
        <v>29962.4</v>
      </c>
      <c r="D25" s="134">
        <f t="shared" si="0"/>
        <v>29962.4</v>
      </c>
      <c r="E25" s="134">
        <f>SUM(I25)</f>
        <v>13705</v>
      </c>
      <c r="F25" s="134"/>
      <c r="G25" s="134">
        <f t="shared" si="1"/>
        <v>16257.400000000001</v>
      </c>
      <c r="H25" s="138"/>
      <c r="I25" s="134">
        <v>13705</v>
      </c>
      <c r="J25" s="134"/>
      <c r="K25" s="37">
        <f>8124.7+500</f>
        <v>8624.7</v>
      </c>
      <c r="L25" s="469"/>
      <c r="M25" s="134"/>
      <c r="N25" s="134"/>
      <c r="O25" s="134"/>
      <c r="P25" s="134">
        <f>1600+877-63+2209+427+232+384.6+316.1</f>
        <v>5982.700000000001</v>
      </c>
      <c r="Q25" s="134"/>
      <c r="R25" s="134"/>
      <c r="S25" s="134"/>
      <c r="T25" s="134">
        <v>1650</v>
      </c>
      <c r="U25" s="469"/>
    </row>
    <row r="26" spans="1:21" ht="18.75">
      <c r="A26" s="258">
        <v>13</v>
      </c>
      <c r="B26" s="181" t="s">
        <v>170</v>
      </c>
      <c r="C26" s="134">
        <f t="shared" si="4"/>
        <v>5220</v>
      </c>
      <c r="D26" s="134"/>
      <c r="E26" s="134"/>
      <c r="F26" s="134"/>
      <c r="G26" s="134">
        <f t="shared" si="1"/>
        <v>5220</v>
      </c>
      <c r="H26" s="138"/>
      <c r="I26" s="134"/>
      <c r="J26" s="134"/>
      <c r="K26" s="37">
        <f>1500+190</f>
        <v>1690</v>
      </c>
      <c r="L26" s="469"/>
      <c r="M26" s="134"/>
      <c r="N26" s="134"/>
      <c r="O26" s="134"/>
      <c r="P26" s="134">
        <f>1500+300+100+130</f>
        <v>2030</v>
      </c>
      <c r="Q26" s="134"/>
      <c r="R26" s="134"/>
      <c r="S26" s="134"/>
      <c r="T26" s="134">
        <v>1500</v>
      </c>
      <c r="U26" s="469"/>
    </row>
    <row r="27" spans="1:21" ht="56.25">
      <c r="A27" s="258">
        <v>14</v>
      </c>
      <c r="B27" s="181" t="s">
        <v>275</v>
      </c>
      <c r="C27" s="134">
        <f t="shared" si="4"/>
        <v>223234.074</v>
      </c>
      <c r="D27" s="134"/>
      <c r="E27" s="134"/>
      <c r="F27" s="134"/>
      <c r="G27" s="134">
        <f t="shared" si="1"/>
        <v>223234.074</v>
      </c>
      <c r="H27" s="138"/>
      <c r="I27" s="134"/>
      <c r="J27" s="134"/>
      <c r="K27" s="37">
        <f>127284.3+500+85+44.1</f>
        <v>127913.40000000001</v>
      </c>
      <c r="L27" s="469"/>
      <c r="M27" s="134"/>
      <c r="N27" s="134"/>
      <c r="O27" s="134"/>
      <c r="P27" s="134">
        <f>68207.872+3500+16252.402+63+1000-1000</f>
        <v>88023.274</v>
      </c>
      <c r="Q27" s="134"/>
      <c r="R27" s="134"/>
      <c r="S27" s="134"/>
      <c r="T27" s="134">
        <f>0+7297.4</f>
        <v>7297.4</v>
      </c>
      <c r="U27" s="469"/>
    </row>
    <row r="28" spans="1:21" ht="56.25">
      <c r="A28" s="258">
        <v>15</v>
      </c>
      <c r="B28" s="181" t="s">
        <v>99</v>
      </c>
      <c r="C28" s="134">
        <f t="shared" si="4"/>
        <v>17972.5</v>
      </c>
      <c r="D28" s="134"/>
      <c r="E28" s="134"/>
      <c r="F28" s="134"/>
      <c r="G28" s="134">
        <f t="shared" si="1"/>
        <v>17972.5</v>
      </c>
      <c r="H28" s="138"/>
      <c r="I28" s="134"/>
      <c r="J28" s="134"/>
      <c r="K28" s="37">
        <v>1980</v>
      </c>
      <c r="L28" s="469"/>
      <c r="M28" s="134"/>
      <c r="N28" s="134"/>
      <c r="O28" s="134"/>
      <c r="P28" s="134">
        <f>10000-3000+992.5</f>
        <v>7992.5</v>
      </c>
      <c r="Q28" s="134"/>
      <c r="R28" s="134"/>
      <c r="S28" s="134"/>
      <c r="T28" s="134">
        <v>8000</v>
      </c>
      <c r="U28" s="469"/>
    </row>
    <row r="29" spans="1:21" ht="37.5">
      <c r="A29" s="258">
        <v>16</v>
      </c>
      <c r="B29" s="181" t="s">
        <v>367</v>
      </c>
      <c r="C29" s="134">
        <f t="shared" si="4"/>
        <v>8099.58</v>
      </c>
      <c r="D29" s="134"/>
      <c r="E29" s="134"/>
      <c r="F29" s="134"/>
      <c r="G29" s="134">
        <f t="shared" si="1"/>
        <v>8099.58</v>
      </c>
      <c r="H29" s="138"/>
      <c r="I29" s="134"/>
      <c r="J29" s="134"/>
      <c r="K29" s="37">
        <f>3000+2178+70+27.98</f>
        <v>5275.98</v>
      </c>
      <c r="L29" s="469"/>
      <c r="M29" s="134"/>
      <c r="N29" s="134"/>
      <c r="O29" s="134"/>
      <c r="P29" s="134">
        <f>0+3000+1108.6-1285</f>
        <v>2823.6000000000004</v>
      </c>
      <c r="Q29" s="134"/>
      <c r="R29" s="134"/>
      <c r="S29" s="134"/>
      <c r="T29" s="134"/>
      <c r="U29" s="469"/>
    </row>
    <row r="30" spans="1:21" ht="18.75">
      <c r="A30" s="258">
        <v>17</v>
      </c>
      <c r="B30" s="181" t="s">
        <v>368</v>
      </c>
      <c r="C30" s="134">
        <f>E30+F30+G30+H30</f>
        <v>281580.32200000004</v>
      </c>
      <c r="D30" s="134"/>
      <c r="E30" s="134">
        <f>I30</f>
        <v>5512.9220000000005</v>
      </c>
      <c r="F30" s="134">
        <f>J30</f>
        <v>30</v>
      </c>
      <c r="G30" s="134">
        <f>K30+P30+T30</f>
        <v>276037.4</v>
      </c>
      <c r="H30" s="138"/>
      <c r="I30" s="134">
        <f>1845.922+1247+2420</f>
        <v>5512.9220000000005</v>
      </c>
      <c r="J30" s="134">
        <f>30</f>
        <v>30</v>
      </c>
      <c r="K30" s="134">
        <f>88000+37.4+1000</f>
        <v>89037.4</v>
      </c>
      <c r="L30" s="469"/>
      <c r="M30" s="134"/>
      <c r="N30" s="134"/>
      <c r="O30" s="134"/>
      <c r="P30" s="134">
        <v>92000</v>
      </c>
      <c r="Q30" s="134"/>
      <c r="R30" s="134"/>
      <c r="S30" s="134"/>
      <c r="T30" s="134">
        <v>95000</v>
      </c>
      <c r="U30" s="469"/>
    </row>
    <row r="31" spans="1:21" ht="37.5">
      <c r="A31" s="258">
        <v>18</v>
      </c>
      <c r="B31" s="181" t="s">
        <v>171</v>
      </c>
      <c r="C31" s="134">
        <f t="shared" si="4"/>
        <v>-2814.09</v>
      </c>
      <c r="D31" s="134"/>
      <c r="E31" s="134"/>
      <c r="F31" s="134"/>
      <c r="G31" s="134">
        <f t="shared" si="1"/>
        <v>-2814.09</v>
      </c>
      <c r="H31" s="138"/>
      <c r="I31" s="134"/>
      <c r="J31" s="134"/>
      <c r="K31" s="134">
        <f>-2079.09+5+2054.09</f>
        <v>-20</v>
      </c>
      <c r="L31" s="469"/>
      <c r="M31" s="134"/>
      <c r="N31" s="134"/>
      <c r="O31" s="134"/>
      <c r="P31" s="134">
        <f>-2794.09</f>
        <v>-2794.09</v>
      </c>
      <c r="Q31" s="134"/>
      <c r="R31" s="134"/>
      <c r="S31" s="134"/>
      <c r="T31" s="134">
        <v>0</v>
      </c>
      <c r="U31" s="469"/>
    </row>
    <row r="32" spans="1:21" ht="18.75">
      <c r="A32" s="258">
        <v>19</v>
      </c>
      <c r="B32" s="181" t="s">
        <v>297</v>
      </c>
      <c r="C32" s="134">
        <f t="shared" si="4"/>
        <v>74070.2</v>
      </c>
      <c r="D32" s="134"/>
      <c r="E32" s="134"/>
      <c r="F32" s="134"/>
      <c r="G32" s="134">
        <f t="shared" si="1"/>
        <v>74070.2</v>
      </c>
      <c r="H32" s="138"/>
      <c r="I32" s="134"/>
      <c r="J32" s="134"/>
      <c r="K32" s="134">
        <v>74070.2</v>
      </c>
      <c r="L32" s="134"/>
      <c r="M32" s="134"/>
      <c r="N32" s="134"/>
      <c r="O32" s="134"/>
      <c r="P32" s="134">
        <v>0</v>
      </c>
      <c r="Q32" s="134"/>
      <c r="R32" s="134"/>
      <c r="S32" s="134"/>
      <c r="T32" s="134">
        <v>0</v>
      </c>
      <c r="U32" s="469"/>
    </row>
    <row r="33" spans="1:21" ht="18.75">
      <c r="A33" s="258">
        <v>20</v>
      </c>
      <c r="B33" s="181" t="s">
        <v>369</v>
      </c>
      <c r="C33" s="134">
        <f>E33+F33+G33+H33</f>
        <v>0</v>
      </c>
      <c r="D33" s="134"/>
      <c r="E33" s="134"/>
      <c r="F33" s="134"/>
      <c r="G33" s="134">
        <f t="shared" si="1"/>
        <v>0</v>
      </c>
      <c r="H33" s="138"/>
      <c r="I33" s="134"/>
      <c r="J33" s="134"/>
      <c r="K33" s="134">
        <v>0</v>
      </c>
      <c r="L33" s="134"/>
      <c r="M33" s="134"/>
      <c r="N33" s="134"/>
      <c r="O33" s="134"/>
      <c r="P33" s="134">
        <v>0</v>
      </c>
      <c r="Q33" s="134"/>
      <c r="R33" s="134"/>
      <c r="S33" s="134"/>
      <c r="T33" s="134">
        <v>0</v>
      </c>
      <c r="U33" s="469"/>
    </row>
    <row r="34" spans="1:21" ht="15.75" customHeight="1">
      <c r="A34" s="525" t="s">
        <v>5</v>
      </c>
      <c r="B34" s="527"/>
      <c r="C34" s="138">
        <f>E34+F34+G34+H34</f>
        <v>2656203.6459999997</v>
      </c>
      <c r="D34" s="138">
        <f>D14+D15+D16+D17+D18+D19+D20+D21+D22+D23+D24+D25+D26+D27+D28+D29+D30+D31</f>
        <v>2046641.0599999998</v>
      </c>
      <c r="E34" s="138">
        <f>E14+E15+E16+E17+E18+E19+E20+E21+E22+E23+E24+E25+E26+E27+E28+E29+E30+E31</f>
        <v>147327.522</v>
      </c>
      <c r="F34" s="138">
        <f>F14+F15+F16+F17+F18+F19+F20+F21+F22+F23+F24+F25+F26+F27+F28+F29+F30+F31</f>
        <v>30</v>
      </c>
      <c r="G34" s="138">
        <f>G14+G15+G16+G17+G18+G19+G20+G21+G22+G23+G24+G25+G26+G27+G28+G29+G30+G31+G32+G33</f>
        <v>2506646.124</v>
      </c>
      <c r="H34" s="138">
        <f>H14+H15+H16+H17+H18+H19+H20+H21+H22+H23+H24+H25+H26+H27+H28+H29+H30+H31+H32</f>
        <v>2200</v>
      </c>
      <c r="I34" s="138">
        <f>I14+I15+I16+I17+I18+I19+I20+I21+I22+I23+I24+I25+I26+I27+I28+I29+I30+I31+I32</f>
        <v>76228.922</v>
      </c>
      <c r="J34" s="138">
        <f>J14+J15+J16+J17+J18+J19+J20+J21+J22+J23+J24+J25+J26+J27+J28+J29+J30+J31+J32</f>
        <v>30</v>
      </c>
      <c r="K34" s="138">
        <f>K14+K15+K16+K17+K18+K19+K20+K21+K22+K23+K24+K25+K26+K27+K28+K29+K30+K31+K32+K33</f>
        <v>888829.233</v>
      </c>
      <c r="L34" s="138">
        <f aca="true" t="shared" si="5" ref="L34:U34">L14+L15+L16+L17+L18+L19+L20+L21+L22+L23+L24+L25+L26+L27+L28+L29+L30+L31+L32+L33</f>
        <v>656</v>
      </c>
      <c r="M34" s="138" t="e">
        <f t="shared" si="5"/>
        <v>#REF!</v>
      </c>
      <c r="N34" s="138">
        <f t="shared" si="5"/>
        <v>71098.6</v>
      </c>
      <c r="O34" s="138">
        <f t="shared" si="5"/>
        <v>0</v>
      </c>
      <c r="P34" s="138">
        <f>P14+P15+P16+P17+P18+P19+P20+P21+P22+P23+P24+P25+P26+P27+P28+P29+P30+P31+P32+P33</f>
        <v>859494.9389999999</v>
      </c>
      <c r="Q34" s="138">
        <f t="shared" si="5"/>
        <v>819</v>
      </c>
      <c r="R34" s="138">
        <f t="shared" si="5"/>
        <v>0</v>
      </c>
      <c r="S34" s="138">
        <f t="shared" si="5"/>
        <v>0</v>
      </c>
      <c r="T34" s="138">
        <f>T14+T15+T16+T17+T18+T19+T20+T21+T22+T23+T24+T25+T26+T27+T28+T29+T30+T31+T32+T33</f>
        <v>758321.952</v>
      </c>
      <c r="U34" s="138">
        <f t="shared" si="5"/>
        <v>725</v>
      </c>
    </row>
    <row r="35" spans="1:20" ht="15.75">
      <c r="A35" s="143"/>
      <c r="B35" s="143"/>
      <c r="C35" s="369"/>
      <c r="D35" s="369"/>
      <c r="E35" s="369"/>
      <c r="F35" s="369"/>
      <c r="G35" s="369"/>
      <c r="H35" s="369"/>
      <c r="I35" s="369"/>
      <c r="J35" s="369"/>
      <c r="K35" s="369"/>
      <c r="L35" s="369"/>
      <c r="M35" s="369"/>
      <c r="N35" s="369"/>
      <c r="O35" s="369"/>
      <c r="P35" s="369"/>
      <c r="Q35" s="369"/>
      <c r="R35" s="369"/>
      <c r="S35" s="369"/>
      <c r="T35" s="369"/>
    </row>
    <row r="36" spans="1:20" ht="15.75">
      <c r="A36" s="143"/>
      <c r="B36" s="143"/>
      <c r="C36" s="369"/>
      <c r="D36" s="369"/>
      <c r="E36" s="369"/>
      <c r="F36" s="369"/>
      <c r="G36" s="369"/>
      <c r="H36" s="369"/>
      <c r="I36" s="369"/>
      <c r="J36" s="369"/>
      <c r="K36" s="369"/>
      <c r="L36" s="369"/>
      <c r="M36" s="369"/>
      <c r="N36" s="369"/>
      <c r="O36" s="369"/>
      <c r="P36" s="369"/>
      <c r="Q36" s="369"/>
      <c r="R36" s="369"/>
      <c r="S36" s="369"/>
      <c r="T36" s="369"/>
    </row>
    <row r="37" spans="1:20" ht="15.75">
      <c r="A37" s="143"/>
      <c r="B37" s="143"/>
      <c r="C37" s="369"/>
      <c r="D37" s="369"/>
      <c r="E37" s="369"/>
      <c r="F37" s="369"/>
      <c r="G37" s="369"/>
      <c r="H37" s="369"/>
      <c r="I37" s="369"/>
      <c r="J37" s="369"/>
      <c r="K37" s="369"/>
      <c r="L37" s="369"/>
      <c r="M37" s="369"/>
      <c r="N37" s="369"/>
      <c r="O37" s="369"/>
      <c r="P37" s="369"/>
      <c r="Q37" s="369"/>
      <c r="R37" s="369"/>
      <c r="S37" s="369"/>
      <c r="T37" s="369"/>
    </row>
    <row r="38" spans="1:20" ht="15.75">
      <c r="A38" s="143"/>
      <c r="B38" s="143"/>
      <c r="C38" s="144"/>
      <c r="D38" s="144"/>
      <c r="E38" s="144"/>
      <c r="F38" s="144"/>
      <c r="G38" s="144"/>
      <c r="H38" s="144"/>
      <c r="I38" s="144"/>
      <c r="J38" s="144"/>
      <c r="K38" s="144"/>
      <c r="L38" s="144"/>
      <c r="M38" s="144"/>
      <c r="N38" s="144"/>
      <c r="O38" s="144"/>
      <c r="P38" s="369"/>
      <c r="Q38" s="370"/>
      <c r="R38" s="371"/>
      <c r="T38" s="372"/>
    </row>
    <row r="39" spans="1:21" ht="15.75" customHeight="1">
      <c r="A39" s="513" t="s">
        <v>18</v>
      </c>
      <c r="B39" s="513"/>
      <c r="C39" s="54"/>
      <c r="D39" s="26"/>
      <c r="E39" s="384"/>
      <c r="F39" s="385"/>
      <c r="G39" s="386"/>
      <c r="H39" s="378"/>
      <c r="I39" s="387"/>
      <c r="J39" s="387"/>
      <c r="K39" s="387"/>
      <c r="L39" s="387"/>
      <c r="P39" s="388"/>
      <c r="Q39" s="388"/>
      <c r="R39" s="530" t="s">
        <v>31</v>
      </c>
      <c r="S39" s="530"/>
      <c r="T39" s="244"/>
      <c r="U39" s="376"/>
    </row>
    <row r="40" spans="1:21" ht="15.75">
      <c r="A40" s="389"/>
      <c r="B40" s="389"/>
      <c r="C40" s="390"/>
      <c r="D40" s="378"/>
      <c r="F40" s="378"/>
      <c r="G40" s="378"/>
      <c r="H40" s="378"/>
      <c r="I40" s="144"/>
      <c r="J40" s="144"/>
      <c r="K40" s="144"/>
      <c r="L40" s="144"/>
      <c r="P40" s="388"/>
      <c r="R40" s="391"/>
      <c r="S40" s="391"/>
      <c r="T40" s="245"/>
      <c r="U40" s="376"/>
    </row>
    <row r="41" spans="1:21" ht="15.75" customHeight="1">
      <c r="A41" s="515" t="s">
        <v>605</v>
      </c>
      <c r="B41" s="515"/>
      <c r="C41" s="377"/>
      <c r="D41" s="378"/>
      <c r="E41" s="378"/>
      <c r="F41" s="368"/>
      <c r="G41" s="368"/>
      <c r="H41" s="368"/>
      <c r="I41" s="524"/>
      <c r="J41" s="524"/>
      <c r="K41" s="524"/>
      <c r="L41" s="524"/>
      <c r="M41" s="524"/>
      <c r="N41" s="524"/>
      <c r="O41" s="524"/>
      <c r="P41" s="524"/>
      <c r="Q41" s="464"/>
      <c r="R41" s="464"/>
      <c r="U41" s="464"/>
    </row>
    <row r="42" spans="1:20" ht="15.75">
      <c r="A42" s="379" t="s">
        <v>10</v>
      </c>
      <c r="B42" s="379"/>
      <c r="C42" s="388"/>
      <c r="D42" s="388"/>
      <c r="E42" s="388"/>
      <c r="F42" s="388"/>
      <c r="G42" s="388"/>
      <c r="H42" s="388"/>
      <c r="T42" s="392"/>
    </row>
    <row r="43" spans="1:18" ht="15.75">
      <c r="A43" s="393"/>
      <c r="B43" s="394"/>
      <c r="Q43" s="388"/>
      <c r="R43" s="388"/>
    </row>
    <row r="44" spans="1:2" ht="15">
      <c r="A44" s="393"/>
      <c r="B44" s="393"/>
    </row>
    <row r="45" spans="1:20" ht="15">
      <c r="A45" s="393"/>
      <c r="B45" s="393"/>
      <c r="E45" s="395"/>
      <c r="F45" s="395"/>
      <c r="G45" s="395"/>
      <c r="H45" s="395"/>
      <c r="I45" s="395"/>
      <c r="J45" s="395"/>
      <c r="K45" s="395"/>
      <c r="L45" s="395"/>
      <c r="M45" s="395"/>
      <c r="N45" s="395"/>
      <c r="O45" s="395"/>
      <c r="P45" s="395"/>
      <c r="Q45" s="395"/>
      <c r="R45" s="395"/>
      <c r="S45" s="395"/>
      <c r="T45" s="395"/>
    </row>
    <row r="46" spans="1:2" ht="15">
      <c r="A46" s="393"/>
      <c r="B46" s="393"/>
    </row>
    <row r="47" spans="1:2" ht="15">
      <c r="A47" s="393"/>
      <c r="B47" s="393"/>
    </row>
    <row r="48" spans="1:18" ht="15">
      <c r="A48" s="393"/>
      <c r="B48" s="393"/>
      <c r="Q48" s="388"/>
      <c r="R48" s="388"/>
    </row>
    <row r="49" spans="1:18" ht="15">
      <c r="A49" s="393"/>
      <c r="B49" s="393"/>
      <c r="C49" s="388"/>
      <c r="D49" s="388"/>
      <c r="E49" s="388"/>
      <c r="F49" s="388"/>
      <c r="G49" s="388"/>
      <c r="H49" s="388"/>
      <c r="I49" s="388"/>
      <c r="J49" s="388"/>
      <c r="K49" s="388"/>
      <c r="L49" s="388"/>
      <c r="M49" s="388"/>
      <c r="N49" s="388"/>
      <c r="O49" s="388"/>
      <c r="P49" s="388"/>
      <c r="Q49" s="388"/>
      <c r="R49" s="388"/>
    </row>
    <row r="50" spans="1:18" ht="15">
      <c r="A50" s="393"/>
      <c r="B50" s="393"/>
      <c r="C50" s="388"/>
      <c r="D50" s="388"/>
      <c r="E50" s="388"/>
      <c r="F50" s="388"/>
      <c r="G50" s="388"/>
      <c r="H50" s="388"/>
      <c r="Q50" s="388"/>
      <c r="R50" s="388"/>
    </row>
    <row r="51" spans="1:2" ht="15">
      <c r="A51" s="393"/>
      <c r="B51" s="393"/>
    </row>
    <row r="52" spans="1:2" ht="15">
      <c r="A52" s="393"/>
      <c r="B52" s="393"/>
    </row>
    <row r="53" spans="1:18" ht="15">
      <c r="A53" s="393"/>
      <c r="B53" s="393"/>
      <c r="Q53" s="388"/>
      <c r="R53" s="388"/>
    </row>
    <row r="54" spans="1:2" ht="15">
      <c r="A54" s="393"/>
      <c r="B54" s="393"/>
    </row>
    <row r="55" spans="1:18" ht="15">
      <c r="A55" s="393"/>
      <c r="B55" s="393"/>
      <c r="Q55" s="388"/>
      <c r="R55" s="388"/>
    </row>
    <row r="56" spans="1:2" ht="15">
      <c r="A56" s="393"/>
      <c r="B56" s="393"/>
    </row>
    <row r="57" spans="1:2" ht="15">
      <c r="A57" s="393"/>
      <c r="B57" s="393"/>
    </row>
    <row r="58" spans="1:2" ht="15">
      <c r="A58" s="393"/>
      <c r="B58" s="393"/>
    </row>
    <row r="59" spans="1:2" ht="15">
      <c r="A59" s="393"/>
      <c r="B59" s="393"/>
    </row>
    <row r="60" spans="1:2" ht="15">
      <c r="A60" s="393"/>
      <c r="B60" s="393"/>
    </row>
    <row r="61" spans="1:2" ht="15">
      <c r="A61" s="393"/>
      <c r="B61" s="393"/>
    </row>
    <row r="62" spans="1:2" ht="15">
      <c r="A62" s="393"/>
      <c r="B62" s="393"/>
    </row>
    <row r="63" spans="1:2" ht="15">
      <c r="A63" s="393"/>
      <c r="B63" s="393"/>
    </row>
    <row r="64" spans="1:2" ht="15">
      <c r="A64" s="393"/>
      <c r="B64" s="393"/>
    </row>
    <row r="65" spans="1:2" ht="15">
      <c r="A65" s="393"/>
      <c r="B65" s="393"/>
    </row>
    <row r="66" spans="1:2" ht="15">
      <c r="A66" s="393"/>
      <c r="B66" s="393"/>
    </row>
    <row r="67" spans="1:2" ht="15">
      <c r="A67" s="393"/>
      <c r="B67" s="393"/>
    </row>
    <row r="68" spans="1:2" ht="15">
      <c r="A68" s="393"/>
      <c r="B68" s="393"/>
    </row>
    <row r="69" spans="1:2" ht="15">
      <c r="A69" s="393"/>
      <c r="B69" s="393"/>
    </row>
    <row r="70" spans="1:2" ht="15">
      <c r="A70" s="393"/>
      <c r="B70" s="393"/>
    </row>
    <row r="71" spans="1:2" ht="15">
      <c r="A71" s="393"/>
      <c r="B71" s="393"/>
    </row>
    <row r="72" spans="1:2" ht="15">
      <c r="A72" s="393"/>
      <c r="B72" s="393"/>
    </row>
    <row r="73" spans="1:2" ht="15">
      <c r="A73" s="393"/>
      <c r="B73" s="393"/>
    </row>
    <row r="74" spans="1:2" ht="15">
      <c r="A74" s="393"/>
      <c r="B74" s="393"/>
    </row>
    <row r="75" spans="1:2" ht="15">
      <c r="A75" s="393"/>
      <c r="B75" s="393"/>
    </row>
    <row r="76" spans="1:2" ht="15">
      <c r="A76" s="393"/>
      <c r="B76" s="393"/>
    </row>
    <row r="77" spans="1:2" ht="15">
      <c r="A77" s="393"/>
      <c r="B77" s="393"/>
    </row>
    <row r="78" spans="1:2" ht="15">
      <c r="A78" s="393"/>
      <c r="B78" s="393"/>
    </row>
    <row r="79" spans="1:2" ht="15">
      <c r="A79" s="393"/>
      <c r="B79" s="393"/>
    </row>
    <row r="80" spans="1:2" ht="15">
      <c r="A80" s="393"/>
      <c r="B80" s="393"/>
    </row>
    <row r="81" spans="1:2" ht="15">
      <c r="A81" s="393"/>
      <c r="B81" s="393"/>
    </row>
    <row r="82" ht="15">
      <c r="A82" s="393"/>
    </row>
  </sheetData>
  <sheetProtection/>
  <mergeCells count="21">
    <mergeCell ref="R39:S39"/>
    <mergeCell ref="C11:C13"/>
    <mergeCell ref="A39:B39"/>
    <mergeCell ref="M12:M13"/>
    <mergeCell ref="E11:H11"/>
    <mergeCell ref="A11:A13"/>
    <mergeCell ref="A41:B41"/>
    <mergeCell ref="I41:P41"/>
    <mergeCell ref="G12:G13"/>
    <mergeCell ref="H12:H13"/>
    <mergeCell ref="I12:L12"/>
    <mergeCell ref="B11:B13"/>
    <mergeCell ref="E12:E13"/>
    <mergeCell ref="A34:B34"/>
    <mergeCell ref="O2:R7"/>
    <mergeCell ref="I11:U11"/>
    <mergeCell ref="N12:Q12"/>
    <mergeCell ref="F12:F13"/>
    <mergeCell ref="R12:U12"/>
    <mergeCell ref="A9:T9"/>
    <mergeCell ref="M10:T10"/>
  </mergeCells>
  <printOptions/>
  <pageMargins left="1.1811023622047245" right="0.5905511811023623" top="1.1811023622047245" bottom="0.7874015748031497" header="0.31496062992125984" footer="0.31496062992125984"/>
  <pageSetup fitToHeight="0" fitToWidth="1" horizontalDpi="600" verticalDpi="600" orientation="landscape" paperSize="9" scale="36" r:id="rId1"/>
</worksheet>
</file>

<file path=xl/worksheets/sheet5.xml><?xml version="1.0" encoding="utf-8"?>
<worksheet xmlns="http://schemas.openxmlformats.org/spreadsheetml/2006/main" xmlns:r="http://schemas.openxmlformats.org/officeDocument/2006/relationships">
  <sheetPr>
    <tabColor rgb="FFFFFF00"/>
  </sheetPr>
  <dimension ref="A1:M136"/>
  <sheetViews>
    <sheetView view="pageBreakPreview" zoomScale="78" zoomScaleSheetLayoutView="78" zoomScalePageLayoutView="0" workbookViewId="0" topLeftCell="A10">
      <selection activeCell="H18" sqref="H18"/>
    </sheetView>
  </sheetViews>
  <sheetFormatPr defaultColWidth="9.140625" defaultRowHeight="12.75"/>
  <cols>
    <col min="1" max="1" width="5.7109375" style="14" customWidth="1"/>
    <col min="2" max="2" width="48.140625" style="14" customWidth="1"/>
    <col min="3" max="3" width="18.28125" style="14" customWidth="1"/>
    <col min="4" max="4" width="19.28125" style="14" customWidth="1"/>
    <col min="5" max="5" width="17.140625" style="14" customWidth="1"/>
    <col min="6" max="6" width="16.8515625" style="14" customWidth="1"/>
    <col min="7" max="7" width="22.28125" style="14" customWidth="1"/>
    <col min="8" max="8" width="63.8515625" style="14" customWidth="1"/>
    <col min="9" max="10" width="9.140625" style="14" hidden="1" customWidth="1"/>
    <col min="11" max="16384" width="9.140625" style="14" customWidth="1"/>
  </cols>
  <sheetData>
    <row r="1" spans="8:11" ht="18.75">
      <c r="H1" s="201" t="s">
        <v>564</v>
      </c>
      <c r="I1" s="59"/>
      <c r="J1" s="12"/>
      <c r="K1" s="12"/>
    </row>
    <row r="2" spans="8:11" ht="18.75">
      <c r="H2" s="59" t="s">
        <v>11</v>
      </c>
      <c r="I2" s="59"/>
      <c r="J2" s="12"/>
      <c r="K2" s="12"/>
    </row>
    <row r="3" spans="8:11" ht="18.75">
      <c r="H3" s="531" t="s">
        <v>370</v>
      </c>
      <c r="I3" s="531"/>
      <c r="J3" s="12"/>
      <c r="K3" s="12"/>
    </row>
    <row r="4" spans="8:11" ht="18.75">
      <c r="H4" s="531" t="s">
        <v>34</v>
      </c>
      <c r="I4" s="531"/>
      <c r="J4" s="12"/>
      <c r="K4" s="12"/>
    </row>
    <row r="5" spans="8:13" ht="18.75">
      <c r="H5" s="73" t="s">
        <v>8</v>
      </c>
      <c r="I5" s="73"/>
      <c r="J5" s="17"/>
      <c r="K5" s="17"/>
      <c r="L5" s="17"/>
      <c r="M5" s="17"/>
    </row>
    <row r="6" spans="2:11" ht="18.75">
      <c r="B6" s="15"/>
      <c r="C6" s="15"/>
      <c r="D6" s="15"/>
      <c r="H6" s="531" t="s">
        <v>244</v>
      </c>
      <c r="I6" s="531"/>
      <c r="J6" s="12"/>
      <c r="K6" s="12"/>
    </row>
    <row r="7" spans="2:13" ht="36" customHeight="1">
      <c r="B7" s="15"/>
      <c r="C7" s="15"/>
      <c r="D7" s="15"/>
      <c r="H7" s="532" t="s">
        <v>606</v>
      </c>
      <c r="I7" s="533"/>
      <c r="J7" s="17"/>
      <c r="K7" s="17"/>
      <c r="L7" s="17"/>
      <c r="M7" s="17"/>
    </row>
    <row r="8" spans="2:13" ht="15.75" customHeight="1">
      <c r="B8" s="15"/>
      <c r="C8" s="15"/>
      <c r="D8" s="15"/>
      <c r="H8" s="405" t="s">
        <v>626</v>
      </c>
      <c r="I8" s="56"/>
      <c r="J8" s="17"/>
      <c r="K8" s="17"/>
      <c r="L8" s="17"/>
      <c r="M8" s="17"/>
    </row>
    <row r="9" spans="2:9" ht="12" customHeight="1">
      <c r="B9" s="15"/>
      <c r="C9" s="15"/>
      <c r="D9" s="15"/>
      <c r="E9" s="15"/>
      <c r="F9" s="15"/>
      <c r="G9" s="15"/>
      <c r="H9" s="12"/>
      <c r="I9" s="12"/>
    </row>
    <row r="10" spans="1:9" ht="17.25" customHeight="1">
      <c r="A10" s="537" t="s">
        <v>487</v>
      </c>
      <c r="B10" s="537"/>
      <c r="C10" s="537"/>
      <c r="D10" s="537"/>
      <c r="E10" s="537"/>
      <c r="F10" s="537"/>
      <c r="G10" s="537"/>
      <c r="H10" s="537"/>
      <c r="I10" s="15"/>
    </row>
    <row r="11" spans="2:9" ht="13.5" customHeight="1">
      <c r="B11" s="34"/>
      <c r="C11" s="34"/>
      <c r="D11" s="34"/>
      <c r="E11" s="34"/>
      <c r="F11" s="34"/>
      <c r="G11" s="34"/>
      <c r="H11" s="473" t="s">
        <v>481</v>
      </c>
      <c r="I11" s="15"/>
    </row>
    <row r="12" spans="1:9" ht="19.5" customHeight="1">
      <c r="A12" s="534" t="s">
        <v>33</v>
      </c>
      <c r="B12" s="534" t="s">
        <v>12</v>
      </c>
      <c r="C12" s="534" t="s">
        <v>13</v>
      </c>
      <c r="D12" s="534" t="s">
        <v>488</v>
      </c>
      <c r="E12" s="539" t="s">
        <v>9</v>
      </c>
      <c r="F12" s="539"/>
      <c r="G12" s="539"/>
      <c r="H12" s="539" t="s">
        <v>15</v>
      </c>
      <c r="I12" s="15"/>
    </row>
    <row r="13" spans="1:9" ht="15.75" customHeight="1">
      <c r="A13" s="535"/>
      <c r="B13" s="535"/>
      <c r="C13" s="535"/>
      <c r="D13" s="535"/>
      <c r="E13" s="534" t="s">
        <v>484</v>
      </c>
      <c r="F13" s="534" t="s">
        <v>485</v>
      </c>
      <c r="G13" s="534" t="s">
        <v>486</v>
      </c>
      <c r="H13" s="539"/>
      <c r="I13" s="15"/>
    </row>
    <row r="14" spans="1:9" ht="21" customHeight="1">
      <c r="A14" s="536"/>
      <c r="B14" s="536"/>
      <c r="C14" s="536"/>
      <c r="D14" s="536"/>
      <c r="E14" s="536"/>
      <c r="F14" s="536"/>
      <c r="G14" s="536"/>
      <c r="H14" s="539"/>
      <c r="I14" s="15"/>
    </row>
    <row r="15" spans="1:9" ht="33.75" customHeight="1" hidden="1">
      <c r="A15" s="66">
        <v>1</v>
      </c>
      <c r="B15" s="61" t="s">
        <v>35</v>
      </c>
      <c r="C15" s="36" t="s">
        <v>16</v>
      </c>
      <c r="D15" s="74" t="e">
        <f>#REF!+E15+F15+G15</f>
        <v>#REF!</v>
      </c>
      <c r="E15" s="74"/>
      <c r="F15" s="74"/>
      <c r="G15" s="74"/>
      <c r="H15" s="36" t="s">
        <v>36</v>
      </c>
      <c r="I15" s="15"/>
    </row>
    <row r="16" spans="1:9" ht="52.5" customHeight="1">
      <c r="A16" s="66">
        <v>1</v>
      </c>
      <c r="B16" s="61" t="s">
        <v>100</v>
      </c>
      <c r="C16" s="36" t="s">
        <v>16</v>
      </c>
      <c r="D16" s="75">
        <f>E16+F16+G16</f>
        <v>164435.48</v>
      </c>
      <c r="E16" s="75">
        <f>50073.4-73.4</f>
        <v>50000</v>
      </c>
      <c r="F16" s="75">
        <f>55744+70.48</f>
        <v>55814.48</v>
      </c>
      <c r="G16" s="75">
        <v>58621</v>
      </c>
      <c r="H16" s="36" t="s">
        <v>641</v>
      </c>
      <c r="I16" s="15"/>
    </row>
    <row r="17" spans="1:9" ht="34.5" customHeight="1" hidden="1">
      <c r="A17" s="66">
        <f>A16+1</f>
        <v>2</v>
      </c>
      <c r="B17" s="61" t="s">
        <v>37</v>
      </c>
      <c r="C17" s="36" t="s">
        <v>16</v>
      </c>
      <c r="D17" s="75">
        <f aca="true" t="shared" si="0" ref="D17:D31">E17+F17+G17</f>
        <v>0</v>
      </c>
      <c r="E17" s="75"/>
      <c r="F17" s="75"/>
      <c r="G17" s="75"/>
      <c r="H17" s="36" t="s">
        <v>36</v>
      </c>
      <c r="I17" s="15"/>
    </row>
    <row r="18" spans="1:9" ht="57" customHeight="1">
      <c r="A18" s="66">
        <v>2</v>
      </c>
      <c r="B18" s="61" t="s">
        <v>102</v>
      </c>
      <c r="C18" s="36" t="s">
        <v>16</v>
      </c>
      <c r="D18" s="75">
        <f>E18+F18+G18</f>
        <v>256047.8</v>
      </c>
      <c r="E18" s="75">
        <f>77890</f>
        <v>77890</v>
      </c>
      <c r="F18" s="75">
        <f>86838</f>
        <v>86838</v>
      </c>
      <c r="G18" s="38">
        <v>91319.8</v>
      </c>
      <c r="H18" s="36" t="s">
        <v>459</v>
      </c>
      <c r="I18" s="15"/>
    </row>
    <row r="19" spans="1:9" ht="77.25" customHeight="1">
      <c r="A19" s="328" t="s">
        <v>441</v>
      </c>
      <c r="B19" s="61" t="s">
        <v>528</v>
      </c>
      <c r="C19" s="36" t="s">
        <v>73</v>
      </c>
      <c r="D19" s="75">
        <f>E19+F19+G19</f>
        <v>82900</v>
      </c>
      <c r="E19" s="75">
        <v>41900</v>
      </c>
      <c r="F19" s="75">
        <v>41000</v>
      </c>
      <c r="G19" s="38"/>
      <c r="H19" s="36" t="s">
        <v>101</v>
      </c>
      <c r="I19" s="15"/>
    </row>
    <row r="20" spans="1:9" ht="58.5" customHeight="1">
      <c r="A20" s="66">
        <v>3</v>
      </c>
      <c r="B20" s="61" t="s">
        <v>103</v>
      </c>
      <c r="C20" s="36" t="s">
        <v>16</v>
      </c>
      <c r="D20" s="75">
        <f t="shared" si="0"/>
        <v>132404.7</v>
      </c>
      <c r="E20" s="75">
        <f>41000</f>
        <v>41000</v>
      </c>
      <c r="F20" s="37">
        <f>43480.3+2200</f>
        <v>45680.3</v>
      </c>
      <c r="G20" s="38">
        <v>45724.4</v>
      </c>
      <c r="H20" s="36" t="s">
        <v>459</v>
      </c>
      <c r="I20" s="15"/>
    </row>
    <row r="21" spans="1:9" ht="56.25">
      <c r="A21" s="66">
        <v>4</v>
      </c>
      <c r="B21" s="181" t="s">
        <v>230</v>
      </c>
      <c r="C21" s="258" t="s">
        <v>16</v>
      </c>
      <c r="D21" s="134">
        <f>E21+F21+G21</f>
        <v>1850</v>
      </c>
      <c r="E21" s="134">
        <v>400</v>
      </c>
      <c r="F21" s="134">
        <f>400+550</f>
        <v>950</v>
      </c>
      <c r="G21" s="134">
        <v>500</v>
      </c>
      <c r="H21" s="36" t="s">
        <v>104</v>
      </c>
      <c r="I21" s="15"/>
    </row>
    <row r="22" spans="1:9" ht="75" customHeight="1">
      <c r="A22" s="36">
        <v>5</v>
      </c>
      <c r="B22" s="181" t="s">
        <v>277</v>
      </c>
      <c r="C22" s="258" t="s">
        <v>16</v>
      </c>
      <c r="D22" s="134">
        <f t="shared" si="0"/>
        <v>21800</v>
      </c>
      <c r="E22" s="134">
        <v>6000</v>
      </c>
      <c r="F22" s="134">
        <f>8000-2200</f>
        <v>5800</v>
      </c>
      <c r="G22" s="134">
        <v>10000</v>
      </c>
      <c r="H22" s="36" t="s">
        <v>105</v>
      </c>
      <c r="I22" s="15"/>
    </row>
    <row r="23" spans="1:9" ht="76.5" customHeight="1">
      <c r="A23" s="36">
        <v>6</v>
      </c>
      <c r="B23" s="181" t="s">
        <v>278</v>
      </c>
      <c r="C23" s="258" t="s">
        <v>16</v>
      </c>
      <c r="D23" s="134">
        <f t="shared" si="0"/>
        <v>418730</v>
      </c>
      <c r="E23" s="134">
        <f>25000+100000</f>
        <v>125000</v>
      </c>
      <c r="F23" s="134">
        <f>30000+111488</f>
        <v>141488</v>
      </c>
      <c r="G23" s="134">
        <f>35000+117242</f>
        <v>152242</v>
      </c>
      <c r="H23" s="36" t="s">
        <v>106</v>
      </c>
      <c r="I23" s="15"/>
    </row>
    <row r="24" spans="1:9" ht="18" customHeight="1" hidden="1">
      <c r="A24" s="36"/>
      <c r="B24" s="61" t="s">
        <v>38</v>
      </c>
      <c r="C24" s="76"/>
      <c r="D24" s="75">
        <f t="shared" si="0"/>
        <v>0</v>
      </c>
      <c r="E24" s="75"/>
      <c r="F24" s="37"/>
      <c r="G24" s="75"/>
      <c r="H24" s="36" t="s">
        <v>39</v>
      </c>
      <c r="I24" s="15"/>
    </row>
    <row r="25" spans="1:9" ht="20.25" customHeight="1" hidden="1">
      <c r="A25" s="36"/>
      <c r="B25" s="61" t="s">
        <v>40</v>
      </c>
      <c r="C25" s="76"/>
      <c r="D25" s="75">
        <f t="shared" si="0"/>
        <v>0</v>
      </c>
      <c r="E25" s="75"/>
      <c r="F25" s="37"/>
      <c r="G25" s="75"/>
      <c r="H25" s="36" t="s">
        <v>39</v>
      </c>
      <c r="I25" s="15"/>
    </row>
    <row r="26" spans="1:9" ht="21" customHeight="1" hidden="1">
      <c r="A26" s="36"/>
      <c r="B26" s="61" t="s">
        <v>41</v>
      </c>
      <c r="C26" s="76"/>
      <c r="D26" s="75">
        <f t="shared" si="0"/>
        <v>0</v>
      </c>
      <c r="E26" s="75"/>
      <c r="F26" s="37"/>
      <c r="G26" s="75"/>
      <c r="H26" s="36" t="s">
        <v>39</v>
      </c>
      <c r="I26" s="15"/>
    </row>
    <row r="27" spans="1:9" ht="30.75" customHeight="1" hidden="1">
      <c r="A27" s="36"/>
      <c r="B27" s="61" t="s">
        <v>42</v>
      </c>
      <c r="C27" s="36" t="s">
        <v>16</v>
      </c>
      <c r="D27" s="75">
        <f t="shared" si="0"/>
        <v>0</v>
      </c>
      <c r="E27" s="75"/>
      <c r="F27" s="75"/>
      <c r="G27" s="75"/>
      <c r="H27" s="36" t="s">
        <v>39</v>
      </c>
      <c r="I27" s="15"/>
    </row>
    <row r="28" spans="1:9" ht="18" customHeight="1" hidden="1">
      <c r="A28" s="36"/>
      <c r="B28" s="61" t="s">
        <v>43</v>
      </c>
      <c r="C28" s="36" t="s">
        <v>16</v>
      </c>
      <c r="D28" s="75">
        <f t="shared" si="0"/>
        <v>0</v>
      </c>
      <c r="E28" s="75"/>
      <c r="F28" s="75"/>
      <c r="G28" s="75"/>
      <c r="H28" s="36" t="s">
        <v>39</v>
      </c>
      <c r="I28" s="15"/>
    </row>
    <row r="29" spans="1:9" ht="60" customHeight="1">
      <c r="A29" s="36">
        <v>7</v>
      </c>
      <c r="B29" s="61" t="s">
        <v>108</v>
      </c>
      <c r="C29" s="36" t="s">
        <v>16</v>
      </c>
      <c r="D29" s="75">
        <f t="shared" si="0"/>
        <v>26660</v>
      </c>
      <c r="E29" s="75">
        <v>8110</v>
      </c>
      <c r="F29" s="75">
        <v>9041.7</v>
      </c>
      <c r="G29" s="75">
        <v>9508.3</v>
      </c>
      <c r="H29" s="36" t="s">
        <v>107</v>
      </c>
      <c r="I29" s="15"/>
    </row>
    <row r="30" spans="1:9" ht="78" customHeight="1">
      <c r="A30" s="36">
        <v>8</v>
      </c>
      <c r="B30" s="181" t="s">
        <v>109</v>
      </c>
      <c r="C30" s="258" t="s">
        <v>16</v>
      </c>
      <c r="D30" s="134">
        <f t="shared" si="0"/>
        <v>51200</v>
      </c>
      <c r="E30" s="134">
        <v>18100</v>
      </c>
      <c r="F30" s="134">
        <f>15000+3100</f>
        <v>18100</v>
      </c>
      <c r="G30" s="134">
        <v>15000</v>
      </c>
      <c r="H30" s="36" t="s">
        <v>110</v>
      </c>
      <c r="I30" s="15"/>
    </row>
    <row r="31" spans="1:9" ht="75" customHeight="1">
      <c r="A31" s="36">
        <v>9</v>
      </c>
      <c r="B31" s="181" t="s">
        <v>464</v>
      </c>
      <c r="C31" s="258" t="s">
        <v>16</v>
      </c>
      <c r="D31" s="134">
        <f t="shared" si="0"/>
        <v>1000</v>
      </c>
      <c r="E31" s="134"/>
      <c r="F31" s="134">
        <f>0+1000</f>
        <v>1000</v>
      </c>
      <c r="G31" s="134"/>
      <c r="H31" s="36" t="s">
        <v>110</v>
      </c>
      <c r="I31" s="15"/>
    </row>
    <row r="32" spans="1:9" ht="18.75">
      <c r="A32" s="77"/>
      <c r="B32" s="78" t="s">
        <v>5</v>
      </c>
      <c r="C32" s="78"/>
      <c r="D32" s="62">
        <f>D16+D18+D20+D21+D22+D23+D29+D30+D19+D31</f>
        <v>1157027.98</v>
      </c>
      <c r="E32" s="62">
        <f>E16+E18+E20+E21+E22+E23+E29+E30+E19</f>
        <v>368400</v>
      </c>
      <c r="F32" s="62">
        <f>F16+F18+F20+F21+F22+F23+F29+F30+F19+F31</f>
        <v>405712.48000000004</v>
      </c>
      <c r="G32" s="62">
        <f>G16+G18+G20+G21+G22+G23+G29+G30+G19</f>
        <v>382915.49999999994</v>
      </c>
      <c r="H32" s="72"/>
      <c r="I32" s="15"/>
    </row>
    <row r="33" spans="1:9" ht="15.75">
      <c r="A33" s="41"/>
      <c r="B33" s="202"/>
      <c r="C33" s="202"/>
      <c r="D33" s="19"/>
      <c r="E33" s="19"/>
      <c r="F33" s="19"/>
      <c r="G33" s="19"/>
      <c r="H33" s="20"/>
      <c r="I33" s="15"/>
    </row>
    <row r="34" spans="1:9" ht="11.25" customHeight="1">
      <c r="A34" s="41"/>
      <c r="B34" s="307"/>
      <c r="C34" s="202"/>
      <c r="D34" s="19"/>
      <c r="E34" s="19"/>
      <c r="F34" s="19"/>
      <c r="G34" s="19"/>
      <c r="H34" s="20"/>
      <c r="I34" s="15"/>
    </row>
    <row r="35" spans="1:9" ht="15.75">
      <c r="A35" s="41"/>
      <c r="B35" s="202"/>
      <c r="C35" s="202"/>
      <c r="D35" s="19"/>
      <c r="E35" s="19"/>
      <c r="F35" s="19"/>
      <c r="G35" s="19"/>
      <c r="H35" s="20"/>
      <c r="I35" s="15"/>
    </row>
    <row r="36" spans="2:9" ht="15.75">
      <c r="B36" s="15"/>
      <c r="C36" s="15"/>
      <c r="D36" s="15"/>
      <c r="E36" s="15"/>
      <c r="F36" s="15"/>
      <c r="G36" s="15"/>
      <c r="H36" s="15"/>
      <c r="I36" s="15"/>
    </row>
    <row r="37" spans="2:11" ht="20.25" customHeight="1">
      <c r="B37" s="513" t="s">
        <v>18</v>
      </c>
      <c r="C37" s="513"/>
      <c r="D37" s="413"/>
      <c r="E37" s="22"/>
      <c r="F37" s="203"/>
      <c r="G37" s="16"/>
      <c r="H37" s="261" t="s">
        <v>7</v>
      </c>
      <c r="J37" s="23"/>
      <c r="K37" s="24"/>
    </row>
    <row r="38" spans="2:11" ht="18.75">
      <c r="B38" s="413"/>
      <c r="C38" s="413"/>
      <c r="D38" s="413"/>
      <c r="E38" s="22"/>
      <c r="F38" s="203"/>
      <c r="G38" s="16"/>
      <c r="H38" s="261"/>
      <c r="J38" s="23"/>
      <c r="K38" s="24"/>
    </row>
    <row r="39" spans="2:11" ht="18.75">
      <c r="B39" s="538" t="s">
        <v>602</v>
      </c>
      <c r="C39" s="538"/>
      <c r="D39" s="25"/>
      <c r="E39" s="26"/>
      <c r="F39" s="26"/>
      <c r="G39" s="26"/>
      <c r="H39" s="26"/>
      <c r="I39" s="26"/>
      <c r="J39" s="15"/>
      <c r="K39" s="15"/>
    </row>
    <row r="40" spans="2:11" ht="15.75" customHeight="1">
      <c r="B40" s="27" t="s">
        <v>45</v>
      </c>
      <c r="C40" s="27"/>
      <c r="D40" s="26"/>
      <c r="E40" s="26"/>
      <c r="F40" s="26"/>
      <c r="G40" s="26"/>
      <c r="H40" s="26"/>
      <c r="I40" s="26"/>
      <c r="J40" s="15"/>
      <c r="K40" s="15"/>
    </row>
    <row r="41" spans="2:9" ht="15.75">
      <c r="B41" s="15"/>
      <c r="C41" s="15"/>
      <c r="D41" s="15"/>
      <c r="E41" s="15"/>
      <c r="F41" s="15"/>
      <c r="G41" s="15"/>
      <c r="H41" s="15"/>
      <c r="I41" s="15"/>
    </row>
    <row r="42" spans="2:9" ht="15.75">
      <c r="B42" s="15"/>
      <c r="C42" s="15"/>
      <c r="D42" s="15"/>
      <c r="E42" s="15"/>
      <c r="F42" s="15"/>
      <c r="G42" s="15"/>
      <c r="H42" s="15"/>
      <c r="I42" s="15"/>
    </row>
    <row r="43" spans="2:9" ht="15.75">
      <c r="B43" s="15"/>
      <c r="C43" s="15"/>
      <c r="D43" s="15"/>
      <c r="E43" s="15"/>
      <c r="F43" s="15"/>
      <c r="G43" s="15"/>
      <c r="H43" s="15"/>
      <c r="I43" s="15"/>
    </row>
    <row r="44" spans="2:9" ht="15.75">
      <c r="B44" s="15"/>
      <c r="C44" s="15"/>
      <c r="D44" s="15"/>
      <c r="E44" s="15"/>
      <c r="F44" s="15"/>
      <c r="G44" s="15"/>
      <c r="H44" s="15"/>
      <c r="I44" s="15"/>
    </row>
    <row r="45" spans="2:9" ht="15.75">
      <c r="B45" s="15"/>
      <c r="C45" s="15"/>
      <c r="D45" s="15"/>
      <c r="E45" s="15"/>
      <c r="F45" s="15"/>
      <c r="G45" s="15"/>
      <c r="H45" s="15"/>
      <c r="I45" s="15"/>
    </row>
    <row r="46" spans="2:9" ht="15.75">
      <c r="B46" s="15"/>
      <c r="C46" s="15"/>
      <c r="D46" s="15"/>
      <c r="E46" s="15"/>
      <c r="F46" s="15"/>
      <c r="G46" s="15"/>
      <c r="H46" s="15"/>
      <c r="I46" s="15"/>
    </row>
    <row r="47" spans="2:9" ht="15.75">
      <c r="B47" s="15"/>
      <c r="C47" s="15"/>
      <c r="D47" s="15"/>
      <c r="E47" s="15"/>
      <c r="F47" s="15"/>
      <c r="G47" s="15"/>
      <c r="H47" s="15"/>
      <c r="I47" s="15"/>
    </row>
    <row r="48" spans="2:9" ht="15.75">
      <c r="B48" s="15"/>
      <c r="C48" s="15"/>
      <c r="D48" s="15"/>
      <c r="E48" s="15"/>
      <c r="F48" s="15"/>
      <c r="G48" s="15"/>
      <c r="H48" s="15"/>
      <c r="I48" s="15"/>
    </row>
    <row r="49" spans="2:9" ht="15.75">
      <c r="B49" s="15"/>
      <c r="C49" s="15"/>
      <c r="D49" s="15"/>
      <c r="E49" s="15"/>
      <c r="F49" s="15"/>
      <c r="G49" s="15"/>
      <c r="H49" s="15"/>
      <c r="I49" s="15"/>
    </row>
    <row r="50" spans="2:9" ht="15.75">
      <c r="B50" s="15"/>
      <c r="C50" s="15"/>
      <c r="D50" s="15"/>
      <c r="E50" s="15"/>
      <c r="F50" s="15"/>
      <c r="G50" s="15"/>
      <c r="H50" s="15"/>
      <c r="I50" s="15"/>
    </row>
    <row r="51" spans="2:9" ht="15.75">
      <c r="B51" s="15"/>
      <c r="C51" s="15"/>
      <c r="D51" s="15"/>
      <c r="E51" s="15"/>
      <c r="F51" s="15"/>
      <c r="G51" s="15"/>
      <c r="H51" s="15"/>
      <c r="I51" s="15"/>
    </row>
    <row r="52" spans="2:9" ht="15.75">
      <c r="B52" s="15"/>
      <c r="C52" s="15"/>
      <c r="D52" s="15"/>
      <c r="E52" s="15"/>
      <c r="F52" s="15"/>
      <c r="G52" s="15"/>
      <c r="H52" s="15"/>
      <c r="I52" s="15"/>
    </row>
    <row r="53" spans="2:9" ht="15.75">
      <c r="B53" s="15"/>
      <c r="C53" s="15"/>
      <c r="D53" s="15"/>
      <c r="E53" s="15"/>
      <c r="F53" s="15"/>
      <c r="G53" s="15"/>
      <c r="H53" s="15"/>
      <c r="I53" s="15"/>
    </row>
    <row r="54" spans="2:9" ht="15.75">
      <c r="B54" s="15"/>
      <c r="C54" s="15"/>
      <c r="D54" s="15"/>
      <c r="E54" s="15"/>
      <c r="F54" s="15"/>
      <c r="G54" s="15"/>
      <c r="H54" s="15"/>
      <c r="I54" s="15"/>
    </row>
    <row r="55" spans="2:9" ht="15.75">
      <c r="B55" s="15"/>
      <c r="C55" s="15"/>
      <c r="D55" s="15"/>
      <c r="E55" s="15"/>
      <c r="F55" s="15"/>
      <c r="G55" s="15"/>
      <c r="H55" s="15"/>
      <c r="I55" s="15"/>
    </row>
    <row r="56" spans="2:9" ht="15.75">
      <c r="B56" s="15"/>
      <c r="C56" s="15"/>
      <c r="D56" s="15"/>
      <c r="E56" s="15"/>
      <c r="F56" s="15"/>
      <c r="G56" s="15"/>
      <c r="H56" s="15"/>
      <c r="I56" s="15"/>
    </row>
    <row r="57" spans="2:9" ht="15.75">
      <c r="B57" s="15"/>
      <c r="C57" s="15"/>
      <c r="D57" s="15"/>
      <c r="E57" s="15"/>
      <c r="F57" s="15"/>
      <c r="G57" s="15"/>
      <c r="H57" s="15"/>
      <c r="I57" s="15"/>
    </row>
    <row r="58" spans="2:9" ht="15.75">
      <c r="B58" s="15"/>
      <c r="C58" s="15"/>
      <c r="D58" s="15"/>
      <c r="E58" s="15"/>
      <c r="F58" s="15"/>
      <c r="G58" s="15"/>
      <c r="H58" s="15"/>
      <c r="I58" s="15"/>
    </row>
    <row r="59" spans="2:9" ht="15.75">
      <c r="B59" s="15"/>
      <c r="C59" s="15"/>
      <c r="D59" s="15"/>
      <c r="E59" s="15"/>
      <c r="F59" s="15"/>
      <c r="G59" s="15"/>
      <c r="H59" s="15"/>
      <c r="I59" s="15"/>
    </row>
    <row r="60" spans="2:9" ht="15.75">
      <c r="B60" s="15"/>
      <c r="C60" s="15"/>
      <c r="D60" s="15"/>
      <c r="E60" s="15"/>
      <c r="F60" s="15"/>
      <c r="G60" s="15"/>
      <c r="H60" s="15"/>
      <c r="I60" s="15"/>
    </row>
    <row r="61" spans="2:9" ht="15.75">
      <c r="B61" s="15"/>
      <c r="C61" s="15"/>
      <c r="D61" s="15"/>
      <c r="E61" s="15"/>
      <c r="F61" s="15"/>
      <c r="G61" s="15"/>
      <c r="H61" s="15"/>
      <c r="I61" s="15"/>
    </row>
    <row r="62" spans="2:9" ht="15.75">
      <c r="B62" s="15"/>
      <c r="C62" s="15"/>
      <c r="D62" s="15"/>
      <c r="E62" s="15"/>
      <c r="F62" s="15"/>
      <c r="G62" s="15"/>
      <c r="H62" s="15"/>
      <c r="I62" s="15"/>
    </row>
    <row r="63" spans="2:9" ht="15.75">
      <c r="B63" s="15"/>
      <c r="C63" s="15"/>
      <c r="D63" s="15"/>
      <c r="E63" s="15"/>
      <c r="F63" s="15"/>
      <c r="G63" s="15"/>
      <c r="H63" s="15"/>
      <c r="I63" s="15"/>
    </row>
    <row r="64" spans="2:9" ht="15.75">
      <c r="B64" s="15"/>
      <c r="C64" s="15"/>
      <c r="D64" s="15"/>
      <c r="E64" s="15"/>
      <c r="F64" s="15"/>
      <c r="G64" s="15"/>
      <c r="H64" s="15"/>
      <c r="I64" s="15"/>
    </row>
    <row r="65" spans="2:9" ht="15.75">
      <c r="B65" s="15"/>
      <c r="C65" s="15"/>
      <c r="D65" s="15"/>
      <c r="E65" s="15"/>
      <c r="F65" s="15"/>
      <c r="G65" s="15"/>
      <c r="H65" s="15"/>
      <c r="I65" s="15"/>
    </row>
    <row r="66" spans="2:9" ht="15.75">
      <c r="B66" s="15"/>
      <c r="C66" s="15"/>
      <c r="D66" s="15"/>
      <c r="E66" s="15"/>
      <c r="F66" s="15"/>
      <c r="G66" s="15"/>
      <c r="H66" s="15"/>
      <c r="I66" s="15"/>
    </row>
    <row r="67" spans="2:9" ht="15.75">
      <c r="B67" s="15"/>
      <c r="C67" s="15"/>
      <c r="D67" s="15"/>
      <c r="E67" s="15"/>
      <c r="F67" s="15"/>
      <c r="G67" s="15"/>
      <c r="H67" s="15"/>
      <c r="I67" s="15"/>
    </row>
    <row r="68" spans="2:9" ht="15.75">
      <c r="B68" s="15"/>
      <c r="C68" s="15"/>
      <c r="D68" s="15"/>
      <c r="E68" s="15"/>
      <c r="F68" s="15"/>
      <c r="G68" s="15"/>
      <c r="H68" s="15"/>
      <c r="I68" s="15"/>
    </row>
    <row r="69" spans="2:9" ht="15.75">
      <c r="B69" s="15"/>
      <c r="C69" s="15"/>
      <c r="D69" s="15"/>
      <c r="E69" s="15"/>
      <c r="F69" s="15"/>
      <c r="G69" s="15"/>
      <c r="H69" s="15"/>
      <c r="I69" s="15"/>
    </row>
    <row r="70" spans="2:9" ht="15.75">
      <c r="B70" s="15"/>
      <c r="C70" s="15"/>
      <c r="D70" s="15"/>
      <c r="E70" s="15"/>
      <c r="F70" s="15"/>
      <c r="G70" s="15"/>
      <c r="H70" s="15"/>
      <c r="I70" s="15"/>
    </row>
    <row r="71" spans="2:9" ht="15.75">
      <c r="B71" s="15"/>
      <c r="C71" s="15"/>
      <c r="D71" s="15"/>
      <c r="E71" s="15"/>
      <c r="F71" s="15"/>
      <c r="G71" s="15"/>
      <c r="H71" s="15"/>
      <c r="I71" s="15"/>
    </row>
    <row r="72" spans="2:9" ht="15.75">
      <c r="B72" s="15"/>
      <c r="C72" s="15"/>
      <c r="D72" s="15"/>
      <c r="E72" s="15"/>
      <c r="F72" s="15"/>
      <c r="G72" s="15"/>
      <c r="H72" s="15"/>
      <c r="I72" s="15"/>
    </row>
    <row r="73" spans="2:9" ht="15.75">
      <c r="B73" s="15"/>
      <c r="C73" s="15"/>
      <c r="D73" s="15"/>
      <c r="E73" s="15"/>
      <c r="F73" s="15"/>
      <c r="G73" s="15"/>
      <c r="H73" s="15"/>
      <c r="I73" s="15"/>
    </row>
    <row r="74" spans="2:9" ht="15.75">
      <c r="B74" s="15"/>
      <c r="C74" s="15"/>
      <c r="D74" s="15"/>
      <c r="E74" s="15"/>
      <c r="F74" s="15"/>
      <c r="G74" s="15"/>
      <c r="H74" s="15"/>
      <c r="I74" s="15"/>
    </row>
    <row r="75" spans="2:9" ht="15.75">
      <c r="B75" s="15"/>
      <c r="C75" s="15"/>
      <c r="D75" s="15"/>
      <c r="E75" s="15"/>
      <c r="F75" s="15"/>
      <c r="G75" s="15"/>
      <c r="H75" s="15"/>
      <c r="I75" s="15"/>
    </row>
    <row r="76" spans="2:9" ht="15.75">
      <c r="B76" s="15"/>
      <c r="C76" s="15"/>
      <c r="D76" s="15"/>
      <c r="E76" s="15"/>
      <c r="F76" s="15"/>
      <c r="G76" s="15"/>
      <c r="H76" s="15"/>
      <c r="I76" s="15"/>
    </row>
    <row r="77" spans="2:9" ht="15.75">
      <c r="B77" s="15"/>
      <c r="C77" s="15"/>
      <c r="D77" s="15"/>
      <c r="E77" s="15"/>
      <c r="F77" s="15"/>
      <c r="G77" s="15"/>
      <c r="H77" s="15"/>
      <c r="I77" s="15"/>
    </row>
    <row r="78" spans="2:9" ht="15.75">
      <c r="B78" s="15"/>
      <c r="C78" s="15"/>
      <c r="D78" s="15"/>
      <c r="E78" s="15"/>
      <c r="F78" s="15"/>
      <c r="G78" s="15"/>
      <c r="H78" s="15"/>
      <c r="I78" s="15"/>
    </row>
    <row r="79" spans="2:9" ht="15.75">
      <c r="B79" s="15"/>
      <c r="C79" s="15"/>
      <c r="D79" s="15"/>
      <c r="E79" s="15"/>
      <c r="F79" s="15"/>
      <c r="G79" s="15"/>
      <c r="H79" s="15"/>
      <c r="I79" s="15"/>
    </row>
    <row r="80" spans="2:9" ht="15.75">
      <c r="B80" s="15"/>
      <c r="C80" s="15"/>
      <c r="D80" s="15"/>
      <c r="E80" s="15"/>
      <c r="F80" s="15"/>
      <c r="G80" s="15"/>
      <c r="H80" s="15"/>
      <c r="I80" s="15"/>
    </row>
    <row r="81" spans="2:9" ht="15.75">
      <c r="B81" s="15"/>
      <c r="C81" s="15"/>
      <c r="D81" s="15"/>
      <c r="E81" s="15"/>
      <c r="F81" s="15"/>
      <c r="G81" s="15"/>
      <c r="H81" s="15"/>
      <c r="I81" s="15"/>
    </row>
    <row r="82" spans="2:9" ht="15.75">
      <c r="B82" s="15"/>
      <c r="C82" s="15"/>
      <c r="D82" s="15"/>
      <c r="E82" s="15"/>
      <c r="F82" s="15"/>
      <c r="G82" s="15"/>
      <c r="H82" s="15"/>
      <c r="I82" s="15"/>
    </row>
    <row r="83" spans="2:9" ht="15.75">
      <c r="B83" s="15"/>
      <c r="C83" s="15"/>
      <c r="D83" s="15"/>
      <c r="E83" s="15"/>
      <c r="F83" s="15"/>
      <c r="G83" s="15"/>
      <c r="H83" s="15"/>
      <c r="I83" s="15"/>
    </row>
    <row r="84" spans="2:9" ht="15.75">
      <c r="B84" s="15"/>
      <c r="C84" s="15"/>
      <c r="D84" s="15"/>
      <c r="E84" s="15"/>
      <c r="F84" s="15"/>
      <c r="G84" s="15"/>
      <c r="H84" s="15"/>
      <c r="I84" s="15"/>
    </row>
    <row r="85" spans="2:9" ht="15.75">
      <c r="B85" s="15"/>
      <c r="C85" s="15"/>
      <c r="D85" s="15"/>
      <c r="E85" s="15"/>
      <c r="F85" s="15"/>
      <c r="G85" s="15"/>
      <c r="H85" s="15"/>
      <c r="I85" s="15"/>
    </row>
    <row r="86" spans="2:9" ht="15.75">
      <c r="B86" s="15"/>
      <c r="C86" s="15"/>
      <c r="D86" s="15"/>
      <c r="E86" s="15"/>
      <c r="F86" s="15"/>
      <c r="G86" s="15"/>
      <c r="H86" s="15"/>
      <c r="I86" s="15"/>
    </row>
    <row r="87" spans="2:9" ht="15.75">
      <c r="B87" s="15"/>
      <c r="C87" s="15"/>
      <c r="D87" s="15"/>
      <c r="E87" s="15"/>
      <c r="F87" s="15"/>
      <c r="G87" s="15"/>
      <c r="H87" s="15"/>
      <c r="I87" s="15"/>
    </row>
    <row r="88" spans="2:9" ht="15.75">
      <c r="B88" s="15"/>
      <c r="C88" s="15"/>
      <c r="D88" s="15"/>
      <c r="E88" s="15"/>
      <c r="F88" s="15"/>
      <c r="G88" s="15"/>
      <c r="H88" s="15"/>
      <c r="I88" s="15"/>
    </row>
    <row r="89" spans="2:9" ht="15.75">
      <c r="B89" s="15"/>
      <c r="C89" s="15"/>
      <c r="D89" s="15"/>
      <c r="E89" s="15"/>
      <c r="F89" s="15"/>
      <c r="G89" s="15"/>
      <c r="H89" s="15"/>
      <c r="I89" s="15"/>
    </row>
    <row r="90" spans="2:9" ht="15.75">
      <c r="B90" s="15"/>
      <c r="C90" s="15"/>
      <c r="D90" s="15"/>
      <c r="E90" s="15"/>
      <c r="F90" s="15"/>
      <c r="G90" s="15"/>
      <c r="H90" s="15"/>
      <c r="I90" s="15"/>
    </row>
    <row r="91" spans="2:9" ht="15.75">
      <c r="B91" s="15"/>
      <c r="C91" s="15"/>
      <c r="D91" s="15"/>
      <c r="E91" s="15"/>
      <c r="F91" s="15"/>
      <c r="G91" s="15"/>
      <c r="H91" s="15"/>
      <c r="I91" s="15"/>
    </row>
    <row r="92" spans="2:9" ht="15.75">
      <c r="B92" s="15"/>
      <c r="C92" s="15"/>
      <c r="D92" s="15"/>
      <c r="E92" s="15"/>
      <c r="F92" s="15"/>
      <c r="G92" s="15"/>
      <c r="H92" s="15"/>
      <c r="I92" s="15"/>
    </row>
    <row r="93" spans="2:9" ht="15.75">
      <c r="B93" s="15"/>
      <c r="C93" s="15"/>
      <c r="D93" s="15"/>
      <c r="E93" s="15"/>
      <c r="F93" s="15"/>
      <c r="G93" s="15"/>
      <c r="H93" s="15"/>
      <c r="I93" s="15"/>
    </row>
    <row r="94" spans="2:9" ht="15.75">
      <c r="B94" s="15"/>
      <c r="C94" s="15"/>
      <c r="D94" s="15"/>
      <c r="E94" s="15"/>
      <c r="F94" s="15"/>
      <c r="G94" s="15"/>
      <c r="H94" s="15"/>
      <c r="I94" s="15"/>
    </row>
    <row r="95" spans="2:9" ht="15.75">
      <c r="B95" s="15"/>
      <c r="C95" s="15"/>
      <c r="D95" s="15"/>
      <c r="E95" s="15"/>
      <c r="F95" s="15"/>
      <c r="G95" s="15"/>
      <c r="H95" s="15"/>
      <c r="I95" s="15"/>
    </row>
    <row r="96" spans="2:9" ht="15.75">
      <c r="B96" s="15"/>
      <c r="C96" s="15"/>
      <c r="D96" s="15"/>
      <c r="E96" s="15"/>
      <c r="F96" s="15"/>
      <c r="G96" s="15"/>
      <c r="H96" s="15"/>
      <c r="I96" s="15"/>
    </row>
    <row r="97" spans="2:9" ht="15.75">
      <c r="B97" s="15"/>
      <c r="C97" s="15"/>
      <c r="D97" s="15"/>
      <c r="E97" s="15"/>
      <c r="F97" s="15"/>
      <c r="G97" s="15"/>
      <c r="H97" s="15"/>
      <c r="I97" s="15"/>
    </row>
    <row r="98" spans="2:9" ht="15.75">
      <c r="B98" s="15"/>
      <c r="C98" s="15"/>
      <c r="D98" s="15"/>
      <c r="E98" s="15"/>
      <c r="F98" s="15"/>
      <c r="G98" s="15"/>
      <c r="H98" s="15"/>
      <c r="I98" s="15"/>
    </row>
    <row r="99" spans="2:9" ht="15.75">
      <c r="B99" s="15"/>
      <c r="C99" s="15"/>
      <c r="D99" s="15"/>
      <c r="E99" s="15"/>
      <c r="F99" s="15"/>
      <c r="G99" s="15"/>
      <c r="H99" s="15"/>
      <c r="I99" s="15"/>
    </row>
    <row r="100" spans="2:9" ht="15.75">
      <c r="B100" s="15"/>
      <c r="C100" s="15"/>
      <c r="D100" s="15"/>
      <c r="E100" s="15"/>
      <c r="F100" s="15"/>
      <c r="G100" s="15"/>
      <c r="H100" s="15"/>
      <c r="I100" s="15"/>
    </row>
    <row r="101" spans="2:9" ht="15.75">
      <c r="B101" s="15"/>
      <c r="C101" s="15"/>
      <c r="D101" s="15"/>
      <c r="E101" s="15"/>
      <c r="F101" s="15"/>
      <c r="G101" s="15"/>
      <c r="H101" s="15"/>
      <c r="I101" s="15"/>
    </row>
    <row r="102" spans="2:9" ht="15.75">
      <c r="B102" s="15"/>
      <c r="C102" s="15"/>
      <c r="D102" s="15"/>
      <c r="E102" s="15"/>
      <c r="F102" s="15"/>
      <c r="G102" s="15"/>
      <c r="H102" s="15"/>
      <c r="I102" s="15"/>
    </row>
    <row r="103" spans="2:9" ht="15.75">
      <c r="B103" s="15"/>
      <c r="C103" s="15"/>
      <c r="D103" s="15"/>
      <c r="E103" s="15"/>
      <c r="F103" s="15"/>
      <c r="G103" s="15"/>
      <c r="H103" s="15"/>
      <c r="I103" s="15"/>
    </row>
    <row r="104" spans="2:9" ht="15.75">
      <c r="B104" s="15"/>
      <c r="C104" s="15"/>
      <c r="D104" s="15"/>
      <c r="E104" s="15"/>
      <c r="F104" s="15"/>
      <c r="G104" s="15"/>
      <c r="H104" s="15"/>
      <c r="I104" s="15"/>
    </row>
    <row r="105" spans="2:9" ht="15.75">
      <c r="B105" s="15"/>
      <c r="C105" s="15"/>
      <c r="D105" s="15"/>
      <c r="E105" s="15"/>
      <c r="F105" s="15"/>
      <c r="G105" s="15"/>
      <c r="H105" s="15"/>
      <c r="I105" s="15"/>
    </row>
    <row r="106" spans="2:9" ht="15.75">
      <c r="B106" s="15"/>
      <c r="C106" s="15"/>
      <c r="D106" s="15"/>
      <c r="E106" s="15"/>
      <c r="F106" s="15"/>
      <c r="G106" s="15"/>
      <c r="H106" s="15"/>
      <c r="I106" s="15"/>
    </row>
    <row r="107" spans="2:9" ht="15.75">
      <c r="B107" s="15"/>
      <c r="C107" s="15"/>
      <c r="D107" s="15"/>
      <c r="E107" s="15"/>
      <c r="F107" s="15"/>
      <c r="G107" s="15"/>
      <c r="H107" s="15"/>
      <c r="I107" s="15"/>
    </row>
    <row r="108" spans="2:9" ht="15.75">
      <c r="B108" s="15"/>
      <c r="C108" s="15"/>
      <c r="D108" s="15"/>
      <c r="E108" s="15"/>
      <c r="F108" s="15"/>
      <c r="G108" s="15"/>
      <c r="H108" s="15"/>
      <c r="I108" s="15"/>
    </row>
    <row r="109" spans="2:9" ht="15.75">
      <c r="B109" s="15"/>
      <c r="C109" s="15"/>
      <c r="D109" s="15"/>
      <c r="E109" s="15"/>
      <c r="F109" s="15"/>
      <c r="G109" s="15"/>
      <c r="H109" s="15"/>
      <c r="I109" s="15"/>
    </row>
    <row r="110" spans="2:9" ht="15.75">
      <c r="B110" s="15"/>
      <c r="C110" s="15"/>
      <c r="D110" s="15"/>
      <c r="E110" s="15"/>
      <c r="F110" s="15"/>
      <c r="G110" s="15"/>
      <c r="H110" s="15"/>
      <c r="I110" s="15"/>
    </row>
    <row r="111" spans="2:9" ht="15.75">
      <c r="B111" s="15"/>
      <c r="C111" s="15"/>
      <c r="D111" s="15"/>
      <c r="E111" s="15"/>
      <c r="F111" s="15"/>
      <c r="G111" s="15"/>
      <c r="H111" s="15"/>
      <c r="I111" s="15"/>
    </row>
    <row r="112" spans="2:9" ht="15.75">
      <c r="B112" s="15"/>
      <c r="C112" s="15"/>
      <c r="D112" s="15"/>
      <c r="E112" s="15"/>
      <c r="F112" s="15"/>
      <c r="G112" s="15"/>
      <c r="H112" s="15"/>
      <c r="I112" s="15"/>
    </row>
    <row r="113" spans="2:9" ht="15.75">
      <c r="B113" s="15"/>
      <c r="C113" s="15"/>
      <c r="D113" s="15"/>
      <c r="E113" s="15"/>
      <c r="F113" s="15"/>
      <c r="G113" s="15"/>
      <c r="H113" s="15"/>
      <c r="I113" s="15"/>
    </row>
    <row r="114" spans="2:9" ht="15.75">
      <c r="B114" s="15"/>
      <c r="C114" s="15"/>
      <c r="D114" s="15"/>
      <c r="E114" s="15"/>
      <c r="F114" s="15"/>
      <c r="G114" s="15"/>
      <c r="H114" s="15"/>
      <c r="I114" s="15"/>
    </row>
    <row r="115" spans="2:9" ht="15.75">
      <c r="B115" s="15"/>
      <c r="C115" s="15"/>
      <c r="D115" s="15"/>
      <c r="E115" s="15"/>
      <c r="F115" s="15"/>
      <c r="G115" s="15"/>
      <c r="H115" s="15"/>
      <c r="I115" s="15"/>
    </row>
    <row r="116" spans="2:9" ht="15.75">
      <c r="B116" s="15"/>
      <c r="C116" s="15"/>
      <c r="D116" s="15"/>
      <c r="E116" s="15"/>
      <c r="F116" s="15"/>
      <c r="G116" s="15"/>
      <c r="H116" s="15"/>
      <c r="I116" s="15"/>
    </row>
    <row r="117" spans="2:9" ht="15.75">
      <c r="B117" s="15"/>
      <c r="C117" s="15"/>
      <c r="D117" s="15"/>
      <c r="E117" s="15"/>
      <c r="F117" s="15"/>
      <c r="G117" s="15"/>
      <c r="H117" s="15"/>
      <c r="I117" s="15"/>
    </row>
    <row r="118" spans="2:9" ht="15.75">
      <c r="B118" s="15"/>
      <c r="C118" s="15"/>
      <c r="D118" s="15"/>
      <c r="E118" s="15"/>
      <c r="F118" s="15"/>
      <c r="G118" s="15"/>
      <c r="H118" s="15"/>
      <c r="I118" s="15"/>
    </row>
    <row r="119" spans="2:9" ht="15.75">
      <c r="B119" s="15"/>
      <c r="C119" s="15"/>
      <c r="D119" s="15"/>
      <c r="E119" s="15"/>
      <c r="F119" s="15"/>
      <c r="G119" s="15"/>
      <c r="H119" s="15"/>
      <c r="I119" s="15"/>
    </row>
    <row r="120" spans="2:9" ht="15.75">
      <c r="B120" s="15"/>
      <c r="C120" s="15"/>
      <c r="D120" s="15"/>
      <c r="E120" s="15"/>
      <c r="F120" s="15"/>
      <c r="G120" s="15"/>
      <c r="H120" s="15"/>
      <c r="I120" s="15"/>
    </row>
    <row r="121" spans="2:9" ht="15.75">
      <c r="B121" s="15"/>
      <c r="C121" s="15"/>
      <c r="D121" s="15"/>
      <c r="E121" s="15"/>
      <c r="F121" s="15"/>
      <c r="G121" s="15"/>
      <c r="H121" s="15"/>
      <c r="I121" s="15"/>
    </row>
    <row r="122" spans="2:9" ht="15.75">
      <c r="B122" s="15"/>
      <c r="C122" s="15"/>
      <c r="D122" s="15"/>
      <c r="E122" s="15"/>
      <c r="F122" s="15"/>
      <c r="G122" s="15"/>
      <c r="H122" s="15"/>
      <c r="I122" s="15"/>
    </row>
    <row r="123" spans="2:9" ht="15.75">
      <c r="B123" s="15"/>
      <c r="C123" s="15"/>
      <c r="D123" s="15"/>
      <c r="E123" s="15"/>
      <c r="F123" s="15"/>
      <c r="G123" s="15"/>
      <c r="H123" s="15"/>
      <c r="I123" s="15"/>
    </row>
    <row r="124" spans="2:9" ht="15.75">
      <c r="B124" s="15"/>
      <c r="C124" s="15"/>
      <c r="D124" s="15"/>
      <c r="E124" s="15"/>
      <c r="F124" s="15"/>
      <c r="G124" s="15"/>
      <c r="H124" s="15"/>
      <c r="I124" s="15"/>
    </row>
    <row r="125" spans="2:9" ht="15.75">
      <c r="B125" s="15"/>
      <c r="C125" s="15"/>
      <c r="D125" s="15"/>
      <c r="E125" s="15"/>
      <c r="F125" s="15"/>
      <c r="G125" s="15"/>
      <c r="H125" s="15"/>
      <c r="I125" s="15"/>
    </row>
    <row r="126" spans="2:9" ht="15.75">
      <c r="B126" s="15"/>
      <c r="C126" s="15"/>
      <c r="D126" s="15"/>
      <c r="E126" s="15"/>
      <c r="F126" s="15"/>
      <c r="G126" s="15"/>
      <c r="H126" s="15"/>
      <c r="I126" s="15"/>
    </row>
    <row r="127" spans="2:9" ht="15.75">
      <c r="B127" s="15"/>
      <c r="C127" s="15"/>
      <c r="D127" s="15"/>
      <c r="E127" s="15"/>
      <c r="F127" s="15"/>
      <c r="G127" s="15"/>
      <c r="H127" s="15"/>
      <c r="I127" s="15"/>
    </row>
    <row r="128" spans="2:9" ht="15.75">
      <c r="B128" s="15"/>
      <c r="C128" s="15"/>
      <c r="D128" s="15"/>
      <c r="E128" s="15"/>
      <c r="F128" s="15"/>
      <c r="G128" s="15"/>
      <c r="H128" s="15"/>
      <c r="I128" s="15"/>
    </row>
    <row r="129" spans="2:9" ht="15.75">
      <c r="B129" s="15"/>
      <c r="C129" s="15"/>
      <c r="D129" s="15"/>
      <c r="E129" s="15"/>
      <c r="F129" s="15"/>
      <c r="G129" s="15"/>
      <c r="H129" s="15"/>
      <c r="I129" s="15"/>
    </row>
    <row r="130" spans="2:9" ht="15.75">
      <c r="B130" s="15"/>
      <c r="C130" s="15"/>
      <c r="D130" s="15"/>
      <c r="E130" s="15"/>
      <c r="F130" s="15"/>
      <c r="G130" s="15"/>
      <c r="H130" s="15"/>
      <c r="I130" s="15"/>
    </row>
    <row r="131" spans="2:9" ht="15.75">
      <c r="B131" s="15"/>
      <c r="C131" s="15"/>
      <c r="D131" s="15"/>
      <c r="E131" s="15"/>
      <c r="F131" s="15"/>
      <c r="G131" s="15"/>
      <c r="H131" s="15"/>
      <c r="I131" s="15"/>
    </row>
    <row r="132" spans="2:9" ht="15.75">
      <c r="B132" s="15"/>
      <c r="C132" s="15"/>
      <c r="D132" s="15"/>
      <c r="E132" s="15"/>
      <c r="F132" s="15"/>
      <c r="G132" s="15"/>
      <c r="H132" s="15"/>
      <c r="I132" s="15"/>
    </row>
    <row r="133" spans="2:9" ht="15.75">
      <c r="B133" s="15"/>
      <c r="C133" s="15"/>
      <c r="D133" s="15"/>
      <c r="E133" s="15"/>
      <c r="F133" s="15"/>
      <c r="G133" s="15"/>
      <c r="H133" s="15"/>
      <c r="I133" s="15"/>
    </row>
    <row r="134" spans="2:9" ht="15.75">
      <c r="B134" s="15"/>
      <c r="C134" s="15"/>
      <c r="D134" s="15"/>
      <c r="E134" s="15"/>
      <c r="F134" s="15"/>
      <c r="G134" s="15"/>
      <c r="H134" s="15"/>
      <c r="I134" s="15"/>
    </row>
    <row r="135" spans="2:9" ht="15.75">
      <c r="B135" s="15"/>
      <c r="C135" s="15"/>
      <c r="D135" s="15"/>
      <c r="E135" s="15"/>
      <c r="F135" s="15"/>
      <c r="G135" s="15"/>
      <c r="H135" s="15"/>
      <c r="I135" s="15"/>
    </row>
    <row r="136" spans="2:9" ht="15.75">
      <c r="B136" s="15"/>
      <c r="C136" s="15"/>
      <c r="D136" s="15"/>
      <c r="E136" s="15"/>
      <c r="F136" s="15"/>
      <c r="G136" s="15"/>
      <c r="H136" s="15"/>
      <c r="I136" s="15"/>
    </row>
  </sheetData>
  <sheetProtection/>
  <mergeCells count="16">
    <mergeCell ref="B37:C37"/>
    <mergeCell ref="B39:C39"/>
    <mergeCell ref="H12:H14"/>
    <mergeCell ref="E13:E14"/>
    <mergeCell ref="F13:F14"/>
    <mergeCell ref="G13:G14"/>
    <mergeCell ref="C12:C14"/>
    <mergeCell ref="D12:D14"/>
    <mergeCell ref="E12:G12"/>
    <mergeCell ref="H3:I3"/>
    <mergeCell ref="H4:I4"/>
    <mergeCell ref="H6:I6"/>
    <mergeCell ref="H7:I7"/>
    <mergeCell ref="A12:A14"/>
    <mergeCell ref="B12:B14"/>
    <mergeCell ref="A10:H10"/>
  </mergeCells>
  <printOptions horizontalCentered="1"/>
  <pageMargins left="1.1811023622047245" right="0.5905511811023623" top="1.1811023622047245" bottom="0.7874015748031497" header="0" footer="0"/>
  <pageSetup fitToWidth="0" horizontalDpi="600" verticalDpi="600" orientation="landscape" paperSize="9" scale="60" r:id="rId1"/>
</worksheet>
</file>

<file path=xl/worksheets/sheet6.xml><?xml version="1.0" encoding="utf-8"?>
<worksheet xmlns="http://schemas.openxmlformats.org/spreadsheetml/2006/main" xmlns:r="http://schemas.openxmlformats.org/officeDocument/2006/relationships">
  <sheetPr>
    <tabColor rgb="FFFFFF00"/>
    <pageSetUpPr fitToPage="1"/>
  </sheetPr>
  <dimension ref="A1:O35"/>
  <sheetViews>
    <sheetView view="pageBreakPreview" zoomScaleSheetLayoutView="100" zoomScalePageLayoutView="0" workbookViewId="0" topLeftCell="A3">
      <selection activeCell="F18" sqref="F18"/>
    </sheetView>
  </sheetViews>
  <sheetFormatPr defaultColWidth="9.140625" defaultRowHeight="12.75"/>
  <cols>
    <col min="1" max="1" width="4.140625" style="14" customWidth="1"/>
    <col min="2" max="2" width="43.7109375" style="14" customWidth="1"/>
    <col min="3" max="3" width="22.7109375" style="14" customWidth="1"/>
    <col min="4" max="4" width="20.00390625" style="14" customWidth="1"/>
    <col min="5" max="5" width="15.8515625" style="14" customWidth="1"/>
    <col min="6" max="6" width="15.00390625" style="14" customWidth="1"/>
    <col min="7" max="8" width="11.57421875" style="14" hidden="1" customWidth="1"/>
    <col min="9" max="9" width="12.57421875" style="14" hidden="1" customWidth="1"/>
    <col min="10" max="10" width="12.57421875" style="14" customWidth="1"/>
    <col min="11" max="11" width="43.28125" style="14" customWidth="1"/>
    <col min="12" max="13" width="9.140625" style="14" hidden="1" customWidth="1"/>
    <col min="14" max="14" width="9.8515625" style="14" hidden="1" customWidth="1"/>
    <col min="15" max="15" width="10.140625" style="14" customWidth="1"/>
    <col min="16" max="16384" width="9.140625" style="14" customWidth="1"/>
  </cols>
  <sheetData>
    <row r="1" spans="2:12" ht="15.75">
      <c r="B1" s="15"/>
      <c r="C1" s="15"/>
      <c r="D1" s="15"/>
      <c r="E1" s="15"/>
      <c r="F1" s="544" t="s">
        <v>565</v>
      </c>
      <c r="G1" s="544"/>
      <c r="H1" s="544"/>
      <c r="I1" s="544"/>
      <c r="J1" s="544"/>
      <c r="K1" s="17"/>
      <c r="L1" s="13" t="s">
        <v>19</v>
      </c>
    </row>
    <row r="2" spans="2:12" ht="15" customHeight="1">
      <c r="B2" s="15"/>
      <c r="C2" s="15"/>
      <c r="D2" s="15"/>
      <c r="E2" s="15"/>
      <c r="F2" s="12" t="s">
        <v>11</v>
      </c>
      <c r="G2" s="12"/>
      <c r="H2" s="15"/>
      <c r="I2" s="12" t="s">
        <v>11</v>
      </c>
      <c r="J2" s="12"/>
      <c r="K2" s="12"/>
      <c r="L2" s="12" t="s">
        <v>11</v>
      </c>
    </row>
    <row r="3" spans="2:12" ht="17.25" customHeight="1">
      <c r="B3" s="15"/>
      <c r="C3" s="15"/>
      <c r="D3" s="15"/>
      <c r="E3" s="15"/>
      <c r="F3" s="540" t="s">
        <v>172</v>
      </c>
      <c r="G3" s="540"/>
      <c r="H3" s="540"/>
      <c r="I3" s="540"/>
      <c r="J3" s="540"/>
      <c r="K3" s="540"/>
      <c r="L3" s="12" t="s">
        <v>20</v>
      </c>
    </row>
    <row r="4" spans="2:12" ht="16.5" customHeight="1">
      <c r="B4" s="15"/>
      <c r="C4" s="15"/>
      <c r="D4" s="15"/>
      <c r="E4" s="15"/>
      <c r="F4" s="17" t="s">
        <v>34</v>
      </c>
      <c r="G4" s="17"/>
      <c r="H4" s="15"/>
      <c r="I4" s="12" t="s">
        <v>21</v>
      </c>
      <c r="J4" s="12"/>
      <c r="K4" s="12"/>
      <c r="L4" s="12" t="s">
        <v>21</v>
      </c>
    </row>
    <row r="5" spans="2:12" ht="15" customHeight="1">
      <c r="B5" s="15"/>
      <c r="C5" s="15"/>
      <c r="D5" s="15"/>
      <c r="E5" s="15"/>
      <c r="F5" s="17" t="s">
        <v>8</v>
      </c>
      <c r="G5" s="17"/>
      <c r="H5" s="15"/>
      <c r="I5" s="12" t="s">
        <v>23</v>
      </c>
      <c r="J5" s="12"/>
      <c r="K5" s="12"/>
      <c r="L5" s="12" t="s">
        <v>23</v>
      </c>
    </row>
    <row r="6" spans="2:12" ht="16.5" customHeight="1">
      <c r="B6" s="15"/>
      <c r="C6" s="15"/>
      <c r="D6" s="15"/>
      <c r="E6" s="15"/>
      <c r="F6" s="17" t="s">
        <v>241</v>
      </c>
      <c r="G6" s="17"/>
      <c r="H6" s="385"/>
      <c r="I6" s="12" t="s">
        <v>25</v>
      </c>
      <c r="J6" s="12"/>
      <c r="K6" s="12"/>
      <c r="L6" s="12" t="s">
        <v>25</v>
      </c>
    </row>
    <row r="7" spans="2:15" ht="15.75" customHeight="1">
      <c r="B7" s="15"/>
      <c r="C7" s="15"/>
      <c r="D7" s="15"/>
      <c r="E7" s="15"/>
      <c r="F7" s="541" t="s">
        <v>607</v>
      </c>
      <c r="G7" s="541"/>
      <c r="H7" s="541"/>
      <c r="I7" s="541"/>
      <c r="J7" s="541"/>
      <c r="K7" s="541"/>
      <c r="L7" s="17"/>
      <c r="M7" s="17"/>
      <c r="N7" s="17"/>
      <c r="O7" s="17"/>
    </row>
    <row r="8" spans="2:15" ht="15.75" customHeight="1">
      <c r="B8" s="15"/>
      <c r="C8" s="15"/>
      <c r="D8" s="15"/>
      <c r="E8" s="15"/>
      <c r="F8" s="541" t="s">
        <v>627</v>
      </c>
      <c r="G8" s="541"/>
      <c r="H8" s="541"/>
      <c r="I8" s="541"/>
      <c r="J8" s="541"/>
      <c r="K8" s="541"/>
      <c r="L8" s="17"/>
      <c r="M8" s="17"/>
      <c r="N8" s="17"/>
      <c r="O8" s="17"/>
    </row>
    <row r="9" spans="2:12" ht="15.75">
      <c r="B9" s="15"/>
      <c r="C9" s="15"/>
      <c r="D9" s="15"/>
      <c r="E9" s="15"/>
      <c r="F9" s="15"/>
      <c r="G9" s="15"/>
      <c r="H9" s="15"/>
      <c r="I9" s="15"/>
      <c r="J9" s="15"/>
      <c r="K9" s="15"/>
      <c r="L9" s="15"/>
    </row>
    <row r="10" spans="2:12" ht="18.75" customHeight="1">
      <c r="B10" s="537" t="s">
        <v>531</v>
      </c>
      <c r="C10" s="537"/>
      <c r="D10" s="537"/>
      <c r="E10" s="537"/>
      <c r="F10" s="537"/>
      <c r="G10" s="537"/>
      <c r="H10" s="537"/>
      <c r="I10" s="537"/>
      <c r="J10" s="537"/>
      <c r="K10" s="537"/>
      <c r="L10" s="15"/>
    </row>
    <row r="11" spans="2:12" ht="15.75">
      <c r="B11" s="15"/>
      <c r="C11" s="15"/>
      <c r="D11" s="542"/>
      <c r="E11" s="542"/>
      <c r="F11" s="542"/>
      <c r="G11" s="542"/>
      <c r="H11" s="542"/>
      <c r="I11" s="15"/>
      <c r="J11" s="15"/>
      <c r="K11" s="35" t="s">
        <v>27</v>
      </c>
      <c r="L11" s="15"/>
    </row>
    <row r="12" spans="1:12" ht="15.75" customHeight="1">
      <c r="A12" s="534" t="s">
        <v>6</v>
      </c>
      <c r="B12" s="534" t="s">
        <v>12</v>
      </c>
      <c r="C12" s="534" t="s">
        <v>13</v>
      </c>
      <c r="D12" s="534" t="s">
        <v>488</v>
      </c>
      <c r="E12" s="543" t="s">
        <v>9</v>
      </c>
      <c r="F12" s="543"/>
      <c r="G12" s="543"/>
      <c r="H12" s="543"/>
      <c r="I12" s="543"/>
      <c r="J12" s="543"/>
      <c r="K12" s="539" t="s">
        <v>15</v>
      </c>
      <c r="L12" s="15"/>
    </row>
    <row r="13" spans="1:12" ht="15.75" customHeight="1">
      <c r="A13" s="535"/>
      <c r="B13" s="535"/>
      <c r="C13" s="535"/>
      <c r="D13" s="535"/>
      <c r="E13" s="534" t="s">
        <v>529</v>
      </c>
      <c r="F13" s="534" t="s">
        <v>507</v>
      </c>
      <c r="G13" s="534" t="s">
        <v>28</v>
      </c>
      <c r="H13" s="534" t="s">
        <v>29</v>
      </c>
      <c r="I13" s="534" t="s">
        <v>30</v>
      </c>
      <c r="J13" s="539" t="s">
        <v>530</v>
      </c>
      <c r="K13" s="539"/>
      <c r="L13" s="15"/>
    </row>
    <row r="14" spans="1:12" ht="21" customHeight="1">
      <c r="A14" s="536"/>
      <c r="B14" s="536"/>
      <c r="C14" s="536"/>
      <c r="D14" s="536"/>
      <c r="E14" s="536"/>
      <c r="F14" s="536"/>
      <c r="G14" s="536"/>
      <c r="H14" s="536"/>
      <c r="I14" s="536"/>
      <c r="J14" s="539"/>
      <c r="K14" s="539"/>
      <c r="L14" s="15"/>
    </row>
    <row r="15" spans="1:12" ht="81" customHeight="1">
      <c r="A15" s="545">
        <v>1</v>
      </c>
      <c r="B15" s="545" t="s">
        <v>284</v>
      </c>
      <c r="C15" s="36" t="s">
        <v>16</v>
      </c>
      <c r="D15" s="107">
        <f>SUM(E15:J15)</f>
        <v>61805.4</v>
      </c>
      <c r="E15" s="108">
        <f>20000+190</f>
        <v>20190</v>
      </c>
      <c r="F15" s="109">
        <f>22000-4384.6</f>
        <v>17615.4</v>
      </c>
      <c r="G15" s="108"/>
      <c r="H15" s="108"/>
      <c r="I15" s="108"/>
      <c r="J15" s="108">
        <v>24000</v>
      </c>
      <c r="K15" s="545" t="s">
        <v>64</v>
      </c>
      <c r="L15" s="15"/>
    </row>
    <row r="16" spans="1:12" ht="37.5">
      <c r="A16" s="546"/>
      <c r="B16" s="546"/>
      <c r="C16" s="36" t="s">
        <v>89</v>
      </c>
      <c r="D16" s="107">
        <f>E16+F16+J16</f>
        <v>0</v>
      </c>
      <c r="E16" s="108"/>
      <c r="F16" s="109"/>
      <c r="G16" s="108"/>
      <c r="H16" s="108"/>
      <c r="I16" s="108"/>
      <c r="J16" s="153"/>
      <c r="K16" s="546"/>
      <c r="L16" s="15"/>
    </row>
    <row r="17" spans="1:14" ht="63" customHeight="1">
      <c r="A17" s="545">
        <v>2</v>
      </c>
      <c r="B17" s="545" t="s">
        <v>90</v>
      </c>
      <c r="C17" s="36" t="s">
        <v>16</v>
      </c>
      <c r="D17" s="107">
        <f>SUM(E17:J17)</f>
        <v>50840.5</v>
      </c>
      <c r="E17" s="109">
        <v>15000</v>
      </c>
      <c r="F17" s="108">
        <f>20000-1427-232-1500-5.4-96-50-120-5000-316.1-130-200-80-3</f>
        <v>10840.499999999998</v>
      </c>
      <c r="G17" s="108"/>
      <c r="H17" s="108"/>
      <c r="I17" s="108"/>
      <c r="J17" s="108">
        <v>25000</v>
      </c>
      <c r="K17" s="545" t="s">
        <v>64</v>
      </c>
      <c r="L17" s="15"/>
      <c r="N17" s="33">
        <v>441</v>
      </c>
    </row>
    <row r="18" spans="1:14" ht="37.5">
      <c r="A18" s="546"/>
      <c r="B18" s="546"/>
      <c r="C18" s="36" t="s">
        <v>73</v>
      </c>
      <c r="D18" s="107">
        <f>E18+F18+J18</f>
        <v>0</v>
      </c>
      <c r="E18" s="109"/>
      <c r="F18" s="108"/>
      <c r="G18" s="108"/>
      <c r="H18" s="108"/>
      <c r="I18" s="108"/>
      <c r="J18" s="108"/>
      <c r="K18" s="546"/>
      <c r="L18" s="15"/>
      <c r="N18" s="33"/>
    </row>
    <row r="19" spans="1:14" ht="56.25">
      <c r="A19" s="36">
        <v>3</v>
      </c>
      <c r="B19" s="36" t="s">
        <v>91</v>
      </c>
      <c r="C19" s="36" t="s">
        <v>16</v>
      </c>
      <c r="D19" s="107">
        <v>60750</v>
      </c>
      <c r="E19" s="109">
        <v>20750</v>
      </c>
      <c r="F19" s="108">
        <f>20000+1500</f>
        <v>21500</v>
      </c>
      <c r="G19" s="108"/>
      <c r="H19" s="108"/>
      <c r="I19" s="108"/>
      <c r="J19" s="108">
        <f>12000+8000</f>
        <v>20000</v>
      </c>
      <c r="K19" s="36" t="s">
        <v>32</v>
      </c>
      <c r="L19" s="15"/>
      <c r="N19" s="33"/>
    </row>
    <row r="20" spans="1:14" ht="48" customHeight="1" hidden="1">
      <c r="A20" s="36">
        <v>4</v>
      </c>
      <c r="B20" s="61" t="s">
        <v>56</v>
      </c>
      <c r="C20" s="36" t="s">
        <v>16</v>
      </c>
      <c r="D20" s="107">
        <f>SUM(E20:J20)</f>
        <v>0</v>
      </c>
      <c r="E20" s="109"/>
      <c r="F20" s="108"/>
      <c r="G20" s="108"/>
      <c r="H20" s="108"/>
      <c r="I20" s="108"/>
      <c r="J20" s="108"/>
      <c r="K20" s="36" t="s">
        <v>57</v>
      </c>
      <c r="L20" s="15"/>
      <c r="N20" s="33"/>
    </row>
    <row r="21" spans="1:14" ht="48" customHeight="1" hidden="1">
      <c r="A21" s="36">
        <v>5</v>
      </c>
      <c r="B21" s="110" t="s">
        <v>58</v>
      </c>
      <c r="C21" s="111" t="s">
        <v>16</v>
      </c>
      <c r="D21" s="151">
        <f>SUM(E21:J21)</f>
        <v>0</v>
      </c>
      <c r="E21" s="112"/>
      <c r="F21" s="108"/>
      <c r="G21" s="108"/>
      <c r="H21" s="108"/>
      <c r="I21" s="108"/>
      <c r="J21" s="108"/>
      <c r="K21" s="36" t="s">
        <v>57</v>
      </c>
      <c r="L21" s="15"/>
      <c r="N21" s="33"/>
    </row>
    <row r="22" spans="1:12" ht="32.25" customHeight="1">
      <c r="A22" s="70"/>
      <c r="B22" s="60" t="s">
        <v>5</v>
      </c>
      <c r="C22" s="71"/>
      <c r="D22" s="107">
        <f>D15+D17+D19+D20+D21+D18+D16</f>
        <v>173395.9</v>
      </c>
      <c r="E22" s="152">
        <f>E15+E17+E19+E20+E21</f>
        <v>55940</v>
      </c>
      <c r="F22" s="152">
        <f>F15+F17+F19+F18+F16</f>
        <v>49955.9</v>
      </c>
      <c r="G22" s="152">
        <f>G15+G17+G19+G20+G21</f>
        <v>0</v>
      </c>
      <c r="H22" s="152">
        <f>H15+H17+H19+H20+H21</f>
        <v>0</v>
      </c>
      <c r="I22" s="152">
        <f>I15+I17+I19+I20+I21</f>
        <v>0</v>
      </c>
      <c r="J22" s="152">
        <f>J15+J17+J19+J20+J21+J16</f>
        <v>69000</v>
      </c>
      <c r="K22" s="72"/>
      <c r="L22" s="15"/>
    </row>
    <row r="23" spans="1:12" ht="15.75" customHeight="1">
      <c r="A23" s="39"/>
      <c r="B23" s="18"/>
      <c r="C23" s="18"/>
      <c r="D23" s="19"/>
      <c r="E23" s="145"/>
      <c r="F23" s="145"/>
      <c r="G23" s="145"/>
      <c r="H23" s="145"/>
      <c r="I23" s="145"/>
      <c r="J23" s="145"/>
      <c r="K23" s="20"/>
      <c r="L23" s="15"/>
    </row>
    <row r="24" spans="1:12" ht="15" customHeight="1">
      <c r="A24" s="39"/>
      <c r="B24" s="18"/>
      <c r="C24" s="18"/>
      <c r="D24" s="19"/>
      <c r="E24" s="145"/>
      <c r="F24" s="145"/>
      <c r="G24" s="145"/>
      <c r="H24" s="145"/>
      <c r="I24" s="145"/>
      <c r="J24" s="145"/>
      <c r="K24" s="20"/>
      <c r="L24" s="15"/>
    </row>
    <row r="25" spans="1:12" ht="15.75" customHeight="1">
      <c r="A25" s="39"/>
      <c r="B25" s="18"/>
      <c r="C25" s="18"/>
      <c r="D25" s="19"/>
      <c r="E25" s="145"/>
      <c r="F25" s="145"/>
      <c r="G25" s="145"/>
      <c r="H25" s="145"/>
      <c r="I25" s="145"/>
      <c r="J25" s="145"/>
      <c r="K25" s="20"/>
      <c r="L25" s="15"/>
    </row>
    <row r="26" spans="2:12" ht="15.75">
      <c r="B26" s="18"/>
      <c r="C26" s="18"/>
      <c r="D26" s="19"/>
      <c r="E26" s="19"/>
      <c r="F26" s="19"/>
      <c r="G26" s="19"/>
      <c r="H26" s="19"/>
      <c r="I26" s="19"/>
      <c r="J26" s="19"/>
      <c r="K26" s="20"/>
      <c r="L26" s="15"/>
    </row>
    <row r="27" spans="2:12" ht="18.75" customHeight="1">
      <c r="B27" s="513" t="s">
        <v>18</v>
      </c>
      <c r="C27" s="513"/>
      <c r="D27" s="413"/>
      <c r="E27" s="22"/>
      <c r="F27" s="22"/>
      <c r="G27" s="16"/>
      <c r="H27" s="16"/>
      <c r="I27" s="16"/>
      <c r="J27" s="16"/>
      <c r="K27" s="23" t="s">
        <v>31</v>
      </c>
      <c r="L27" s="23"/>
    </row>
    <row r="28" spans="2:12" ht="15.75" customHeight="1">
      <c r="B28" s="413"/>
      <c r="C28" s="413"/>
      <c r="D28" s="413"/>
      <c r="E28" s="22"/>
      <c r="F28" s="22"/>
      <c r="G28" s="16"/>
      <c r="H28" s="16"/>
      <c r="I28" s="16"/>
      <c r="J28" s="16"/>
      <c r="K28" s="23"/>
      <c r="L28" s="23"/>
    </row>
    <row r="29" spans="2:11" ht="18.75">
      <c r="B29" s="538" t="s">
        <v>602</v>
      </c>
      <c r="C29" s="538"/>
      <c r="D29" s="25"/>
      <c r="E29" s="26"/>
      <c r="F29" s="26"/>
      <c r="G29" s="26"/>
      <c r="H29" s="26"/>
      <c r="I29" s="26"/>
      <c r="J29" s="26"/>
      <c r="K29" s="15"/>
    </row>
    <row r="30" spans="2:13" ht="15.75">
      <c r="B30" s="27" t="s">
        <v>10</v>
      </c>
      <c r="C30" s="27"/>
      <c r="D30" s="26"/>
      <c r="E30" s="26"/>
      <c r="F30" s="26"/>
      <c r="G30" s="26"/>
      <c r="H30" s="26"/>
      <c r="I30" s="26"/>
      <c r="J30" s="26"/>
      <c r="K30" s="15"/>
      <c r="M30" s="12"/>
    </row>
    <row r="31" spans="2:11" ht="15.75">
      <c r="B31" s="28"/>
      <c r="C31" s="29"/>
      <c r="D31" s="30"/>
      <c r="E31" s="26"/>
      <c r="F31" s="26"/>
      <c r="G31" s="26"/>
      <c r="H31" s="26"/>
      <c r="I31" s="26"/>
      <c r="J31" s="26"/>
      <c r="K31" s="15"/>
    </row>
    <row r="32" spans="3:10" ht="15.75">
      <c r="C32" s="30"/>
      <c r="D32" s="26"/>
      <c r="E32" s="26"/>
      <c r="F32" s="26"/>
      <c r="G32" s="26"/>
      <c r="H32" s="26"/>
      <c r="I32" s="26"/>
      <c r="J32" s="26"/>
    </row>
    <row r="33" spans="3:10" ht="15.75">
      <c r="C33" s="31"/>
      <c r="D33" s="26"/>
      <c r="E33" s="26"/>
      <c r="F33" s="26"/>
      <c r="G33" s="26"/>
      <c r="H33" s="26"/>
      <c r="I33" s="26"/>
      <c r="J33" s="26"/>
    </row>
    <row r="35" ht="12.75">
      <c r="H35" s="32"/>
    </row>
  </sheetData>
  <sheetProtection/>
  <mergeCells count="26">
    <mergeCell ref="F1:J1"/>
    <mergeCell ref="F8:K8"/>
    <mergeCell ref="B27:C27"/>
    <mergeCell ref="B29:C29"/>
    <mergeCell ref="A15:A16"/>
    <mergeCell ref="B15:B16"/>
    <mergeCell ref="K15:K16"/>
    <mergeCell ref="A17:A18"/>
    <mergeCell ref="B17:B18"/>
    <mergeCell ref="K17:K18"/>
    <mergeCell ref="E13:E14"/>
    <mergeCell ref="F13:F14"/>
    <mergeCell ref="G13:G14"/>
    <mergeCell ref="H13:H14"/>
    <mergeCell ref="I13:I14"/>
    <mergeCell ref="J13:J14"/>
    <mergeCell ref="F3:K3"/>
    <mergeCell ref="F7:K7"/>
    <mergeCell ref="B10:K10"/>
    <mergeCell ref="D11:H11"/>
    <mergeCell ref="A12:A14"/>
    <mergeCell ref="B12:B14"/>
    <mergeCell ref="C12:C14"/>
    <mergeCell ref="D12:D14"/>
    <mergeCell ref="E12:J12"/>
    <mergeCell ref="K12:K14"/>
  </mergeCells>
  <printOptions horizontalCentered="1"/>
  <pageMargins left="0" right="0" top="1.1811023622047245" bottom="0" header="0" footer="0"/>
  <pageSetup fitToHeight="1" fitToWidth="1" horizontalDpi="600" verticalDpi="600" orientation="landscape" paperSize="9" scale="76" r:id="rId1"/>
</worksheet>
</file>

<file path=xl/worksheets/sheet7.xml><?xml version="1.0" encoding="utf-8"?>
<worksheet xmlns="http://schemas.openxmlformats.org/spreadsheetml/2006/main" xmlns:r="http://schemas.openxmlformats.org/officeDocument/2006/relationships">
  <sheetPr>
    <tabColor rgb="FFFFFF00"/>
    <pageSetUpPr fitToPage="1"/>
  </sheetPr>
  <dimension ref="A1:N124"/>
  <sheetViews>
    <sheetView view="pageBreakPreview" zoomScale="75" zoomScaleSheetLayoutView="75" zoomScalePageLayoutView="0" workbookViewId="0" topLeftCell="A1">
      <selection activeCell="K9" sqref="K9"/>
    </sheetView>
  </sheetViews>
  <sheetFormatPr defaultColWidth="9.140625" defaultRowHeight="12.75"/>
  <cols>
    <col min="1" max="1" width="6.140625" style="204" bestFit="1" customWidth="1"/>
    <col min="2" max="2" width="73.7109375" style="0" customWidth="1"/>
    <col min="3" max="3" width="17.7109375" style="0" customWidth="1"/>
    <col min="4" max="4" width="14.421875" style="0" customWidth="1"/>
    <col min="5" max="5" width="12.28125" style="302" customWidth="1"/>
    <col min="6" max="7" width="12.28125" style="0" customWidth="1"/>
    <col min="8" max="9" width="9.140625" style="0" hidden="1" customWidth="1"/>
    <col min="10" max="10" width="9.7109375" style="0" hidden="1" customWidth="1"/>
    <col min="11" max="11" width="51.28125" style="0" customWidth="1"/>
    <col min="12" max="12" width="9.8515625" style="0" customWidth="1"/>
  </cols>
  <sheetData>
    <row r="1" spans="11:13" ht="18.75">
      <c r="K1" s="56" t="s">
        <v>566</v>
      </c>
      <c r="L1" s="205"/>
      <c r="M1" s="2"/>
    </row>
    <row r="2" spans="11:13" ht="18.75">
      <c r="K2" s="533" t="s">
        <v>11</v>
      </c>
      <c r="L2" s="533"/>
      <c r="M2" s="1"/>
    </row>
    <row r="3" spans="11:13" ht="18.75">
      <c r="K3" s="56" t="s">
        <v>173</v>
      </c>
      <c r="L3" s="56"/>
      <c r="M3" s="1"/>
    </row>
    <row r="4" spans="11:13" ht="18.75">
      <c r="K4" s="56" t="s">
        <v>22</v>
      </c>
      <c r="L4" s="56"/>
      <c r="M4" s="1"/>
    </row>
    <row r="5" spans="2:14" ht="18.75">
      <c r="B5" s="1"/>
      <c r="C5" s="1"/>
      <c r="D5" s="1"/>
      <c r="E5" s="303"/>
      <c r="F5" s="1"/>
      <c r="G5" s="1"/>
      <c r="H5" s="1"/>
      <c r="I5" s="1"/>
      <c r="J5" s="2" t="s">
        <v>92</v>
      </c>
      <c r="K5" s="56" t="s">
        <v>24</v>
      </c>
      <c r="L5" s="56"/>
      <c r="M5" s="3"/>
      <c r="N5" s="2"/>
    </row>
    <row r="6" spans="2:14" ht="18.75">
      <c r="B6" s="1"/>
      <c r="C6" s="1"/>
      <c r="D6" s="1"/>
      <c r="E6" s="303"/>
      <c r="F6" s="1"/>
      <c r="G6" s="1"/>
      <c r="H6" s="1"/>
      <c r="I6" s="9"/>
      <c r="J6" s="3" t="s">
        <v>111</v>
      </c>
      <c r="K6" s="56" t="s">
        <v>240</v>
      </c>
      <c r="L6" s="56"/>
      <c r="M6" s="3"/>
      <c r="N6" s="3"/>
    </row>
    <row r="7" spans="2:14" ht="18.75">
      <c r="B7" s="1"/>
      <c r="C7" s="1"/>
      <c r="D7" s="1"/>
      <c r="E7" s="303"/>
      <c r="F7" s="1"/>
      <c r="G7" s="1"/>
      <c r="H7" s="1"/>
      <c r="I7" s="9"/>
      <c r="J7" s="3" t="s">
        <v>112</v>
      </c>
      <c r="K7" s="533" t="s">
        <v>609</v>
      </c>
      <c r="L7" s="533"/>
      <c r="M7" s="3"/>
      <c r="N7" s="3"/>
    </row>
    <row r="8" spans="2:14" ht="18.75">
      <c r="B8" s="1"/>
      <c r="C8" s="1"/>
      <c r="D8" s="1"/>
      <c r="E8" s="303"/>
      <c r="F8" s="1"/>
      <c r="G8" s="1"/>
      <c r="H8" s="1"/>
      <c r="I8" s="9"/>
      <c r="J8" s="3"/>
      <c r="K8" s="405" t="s">
        <v>628</v>
      </c>
      <c r="L8" s="56"/>
      <c r="M8" s="3"/>
      <c r="N8" s="3"/>
    </row>
    <row r="9" spans="2:11" ht="15.75">
      <c r="B9" s="1"/>
      <c r="C9" s="1"/>
      <c r="D9" s="1"/>
      <c r="E9" s="303"/>
      <c r="F9" s="1"/>
      <c r="G9" s="1"/>
      <c r="H9" s="1"/>
      <c r="I9" s="1"/>
      <c r="J9" s="1"/>
      <c r="K9" s="1"/>
    </row>
    <row r="10" spans="2:11" ht="40.5" customHeight="1">
      <c r="B10" s="547" t="s">
        <v>532</v>
      </c>
      <c r="C10" s="547"/>
      <c r="D10" s="547"/>
      <c r="E10" s="547"/>
      <c r="F10" s="547"/>
      <c r="G10" s="547"/>
      <c r="H10" s="547"/>
      <c r="I10" s="547"/>
      <c r="J10" s="547"/>
      <c r="K10" s="547"/>
    </row>
    <row r="11" spans="2:11" ht="15.75">
      <c r="B11" s="1"/>
      <c r="C11" s="1"/>
      <c r="D11" s="1"/>
      <c r="E11" s="303"/>
      <c r="F11" s="1"/>
      <c r="G11" s="1"/>
      <c r="H11" s="1"/>
      <c r="I11" s="1"/>
      <c r="J11" s="1"/>
      <c r="K11" s="46" t="s">
        <v>534</v>
      </c>
    </row>
    <row r="12" spans="1:11" ht="18.75">
      <c r="A12" s="548" t="s">
        <v>113</v>
      </c>
      <c r="B12" s="550" t="s">
        <v>12</v>
      </c>
      <c r="C12" s="550" t="s">
        <v>13</v>
      </c>
      <c r="D12" s="550" t="s">
        <v>488</v>
      </c>
      <c r="E12" s="551" t="s">
        <v>9</v>
      </c>
      <c r="F12" s="551"/>
      <c r="G12" s="551"/>
      <c r="H12" s="551"/>
      <c r="I12" s="551"/>
      <c r="J12" s="551"/>
      <c r="K12" s="550" t="s">
        <v>15</v>
      </c>
    </row>
    <row r="13" spans="1:11" ht="40.5" customHeight="1">
      <c r="A13" s="549"/>
      <c r="B13" s="550"/>
      <c r="C13" s="550"/>
      <c r="D13" s="550"/>
      <c r="E13" s="277" t="s">
        <v>536</v>
      </c>
      <c r="F13" s="57" t="s">
        <v>537</v>
      </c>
      <c r="G13" s="57" t="s">
        <v>508</v>
      </c>
      <c r="H13" s="206" t="s">
        <v>28</v>
      </c>
      <c r="I13" s="206" t="s">
        <v>29</v>
      </c>
      <c r="J13" s="206" t="s">
        <v>30</v>
      </c>
      <c r="K13" s="550"/>
    </row>
    <row r="14" spans="1:11" ht="19.5" customHeight="1">
      <c r="A14" s="548">
        <v>1</v>
      </c>
      <c r="B14" s="207" t="s">
        <v>114</v>
      </c>
      <c r="C14" s="553" t="s">
        <v>115</v>
      </c>
      <c r="D14" s="208">
        <f>E14+F14+G14</f>
        <v>10975</v>
      </c>
      <c r="E14" s="283">
        <f>E15+E16+E19+E17+E18</f>
        <v>3630</v>
      </c>
      <c r="F14" s="209">
        <f>F15+F16+F19+F17+F18</f>
        <v>3655</v>
      </c>
      <c r="G14" s="209">
        <f>G15+G16+G19+G17+G18</f>
        <v>3690</v>
      </c>
      <c r="H14" s="210">
        <f>H15+H16</f>
        <v>0</v>
      </c>
      <c r="I14" s="210">
        <f>I15+I16</f>
        <v>0</v>
      </c>
      <c r="J14" s="210">
        <f>J15+J16</f>
        <v>0</v>
      </c>
      <c r="K14" s="553" t="s">
        <v>116</v>
      </c>
    </row>
    <row r="15" spans="1:12" ht="19.5" customHeight="1">
      <c r="A15" s="552"/>
      <c r="B15" s="69" t="s">
        <v>117</v>
      </c>
      <c r="C15" s="554"/>
      <c r="D15" s="208">
        <f aca="true" t="shared" si="0" ref="D15:D47">E15+F15+G15</f>
        <v>8100</v>
      </c>
      <c r="E15" s="283">
        <v>2700</v>
      </c>
      <c r="F15" s="211">
        <v>2700</v>
      </c>
      <c r="G15" s="209">
        <v>2700</v>
      </c>
      <c r="H15" s="210"/>
      <c r="I15" s="210"/>
      <c r="J15" s="210"/>
      <c r="K15" s="554"/>
      <c r="L15" s="5"/>
    </row>
    <row r="16" spans="1:11" ht="41.25" customHeight="1">
      <c r="A16" s="552"/>
      <c r="B16" s="69" t="s">
        <v>235</v>
      </c>
      <c r="C16" s="554"/>
      <c r="D16" s="208">
        <f t="shared" si="0"/>
        <v>1840</v>
      </c>
      <c r="E16" s="283">
        <v>590</v>
      </c>
      <c r="F16" s="211">
        <v>610</v>
      </c>
      <c r="G16" s="209">
        <v>640</v>
      </c>
      <c r="H16" s="210"/>
      <c r="I16" s="210"/>
      <c r="J16" s="210"/>
      <c r="K16" s="554"/>
    </row>
    <row r="17" spans="1:11" ht="19.5" customHeight="1">
      <c r="A17" s="552"/>
      <c r="B17" s="69" t="s">
        <v>274</v>
      </c>
      <c r="C17" s="554"/>
      <c r="D17" s="208">
        <f>E17+F17+G17</f>
        <v>210</v>
      </c>
      <c r="E17" s="283">
        <v>65</v>
      </c>
      <c r="F17" s="211">
        <v>70</v>
      </c>
      <c r="G17" s="209">
        <v>75</v>
      </c>
      <c r="H17" s="210"/>
      <c r="I17" s="210"/>
      <c r="J17" s="210"/>
      <c r="K17" s="554"/>
    </row>
    <row r="18" spans="1:11" ht="37.5">
      <c r="A18" s="552"/>
      <c r="B18" s="69" t="s">
        <v>119</v>
      </c>
      <c r="C18" s="554"/>
      <c r="D18" s="208">
        <f>E18+F18+G18</f>
        <v>570</v>
      </c>
      <c r="E18" s="283">
        <v>190</v>
      </c>
      <c r="F18" s="211">
        <v>190</v>
      </c>
      <c r="G18" s="209">
        <v>190</v>
      </c>
      <c r="H18" s="210"/>
      <c r="I18" s="210"/>
      <c r="J18" s="210"/>
      <c r="K18" s="554"/>
    </row>
    <row r="19" spans="1:11" ht="19.5" customHeight="1">
      <c r="A19" s="549"/>
      <c r="B19" s="69" t="s">
        <v>120</v>
      </c>
      <c r="C19" s="555"/>
      <c r="D19" s="208">
        <f t="shared" si="0"/>
        <v>255</v>
      </c>
      <c r="E19" s="283">
        <v>85</v>
      </c>
      <c r="F19" s="211">
        <v>85</v>
      </c>
      <c r="G19" s="209">
        <v>85</v>
      </c>
      <c r="H19" s="210"/>
      <c r="I19" s="210"/>
      <c r="J19" s="210"/>
      <c r="K19" s="555"/>
    </row>
    <row r="20" spans="1:11" ht="19.5" customHeight="1">
      <c r="A20" s="548">
        <v>2</v>
      </c>
      <c r="B20" s="207" t="s">
        <v>121</v>
      </c>
      <c r="C20" s="553" t="s">
        <v>16</v>
      </c>
      <c r="D20" s="208">
        <f>D21+D22+D23</f>
        <v>12810</v>
      </c>
      <c r="E20" s="283">
        <f>E21+E22+E23</f>
        <v>4060</v>
      </c>
      <c r="F20" s="211">
        <f>F21+F22+F23</f>
        <v>4270</v>
      </c>
      <c r="G20" s="209">
        <f>G21+G22+G23</f>
        <v>4480</v>
      </c>
      <c r="H20" s="210" t="e">
        <f>H21+H22+#REF!+H23</f>
        <v>#REF!</v>
      </c>
      <c r="I20" s="210" t="e">
        <f>I21+I22+#REF!+I23</f>
        <v>#REF!</v>
      </c>
      <c r="J20" s="210" t="e">
        <f>J21+J22+#REF!+J23</f>
        <v>#REF!</v>
      </c>
      <c r="K20" s="553" t="s">
        <v>116</v>
      </c>
    </row>
    <row r="21" spans="1:11" ht="19.5" customHeight="1">
      <c r="A21" s="552"/>
      <c r="B21" s="212" t="s">
        <v>122</v>
      </c>
      <c r="C21" s="554"/>
      <c r="D21" s="208">
        <f t="shared" si="0"/>
        <v>6600</v>
      </c>
      <c r="E21" s="283">
        <v>2100</v>
      </c>
      <c r="F21" s="211">
        <v>2200</v>
      </c>
      <c r="G21" s="209">
        <v>2300</v>
      </c>
      <c r="H21" s="210"/>
      <c r="I21" s="210"/>
      <c r="J21" s="210"/>
      <c r="K21" s="554"/>
    </row>
    <row r="22" spans="1:11" ht="19.5" customHeight="1">
      <c r="A22" s="552"/>
      <c r="B22" s="69" t="s">
        <v>123</v>
      </c>
      <c r="C22" s="554"/>
      <c r="D22" s="208">
        <f t="shared" si="0"/>
        <v>4800</v>
      </c>
      <c r="E22" s="283">
        <v>1500</v>
      </c>
      <c r="F22" s="211">
        <v>1600</v>
      </c>
      <c r="G22" s="209">
        <v>1700</v>
      </c>
      <c r="H22" s="210"/>
      <c r="I22" s="210"/>
      <c r="J22" s="210"/>
      <c r="K22" s="554"/>
    </row>
    <row r="23" spans="1:11" ht="20.25" customHeight="1">
      <c r="A23" s="549"/>
      <c r="B23" s="69" t="s">
        <v>124</v>
      </c>
      <c r="C23" s="555"/>
      <c r="D23" s="208">
        <f t="shared" si="0"/>
        <v>1410</v>
      </c>
      <c r="E23" s="283">
        <v>460</v>
      </c>
      <c r="F23" s="211">
        <v>470</v>
      </c>
      <c r="G23" s="209">
        <v>480</v>
      </c>
      <c r="H23" s="210"/>
      <c r="I23" s="210"/>
      <c r="J23" s="210"/>
      <c r="K23" s="555"/>
    </row>
    <row r="24" spans="1:11" ht="15" customHeight="1" hidden="1">
      <c r="A24" s="213"/>
      <c r="B24" s="69" t="s">
        <v>125</v>
      </c>
      <c r="C24" s="47" t="s">
        <v>16</v>
      </c>
      <c r="D24" s="208">
        <f t="shared" si="0"/>
        <v>0</v>
      </c>
      <c r="E24" s="283"/>
      <c r="F24" s="211"/>
      <c r="G24" s="209"/>
      <c r="H24" s="214"/>
      <c r="I24" s="210"/>
      <c r="J24" s="210"/>
      <c r="K24" s="47" t="s">
        <v>126</v>
      </c>
    </row>
    <row r="25" spans="1:11" ht="15" customHeight="1" hidden="1">
      <c r="A25" s="213"/>
      <c r="B25" s="69" t="s">
        <v>127</v>
      </c>
      <c r="C25" s="47" t="s">
        <v>16</v>
      </c>
      <c r="D25" s="208">
        <f t="shared" si="0"/>
        <v>0</v>
      </c>
      <c r="E25" s="283">
        <v>0</v>
      </c>
      <c r="F25" s="211">
        <v>0</v>
      </c>
      <c r="G25" s="209">
        <v>0</v>
      </c>
      <c r="H25" s="215"/>
      <c r="I25" s="215"/>
      <c r="J25" s="215"/>
      <c r="K25" s="47" t="s">
        <v>126</v>
      </c>
    </row>
    <row r="26" spans="1:11" ht="19.5" customHeight="1">
      <c r="A26" s="548">
        <v>3</v>
      </c>
      <c r="B26" s="207" t="s">
        <v>128</v>
      </c>
      <c r="C26" s="553" t="s">
        <v>16</v>
      </c>
      <c r="D26" s="208">
        <f>D27+D28+D29+D32+D30+D31</f>
        <v>5180</v>
      </c>
      <c r="E26" s="283">
        <f>E27+E28+E29+E32+E30+E31</f>
        <v>1607</v>
      </c>
      <c r="F26" s="211">
        <f>F27+F28+F29+F32+F30+F31</f>
        <v>1738</v>
      </c>
      <c r="G26" s="209">
        <f>G27+G28+G29+G32+G30+G31</f>
        <v>1835</v>
      </c>
      <c r="H26" s="210">
        <f>H27+H28+H29</f>
        <v>0</v>
      </c>
      <c r="I26" s="210">
        <f>I27+I28+I29</f>
        <v>0</v>
      </c>
      <c r="J26" s="210">
        <f>J27+J28+J29</f>
        <v>0</v>
      </c>
      <c r="K26" s="553" t="s">
        <v>116</v>
      </c>
    </row>
    <row r="27" spans="1:11" ht="19.5" customHeight="1">
      <c r="A27" s="552"/>
      <c r="B27" s="69" t="s">
        <v>129</v>
      </c>
      <c r="C27" s="554"/>
      <c r="D27" s="208">
        <f t="shared" si="0"/>
        <v>4200</v>
      </c>
      <c r="E27" s="283">
        <v>1300</v>
      </c>
      <c r="F27" s="211">
        <v>1400</v>
      </c>
      <c r="G27" s="209">
        <v>1500</v>
      </c>
      <c r="H27" s="210"/>
      <c r="I27" s="210"/>
      <c r="J27" s="210"/>
      <c r="K27" s="554"/>
    </row>
    <row r="28" spans="1:11" ht="19.5" customHeight="1">
      <c r="A28" s="552"/>
      <c r="B28" s="69" t="s">
        <v>130</v>
      </c>
      <c r="C28" s="554"/>
      <c r="D28" s="208">
        <f t="shared" si="0"/>
        <v>720</v>
      </c>
      <c r="E28" s="283">
        <v>230</v>
      </c>
      <c r="F28" s="211">
        <v>240</v>
      </c>
      <c r="G28" s="209">
        <v>250</v>
      </c>
      <c r="H28" s="210"/>
      <c r="I28" s="210"/>
      <c r="J28" s="210"/>
      <c r="K28" s="554"/>
    </row>
    <row r="29" spans="1:11" ht="19.5" customHeight="1">
      <c r="A29" s="552"/>
      <c r="B29" s="69" t="s">
        <v>131</v>
      </c>
      <c r="C29" s="554"/>
      <c r="D29" s="208">
        <f t="shared" si="0"/>
        <v>26</v>
      </c>
      <c r="E29" s="283">
        <v>2</v>
      </c>
      <c r="F29" s="211">
        <f>3+17</f>
        <v>20</v>
      </c>
      <c r="G29" s="209">
        <v>4</v>
      </c>
      <c r="H29" s="210"/>
      <c r="I29" s="210"/>
      <c r="J29" s="210"/>
      <c r="K29" s="554"/>
    </row>
    <row r="30" spans="1:11" ht="19.5" customHeight="1">
      <c r="A30" s="552"/>
      <c r="B30" s="69" t="s">
        <v>132</v>
      </c>
      <c r="C30" s="554"/>
      <c r="D30" s="208">
        <f t="shared" si="0"/>
        <v>15</v>
      </c>
      <c r="E30" s="283">
        <v>4</v>
      </c>
      <c r="F30" s="211">
        <v>5</v>
      </c>
      <c r="G30" s="209">
        <v>6</v>
      </c>
      <c r="H30" s="210"/>
      <c r="I30" s="210"/>
      <c r="J30" s="210"/>
      <c r="K30" s="554"/>
    </row>
    <row r="31" spans="1:11" ht="19.5" customHeight="1">
      <c r="A31" s="552"/>
      <c r="B31" s="69" t="s">
        <v>133</v>
      </c>
      <c r="C31" s="554"/>
      <c r="D31" s="208">
        <f t="shared" si="0"/>
        <v>15</v>
      </c>
      <c r="E31" s="283">
        <v>4</v>
      </c>
      <c r="F31" s="211">
        <v>5</v>
      </c>
      <c r="G31" s="209">
        <v>6</v>
      </c>
      <c r="H31" s="210"/>
      <c r="I31" s="210"/>
      <c r="J31" s="210"/>
      <c r="K31" s="554"/>
    </row>
    <row r="32" spans="1:11" ht="19.5" customHeight="1">
      <c r="A32" s="549"/>
      <c r="B32" s="69" t="s">
        <v>134</v>
      </c>
      <c r="C32" s="555"/>
      <c r="D32" s="208">
        <f t="shared" si="0"/>
        <v>204</v>
      </c>
      <c r="E32" s="283">
        <v>67</v>
      </c>
      <c r="F32" s="211">
        <v>68</v>
      </c>
      <c r="G32" s="209">
        <v>69</v>
      </c>
      <c r="H32" s="210"/>
      <c r="I32" s="210"/>
      <c r="J32" s="210"/>
      <c r="K32" s="555"/>
    </row>
    <row r="33" spans="1:11" ht="62.25" customHeight="1">
      <c r="A33" s="213">
        <v>4</v>
      </c>
      <c r="B33" s="207" t="s">
        <v>135</v>
      </c>
      <c r="C33" s="47" t="s">
        <v>16</v>
      </c>
      <c r="D33" s="216">
        <f>E33+F33+G33</f>
        <v>4200</v>
      </c>
      <c r="E33" s="283">
        <v>1300</v>
      </c>
      <c r="F33" s="211">
        <v>1400</v>
      </c>
      <c r="G33" s="217">
        <v>1500</v>
      </c>
      <c r="H33" s="210"/>
      <c r="I33" s="210"/>
      <c r="J33" s="210"/>
      <c r="K33" s="47" t="s">
        <v>116</v>
      </c>
    </row>
    <row r="34" spans="1:11" ht="20.25" customHeight="1">
      <c r="A34" s="548">
        <v>5</v>
      </c>
      <c r="B34" s="207" t="s">
        <v>136</v>
      </c>
      <c r="C34" s="553" t="s">
        <v>16</v>
      </c>
      <c r="D34" s="216">
        <f>D35+D36+D37+D38+D39+D40</f>
        <v>9910</v>
      </c>
      <c r="E34" s="283">
        <f>E35+E36+E37+E38+E39+E40</f>
        <v>3100</v>
      </c>
      <c r="F34" s="211">
        <f>F35+F36+F37+F38+F39+F40</f>
        <v>3270</v>
      </c>
      <c r="G34" s="217">
        <f>G35+G36+G37+G38+G39+G40</f>
        <v>3540</v>
      </c>
      <c r="H34" s="218" t="e">
        <f>H35+H36+H37+H38+H39+#REF!+H40+#REF!+#REF!+#REF!</f>
        <v>#REF!</v>
      </c>
      <c r="I34" s="218" t="e">
        <f>I35+I36+I37+I38+I39+#REF!+I40+#REF!+#REF!+#REF!</f>
        <v>#REF!</v>
      </c>
      <c r="J34" s="218" t="e">
        <f>J35+J36+J37+J38+J39+#REF!+J40+#REF!+#REF!+#REF!</f>
        <v>#REF!</v>
      </c>
      <c r="K34" s="553" t="s">
        <v>116</v>
      </c>
    </row>
    <row r="35" spans="1:11" ht="37.5">
      <c r="A35" s="552"/>
      <c r="B35" s="69" t="s">
        <v>137</v>
      </c>
      <c r="C35" s="554"/>
      <c r="D35" s="216">
        <f t="shared" si="0"/>
        <v>660</v>
      </c>
      <c r="E35" s="283">
        <v>210</v>
      </c>
      <c r="F35" s="211">
        <v>220</v>
      </c>
      <c r="G35" s="217">
        <v>230</v>
      </c>
      <c r="H35" s="210"/>
      <c r="I35" s="210"/>
      <c r="J35" s="210"/>
      <c r="K35" s="554"/>
    </row>
    <row r="36" spans="1:11" ht="20.25" customHeight="1">
      <c r="A36" s="552"/>
      <c r="B36" s="69" t="s">
        <v>117</v>
      </c>
      <c r="C36" s="554"/>
      <c r="D36" s="216">
        <f t="shared" si="0"/>
        <v>630</v>
      </c>
      <c r="E36" s="283">
        <v>205</v>
      </c>
      <c r="F36" s="211">
        <v>210</v>
      </c>
      <c r="G36" s="217">
        <v>215</v>
      </c>
      <c r="H36" s="210"/>
      <c r="I36" s="210"/>
      <c r="J36" s="210"/>
      <c r="K36" s="554"/>
    </row>
    <row r="37" spans="1:11" ht="20.25" customHeight="1">
      <c r="A37" s="552"/>
      <c r="B37" s="69" t="s">
        <v>118</v>
      </c>
      <c r="C37" s="554"/>
      <c r="D37" s="216">
        <f t="shared" si="0"/>
        <v>330</v>
      </c>
      <c r="E37" s="283">
        <v>105</v>
      </c>
      <c r="F37" s="211">
        <v>110</v>
      </c>
      <c r="G37" s="217">
        <v>115</v>
      </c>
      <c r="H37" s="210"/>
      <c r="I37" s="210"/>
      <c r="J37" s="210"/>
      <c r="K37" s="554"/>
    </row>
    <row r="38" spans="1:11" ht="20.25" customHeight="1">
      <c r="A38" s="552"/>
      <c r="B38" s="69" t="s">
        <v>138</v>
      </c>
      <c r="C38" s="554"/>
      <c r="D38" s="216">
        <f t="shared" si="0"/>
        <v>1130</v>
      </c>
      <c r="E38" s="283">
        <v>350</v>
      </c>
      <c r="F38" s="211">
        <v>380</v>
      </c>
      <c r="G38" s="217">
        <v>400</v>
      </c>
      <c r="H38" s="210"/>
      <c r="I38" s="210"/>
      <c r="J38" s="210"/>
      <c r="K38" s="554"/>
    </row>
    <row r="39" spans="1:11" ht="20.25" customHeight="1">
      <c r="A39" s="552"/>
      <c r="B39" s="69" t="s">
        <v>123</v>
      </c>
      <c r="C39" s="554"/>
      <c r="D39" s="216">
        <f t="shared" si="0"/>
        <v>1360</v>
      </c>
      <c r="E39" s="283">
        <v>430</v>
      </c>
      <c r="F39" s="211">
        <v>450</v>
      </c>
      <c r="G39" s="217">
        <v>480</v>
      </c>
      <c r="H39" s="210"/>
      <c r="I39" s="210"/>
      <c r="J39" s="210"/>
      <c r="K39" s="554"/>
    </row>
    <row r="40" spans="1:11" ht="18.75">
      <c r="A40" s="549"/>
      <c r="B40" s="69" t="s">
        <v>139</v>
      </c>
      <c r="C40" s="555"/>
      <c r="D40" s="216">
        <f t="shared" si="0"/>
        <v>5800</v>
      </c>
      <c r="E40" s="283">
        <v>1800</v>
      </c>
      <c r="F40" s="211">
        <v>1900</v>
      </c>
      <c r="G40" s="217">
        <v>2100</v>
      </c>
      <c r="H40" s="210"/>
      <c r="I40" s="210"/>
      <c r="J40" s="210"/>
      <c r="K40" s="554"/>
    </row>
    <row r="41" spans="1:11" ht="37.5">
      <c r="A41" s="219">
        <v>6</v>
      </c>
      <c r="B41" s="207" t="s">
        <v>140</v>
      </c>
      <c r="C41" s="220" t="s">
        <v>16</v>
      </c>
      <c r="D41" s="216">
        <f>E41+F41+G41</f>
        <v>330</v>
      </c>
      <c r="E41" s="283">
        <v>100</v>
      </c>
      <c r="F41" s="211">
        <v>110</v>
      </c>
      <c r="G41" s="217">
        <v>120</v>
      </c>
      <c r="H41" s="210"/>
      <c r="I41" s="210"/>
      <c r="J41" s="210"/>
      <c r="K41" s="554"/>
    </row>
    <row r="42" spans="1:11" ht="56.25">
      <c r="A42" s="213">
        <v>7</v>
      </c>
      <c r="B42" s="207" t="s">
        <v>238</v>
      </c>
      <c r="C42" s="220" t="s">
        <v>16</v>
      </c>
      <c r="D42" s="216">
        <f t="shared" si="0"/>
        <v>750</v>
      </c>
      <c r="E42" s="283">
        <v>200</v>
      </c>
      <c r="F42" s="211">
        <v>250</v>
      </c>
      <c r="G42" s="217">
        <v>300</v>
      </c>
      <c r="H42" s="210"/>
      <c r="I42" s="210"/>
      <c r="J42" s="210"/>
      <c r="K42" s="549"/>
    </row>
    <row r="43" spans="1:11" ht="75">
      <c r="A43" s="213">
        <v>8</v>
      </c>
      <c r="B43" s="207" t="s">
        <v>141</v>
      </c>
      <c r="C43" s="220" t="s">
        <v>16</v>
      </c>
      <c r="D43" s="216">
        <f t="shared" si="0"/>
        <v>10500</v>
      </c>
      <c r="E43" s="283">
        <v>3400</v>
      </c>
      <c r="F43" s="211">
        <v>3500</v>
      </c>
      <c r="G43" s="217">
        <v>3600</v>
      </c>
      <c r="H43" s="210"/>
      <c r="I43" s="210"/>
      <c r="J43" s="210"/>
      <c r="K43" s="47" t="s">
        <v>142</v>
      </c>
    </row>
    <row r="44" spans="1:11" ht="42.75" customHeight="1">
      <c r="A44" s="561">
        <v>9</v>
      </c>
      <c r="B44" s="563" t="s">
        <v>294</v>
      </c>
      <c r="C44" s="220" t="s">
        <v>293</v>
      </c>
      <c r="D44" s="216">
        <f>D45</f>
        <v>1741</v>
      </c>
      <c r="E44" s="217">
        <f>E45</f>
        <v>540</v>
      </c>
      <c r="F44" s="217">
        <f>F45</f>
        <v>601</v>
      </c>
      <c r="G44" s="217">
        <f>G45</f>
        <v>600</v>
      </c>
      <c r="H44" s="210"/>
      <c r="I44" s="210"/>
      <c r="J44" s="210"/>
      <c r="K44" s="47"/>
    </row>
    <row r="45" spans="1:11" ht="66" customHeight="1">
      <c r="A45" s="562"/>
      <c r="B45" s="564"/>
      <c r="C45" s="281" t="s">
        <v>16</v>
      </c>
      <c r="D45" s="282">
        <f t="shared" si="0"/>
        <v>1741</v>
      </c>
      <c r="E45" s="283">
        <v>540</v>
      </c>
      <c r="F45" s="283">
        <f>560+41</f>
        <v>601</v>
      </c>
      <c r="G45" s="283">
        <v>600</v>
      </c>
      <c r="H45" s="210"/>
      <c r="I45" s="210"/>
      <c r="J45" s="210"/>
      <c r="K45" s="47" t="s">
        <v>116</v>
      </c>
    </row>
    <row r="46" spans="1:11" ht="56.25">
      <c r="A46" s="213">
        <v>10</v>
      </c>
      <c r="B46" s="207" t="s">
        <v>143</v>
      </c>
      <c r="C46" s="220" t="s">
        <v>16</v>
      </c>
      <c r="D46" s="216">
        <f t="shared" si="0"/>
        <v>650</v>
      </c>
      <c r="E46" s="283">
        <v>100</v>
      </c>
      <c r="F46" s="211">
        <f>100+350</f>
        <v>450</v>
      </c>
      <c r="G46" s="217">
        <v>100</v>
      </c>
      <c r="H46" s="210"/>
      <c r="I46" s="210"/>
      <c r="J46" s="210"/>
      <c r="K46" s="47" t="s">
        <v>144</v>
      </c>
    </row>
    <row r="47" spans="1:11" ht="15" customHeight="1">
      <c r="A47" s="548">
        <v>11</v>
      </c>
      <c r="B47" s="221" t="s">
        <v>145</v>
      </c>
      <c r="C47" s="556" t="s">
        <v>16</v>
      </c>
      <c r="D47" s="216">
        <f t="shared" si="0"/>
        <v>1120</v>
      </c>
      <c r="E47" s="283">
        <f>E49+E51+E48+E52+E53+E50</f>
        <v>290</v>
      </c>
      <c r="F47" s="217">
        <f>F49+F51+F48+F52+F53+F50</f>
        <v>380</v>
      </c>
      <c r="G47" s="217">
        <f>G49+G51+G48+G52+G53+G50</f>
        <v>450</v>
      </c>
      <c r="H47" s="210"/>
      <c r="I47" s="210"/>
      <c r="J47" s="210"/>
      <c r="K47" s="553" t="s">
        <v>146</v>
      </c>
    </row>
    <row r="48" spans="1:11" ht="18.75">
      <c r="A48" s="552"/>
      <c r="B48" s="222" t="s">
        <v>147</v>
      </c>
      <c r="C48" s="557"/>
      <c r="D48" s="216">
        <f aca="true" t="shared" si="1" ref="D48:D56">E48+F48+G48</f>
        <v>450</v>
      </c>
      <c r="E48" s="283">
        <v>100</v>
      </c>
      <c r="F48" s="211">
        <v>150</v>
      </c>
      <c r="G48" s="217">
        <v>200</v>
      </c>
      <c r="H48" s="210"/>
      <c r="I48" s="210"/>
      <c r="J48" s="210"/>
      <c r="K48" s="552"/>
    </row>
    <row r="49" spans="1:11" ht="37.5">
      <c r="A49" s="552"/>
      <c r="B49" s="222" t="s">
        <v>148</v>
      </c>
      <c r="C49" s="557"/>
      <c r="D49" s="216">
        <f t="shared" si="1"/>
        <v>210</v>
      </c>
      <c r="E49" s="283">
        <v>60</v>
      </c>
      <c r="F49" s="211">
        <v>70</v>
      </c>
      <c r="G49" s="217">
        <v>80</v>
      </c>
      <c r="H49" s="210"/>
      <c r="I49" s="210"/>
      <c r="J49" s="210"/>
      <c r="K49" s="552"/>
    </row>
    <row r="50" spans="1:11" ht="18.75">
      <c r="A50" s="552"/>
      <c r="B50" s="284" t="s">
        <v>239</v>
      </c>
      <c r="C50" s="557"/>
      <c r="D50" s="216">
        <f t="shared" si="1"/>
        <v>150</v>
      </c>
      <c r="E50" s="283">
        <v>40</v>
      </c>
      <c r="F50" s="211">
        <v>50</v>
      </c>
      <c r="G50" s="217">
        <v>60</v>
      </c>
      <c r="H50" s="210"/>
      <c r="I50" s="210"/>
      <c r="J50" s="210"/>
      <c r="K50" s="552"/>
    </row>
    <row r="51" spans="1:11" ht="18.75">
      <c r="A51" s="552"/>
      <c r="B51" s="222" t="s">
        <v>140</v>
      </c>
      <c r="C51" s="557"/>
      <c r="D51" s="216">
        <f t="shared" si="1"/>
        <v>140</v>
      </c>
      <c r="E51" s="283">
        <v>40</v>
      </c>
      <c r="F51" s="211">
        <v>50</v>
      </c>
      <c r="G51" s="217">
        <v>50</v>
      </c>
      <c r="H51" s="210"/>
      <c r="I51" s="210"/>
      <c r="J51" s="210"/>
      <c r="K51" s="552"/>
    </row>
    <row r="52" spans="1:11" ht="18.75" hidden="1">
      <c r="A52" s="552"/>
      <c r="B52" s="69"/>
      <c r="C52" s="557"/>
      <c r="D52" s="216">
        <f t="shared" si="1"/>
        <v>0</v>
      </c>
      <c r="E52" s="283"/>
      <c r="F52" s="211"/>
      <c r="G52" s="217"/>
      <c r="H52" s="210"/>
      <c r="I52" s="210"/>
      <c r="J52" s="210"/>
      <c r="K52" s="552"/>
    </row>
    <row r="53" spans="1:11" ht="37.5">
      <c r="A53" s="549"/>
      <c r="B53" s="69" t="s">
        <v>135</v>
      </c>
      <c r="C53" s="557"/>
      <c r="D53" s="216">
        <f t="shared" si="1"/>
        <v>170</v>
      </c>
      <c r="E53" s="283">
        <v>50</v>
      </c>
      <c r="F53" s="211">
        <v>60</v>
      </c>
      <c r="G53" s="217">
        <v>60</v>
      </c>
      <c r="H53" s="210"/>
      <c r="I53" s="210"/>
      <c r="J53" s="210"/>
      <c r="K53" s="549"/>
    </row>
    <row r="54" spans="1:11" ht="37.5" customHeight="1">
      <c r="A54" s="262">
        <v>12</v>
      </c>
      <c r="B54" s="279" t="s">
        <v>236</v>
      </c>
      <c r="C54" s="220" t="s">
        <v>16</v>
      </c>
      <c r="D54" s="216">
        <f t="shared" si="1"/>
        <v>15000</v>
      </c>
      <c r="E54" s="283">
        <v>5000</v>
      </c>
      <c r="F54" s="211">
        <v>5000</v>
      </c>
      <c r="G54" s="217">
        <v>5000</v>
      </c>
      <c r="H54" s="210"/>
      <c r="I54" s="210"/>
      <c r="J54" s="210"/>
      <c r="K54" s="263" t="s">
        <v>237</v>
      </c>
    </row>
    <row r="55" spans="1:11" ht="37.5">
      <c r="A55" s="262">
        <v>13</v>
      </c>
      <c r="B55" s="280" t="s">
        <v>245</v>
      </c>
      <c r="C55" s="220" t="s">
        <v>16</v>
      </c>
      <c r="D55" s="216">
        <f t="shared" si="1"/>
        <v>3700</v>
      </c>
      <c r="E55" s="283">
        <v>1000</v>
      </c>
      <c r="F55" s="211">
        <v>1200</v>
      </c>
      <c r="G55" s="217">
        <v>1500</v>
      </c>
      <c r="H55" s="210"/>
      <c r="I55" s="210"/>
      <c r="J55" s="210"/>
      <c r="K55" s="263" t="s">
        <v>237</v>
      </c>
    </row>
    <row r="56" spans="1:11" ht="37.5">
      <c r="A56" s="262">
        <v>14</v>
      </c>
      <c r="B56" s="280" t="s">
        <v>279</v>
      </c>
      <c r="C56" s="220" t="s">
        <v>16</v>
      </c>
      <c r="D56" s="216">
        <f t="shared" si="1"/>
        <v>54000</v>
      </c>
      <c r="E56" s="283">
        <v>18000</v>
      </c>
      <c r="F56" s="283">
        <v>18000</v>
      </c>
      <c r="G56" s="283">
        <v>18000</v>
      </c>
      <c r="H56" s="210"/>
      <c r="I56" s="210"/>
      <c r="J56" s="210"/>
      <c r="K56" s="263" t="s">
        <v>237</v>
      </c>
    </row>
    <row r="57" spans="1:11" ht="37.5">
      <c r="A57" s="262">
        <v>15</v>
      </c>
      <c r="B57" s="320" t="s">
        <v>300</v>
      </c>
      <c r="C57" s="36" t="s">
        <v>16</v>
      </c>
      <c r="D57" s="321">
        <v>500</v>
      </c>
      <c r="E57" s="322">
        <v>500</v>
      </c>
      <c r="F57" s="323"/>
      <c r="G57" s="323"/>
      <c r="H57" s="324"/>
      <c r="I57" s="324"/>
      <c r="J57" s="324"/>
      <c r="K57" s="314" t="s">
        <v>301</v>
      </c>
    </row>
    <row r="58" spans="1:11" ht="37.5">
      <c r="A58" s="213">
        <v>16</v>
      </c>
      <c r="B58" s="320" t="s">
        <v>302</v>
      </c>
      <c r="C58" s="36" t="s">
        <v>16</v>
      </c>
      <c r="D58" s="325">
        <f>E58+F58</f>
        <v>838.333</v>
      </c>
      <c r="E58" s="326">
        <v>138.333</v>
      </c>
      <c r="F58" s="323">
        <f>0+700</f>
        <v>700</v>
      </c>
      <c r="G58" s="323"/>
      <c r="H58" s="324"/>
      <c r="I58" s="324"/>
      <c r="J58" s="324"/>
      <c r="K58" s="314" t="s">
        <v>301</v>
      </c>
    </row>
    <row r="59" spans="1:11" ht="37.5">
      <c r="A59" s="213">
        <v>17</v>
      </c>
      <c r="B59" s="137" t="s">
        <v>443</v>
      </c>
      <c r="C59" s="36" t="s">
        <v>16</v>
      </c>
      <c r="D59" s="325">
        <f>E59+F59</f>
        <v>400</v>
      </c>
      <c r="E59" s="326"/>
      <c r="F59" s="323">
        <v>400</v>
      </c>
      <c r="G59" s="323"/>
      <c r="H59" s="324"/>
      <c r="I59" s="324"/>
      <c r="J59" s="324"/>
      <c r="K59" s="314" t="s">
        <v>301</v>
      </c>
    </row>
    <row r="60" spans="1:11" ht="37.5">
      <c r="A60" s="213">
        <v>18</v>
      </c>
      <c r="B60" s="137" t="s">
        <v>444</v>
      </c>
      <c r="C60" s="36" t="s">
        <v>16</v>
      </c>
      <c r="D60" s="325">
        <f>E60+F60</f>
        <v>500</v>
      </c>
      <c r="E60" s="326"/>
      <c r="F60" s="323">
        <v>500</v>
      </c>
      <c r="G60" s="323"/>
      <c r="H60" s="324"/>
      <c r="I60" s="324"/>
      <c r="J60" s="324"/>
      <c r="K60" s="314" t="s">
        <v>301</v>
      </c>
    </row>
    <row r="61" spans="1:11" ht="48.75" customHeight="1">
      <c r="A61" s="213">
        <v>19</v>
      </c>
      <c r="B61" s="320" t="s">
        <v>463</v>
      </c>
      <c r="C61" s="36" t="s">
        <v>16</v>
      </c>
      <c r="D61" s="325">
        <f>E61+F61</f>
        <v>600</v>
      </c>
      <c r="E61" s="326"/>
      <c r="F61" s="323">
        <v>600</v>
      </c>
      <c r="G61" s="323"/>
      <c r="H61" s="324"/>
      <c r="I61" s="324"/>
      <c r="J61" s="324"/>
      <c r="K61" s="314" t="s">
        <v>301</v>
      </c>
    </row>
    <row r="62" spans="1:11" ht="24" customHeight="1">
      <c r="A62" s="451"/>
      <c r="B62" s="558" t="s">
        <v>5</v>
      </c>
      <c r="C62" s="559"/>
      <c r="D62" s="365">
        <f>D14+D20+D26+D33+D34+D43+D44+D45+D46+D47+D42+D41+D54+D55+D56+D57+D58+D59+D60+D61</f>
        <v>135445.333</v>
      </c>
      <c r="E62" s="365">
        <f>E14+E20+E26+E33+E34+E43+E44+E45+E46+E47+E42+E41+E54+E55+E56+E57+E58</f>
        <v>43505.333</v>
      </c>
      <c r="F62" s="365">
        <f>F14+F20+F26+F33+F34+F43+F44+F45+F46+F47+F42+F41+F54+F55+F56+F57+F58+F59+F60+F61</f>
        <v>46625</v>
      </c>
      <c r="G62" s="365">
        <f>G14+G20+G26+G33+G34+G43+G44+G45+G46+G47+G42+G41+G54+G55+G56+G57+G58</f>
        <v>45315</v>
      </c>
      <c r="H62" s="365" t="e">
        <f>H14+H20+H26+H33+#REF!+#REF!+#REF!+#REF!+#REF!+#REF!+#REF!+H34+#REF!+#REF!+#REF!</f>
        <v>#REF!</v>
      </c>
      <c r="I62" s="365" t="e">
        <f>I14+I20+I26+I33+#REF!+#REF!+#REF!+#REF!+#REF!+#REF!+#REF!+I34+#REF!+#REF!+#REF!</f>
        <v>#REF!</v>
      </c>
      <c r="J62" s="365" t="e">
        <f>J14+J20+J26+J33+#REF!+#REF!+#REF!+#REF!+#REF!+#REF!+#REF!+J34+#REF!+#REF!+#REF!</f>
        <v>#REF!</v>
      </c>
      <c r="K62" s="366"/>
    </row>
    <row r="63" spans="2:11" ht="15.75" customHeight="1">
      <c r="B63" s="4"/>
      <c r="C63" s="4"/>
      <c r="D63" s="223"/>
      <c r="E63" s="304"/>
      <c r="F63" s="223"/>
      <c r="G63" s="223"/>
      <c r="H63" s="223"/>
      <c r="I63" s="223"/>
      <c r="J63" s="223"/>
      <c r="K63" s="224"/>
    </row>
    <row r="64" spans="2:11" ht="32.25" customHeight="1">
      <c r="B64" s="4"/>
      <c r="C64" s="4"/>
      <c r="D64" s="223"/>
      <c r="E64" s="304"/>
      <c r="F64" s="223"/>
      <c r="G64" s="223"/>
      <c r="H64" s="223"/>
      <c r="I64" s="223"/>
      <c r="J64" s="223"/>
      <c r="K64" s="224"/>
    </row>
    <row r="65" spans="2:11" ht="27.75" customHeight="1">
      <c r="B65" s="4"/>
      <c r="C65" s="4"/>
      <c r="D65" s="223"/>
      <c r="E65" s="304"/>
      <c r="F65" s="223"/>
      <c r="G65" s="223"/>
      <c r="H65" s="223"/>
      <c r="I65" s="223"/>
      <c r="J65" s="223"/>
      <c r="K65" s="224"/>
    </row>
    <row r="66" spans="2:13" ht="33" customHeight="1">
      <c r="B66" s="560" t="s">
        <v>18</v>
      </c>
      <c r="C66" s="560"/>
      <c r="D66" s="9"/>
      <c r="E66" s="430"/>
      <c r="F66" s="431"/>
      <c r="G66" s="431"/>
      <c r="H66" s="431"/>
      <c r="I66" s="431"/>
      <c r="J66" s="431"/>
      <c r="K66" s="49" t="s">
        <v>7</v>
      </c>
      <c r="L66" s="225"/>
      <c r="M66" s="225"/>
    </row>
    <row r="67" spans="2:12" ht="18.75">
      <c r="B67" s="429"/>
      <c r="C67" s="49"/>
      <c r="D67" s="9"/>
      <c r="E67" s="430"/>
      <c r="F67" s="431"/>
      <c r="G67" s="431"/>
      <c r="H67" s="431"/>
      <c r="I67" s="431"/>
      <c r="J67" s="431"/>
      <c r="K67" s="49"/>
      <c r="L67" s="1"/>
    </row>
    <row r="68" spans="2:12" ht="18.75">
      <c r="B68" s="482" t="s">
        <v>608</v>
      </c>
      <c r="C68" s="49"/>
      <c r="D68" s="49"/>
      <c r="E68" s="305"/>
      <c r="F68" s="8"/>
      <c r="G68" s="8"/>
      <c r="H68" s="9"/>
      <c r="I68" s="9"/>
      <c r="J68" s="9"/>
      <c r="K68" s="432"/>
      <c r="L68" s="1"/>
    </row>
    <row r="69" spans="2:11" ht="15.75">
      <c r="B69" s="1"/>
      <c r="C69" s="44"/>
      <c r="D69" s="7"/>
      <c r="E69" s="306"/>
      <c r="F69" s="7"/>
      <c r="G69" s="7"/>
      <c r="H69" s="7"/>
      <c r="I69" s="7"/>
      <c r="J69" s="7"/>
      <c r="K69" s="1"/>
    </row>
    <row r="70" spans="2:11" ht="15.75">
      <c r="B70" s="1"/>
      <c r="C70" s="45"/>
      <c r="D70" s="7"/>
      <c r="E70" s="306"/>
      <c r="F70" s="7"/>
      <c r="G70" s="7"/>
      <c r="H70" s="7"/>
      <c r="I70" s="7"/>
      <c r="J70" s="7"/>
      <c r="K70" s="1"/>
    </row>
    <row r="71" spans="2:11" ht="15.75">
      <c r="B71" s="1"/>
      <c r="C71" s="1"/>
      <c r="D71" s="1"/>
      <c r="E71" s="303"/>
      <c r="F71" s="1"/>
      <c r="G71" s="1"/>
      <c r="H71" s="1"/>
      <c r="I71" s="1"/>
      <c r="J71" s="1"/>
      <c r="K71" s="1"/>
    </row>
    <row r="72" spans="2:11" ht="15.75">
      <c r="B72" s="1"/>
      <c r="C72" s="1"/>
      <c r="D72" s="1"/>
      <c r="E72" s="303"/>
      <c r="F72" s="1"/>
      <c r="G72" s="1"/>
      <c r="H72" s="1"/>
      <c r="I72" s="1"/>
      <c r="J72" s="1"/>
      <c r="K72" s="1"/>
    </row>
    <row r="73" spans="2:11" ht="15.75">
      <c r="B73" s="1"/>
      <c r="C73" s="1"/>
      <c r="D73" s="1"/>
      <c r="E73" s="303"/>
      <c r="F73" s="1"/>
      <c r="G73" s="1"/>
      <c r="H73" s="1"/>
      <c r="I73" s="1"/>
      <c r="J73" s="1"/>
      <c r="K73" s="1"/>
    </row>
    <row r="74" spans="2:11" ht="15.75">
      <c r="B74" s="1"/>
      <c r="C74" s="1"/>
      <c r="D74" s="1"/>
      <c r="E74" s="303"/>
      <c r="F74" s="1"/>
      <c r="G74" s="1"/>
      <c r="H74" s="1"/>
      <c r="I74" s="1"/>
      <c r="J74" s="1"/>
      <c r="K74" s="1"/>
    </row>
    <row r="75" spans="2:11" ht="15.75">
      <c r="B75" s="1"/>
      <c r="C75" s="1"/>
      <c r="D75" s="1"/>
      <c r="E75" s="303"/>
      <c r="F75" s="1"/>
      <c r="G75" s="1"/>
      <c r="H75" s="1"/>
      <c r="I75" s="1"/>
      <c r="J75" s="1"/>
      <c r="K75" s="1"/>
    </row>
    <row r="76" spans="2:11" ht="15.75">
      <c r="B76" s="1"/>
      <c r="C76" s="1"/>
      <c r="D76" s="1"/>
      <c r="E76" s="303"/>
      <c r="F76" s="1"/>
      <c r="G76" s="1"/>
      <c r="H76" s="1"/>
      <c r="I76" s="1"/>
      <c r="J76" s="1"/>
      <c r="K76" s="1"/>
    </row>
    <row r="77" spans="2:11" ht="15.75">
      <c r="B77" s="1"/>
      <c r="C77" s="1"/>
      <c r="D77" s="1"/>
      <c r="E77" s="303"/>
      <c r="F77" s="1"/>
      <c r="G77" s="1"/>
      <c r="H77" s="1"/>
      <c r="I77" s="1"/>
      <c r="J77" s="1"/>
      <c r="K77" s="1"/>
    </row>
    <row r="78" spans="2:11" ht="15.75">
      <c r="B78" s="1"/>
      <c r="C78" s="1"/>
      <c r="D78" s="1"/>
      <c r="E78" s="303"/>
      <c r="F78" s="1"/>
      <c r="G78" s="1"/>
      <c r="H78" s="1"/>
      <c r="I78" s="1"/>
      <c r="J78" s="1"/>
      <c r="K78" s="1"/>
    </row>
    <row r="79" spans="2:11" ht="15.75">
      <c r="B79" s="1"/>
      <c r="C79" s="1"/>
      <c r="D79" s="1"/>
      <c r="E79" s="303"/>
      <c r="F79" s="1"/>
      <c r="G79" s="1"/>
      <c r="H79" s="1"/>
      <c r="I79" s="1"/>
      <c r="J79" s="1"/>
      <c r="K79" s="1"/>
    </row>
    <row r="80" spans="2:11" ht="15.75">
      <c r="B80" s="1"/>
      <c r="C80" s="1"/>
      <c r="D80" s="1"/>
      <c r="E80" s="303"/>
      <c r="F80" s="1"/>
      <c r="G80" s="1"/>
      <c r="H80" s="1"/>
      <c r="I80" s="1"/>
      <c r="J80" s="1"/>
      <c r="K80" s="1"/>
    </row>
    <row r="81" spans="2:11" ht="15.75">
      <c r="B81" s="1"/>
      <c r="C81" s="1"/>
      <c r="D81" s="1"/>
      <c r="E81" s="303"/>
      <c r="F81" s="1"/>
      <c r="G81" s="1"/>
      <c r="H81" s="1"/>
      <c r="I81" s="1"/>
      <c r="J81" s="1"/>
      <c r="K81" s="1"/>
    </row>
    <row r="82" spans="2:11" ht="15.75">
      <c r="B82" s="1"/>
      <c r="C82" s="1"/>
      <c r="D82" s="1"/>
      <c r="E82" s="303"/>
      <c r="F82" s="1"/>
      <c r="G82" s="1"/>
      <c r="H82" s="1"/>
      <c r="I82" s="1"/>
      <c r="J82" s="1"/>
      <c r="K82" s="1"/>
    </row>
    <row r="83" spans="2:11" ht="15.75">
      <c r="B83" s="1"/>
      <c r="C83" s="1"/>
      <c r="D83" s="1"/>
      <c r="E83" s="303"/>
      <c r="F83" s="1"/>
      <c r="G83" s="1"/>
      <c r="H83" s="1"/>
      <c r="I83" s="1"/>
      <c r="J83" s="1"/>
      <c r="K83" s="1"/>
    </row>
    <row r="84" spans="2:11" ht="15.75">
      <c r="B84" s="1"/>
      <c r="C84" s="1"/>
      <c r="D84" s="1"/>
      <c r="E84" s="303"/>
      <c r="F84" s="1"/>
      <c r="G84" s="1"/>
      <c r="H84" s="1"/>
      <c r="I84" s="1"/>
      <c r="J84" s="1"/>
      <c r="K84" s="1"/>
    </row>
    <row r="85" spans="2:11" ht="15.75">
      <c r="B85" s="1"/>
      <c r="C85" s="1"/>
      <c r="D85" s="1"/>
      <c r="E85" s="303"/>
      <c r="F85" s="1"/>
      <c r="G85" s="1"/>
      <c r="H85" s="1"/>
      <c r="I85" s="1"/>
      <c r="J85" s="1"/>
      <c r="K85" s="1"/>
    </row>
    <row r="86" spans="2:11" ht="15.75">
      <c r="B86" s="1"/>
      <c r="C86" s="1"/>
      <c r="D86" s="1"/>
      <c r="E86" s="303"/>
      <c r="F86" s="1"/>
      <c r="G86" s="1"/>
      <c r="H86" s="1"/>
      <c r="I86" s="1"/>
      <c r="J86" s="1"/>
      <c r="K86" s="1"/>
    </row>
    <row r="87" spans="2:11" ht="15.75">
      <c r="B87" s="1"/>
      <c r="C87" s="1"/>
      <c r="D87" s="1"/>
      <c r="E87" s="303"/>
      <c r="F87" s="1"/>
      <c r="G87" s="1"/>
      <c r="H87" s="1"/>
      <c r="I87" s="1"/>
      <c r="J87" s="1"/>
      <c r="K87" s="1"/>
    </row>
    <row r="88" spans="2:11" ht="15.75">
      <c r="B88" s="1"/>
      <c r="C88" s="1"/>
      <c r="D88" s="1"/>
      <c r="E88" s="303"/>
      <c r="F88" s="1"/>
      <c r="G88" s="1"/>
      <c r="H88" s="1"/>
      <c r="I88" s="1"/>
      <c r="J88" s="1"/>
      <c r="K88" s="1"/>
    </row>
    <row r="89" spans="2:11" ht="15.75">
      <c r="B89" s="1"/>
      <c r="C89" s="1"/>
      <c r="D89" s="1"/>
      <c r="E89" s="303"/>
      <c r="F89" s="1"/>
      <c r="G89" s="1"/>
      <c r="H89" s="1"/>
      <c r="I89" s="1"/>
      <c r="J89" s="1"/>
      <c r="K89" s="1"/>
    </row>
    <row r="90" spans="2:11" ht="15.75">
      <c r="B90" s="1"/>
      <c r="C90" s="1"/>
      <c r="D90" s="1"/>
      <c r="E90" s="303"/>
      <c r="F90" s="1"/>
      <c r="G90" s="1"/>
      <c r="H90" s="1"/>
      <c r="I90" s="1"/>
      <c r="J90" s="1"/>
      <c r="K90" s="1"/>
    </row>
    <row r="91" spans="2:11" ht="15.75">
      <c r="B91" s="1"/>
      <c r="C91" s="1"/>
      <c r="D91" s="1"/>
      <c r="E91" s="303"/>
      <c r="F91" s="1"/>
      <c r="G91" s="1"/>
      <c r="H91" s="1"/>
      <c r="I91" s="1"/>
      <c r="J91" s="1"/>
      <c r="K91" s="1"/>
    </row>
    <row r="92" spans="2:11" ht="15.75">
      <c r="B92" s="1"/>
      <c r="C92" s="1"/>
      <c r="D92" s="1"/>
      <c r="E92" s="303"/>
      <c r="F92" s="1"/>
      <c r="G92" s="1"/>
      <c r="H92" s="1"/>
      <c r="I92" s="1"/>
      <c r="J92" s="1"/>
      <c r="K92" s="1"/>
    </row>
    <row r="93" spans="2:11" ht="15.75">
      <c r="B93" s="1"/>
      <c r="C93" s="1"/>
      <c r="D93" s="1"/>
      <c r="E93" s="303"/>
      <c r="F93" s="1"/>
      <c r="G93" s="1"/>
      <c r="H93" s="1"/>
      <c r="I93" s="1"/>
      <c r="J93" s="1"/>
      <c r="K93" s="1"/>
    </row>
    <row r="94" spans="2:11" ht="15.75">
      <c r="B94" s="1"/>
      <c r="C94" s="1"/>
      <c r="D94" s="1"/>
      <c r="E94" s="303"/>
      <c r="F94" s="1"/>
      <c r="G94" s="1"/>
      <c r="H94" s="1"/>
      <c r="I94" s="1"/>
      <c r="J94" s="1"/>
      <c r="K94" s="1"/>
    </row>
    <row r="95" spans="2:11" ht="15.75">
      <c r="B95" s="1"/>
      <c r="C95" s="1"/>
      <c r="D95" s="1"/>
      <c r="E95" s="303"/>
      <c r="F95" s="1"/>
      <c r="G95" s="1"/>
      <c r="H95" s="1"/>
      <c r="I95" s="1"/>
      <c r="J95" s="1"/>
      <c r="K95" s="1"/>
    </row>
    <row r="96" spans="2:11" ht="15.75">
      <c r="B96" s="1"/>
      <c r="C96" s="1"/>
      <c r="D96" s="1"/>
      <c r="E96" s="303"/>
      <c r="F96" s="1"/>
      <c r="G96" s="1"/>
      <c r="H96" s="1"/>
      <c r="I96" s="1"/>
      <c r="J96" s="1"/>
      <c r="K96" s="1"/>
    </row>
    <row r="97" spans="2:11" ht="15.75">
      <c r="B97" s="1"/>
      <c r="C97" s="1"/>
      <c r="D97" s="1"/>
      <c r="E97" s="303"/>
      <c r="F97" s="1"/>
      <c r="G97" s="1"/>
      <c r="H97" s="1"/>
      <c r="I97" s="1"/>
      <c r="J97" s="1"/>
      <c r="K97" s="1"/>
    </row>
    <row r="98" spans="2:11" ht="15.75">
      <c r="B98" s="1"/>
      <c r="C98" s="1"/>
      <c r="D98" s="1"/>
      <c r="E98" s="303"/>
      <c r="F98" s="1"/>
      <c r="G98" s="1"/>
      <c r="H98" s="1"/>
      <c r="I98" s="1"/>
      <c r="J98" s="1"/>
      <c r="K98" s="1"/>
    </row>
    <row r="99" spans="2:11" ht="15.75">
      <c r="B99" s="1"/>
      <c r="C99" s="1"/>
      <c r="D99" s="1"/>
      <c r="E99" s="303"/>
      <c r="F99" s="1"/>
      <c r="G99" s="1"/>
      <c r="H99" s="1"/>
      <c r="I99" s="1"/>
      <c r="J99" s="1"/>
      <c r="K99" s="1"/>
    </row>
    <row r="100" spans="2:11" ht="15.75">
      <c r="B100" s="1"/>
      <c r="C100" s="1"/>
      <c r="D100" s="1"/>
      <c r="E100" s="303"/>
      <c r="F100" s="1"/>
      <c r="G100" s="1"/>
      <c r="H100" s="1"/>
      <c r="I100" s="1"/>
      <c r="J100" s="1"/>
      <c r="K100" s="1"/>
    </row>
    <row r="101" spans="2:11" ht="15.75">
      <c r="B101" s="1"/>
      <c r="C101" s="1"/>
      <c r="D101" s="1"/>
      <c r="E101" s="303"/>
      <c r="F101" s="1"/>
      <c r="G101" s="1"/>
      <c r="H101" s="1"/>
      <c r="I101" s="1"/>
      <c r="J101" s="1"/>
      <c r="K101" s="1"/>
    </row>
    <row r="102" spans="2:11" ht="15.75">
      <c r="B102" s="1"/>
      <c r="C102" s="1"/>
      <c r="D102" s="1"/>
      <c r="E102" s="303"/>
      <c r="F102" s="1"/>
      <c r="G102" s="1"/>
      <c r="H102" s="1"/>
      <c r="I102" s="1"/>
      <c r="J102" s="1"/>
      <c r="K102" s="1"/>
    </row>
    <row r="103" spans="2:11" ht="15.75">
      <c r="B103" s="1"/>
      <c r="C103" s="1"/>
      <c r="D103" s="1"/>
      <c r="E103" s="303"/>
      <c r="F103" s="1"/>
      <c r="G103" s="1"/>
      <c r="H103" s="1"/>
      <c r="I103" s="1"/>
      <c r="J103" s="1"/>
      <c r="K103" s="1"/>
    </row>
    <row r="104" spans="2:11" ht="15.75">
      <c r="B104" s="1"/>
      <c r="C104" s="1"/>
      <c r="D104" s="1"/>
      <c r="E104" s="303"/>
      <c r="F104" s="1"/>
      <c r="G104" s="1"/>
      <c r="H104" s="1"/>
      <c r="I104" s="1"/>
      <c r="J104" s="1"/>
      <c r="K104" s="1"/>
    </row>
    <row r="105" spans="2:11" ht="15.75">
      <c r="B105" s="1"/>
      <c r="C105" s="1"/>
      <c r="D105" s="1"/>
      <c r="E105" s="303"/>
      <c r="F105" s="1"/>
      <c r="G105" s="1"/>
      <c r="H105" s="1"/>
      <c r="I105" s="1"/>
      <c r="J105" s="1"/>
      <c r="K105" s="1"/>
    </row>
    <row r="106" spans="2:11" ht="15.75">
      <c r="B106" s="1"/>
      <c r="C106" s="1"/>
      <c r="D106" s="1"/>
      <c r="E106" s="303"/>
      <c r="F106" s="1"/>
      <c r="G106" s="1"/>
      <c r="H106" s="1"/>
      <c r="I106" s="1"/>
      <c r="J106" s="1"/>
      <c r="K106" s="1"/>
    </row>
    <row r="107" spans="2:11" ht="15.75">
      <c r="B107" s="1"/>
      <c r="C107" s="1"/>
      <c r="D107" s="1"/>
      <c r="E107" s="303"/>
      <c r="F107" s="1"/>
      <c r="G107" s="1"/>
      <c r="H107" s="1"/>
      <c r="I107" s="1"/>
      <c r="J107" s="1"/>
      <c r="K107" s="1"/>
    </row>
    <row r="108" spans="2:11" ht="15.75">
      <c r="B108" s="1"/>
      <c r="C108" s="1"/>
      <c r="D108" s="1"/>
      <c r="E108" s="303"/>
      <c r="F108" s="1"/>
      <c r="G108" s="1"/>
      <c r="H108" s="1"/>
      <c r="I108" s="1"/>
      <c r="J108" s="1"/>
      <c r="K108" s="1"/>
    </row>
    <row r="109" spans="2:11" ht="15.75">
      <c r="B109" s="1"/>
      <c r="C109" s="1"/>
      <c r="D109" s="1"/>
      <c r="E109" s="303"/>
      <c r="F109" s="1"/>
      <c r="G109" s="1"/>
      <c r="H109" s="1"/>
      <c r="I109" s="1"/>
      <c r="J109" s="1"/>
      <c r="K109" s="1"/>
    </row>
    <row r="110" spans="2:11" ht="15.75">
      <c r="B110" s="1"/>
      <c r="C110" s="1"/>
      <c r="D110" s="1"/>
      <c r="E110" s="303"/>
      <c r="F110" s="1"/>
      <c r="G110" s="1"/>
      <c r="H110" s="1"/>
      <c r="I110" s="1"/>
      <c r="J110" s="1"/>
      <c r="K110" s="1"/>
    </row>
    <row r="111" spans="2:11" ht="15.75">
      <c r="B111" s="1"/>
      <c r="C111" s="1"/>
      <c r="D111" s="1"/>
      <c r="E111" s="303"/>
      <c r="F111" s="1"/>
      <c r="G111" s="1"/>
      <c r="H111" s="1"/>
      <c r="I111" s="1"/>
      <c r="J111" s="1"/>
      <c r="K111" s="1"/>
    </row>
    <row r="112" spans="2:11" ht="15.75">
      <c r="B112" s="1"/>
      <c r="C112" s="1"/>
      <c r="D112" s="1"/>
      <c r="E112" s="303"/>
      <c r="F112" s="1"/>
      <c r="G112" s="1"/>
      <c r="H112" s="1"/>
      <c r="I112" s="1"/>
      <c r="J112" s="1"/>
      <c r="K112" s="1"/>
    </row>
    <row r="113" spans="2:11" ht="15.75">
      <c r="B113" s="1"/>
      <c r="C113" s="1"/>
      <c r="D113" s="1"/>
      <c r="E113" s="303"/>
      <c r="F113" s="1"/>
      <c r="G113" s="1"/>
      <c r="H113" s="1"/>
      <c r="I113" s="1"/>
      <c r="J113" s="1"/>
      <c r="K113" s="1"/>
    </row>
    <row r="114" spans="2:11" ht="15.75">
      <c r="B114" s="1"/>
      <c r="C114" s="1"/>
      <c r="D114" s="1"/>
      <c r="E114" s="303"/>
      <c r="F114" s="1"/>
      <c r="G114" s="1"/>
      <c r="H114" s="1"/>
      <c r="I114" s="1"/>
      <c r="J114" s="1"/>
      <c r="K114" s="1"/>
    </row>
    <row r="115" spans="2:11" ht="15.75">
      <c r="B115" s="1"/>
      <c r="C115" s="1"/>
      <c r="D115" s="1"/>
      <c r="E115" s="303"/>
      <c r="F115" s="1"/>
      <c r="G115" s="1"/>
      <c r="H115" s="1"/>
      <c r="I115" s="1"/>
      <c r="J115" s="1"/>
      <c r="K115" s="1"/>
    </row>
    <row r="116" spans="2:11" ht="15.75">
      <c r="B116" s="1"/>
      <c r="C116" s="1"/>
      <c r="D116" s="1"/>
      <c r="E116" s="303"/>
      <c r="F116" s="1"/>
      <c r="G116" s="1"/>
      <c r="H116" s="1"/>
      <c r="I116" s="1"/>
      <c r="J116" s="1"/>
      <c r="K116" s="1"/>
    </row>
    <row r="117" spans="2:11" ht="15.75">
      <c r="B117" s="1"/>
      <c r="C117" s="1"/>
      <c r="D117" s="1"/>
      <c r="E117" s="303"/>
      <c r="F117" s="1"/>
      <c r="G117" s="1"/>
      <c r="H117" s="1"/>
      <c r="I117" s="1"/>
      <c r="J117" s="1"/>
      <c r="K117" s="1"/>
    </row>
    <row r="118" spans="2:11" ht="15.75">
      <c r="B118" s="1"/>
      <c r="C118" s="1"/>
      <c r="D118" s="1"/>
      <c r="E118" s="303"/>
      <c r="F118" s="1"/>
      <c r="G118" s="1"/>
      <c r="H118" s="1"/>
      <c r="I118" s="1"/>
      <c r="J118" s="1"/>
      <c r="K118" s="1"/>
    </row>
    <row r="119" spans="2:11" ht="15.75">
      <c r="B119" s="1"/>
      <c r="C119" s="1"/>
      <c r="D119" s="1"/>
      <c r="E119" s="303"/>
      <c r="F119" s="1"/>
      <c r="G119" s="1"/>
      <c r="H119" s="1"/>
      <c r="I119" s="1"/>
      <c r="J119" s="1"/>
      <c r="K119" s="1"/>
    </row>
    <row r="120" spans="2:11" ht="15.75">
      <c r="B120" s="1"/>
      <c r="C120" s="1"/>
      <c r="D120" s="1"/>
      <c r="E120" s="303"/>
      <c r="F120" s="1"/>
      <c r="G120" s="1"/>
      <c r="H120" s="1"/>
      <c r="I120" s="1"/>
      <c r="J120" s="1"/>
      <c r="K120" s="1"/>
    </row>
    <row r="121" spans="2:11" ht="15.75">
      <c r="B121" s="1"/>
      <c r="C121" s="1"/>
      <c r="D121" s="1"/>
      <c r="E121" s="303"/>
      <c r="F121" s="1"/>
      <c r="G121" s="1"/>
      <c r="H121" s="1"/>
      <c r="I121" s="1"/>
      <c r="J121" s="1"/>
      <c r="K121" s="1"/>
    </row>
    <row r="122" spans="2:11" ht="15.75">
      <c r="B122" s="1"/>
      <c r="C122" s="1"/>
      <c r="D122" s="1"/>
      <c r="E122" s="303"/>
      <c r="F122" s="1"/>
      <c r="G122" s="1"/>
      <c r="H122" s="1"/>
      <c r="I122" s="1"/>
      <c r="J122" s="1"/>
      <c r="K122" s="1"/>
    </row>
    <row r="123" spans="2:11" ht="15.75">
      <c r="B123" s="1"/>
      <c r="C123" s="1"/>
      <c r="D123" s="1"/>
      <c r="E123" s="303"/>
      <c r="F123" s="1"/>
      <c r="G123" s="1"/>
      <c r="H123" s="1"/>
      <c r="I123" s="1"/>
      <c r="J123" s="1"/>
      <c r="K123" s="1"/>
    </row>
    <row r="124" spans="2:11" ht="15.75">
      <c r="B124" s="1"/>
      <c r="C124" s="1"/>
      <c r="D124" s="1"/>
      <c r="E124" s="303"/>
      <c r="F124" s="1"/>
      <c r="G124" s="1"/>
      <c r="H124" s="1"/>
      <c r="I124" s="1"/>
      <c r="J124" s="1"/>
      <c r="K124" s="1"/>
    </row>
  </sheetData>
  <sheetProtection/>
  <mergeCells count="28">
    <mergeCell ref="B62:C62"/>
    <mergeCell ref="B66:C66"/>
    <mergeCell ref="A26:A32"/>
    <mergeCell ref="C26:C32"/>
    <mergeCell ref="K26:K32"/>
    <mergeCell ref="A34:A40"/>
    <mergeCell ref="C34:C40"/>
    <mergeCell ref="K34:K42"/>
    <mergeCell ref="A44:A45"/>
    <mergeCell ref="B44:B45"/>
    <mergeCell ref="A47:A53"/>
    <mergeCell ref="A14:A19"/>
    <mergeCell ref="C14:C19"/>
    <mergeCell ref="K14:K19"/>
    <mergeCell ref="A20:A23"/>
    <mergeCell ref="C20:C23"/>
    <mergeCell ref="K20:K23"/>
    <mergeCell ref="C47:C53"/>
    <mergeCell ref="K47:K53"/>
    <mergeCell ref="K2:L2"/>
    <mergeCell ref="K7:L7"/>
    <mergeCell ref="B10:K10"/>
    <mergeCell ref="A12:A13"/>
    <mergeCell ref="B12:B13"/>
    <mergeCell ref="C12:C13"/>
    <mergeCell ref="D12:D13"/>
    <mergeCell ref="E12:J12"/>
    <mergeCell ref="K12:K13"/>
  </mergeCells>
  <printOptions horizontalCentered="1"/>
  <pageMargins left="0" right="0" top="1.1811023622047245" bottom="0" header="0" footer="0"/>
  <pageSetup fitToHeight="2" fitToWidth="1" horizontalDpi="600" verticalDpi="600" orientation="landscape" paperSize="9" scale="55" r:id="rId1"/>
  <rowBreaks count="1" manualBreakCount="1">
    <brk id="40" max="11" man="1"/>
  </rowBreaks>
</worksheet>
</file>

<file path=xl/worksheets/sheet8.xml><?xml version="1.0" encoding="utf-8"?>
<worksheet xmlns="http://schemas.openxmlformats.org/spreadsheetml/2006/main" xmlns:r="http://schemas.openxmlformats.org/officeDocument/2006/relationships">
  <sheetPr>
    <tabColor rgb="FFFFFF00"/>
    <pageSetUpPr fitToPage="1"/>
  </sheetPr>
  <dimension ref="A1:L34"/>
  <sheetViews>
    <sheetView view="pageBreakPreview" zoomScale="87" zoomScaleSheetLayoutView="87" zoomScalePageLayoutView="0" workbookViewId="0" topLeftCell="A1">
      <selection activeCell="B15" sqref="B15"/>
    </sheetView>
  </sheetViews>
  <sheetFormatPr defaultColWidth="9.140625" defaultRowHeight="12.75"/>
  <cols>
    <col min="1" max="1" width="6.7109375" style="161" customWidth="1"/>
    <col min="2" max="2" width="47.7109375" style="161" customWidth="1"/>
    <col min="3" max="3" width="18.00390625" style="161" customWidth="1"/>
    <col min="4" max="4" width="18.8515625" style="161" customWidth="1"/>
    <col min="5" max="5" width="17.140625" style="161" customWidth="1"/>
    <col min="6" max="6" width="16.421875" style="161" customWidth="1"/>
    <col min="7" max="7" width="17.7109375" style="161" customWidth="1"/>
    <col min="8" max="8" width="55.57421875" style="161" customWidth="1"/>
    <col min="9" max="10" width="9.140625" style="161" hidden="1" customWidth="1"/>
    <col min="11" max="11" width="9.8515625" style="161" hidden="1" customWidth="1"/>
    <col min="12" max="12" width="10.140625" style="161" customWidth="1"/>
    <col min="13" max="16384" width="9.140625" style="161" customWidth="1"/>
  </cols>
  <sheetData>
    <row r="1" spans="2:9" ht="18.75">
      <c r="B1" s="168"/>
      <c r="C1" s="168"/>
      <c r="D1" s="168"/>
      <c r="E1" s="168"/>
      <c r="F1" s="168"/>
      <c r="G1" s="565" t="s">
        <v>567</v>
      </c>
      <c r="H1" s="565"/>
      <c r="I1" s="226" t="s">
        <v>19</v>
      </c>
    </row>
    <row r="2" spans="2:9" ht="18.75">
      <c r="B2" s="168"/>
      <c r="C2" s="168"/>
      <c r="D2" s="168"/>
      <c r="E2" s="168"/>
      <c r="F2" s="168"/>
      <c r="G2" s="565" t="s">
        <v>11</v>
      </c>
      <c r="H2" s="565"/>
      <c r="I2" s="227" t="s">
        <v>11</v>
      </c>
    </row>
    <row r="3" spans="2:9" ht="18.75">
      <c r="B3" s="168"/>
      <c r="C3" s="168"/>
      <c r="D3" s="168"/>
      <c r="E3" s="168"/>
      <c r="F3" s="168"/>
      <c r="G3" s="228" t="s">
        <v>173</v>
      </c>
      <c r="H3" s="228"/>
      <c r="I3" s="227" t="s">
        <v>20</v>
      </c>
    </row>
    <row r="4" spans="2:9" ht="18.75">
      <c r="B4" s="168"/>
      <c r="C4" s="168"/>
      <c r="D4" s="168"/>
      <c r="E4" s="168"/>
      <c r="F4" s="168"/>
      <c r="G4" s="228" t="s">
        <v>22</v>
      </c>
      <c r="H4" s="228"/>
      <c r="I4" s="227" t="s">
        <v>21</v>
      </c>
    </row>
    <row r="5" spans="2:9" ht="18.75">
      <c r="B5" s="168"/>
      <c r="C5" s="168"/>
      <c r="D5" s="168"/>
      <c r="E5" s="168"/>
      <c r="F5" s="168"/>
      <c r="G5" s="228" t="s">
        <v>24</v>
      </c>
      <c r="H5" s="228"/>
      <c r="I5" s="227" t="s">
        <v>23</v>
      </c>
    </row>
    <row r="6" spans="2:9" ht="18.75">
      <c r="B6" s="168"/>
      <c r="C6" s="168"/>
      <c r="D6" s="168"/>
      <c r="E6" s="168"/>
      <c r="F6" s="168"/>
      <c r="G6" s="228" t="s">
        <v>240</v>
      </c>
      <c r="H6" s="228"/>
      <c r="I6" s="227" t="s">
        <v>25</v>
      </c>
    </row>
    <row r="7" spans="2:12" ht="15.75" customHeight="1">
      <c r="B7" s="168"/>
      <c r="C7" s="168"/>
      <c r="D7" s="168"/>
      <c r="E7" s="168"/>
      <c r="F7" s="168"/>
      <c r="G7" s="532" t="s">
        <v>604</v>
      </c>
      <c r="H7" s="533"/>
      <c r="I7" s="229"/>
      <c r="J7" s="229"/>
      <c r="K7" s="229"/>
      <c r="L7" s="229"/>
    </row>
    <row r="8" spans="2:9" ht="15.75">
      <c r="B8" s="168"/>
      <c r="C8" s="168"/>
      <c r="D8" s="168"/>
      <c r="E8" s="168"/>
      <c r="F8" s="168"/>
      <c r="G8" s="168" t="s">
        <v>625</v>
      </c>
      <c r="H8" s="168"/>
      <c r="I8" s="168"/>
    </row>
    <row r="9" spans="1:9" ht="36.75" customHeight="1">
      <c r="A9" s="566" t="s">
        <v>533</v>
      </c>
      <c r="B9" s="566"/>
      <c r="C9" s="566"/>
      <c r="D9" s="566"/>
      <c r="E9" s="566"/>
      <c r="F9" s="566"/>
      <c r="G9" s="566"/>
      <c r="H9" s="566"/>
      <c r="I9" s="168"/>
    </row>
    <row r="10" spans="2:9" ht="15.75">
      <c r="B10" s="168"/>
      <c r="C10" s="168"/>
      <c r="D10" s="567"/>
      <c r="E10" s="567"/>
      <c r="F10" s="567"/>
      <c r="G10" s="168"/>
      <c r="H10" s="483" t="s">
        <v>534</v>
      </c>
      <c r="I10" s="168"/>
    </row>
    <row r="11" spans="1:9" ht="18.75">
      <c r="A11" s="568" t="s">
        <v>33</v>
      </c>
      <c r="B11" s="568" t="s">
        <v>12</v>
      </c>
      <c r="C11" s="568" t="s">
        <v>13</v>
      </c>
      <c r="D11" s="568" t="s">
        <v>488</v>
      </c>
      <c r="E11" s="576" t="s">
        <v>9</v>
      </c>
      <c r="F11" s="576"/>
      <c r="G11" s="577"/>
      <c r="H11" s="578" t="s">
        <v>15</v>
      </c>
      <c r="I11" s="168"/>
    </row>
    <row r="12" spans="1:9" ht="15.75" customHeight="1">
      <c r="A12" s="569"/>
      <c r="B12" s="569"/>
      <c r="C12" s="569"/>
      <c r="D12" s="569"/>
      <c r="E12" s="568" t="s">
        <v>538</v>
      </c>
      <c r="F12" s="568" t="s">
        <v>500</v>
      </c>
      <c r="G12" s="578" t="s">
        <v>530</v>
      </c>
      <c r="H12" s="578"/>
      <c r="I12" s="168"/>
    </row>
    <row r="13" spans="1:9" ht="26.25" customHeight="1">
      <c r="A13" s="570"/>
      <c r="B13" s="570"/>
      <c r="C13" s="570"/>
      <c r="D13" s="570"/>
      <c r="E13" s="570"/>
      <c r="F13" s="570"/>
      <c r="G13" s="578"/>
      <c r="H13" s="578"/>
      <c r="I13" s="168"/>
    </row>
    <row r="14" spans="1:9" ht="56.25">
      <c r="A14" s="230">
        <v>1</v>
      </c>
      <c r="B14" s="181" t="s">
        <v>234</v>
      </c>
      <c r="C14" s="260" t="s">
        <v>16</v>
      </c>
      <c r="D14" s="275">
        <f aca="true" t="shared" si="0" ref="D14:D22">E14+F14+G14</f>
        <v>45900.9</v>
      </c>
      <c r="E14" s="276">
        <v>15200.9</v>
      </c>
      <c r="F14" s="276">
        <v>15300</v>
      </c>
      <c r="G14" s="276">
        <v>15400</v>
      </c>
      <c r="H14" s="230" t="s">
        <v>66</v>
      </c>
      <c r="I14" s="168"/>
    </row>
    <row r="15" spans="1:11" ht="75">
      <c r="A15" s="230">
        <v>2</v>
      </c>
      <c r="B15" s="259" t="s">
        <v>232</v>
      </c>
      <c r="C15" s="260" t="s">
        <v>16</v>
      </c>
      <c r="D15" s="275">
        <f t="shared" si="0"/>
        <v>15.9</v>
      </c>
      <c r="E15" s="276">
        <v>3</v>
      </c>
      <c r="F15" s="276">
        <f>3.5+5.4</f>
        <v>8.9</v>
      </c>
      <c r="G15" s="276">
        <v>4</v>
      </c>
      <c r="H15" s="230" t="s">
        <v>32</v>
      </c>
      <c r="I15" s="168"/>
      <c r="K15" s="161">
        <v>441</v>
      </c>
    </row>
    <row r="16" spans="1:9" ht="56.25">
      <c r="A16" s="230">
        <v>3</v>
      </c>
      <c r="B16" s="259" t="s">
        <v>149</v>
      </c>
      <c r="C16" s="260" t="s">
        <v>16</v>
      </c>
      <c r="D16" s="275">
        <f t="shared" si="0"/>
        <v>15100.2</v>
      </c>
      <c r="E16" s="276">
        <v>4800.2</v>
      </c>
      <c r="F16" s="276">
        <v>5100</v>
      </c>
      <c r="G16" s="276">
        <v>5200</v>
      </c>
      <c r="H16" s="230" t="s">
        <v>231</v>
      </c>
      <c r="I16" s="168"/>
    </row>
    <row r="17" spans="1:9" ht="56.25">
      <c r="A17" s="230">
        <v>4</v>
      </c>
      <c r="B17" s="259" t="s">
        <v>150</v>
      </c>
      <c r="C17" s="260" t="s">
        <v>16</v>
      </c>
      <c r="D17" s="275">
        <f t="shared" si="0"/>
        <v>540</v>
      </c>
      <c r="E17" s="276">
        <v>175</v>
      </c>
      <c r="F17" s="276">
        <v>180</v>
      </c>
      <c r="G17" s="276">
        <v>185</v>
      </c>
      <c r="H17" s="230" t="s">
        <v>66</v>
      </c>
      <c r="I17" s="168"/>
    </row>
    <row r="18" spans="1:9" ht="75">
      <c r="A18" s="230">
        <v>5</v>
      </c>
      <c r="B18" s="259" t="s">
        <v>151</v>
      </c>
      <c r="C18" s="260" t="s">
        <v>16</v>
      </c>
      <c r="D18" s="275">
        <f t="shared" si="0"/>
        <v>1226.6</v>
      </c>
      <c r="E18" s="276">
        <v>401.6</v>
      </c>
      <c r="F18" s="276">
        <v>410</v>
      </c>
      <c r="G18" s="276">
        <v>415</v>
      </c>
      <c r="H18" s="230" t="s">
        <v>152</v>
      </c>
      <c r="I18" s="168"/>
    </row>
    <row r="19" spans="1:9" ht="37.5" customHeight="1">
      <c r="A19" s="571">
        <v>6</v>
      </c>
      <c r="B19" s="573" t="s">
        <v>294</v>
      </c>
      <c r="C19" s="260" t="s">
        <v>293</v>
      </c>
      <c r="D19" s="275">
        <f t="shared" si="0"/>
        <v>459</v>
      </c>
      <c r="E19" s="276">
        <v>116</v>
      </c>
      <c r="F19" s="276">
        <f>120+98</f>
        <v>218</v>
      </c>
      <c r="G19" s="276">
        <v>125</v>
      </c>
      <c r="H19" s="571" t="s">
        <v>66</v>
      </c>
      <c r="I19" s="168"/>
    </row>
    <row r="20" spans="1:9" ht="37.5">
      <c r="A20" s="572"/>
      <c r="B20" s="574"/>
      <c r="C20" s="260" t="s">
        <v>16</v>
      </c>
      <c r="D20" s="275">
        <f t="shared" si="0"/>
        <v>459</v>
      </c>
      <c r="E20" s="276">
        <v>116</v>
      </c>
      <c r="F20" s="276">
        <f>120+98</f>
        <v>218</v>
      </c>
      <c r="G20" s="276">
        <v>125</v>
      </c>
      <c r="H20" s="572"/>
      <c r="I20" s="168"/>
    </row>
    <row r="21" spans="1:9" ht="75">
      <c r="A21" s="230">
        <v>7</v>
      </c>
      <c r="B21" s="259" t="s">
        <v>233</v>
      </c>
      <c r="C21" s="260" t="s">
        <v>16</v>
      </c>
      <c r="D21" s="275">
        <f t="shared" si="0"/>
        <v>4500</v>
      </c>
      <c r="E21" s="276">
        <v>1000</v>
      </c>
      <c r="F21" s="276">
        <v>1500</v>
      </c>
      <c r="G21" s="276">
        <v>2000</v>
      </c>
      <c r="H21" s="230" t="s">
        <v>66</v>
      </c>
      <c r="I21" s="168"/>
    </row>
    <row r="22" spans="1:9" ht="18.75">
      <c r="A22" s="231"/>
      <c r="B22" s="277" t="s">
        <v>5</v>
      </c>
      <c r="C22" s="278"/>
      <c r="D22" s="275">
        <f t="shared" si="0"/>
        <v>68201.6</v>
      </c>
      <c r="E22" s="275">
        <f>E21+E20+E19+E18+E17+E16+E15+E14</f>
        <v>21812.699999999997</v>
      </c>
      <c r="F22" s="275">
        <f>F21+F20+F19+F18+F17+F16+F15+F14</f>
        <v>22934.9</v>
      </c>
      <c r="G22" s="275">
        <f>G21+G20+G19+G18+G17+G16+G15+G14</f>
        <v>23454</v>
      </c>
      <c r="H22" s="232"/>
      <c r="I22" s="168"/>
    </row>
    <row r="23" spans="1:9" ht="15.75">
      <c r="A23" s="233"/>
      <c r="B23" s="234"/>
      <c r="C23" s="234"/>
      <c r="D23" s="235"/>
      <c r="E23" s="235"/>
      <c r="F23" s="235"/>
      <c r="G23" s="235"/>
      <c r="H23" s="236"/>
      <c r="I23" s="168"/>
    </row>
    <row r="24" spans="1:9" ht="15.75">
      <c r="A24" s="233"/>
      <c r="B24" s="234"/>
      <c r="C24" s="234"/>
      <c r="D24" s="235"/>
      <c r="E24" s="235"/>
      <c r="F24" s="235"/>
      <c r="G24" s="235"/>
      <c r="H24" s="236"/>
      <c r="I24" s="168"/>
    </row>
    <row r="25" spans="1:9" ht="15.75">
      <c r="A25" s="233"/>
      <c r="B25" s="234"/>
      <c r="C25" s="234"/>
      <c r="D25" s="235"/>
      <c r="E25" s="235"/>
      <c r="F25" s="235"/>
      <c r="G25" s="235"/>
      <c r="H25" s="236"/>
      <c r="I25" s="168"/>
    </row>
    <row r="26" spans="2:9" ht="15.75">
      <c r="B26" s="234"/>
      <c r="C26" s="234"/>
      <c r="D26" s="235"/>
      <c r="E26" s="235"/>
      <c r="F26" s="235"/>
      <c r="G26" s="235"/>
      <c r="H26" s="236"/>
      <c r="I26" s="168"/>
    </row>
    <row r="27" spans="2:9" ht="18.75">
      <c r="B27" s="575" t="s">
        <v>18</v>
      </c>
      <c r="C27" s="575"/>
      <c r="D27" s="444"/>
      <c r="E27" s="237"/>
      <c r="F27" s="237"/>
      <c r="G27" s="164"/>
      <c r="H27" s="164" t="s">
        <v>7</v>
      </c>
      <c r="I27" s="164"/>
    </row>
    <row r="28" spans="2:9" ht="18.75">
      <c r="B28" s="162"/>
      <c r="C28" s="162"/>
      <c r="D28" s="162"/>
      <c r="E28" s="237"/>
      <c r="F28" s="237"/>
      <c r="G28" s="164"/>
      <c r="H28" s="238"/>
      <c r="I28" s="164"/>
    </row>
    <row r="29" spans="2:9" ht="18.75">
      <c r="B29" s="162"/>
      <c r="C29" s="162"/>
      <c r="D29" s="162"/>
      <c r="E29" s="237"/>
      <c r="F29" s="237"/>
      <c r="G29" s="164"/>
      <c r="H29" s="238"/>
      <c r="I29" s="164"/>
    </row>
    <row r="30" spans="2:8" ht="18.75">
      <c r="B30" s="579" t="s">
        <v>602</v>
      </c>
      <c r="C30" s="579"/>
      <c r="D30" s="166"/>
      <c r="E30" s="167"/>
      <c r="F30" s="167"/>
      <c r="G30" s="168"/>
      <c r="H30" s="168"/>
    </row>
    <row r="31" spans="2:10" ht="15.75">
      <c r="B31" s="169" t="s">
        <v>10</v>
      </c>
      <c r="C31" s="169"/>
      <c r="D31" s="167"/>
      <c r="E31" s="167"/>
      <c r="F31" s="167"/>
      <c r="G31" s="168"/>
      <c r="H31" s="168"/>
      <c r="J31" s="227"/>
    </row>
    <row r="32" spans="2:8" ht="15.75">
      <c r="B32" s="239"/>
      <c r="C32" s="240"/>
      <c r="D32" s="241"/>
      <c r="E32" s="167"/>
      <c r="F32" s="167"/>
      <c r="G32" s="168"/>
      <c r="H32" s="168"/>
    </row>
    <row r="33" spans="3:7" ht="15.75">
      <c r="C33" s="241"/>
      <c r="D33" s="167"/>
      <c r="E33" s="167"/>
      <c r="F33" s="167"/>
      <c r="G33" s="167"/>
    </row>
    <row r="34" spans="3:7" ht="15.75">
      <c r="C34" s="242"/>
      <c r="D34" s="167"/>
      <c r="E34" s="167"/>
      <c r="F34" s="167"/>
      <c r="G34" s="167"/>
    </row>
  </sheetData>
  <sheetProtection/>
  <mergeCells count="19">
    <mergeCell ref="B30:C30"/>
    <mergeCell ref="H11:H13"/>
    <mergeCell ref="E12:E13"/>
    <mergeCell ref="F12:F13"/>
    <mergeCell ref="B11:B13"/>
    <mergeCell ref="C11:C13"/>
    <mergeCell ref="A19:A20"/>
    <mergeCell ref="B19:B20"/>
    <mergeCell ref="H19:H20"/>
    <mergeCell ref="B27:C27"/>
    <mergeCell ref="D11:D13"/>
    <mergeCell ref="E11:G11"/>
    <mergeCell ref="G12:G13"/>
    <mergeCell ref="G1:H1"/>
    <mergeCell ref="G2:H2"/>
    <mergeCell ref="G7:H7"/>
    <mergeCell ref="A9:H9"/>
    <mergeCell ref="D10:F10"/>
    <mergeCell ref="A11:A13"/>
  </mergeCells>
  <printOptions horizontalCentered="1"/>
  <pageMargins left="0" right="0" top="1.1811023622047245" bottom="0" header="0" footer="0"/>
  <pageSetup fitToHeight="1" fitToWidth="1" horizontalDpi="600" verticalDpi="600" orientation="landscape" paperSize="9" scale="57" r:id="rId1"/>
</worksheet>
</file>

<file path=xl/worksheets/sheet9.xml><?xml version="1.0" encoding="utf-8"?>
<worksheet xmlns="http://schemas.openxmlformats.org/spreadsheetml/2006/main" xmlns:r="http://schemas.openxmlformats.org/officeDocument/2006/relationships">
  <sheetPr>
    <tabColor rgb="FFFFFF00"/>
    <pageSetUpPr fitToPage="1"/>
  </sheetPr>
  <dimension ref="A1:O36"/>
  <sheetViews>
    <sheetView view="pageBreakPreview" zoomScaleSheetLayoutView="100" zoomScalePageLayoutView="0" workbookViewId="0" topLeftCell="A10">
      <selection activeCell="B21" sqref="B21"/>
    </sheetView>
  </sheetViews>
  <sheetFormatPr defaultColWidth="9.140625" defaultRowHeight="12.75"/>
  <cols>
    <col min="1" max="1" width="6.7109375" style="14" customWidth="1"/>
    <col min="2" max="2" width="45.28125" style="14" customWidth="1"/>
    <col min="3" max="3" width="18.00390625" style="14" customWidth="1"/>
    <col min="4" max="4" width="13.00390625" style="14" customWidth="1"/>
    <col min="5" max="5" width="9.7109375" style="14" customWidth="1"/>
    <col min="6" max="6" width="10.8515625" style="14" customWidth="1"/>
    <col min="7" max="8" width="11.57421875" style="14" hidden="1" customWidth="1"/>
    <col min="9" max="9" width="12.57421875" style="14" hidden="1" customWidth="1"/>
    <col min="10" max="10" width="10.00390625" style="14" customWidth="1"/>
    <col min="11" max="11" width="43.28125" style="14" customWidth="1"/>
    <col min="12" max="13" width="9.140625" style="14" hidden="1" customWidth="1"/>
    <col min="14" max="14" width="9.8515625" style="14" hidden="1" customWidth="1"/>
    <col min="15" max="15" width="10.140625" style="14" customWidth="1"/>
    <col min="16" max="16384" width="9.140625" style="14" customWidth="1"/>
  </cols>
  <sheetData>
    <row r="1" spans="2:12" ht="15.75">
      <c r="B1" s="15"/>
      <c r="C1" s="15"/>
      <c r="D1" s="15"/>
      <c r="E1" s="15"/>
      <c r="F1" s="15"/>
      <c r="G1" s="15"/>
      <c r="H1" s="15"/>
      <c r="I1" s="13" t="s">
        <v>19</v>
      </c>
      <c r="J1" s="584" t="s">
        <v>400</v>
      </c>
      <c r="K1" s="584"/>
      <c r="L1" s="13" t="s">
        <v>19</v>
      </c>
    </row>
    <row r="2" spans="2:12" ht="15.75">
      <c r="B2" s="15"/>
      <c r="C2" s="15"/>
      <c r="D2" s="15"/>
      <c r="E2" s="15"/>
      <c r="F2" s="15"/>
      <c r="G2" s="15"/>
      <c r="H2" s="15"/>
      <c r="I2" s="12" t="s">
        <v>11</v>
      </c>
      <c r="J2" s="544" t="s">
        <v>11</v>
      </c>
      <c r="K2" s="544"/>
      <c r="L2" s="12" t="s">
        <v>11</v>
      </c>
    </row>
    <row r="3" spans="2:12" ht="15.75">
      <c r="B3" s="15"/>
      <c r="C3" s="15"/>
      <c r="D3" s="15"/>
      <c r="E3" s="15"/>
      <c r="F3" s="15"/>
      <c r="G3" s="15"/>
      <c r="H3" s="15"/>
      <c r="I3" s="12" t="s">
        <v>20</v>
      </c>
      <c r="J3" s="12" t="s">
        <v>173</v>
      </c>
      <c r="K3" s="12"/>
      <c r="L3" s="12" t="s">
        <v>20</v>
      </c>
    </row>
    <row r="4" spans="2:12" ht="15.75">
      <c r="B4" s="15"/>
      <c r="C4" s="15"/>
      <c r="D4" s="15"/>
      <c r="E4" s="15"/>
      <c r="F4" s="15"/>
      <c r="G4" s="15"/>
      <c r="H4" s="15"/>
      <c r="I4" s="12" t="s">
        <v>21</v>
      </c>
      <c r="J4" s="12" t="s">
        <v>22</v>
      </c>
      <c r="K4" s="12"/>
      <c r="L4" s="12" t="s">
        <v>21</v>
      </c>
    </row>
    <row r="5" spans="2:12" ht="15.75">
      <c r="B5" s="15"/>
      <c r="C5" s="15"/>
      <c r="D5" s="15"/>
      <c r="E5" s="15"/>
      <c r="F5" s="15"/>
      <c r="G5" s="15"/>
      <c r="H5" s="15"/>
      <c r="I5" s="12" t="s">
        <v>23</v>
      </c>
      <c r="J5" s="12" t="s">
        <v>24</v>
      </c>
      <c r="K5" s="12"/>
      <c r="L5" s="12" t="s">
        <v>23</v>
      </c>
    </row>
    <row r="6" spans="2:12" ht="15.75">
      <c r="B6" s="15"/>
      <c r="C6" s="15"/>
      <c r="D6" s="15"/>
      <c r="E6" s="15"/>
      <c r="F6" s="15"/>
      <c r="G6" s="15"/>
      <c r="H6" s="16"/>
      <c r="I6" s="12" t="s">
        <v>25</v>
      </c>
      <c r="J6" s="12" t="s">
        <v>240</v>
      </c>
      <c r="K6" s="12"/>
      <c r="L6" s="12" t="s">
        <v>25</v>
      </c>
    </row>
    <row r="7" spans="2:15" ht="15.75" customHeight="1">
      <c r="B7" s="15"/>
      <c r="C7" s="15"/>
      <c r="D7" s="15"/>
      <c r="E7" s="15"/>
      <c r="F7" s="15"/>
      <c r="G7" s="15"/>
      <c r="H7" s="16"/>
      <c r="I7" s="12" t="s">
        <v>26</v>
      </c>
      <c r="J7" s="541" t="s">
        <v>610</v>
      </c>
      <c r="K7" s="585"/>
      <c r="L7" s="17"/>
      <c r="M7" s="17"/>
      <c r="N7" s="17"/>
      <c r="O7" s="17"/>
    </row>
    <row r="8" spans="2:12" ht="15.75">
      <c r="B8" s="15"/>
      <c r="C8" s="15"/>
      <c r="D8" s="15"/>
      <c r="E8" s="15"/>
      <c r="F8" s="15"/>
      <c r="G8" s="15"/>
      <c r="H8" s="15"/>
      <c r="I8" s="15"/>
      <c r="J8" s="15" t="s">
        <v>629</v>
      </c>
      <c r="K8" s="15"/>
      <c r="L8" s="15"/>
    </row>
    <row r="9" spans="2:12" ht="36.75" customHeight="1">
      <c r="B9" s="537" t="s">
        <v>539</v>
      </c>
      <c r="C9" s="537"/>
      <c r="D9" s="537"/>
      <c r="E9" s="537"/>
      <c r="F9" s="537"/>
      <c r="G9" s="537"/>
      <c r="H9" s="537"/>
      <c r="I9" s="537"/>
      <c r="J9" s="537"/>
      <c r="K9" s="537"/>
      <c r="L9" s="15"/>
    </row>
    <row r="10" spans="2:12" ht="15.75">
      <c r="B10" s="15"/>
      <c r="C10" s="15"/>
      <c r="D10" s="542"/>
      <c r="E10" s="542"/>
      <c r="F10" s="542"/>
      <c r="G10" s="542"/>
      <c r="H10" s="542"/>
      <c r="I10" s="15"/>
      <c r="J10" s="15"/>
      <c r="K10" s="35" t="s">
        <v>534</v>
      </c>
      <c r="L10" s="15"/>
    </row>
    <row r="11" spans="1:12" ht="15.75" customHeight="1">
      <c r="A11" s="580" t="s">
        <v>33</v>
      </c>
      <c r="B11" s="580" t="s">
        <v>12</v>
      </c>
      <c r="C11" s="580" t="s">
        <v>13</v>
      </c>
      <c r="D11" s="580" t="s">
        <v>488</v>
      </c>
      <c r="E11" s="586" t="s">
        <v>9</v>
      </c>
      <c r="F11" s="586"/>
      <c r="G11" s="586"/>
      <c r="H11" s="586"/>
      <c r="I11" s="586"/>
      <c r="J11" s="587"/>
      <c r="K11" s="583" t="s">
        <v>15</v>
      </c>
      <c r="L11" s="15"/>
    </row>
    <row r="12" spans="1:12" ht="15.75">
      <c r="A12" s="581"/>
      <c r="B12" s="581"/>
      <c r="C12" s="581"/>
      <c r="D12" s="581"/>
      <c r="E12" s="580" t="s">
        <v>535</v>
      </c>
      <c r="F12" s="580" t="s">
        <v>540</v>
      </c>
      <c r="G12" s="580" t="s">
        <v>28</v>
      </c>
      <c r="H12" s="580" t="s">
        <v>29</v>
      </c>
      <c r="I12" s="580" t="s">
        <v>30</v>
      </c>
      <c r="J12" s="583" t="s">
        <v>508</v>
      </c>
      <c r="K12" s="583"/>
      <c r="L12" s="15"/>
    </row>
    <row r="13" spans="1:12" ht="15.75">
      <c r="A13" s="582"/>
      <c r="B13" s="582"/>
      <c r="C13" s="582"/>
      <c r="D13" s="582"/>
      <c r="E13" s="582"/>
      <c r="F13" s="582"/>
      <c r="G13" s="582"/>
      <c r="H13" s="582"/>
      <c r="I13" s="582"/>
      <c r="J13" s="583"/>
      <c r="K13" s="583"/>
      <c r="L13" s="15"/>
    </row>
    <row r="14" spans="1:12" ht="76.5" customHeight="1">
      <c r="A14" s="36">
        <v>1</v>
      </c>
      <c r="B14" s="84" t="s">
        <v>93</v>
      </c>
      <c r="C14" s="84" t="s">
        <v>16</v>
      </c>
      <c r="D14" s="170">
        <f aca="true" t="shared" si="0" ref="D14:D19">E14+F14+J14</f>
        <v>8071.4</v>
      </c>
      <c r="E14" s="171">
        <v>2971.4</v>
      </c>
      <c r="F14" s="172">
        <f>3000-1000</f>
        <v>2000</v>
      </c>
      <c r="G14" s="171"/>
      <c r="H14" s="171"/>
      <c r="I14" s="171"/>
      <c r="J14" s="171">
        <v>3100</v>
      </c>
      <c r="K14" s="84" t="s">
        <v>229</v>
      </c>
      <c r="L14" s="15"/>
    </row>
    <row r="15" spans="1:14" ht="47.25" hidden="1">
      <c r="A15" s="36">
        <v>2</v>
      </c>
      <c r="B15" s="85" t="s">
        <v>59</v>
      </c>
      <c r="C15" s="84" t="s">
        <v>16</v>
      </c>
      <c r="D15" s="170">
        <f t="shared" si="0"/>
        <v>0</v>
      </c>
      <c r="E15" s="172">
        <v>0</v>
      </c>
      <c r="F15" s="171"/>
      <c r="G15" s="171"/>
      <c r="H15" s="171"/>
      <c r="I15" s="171"/>
      <c r="J15" s="171"/>
      <c r="K15" s="84" t="s">
        <v>51</v>
      </c>
      <c r="L15" s="15"/>
      <c r="N15" s="55">
        <v>441</v>
      </c>
    </row>
    <row r="16" spans="1:14" ht="54" customHeight="1" hidden="1">
      <c r="A16" s="36">
        <v>3</v>
      </c>
      <c r="B16" s="86" t="s">
        <v>60</v>
      </c>
      <c r="C16" s="173" t="s">
        <v>16</v>
      </c>
      <c r="D16" s="170">
        <f t="shared" si="0"/>
        <v>0</v>
      </c>
      <c r="E16" s="174">
        <v>0</v>
      </c>
      <c r="F16" s="171"/>
      <c r="G16" s="171"/>
      <c r="H16" s="171"/>
      <c r="I16" s="171"/>
      <c r="J16" s="171"/>
      <c r="K16" s="84" t="s">
        <v>94</v>
      </c>
      <c r="L16" s="15"/>
      <c r="N16" s="55"/>
    </row>
    <row r="17" spans="1:14" ht="78" customHeight="1">
      <c r="A17" s="36">
        <v>2</v>
      </c>
      <c r="B17" s="455" t="s">
        <v>465</v>
      </c>
      <c r="C17" s="84" t="s">
        <v>16</v>
      </c>
      <c r="D17" s="170">
        <f t="shared" si="0"/>
        <v>4000</v>
      </c>
      <c r="E17" s="172">
        <v>0</v>
      </c>
      <c r="F17" s="171">
        <f>0+4000</f>
        <v>4000</v>
      </c>
      <c r="G17" s="171"/>
      <c r="H17" s="171"/>
      <c r="I17" s="171"/>
      <c r="J17" s="171">
        <v>0</v>
      </c>
      <c r="K17" s="84" t="s">
        <v>229</v>
      </c>
      <c r="L17" s="15"/>
      <c r="N17" s="55"/>
    </row>
    <row r="18" spans="1:14" ht="45" customHeight="1">
      <c r="A18" s="36">
        <v>3</v>
      </c>
      <c r="B18" s="175" t="s">
        <v>95</v>
      </c>
      <c r="C18" s="84" t="s">
        <v>16</v>
      </c>
      <c r="D18" s="170">
        <f t="shared" si="0"/>
        <v>600</v>
      </c>
      <c r="E18" s="176">
        <v>200</v>
      </c>
      <c r="F18" s="176">
        <v>200</v>
      </c>
      <c r="G18" s="176">
        <v>100</v>
      </c>
      <c r="H18" s="176">
        <v>100</v>
      </c>
      <c r="I18" s="176">
        <v>100</v>
      </c>
      <c r="J18" s="176">
        <v>200</v>
      </c>
      <c r="K18" s="84" t="s">
        <v>32</v>
      </c>
      <c r="L18" s="15"/>
      <c r="N18" s="55"/>
    </row>
    <row r="19" spans="1:14" ht="57" customHeight="1">
      <c r="A19" s="36">
        <v>4</v>
      </c>
      <c r="B19" s="175" t="s">
        <v>96</v>
      </c>
      <c r="C19" s="177" t="s">
        <v>16</v>
      </c>
      <c r="D19" s="269">
        <f t="shared" si="0"/>
        <v>1210</v>
      </c>
      <c r="E19" s="176">
        <v>350</v>
      </c>
      <c r="F19" s="176">
        <v>400</v>
      </c>
      <c r="G19" s="176"/>
      <c r="H19" s="176"/>
      <c r="I19" s="176"/>
      <c r="J19" s="176">
        <v>460</v>
      </c>
      <c r="K19" s="177" t="s">
        <v>228</v>
      </c>
      <c r="L19" s="15"/>
      <c r="N19" s="55"/>
    </row>
    <row r="20" spans="1:14" ht="61.5" customHeight="1">
      <c r="A20" s="256">
        <v>5</v>
      </c>
      <c r="B20" s="257" t="s">
        <v>97</v>
      </c>
      <c r="C20" s="257" t="s">
        <v>16</v>
      </c>
      <c r="D20" s="269">
        <f>SUM(E20:J20)</f>
        <v>5700</v>
      </c>
      <c r="E20" s="176">
        <v>1900</v>
      </c>
      <c r="F20" s="176">
        <v>1900</v>
      </c>
      <c r="G20" s="176"/>
      <c r="H20" s="176"/>
      <c r="I20" s="176"/>
      <c r="J20" s="176">
        <v>1900</v>
      </c>
      <c r="K20" s="177" t="s">
        <v>98</v>
      </c>
      <c r="L20" s="15"/>
      <c r="N20" s="55"/>
    </row>
    <row r="21" spans="1:14" ht="57.75" customHeight="1">
      <c r="A21" s="256">
        <v>6</v>
      </c>
      <c r="B21" s="486" t="s">
        <v>590</v>
      </c>
      <c r="C21" s="486" t="s">
        <v>16</v>
      </c>
      <c r="D21" s="269">
        <f>SUM(E21:J21)</f>
        <v>111</v>
      </c>
      <c r="E21" s="176"/>
      <c r="F21" s="176">
        <f>15+96</f>
        <v>111</v>
      </c>
      <c r="G21" s="176"/>
      <c r="H21" s="176"/>
      <c r="I21" s="176"/>
      <c r="J21" s="176"/>
      <c r="K21" s="177" t="s">
        <v>98</v>
      </c>
      <c r="L21" s="15"/>
      <c r="N21" s="55"/>
    </row>
    <row r="22" spans="1:12" ht="32.25" customHeight="1">
      <c r="A22" s="87"/>
      <c r="B22" s="83" t="s">
        <v>5</v>
      </c>
      <c r="C22" s="177"/>
      <c r="D22" s="170">
        <f>E22+F22+J22</f>
        <v>19692.4</v>
      </c>
      <c r="E22" s="170">
        <f aca="true" t="shared" si="1" ref="E22:J22">E20+E19+E18+E14</f>
        <v>5421.4</v>
      </c>
      <c r="F22" s="170">
        <f>F20+F19+F18+F14+F17+F21</f>
        <v>8611</v>
      </c>
      <c r="G22" s="170">
        <f t="shared" si="1"/>
        <v>100</v>
      </c>
      <c r="H22" s="170">
        <f t="shared" si="1"/>
        <v>100</v>
      </c>
      <c r="I22" s="170">
        <f t="shared" si="1"/>
        <v>100</v>
      </c>
      <c r="J22" s="170">
        <f t="shared" si="1"/>
        <v>5660</v>
      </c>
      <c r="K22" s="84"/>
      <c r="L22" s="15"/>
    </row>
    <row r="23" spans="2:12" ht="15.75">
      <c r="B23" s="18"/>
      <c r="C23" s="178"/>
      <c r="D23" s="19"/>
      <c r="E23" s="19"/>
      <c r="F23" s="19"/>
      <c r="G23" s="19"/>
      <c r="H23" s="19"/>
      <c r="I23" s="19"/>
      <c r="J23" s="19"/>
      <c r="K23" s="179"/>
      <c r="L23" s="15"/>
    </row>
    <row r="24" spans="2:12" ht="15.75" hidden="1">
      <c r="B24" s="18"/>
      <c r="C24" s="18"/>
      <c r="D24" s="19"/>
      <c r="E24" s="19"/>
      <c r="F24" s="19"/>
      <c r="G24" s="19"/>
      <c r="H24" s="19"/>
      <c r="I24" s="19"/>
      <c r="J24" s="19"/>
      <c r="K24" s="20"/>
      <c r="L24" s="15"/>
    </row>
    <row r="25" spans="2:12" ht="15.75">
      <c r="B25" s="18"/>
      <c r="C25" s="18"/>
      <c r="D25" s="19"/>
      <c r="E25" s="19"/>
      <c r="F25" s="19"/>
      <c r="G25" s="19"/>
      <c r="H25" s="19"/>
      <c r="I25" s="19"/>
      <c r="J25" s="19"/>
      <c r="K25" s="20"/>
      <c r="L25" s="15"/>
    </row>
    <row r="26" spans="2:12" ht="15.75">
      <c r="B26" s="18"/>
      <c r="C26" s="18"/>
      <c r="D26" s="19"/>
      <c r="E26" s="19"/>
      <c r="F26" s="19"/>
      <c r="G26" s="19"/>
      <c r="H26" s="19"/>
      <c r="I26" s="19"/>
      <c r="J26" s="19"/>
      <c r="K26" s="20"/>
      <c r="L26" s="15"/>
    </row>
    <row r="27" spans="2:12" ht="18.75">
      <c r="B27" s="52"/>
      <c r="C27" s="53"/>
      <c r="E27" s="19"/>
      <c r="F27" s="19"/>
      <c r="G27" s="19"/>
      <c r="H27" s="19"/>
      <c r="I27" s="19"/>
      <c r="J27" s="19"/>
      <c r="K27" s="53"/>
      <c r="L27" s="15"/>
    </row>
    <row r="28" spans="2:12" ht="21.75" customHeight="1">
      <c r="B28" s="560" t="s">
        <v>541</v>
      </c>
      <c r="C28" s="560"/>
      <c r="D28" s="413"/>
      <c r="E28" s="22"/>
      <c r="F28" s="22"/>
      <c r="G28" s="16"/>
      <c r="H28" s="16"/>
      <c r="I28" s="16"/>
      <c r="J28" s="23"/>
      <c r="K28" s="23" t="s">
        <v>7</v>
      </c>
      <c r="L28" s="23"/>
    </row>
    <row r="29" spans="2:12" ht="6.75" customHeight="1">
      <c r="B29" s="413"/>
      <c r="C29" s="413"/>
      <c r="D29" s="413"/>
      <c r="E29" s="22"/>
      <c r="F29" s="22"/>
      <c r="G29" s="16"/>
      <c r="H29" s="16"/>
      <c r="I29" s="16"/>
      <c r="J29" s="23"/>
      <c r="K29" s="23"/>
      <c r="L29" s="23"/>
    </row>
    <row r="30" spans="2:11" ht="18.75">
      <c r="B30" s="538" t="s">
        <v>602</v>
      </c>
      <c r="C30" s="538"/>
      <c r="D30" s="25"/>
      <c r="E30" s="26"/>
      <c r="F30" s="26"/>
      <c r="G30" s="26"/>
      <c r="H30" s="26"/>
      <c r="I30" s="26"/>
      <c r="J30" s="15"/>
      <c r="K30" s="15"/>
    </row>
    <row r="31" spans="2:13" ht="15.75">
      <c r="B31" s="27" t="s">
        <v>10</v>
      </c>
      <c r="C31" s="27"/>
      <c r="D31" s="26"/>
      <c r="E31" s="26"/>
      <c r="F31" s="26"/>
      <c r="G31" s="26"/>
      <c r="H31" s="26"/>
      <c r="I31" s="26"/>
      <c r="J31" s="15"/>
      <c r="K31" s="15"/>
      <c r="M31" s="12"/>
    </row>
    <row r="32" spans="2:11" ht="15.75">
      <c r="B32" s="28"/>
      <c r="C32" s="29"/>
      <c r="D32" s="30"/>
      <c r="E32" s="26"/>
      <c r="F32" s="26"/>
      <c r="G32" s="26"/>
      <c r="H32" s="26"/>
      <c r="I32" s="26"/>
      <c r="J32" s="15"/>
      <c r="K32" s="15"/>
    </row>
    <row r="33" spans="3:10" ht="15.75">
      <c r="C33" s="30"/>
      <c r="D33" s="26"/>
      <c r="E33" s="26"/>
      <c r="F33" s="26"/>
      <c r="G33" s="26"/>
      <c r="H33" s="26"/>
      <c r="I33" s="26"/>
      <c r="J33" s="26"/>
    </row>
    <row r="34" spans="3:10" ht="15.75">
      <c r="C34" s="31"/>
      <c r="D34" s="26"/>
      <c r="E34" s="26"/>
      <c r="F34" s="26"/>
      <c r="G34" s="26"/>
      <c r="H34" s="26"/>
      <c r="I34" s="26"/>
      <c r="J34" s="26"/>
    </row>
    <row r="36" ht="12.75">
      <c r="H36" s="32"/>
    </row>
  </sheetData>
  <sheetProtection/>
  <mergeCells count="19">
    <mergeCell ref="B30:C30"/>
    <mergeCell ref="K11:K13"/>
    <mergeCell ref="E12:E13"/>
    <mergeCell ref="F12:F13"/>
    <mergeCell ref="G12:G13"/>
    <mergeCell ref="H12:H13"/>
    <mergeCell ref="C11:C13"/>
    <mergeCell ref="D11:D13"/>
    <mergeCell ref="E11:J11"/>
    <mergeCell ref="I12:I13"/>
    <mergeCell ref="A11:A13"/>
    <mergeCell ref="B11:B13"/>
    <mergeCell ref="B28:C28"/>
    <mergeCell ref="J12:J13"/>
    <mergeCell ref="J1:K1"/>
    <mergeCell ref="J2:K2"/>
    <mergeCell ref="J7:K7"/>
    <mergeCell ref="B9:K9"/>
    <mergeCell ref="D10:H10"/>
  </mergeCells>
  <printOptions horizontalCentered="1"/>
  <pageMargins left="0" right="0" top="1.1811023622047245" bottom="0" header="0" footer="0"/>
  <pageSetup fitToHeight="1" fitToWidth="1" horizontalDpi="600" verticalDpi="600" orientation="landscape" paperSize="9"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Кузнєцова Олена Анатоліївна</cp:lastModifiedBy>
  <cp:lastPrinted>2019-10-23T06:24:09Z</cp:lastPrinted>
  <dcterms:created xsi:type="dcterms:W3CDTF">1996-10-08T23:32:33Z</dcterms:created>
  <dcterms:modified xsi:type="dcterms:W3CDTF">2019-10-23T06:24:19Z</dcterms:modified>
  <cp:category/>
  <cp:version/>
  <cp:contentType/>
  <cp:contentStatus/>
</cp:coreProperties>
</file>