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1" activeTab="1"/>
  </bookViews>
  <sheets>
    <sheet name="дод. зміни 2020 " sheetId="1" state="hidden" r:id="rId1"/>
    <sheet name="дод. зміни 2020" sheetId="2" r:id="rId2"/>
    <sheet name="дод.9 зміни  2018" sheetId="3" state="hidden" r:id="rId3"/>
    <sheet name="дод 2" sheetId="4" r:id="rId4"/>
    <sheet name="дод 3  Трансп.інфрастр.  " sheetId="5" r:id="rId5"/>
    <sheet name="дод 4 Свет " sheetId="6" r:id="rId6"/>
    <sheet name="дод 5 озеленення " sheetId="7" r:id="rId7"/>
    <sheet name="дод 6  Кладовща" sheetId="8" r:id="rId8"/>
    <sheet name="дод 7  сан очистка" sheetId="9" r:id="rId9"/>
    <sheet name="дод 8  Пот Благуострій" sheetId="10" r:id="rId10"/>
    <sheet name="дод 9   Тварини" sheetId="11" r:id="rId11"/>
    <sheet name="дод 10  Кап Благоустрою" sheetId="12" r:id="rId12"/>
    <sheet name="дод 11   кап ремонт житло " sheetId="13" r:id="rId13"/>
    <sheet name="дод 12 Святкові  " sheetId="14" r:id="rId14"/>
    <sheet name="дод 13   Вода " sheetId="15" r:id="rId15"/>
    <sheet name="дод 14  финпидтримка " sheetId="16" r:id="rId16"/>
    <sheet name="дод 15  Енргозбер. заходи" sheetId="17" r:id="rId17"/>
    <sheet name="дод16 статут зміцн.мат.тех.бази" sheetId="18" r:id="rId18"/>
    <sheet name="дод17  Субв. Сироватк (Красноп)" sheetId="19" r:id="rId19"/>
    <sheet name="дод 18  паспорт дом " sheetId="20" r:id="rId20"/>
    <sheet name="дод 19 Буд,реставр. та реконстр" sheetId="21" r:id="rId21"/>
    <sheet name="дод.19 Буд.реставр. та реконстр" sheetId="22" r:id="rId22"/>
    <sheet name="дод 20 Поверн  бюдж позичок" sheetId="23" r:id="rId23"/>
    <sheet name="дод 21 Надан бюдж позич " sheetId="24" r:id="rId24"/>
    <sheet name="дод.7 земля" sheetId="25" state="hidden" r:id="rId25"/>
    <sheet name="Лист3" sheetId="26" state="hidden" r:id="rId26"/>
    <sheet name="дод22  вузли комерц.обл.(ліч)" sheetId="27" r:id="rId27"/>
  </sheets>
  <definedNames>
    <definedName name="_xlnm.Print_Area" localSheetId="13">'дод 12 Святкові  '!$A$1:$K$62</definedName>
    <definedName name="_xlnm.Print_Area" localSheetId="15">'дод 14  финпидтримка '!$A$1:$K$40</definedName>
    <definedName name="_xlnm.Print_Area" localSheetId="4">'дод 3  Трансп.інфрастр.  '!$A$1:$H$46</definedName>
    <definedName name="_xlnm.Print_Area" localSheetId="6">'дод 5 озеленення '!$A$1:$L$81</definedName>
    <definedName name="_xlnm.Print_Area" localSheetId="17">'дод16 статут зміцн.мат.тех.бази'!$A$1:$J$158</definedName>
  </definedNames>
  <calcPr fullCalcOnLoad="1"/>
</workbook>
</file>

<file path=xl/sharedStrings.xml><?xml version="1.0" encoding="utf-8"?>
<sst xmlns="http://schemas.openxmlformats.org/spreadsheetml/2006/main" count="2121" uniqueCount="743">
  <si>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</si>
  <si>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</si>
  <si>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</si>
  <si>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</si>
  <si>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</si>
  <si>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</si>
  <si>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</si>
  <si>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</si>
  <si>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</si>
  <si>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</si>
  <si>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</si>
  <si>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</si>
  <si>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</si>
  <si>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</si>
  <si>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</si>
  <si>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</si>
  <si>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</si>
  <si>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</si>
  <si>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</si>
  <si>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</si>
  <si>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</si>
  <si>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</si>
  <si>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</si>
  <si>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</si>
  <si>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</si>
  <si>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</si>
  <si>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</si>
  <si>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</si>
  <si>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</si>
  <si>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</si>
  <si>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</si>
  <si>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</si>
  <si>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</si>
  <si>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</si>
  <si>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</si>
  <si>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</si>
  <si>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</si>
  <si>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</si>
  <si>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</si>
  <si>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</si>
  <si>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</si>
  <si>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</si>
  <si>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</si>
  <si>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</si>
  <si>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</si>
  <si>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</si>
  <si>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</si>
  <si>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</si>
  <si>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</si>
  <si>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</si>
  <si>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</si>
  <si>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</si>
  <si>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</si>
  <si>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</si>
  <si>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</si>
  <si>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</si>
  <si>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</si>
  <si>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</si>
  <si>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</si>
  <si>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</si>
  <si>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</si>
  <si>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</si>
  <si>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</si>
  <si>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</si>
  <si>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</si>
  <si>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</si>
  <si>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</si>
  <si>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</si>
  <si>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</si>
  <si>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</si>
  <si>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</si>
  <si>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</si>
  <si>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</si>
  <si>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</si>
  <si>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</si>
  <si>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</si>
  <si>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</si>
  <si>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</si>
  <si>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</si>
  <si>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</si>
  <si>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</si>
  <si>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</si>
  <si>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</si>
  <si>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</si>
  <si>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</si>
  <si>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</si>
  <si>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</si>
  <si>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</si>
  <si>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</si>
  <si>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</si>
  <si>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</si>
  <si>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</si>
  <si>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</si>
  <si>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</si>
  <si>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</si>
  <si>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</si>
  <si>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</si>
  <si>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</si>
  <si>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</si>
  <si>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</si>
  <si>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 п\п</t>
  </si>
  <si>
    <t>Догляд за деревами, в тому числі:</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</si>
  <si>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</si>
  <si>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</si>
  <si>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</si>
  <si>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</si>
  <si>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</si>
  <si>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</si>
  <si>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</si>
  <si>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</si>
  <si>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</si>
  <si>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</si>
  <si>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</si>
  <si>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</si>
  <si>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прибирання скошеної трави</t>
  </si>
  <si>
    <t>підсів трави на газонах</t>
  </si>
  <si>
    <t>весняне підживлення газонів</t>
  </si>
  <si>
    <t>просічування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</si>
  <si>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</si>
  <si>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</si>
  <si>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</si>
  <si>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</si>
  <si>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</si>
  <si>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</si>
  <si>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</si>
  <si>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</si>
  <si>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</si>
  <si>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</si>
  <si>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</si>
  <si>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</si>
  <si>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</si>
  <si>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</si>
  <si>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</si>
  <si>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</si>
  <si>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</si>
  <si>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</si>
  <si>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</si>
  <si>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</si>
  <si>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</si>
  <si>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</si>
  <si>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</si>
  <si>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</si>
  <si>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</si>
  <si>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</si>
  <si>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</si>
  <si>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</si>
  <si>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</si>
  <si>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</si>
  <si>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</si>
  <si>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</si>
  <si>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</si>
  <si>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</si>
  <si>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</si>
  <si>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</si>
  <si>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 xml:space="preserve">«Про затвердження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</si>
  <si>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</si>
  <si>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</si>
  <si>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</si>
  <si>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</si>
  <si>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</si>
  <si>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</si>
  <si>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</si>
  <si>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</si>
  <si>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</si>
  <si>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</si>
  <si>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</si>
  <si>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</si>
  <si>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</si>
  <si>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</si>
  <si>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</si>
  <si>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</si>
  <si>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</si>
  <si>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</si>
  <si>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</si>
  <si>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</si>
  <si>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</si>
  <si>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</si>
  <si>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</si>
  <si>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</si>
  <si>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</si>
  <si>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</si>
  <si>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</si>
  <si>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</si>
  <si>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</si>
  <si>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</si>
  <si>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</si>
  <si>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</si>
  <si>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</si>
  <si>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</si>
  <si>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</si>
  <si>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</si>
  <si>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</si>
  <si>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</si>
  <si>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</si>
  <si>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</si>
  <si>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</si>
  <si>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</si>
  <si>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</si>
  <si>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</si>
  <si>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</si>
  <si>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</si>
  <si>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</si>
  <si>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</si>
  <si>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</si>
  <si>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</si>
  <si>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</si>
  <si>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</si>
  <si>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</si>
  <si>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</si>
  <si>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</si>
  <si>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</si>
  <si>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</si>
  <si>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</si>
  <si>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</si>
  <si>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</si>
  <si>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</si>
  <si>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</si>
  <si>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</si>
  <si>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</si>
  <si>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</si>
  <si>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</si>
  <si>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</si>
  <si>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</si>
  <si>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</si>
  <si>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</si>
  <si>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</si>
  <si>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</si>
  <si>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</si>
  <si>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</si>
  <si>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</si>
  <si>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</si>
  <si>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</si>
  <si>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</si>
  <si>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</si>
  <si>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</si>
  <si>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</si>
  <si>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</si>
  <si>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</si>
  <si>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</si>
  <si>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</si>
  <si>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</si>
  <si>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</si>
  <si>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</si>
  <si>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</si>
  <si>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</si>
  <si>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</si>
  <si>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</si>
  <si>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</si>
  <si>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</si>
  <si>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</si>
  <si>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</si>
  <si>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</si>
  <si>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</si>
  <si>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</si>
  <si>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</si>
  <si>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</si>
  <si>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</si>
  <si>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</si>
  <si>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</si>
  <si>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</si>
  <si>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</si>
  <si>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</si>
  <si>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</si>
  <si>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</si>
  <si>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</si>
  <si>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</si>
  <si>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</si>
  <si>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</si>
  <si>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</si>
  <si>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</si>
  <si>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</si>
  <si>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</si>
  <si>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</si>
  <si>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</si>
  <si>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</si>
  <si>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</si>
  <si>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</si>
  <si>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</si>
  <si>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</si>
  <si>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</si>
  <si>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</si>
  <si>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</si>
  <si>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</si>
  <si>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</si>
  <si>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</si>
  <si>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</si>
  <si>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</si>
  <si>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</si>
  <si>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</si>
  <si>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</si>
  <si>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</si>
  <si>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</si>
  <si>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</si>
  <si>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</si>
  <si>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</si>
  <si>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</si>
  <si>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</si>
  <si>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</si>
  <si>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 xml:space="preserve">Будівництво зливної каналізації по вул.Косівщинській, вул.Кавалерідзе, вул.Нахімова, вул. Дарвіна, вул.Жуковського, вул.Макаренка </t>
  </si>
  <si>
    <t>Будівництво кабельної лінії електроживлення (резервний кабель) каналізаційно – насосної станції по вул. Привокзальна, 4/13</t>
  </si>
  <si>
    <t>Будівництво свердловини №15 на нижню крейду з розширеним контуром на Лепехівському водозаборі м.Суми</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</si>
  <si>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</si>
  <si>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</si>
  <si>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Реконструкція хлорного господарства на очисних спорудах м. Суми з переведенням на гіпохлорит натрію</t>
  </si>
  <si>
    <t>Залишок субвенції на реконструкцію багатофункціонального спортивного майданчика вул. Новомістенська, 4</t>
  </si>
  <si>
    <t xml:space="preserve">Реконструкція  аварійного  самотічного колектора Д-400 по вул. Білопільський шлях  від КНС -7 до району Тепличного </t>
  </si>
  <si>
    <t xml:space="preserve">Будівництво  пандусів до житлових будинків </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</si>
  <si>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</si>
  <si>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Реконструкція системи електрозабезпечення 48-квартирного будинку по вулиці Холодногірська, 30/1 м. Суми</t>
  </si>
  <si>
    <t>Будівництво міського пляжу в парку ім. І.М. Кожедуба</t>
  </si>
  <si>
    <t>Будівництво скейт-парку в парку ім. І.М. Кожедуба</t>
  </si>
  <si>
    <t>Міні-скейт парк на Роменсьеій</t>
  </si>
  <si>
    <t>Будівництво, реконструкція, та реставрація,  в т.ч:</t>
  </si>
  <si>
    <t>Будівництво напірного каналізаційного колектору від КНС-9 до пр.Михайла Лушпи в м.Суми з переврізкою в збудований напірний колектор</t>
  </si>
  <si>
    <t>Будівництво напірного каналізаційного колектору від КНС-6 до вул.Прокоф'єва в м.Суми з переврізкою в збудований напірний колектор</t>
  </si>
  <si>
    <t>Реконструкція каналізаційного самопливного колектору Д-1000 мм по вул.1-ша Набережна р.Стрілка</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</si>
  <si>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</si>
  <si>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</si>
  <si>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</si>
  <si>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</si>
  <si>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</si>
  <si>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</si>
  <si>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</si>
  <si>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</si>
  <si>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</si>
  <si>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</si>
  <si>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</si>
  <si>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</si>
  <si>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</si>
  <si>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</si>
  <si>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</si>
  <si>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</si>
  <si>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</si>
  <si>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</si>
  <si>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</si>
  <si>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</si>
  <si>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</si>
  <si>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Будівництво огорожі для Комунальної установи Сумська загальноосвітня школа I-III ступенів №22, імені Ігоря Гольченка, вул.Ковпака,57</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</si>
  <si>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</si>
  <si>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</si>
  <si>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</si>
  <si>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</si>
  <si>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</si>
  <si>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</si>
  <si>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</si>
  <si>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</si>
  <si>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</si>
  <si>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</si>
  <si>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</si>
  <si>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</si>
  <si>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</si>
  <si>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</si>
  <si>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</si>
  <si>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</si>
  <si>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</si>
  <si>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</si>
  <si>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</si>
  <si>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</si>
  <si>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</si>
  <si>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</si>
  <si>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</si>
  <si>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</si>
  <si>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</si>
  <si>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</si>
  <si>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</si>
  <si>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</si>
  <si>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</si>
  <si>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</si>
  <si>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</si>
  <si>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</si>
  <si>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</si>
  <si>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</si>
  <si>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</si>
  <si>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</si>
  <si>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</si>
  <si>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</si>
  <si>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</si>
  <si>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</si>
  <si>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</si>
  <si>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</si>
  <si>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</si>
  <si>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</si>
  <si>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</si>
  <si>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</si>
  <si>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</si>
  <si>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</si>
  <si>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</si>
  <si>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</si>
  <si>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</si>
  <si>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</si>
  <si>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</si>
  <si>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</si>
  <si>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</si>
  <si>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</si>
  <si>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</si>
  <si>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</si>
  <si>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</si>
  <si>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</si>
  <si>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</si>
  <si>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</si>
  <si>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</si>
  <si>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</si>
  <si>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</si>
  <si>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</si>
  <si>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</si>
  <si>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</si>
  <si>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</si>
  <si>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</si>
  <si>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</si>
  <si>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</si>
  <si>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</si>
  <si>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</si>
  <si>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</si>
  <si>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</si>
  <si>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</si>
  <si>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</si>
  <si>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</si>
  <si>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</si>
  <si>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</si>
  <si>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</si>
  <si>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</si>
  <si>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</si>
  <si>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</si>
  <si>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</si>
  <si>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</si>
  <si>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</si>
  <si>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</si>
  <si>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</si>
  <si>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</si>
  <si>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</si>
  <si>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</si>
  <si>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</si>
  <si>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 xml:space="preserve">Загальні витрати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</si>
  <si>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</si>
  <si>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</si>
  <si>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</si>
  <si>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</si>
  <si>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 xml:space="preserve">Загальні витрати     </t>
  </si>
  <si>
    <t>2018                   (план)</t>
  </si>
  <si>
    <t>2019              (план)</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</si>
  <si>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</si>
  <si>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</si>
  <si>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</si>
  <si>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</si>
  <si>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</si>
  <si>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</si>
  <si>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</si>
  <si>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</si>
  <si>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</si>
  <si>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</si>
  <si>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</si>
  <si>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</si>
  <si>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</si>
  <si>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</si>
  <si>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</si>
  <si>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</si>
  <si>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</si>
  <si>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</si>
  <si>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</si>
  <si>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</si>
  <si>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</si>
  <si>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Забезпечення проведення поточного ремонту вулично-дорожньої мережі та штучних споруд за рахунок субвенції з державного бюджету</t>
  </si>
  <si>
    <t>2018        (план)</t>
  </si>
  <si>
    <t>2020     (прогноз)</t>
  </si>
  <si>
    <t>Забезпечення функціонування мереж зовнішнього освітлення міста Суми на 2018 - 2020 роки</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</si>
  <si>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</si>
  <si>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</si>
  <si>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</si>
  <si>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</si>
  <si>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</si>
  <si>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</si>
  <si>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</si>
  <si>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Забезпечення санітарної очистки території міста Суми на 2018 - 2020 роки</t>
  </si>
  <si>
    <t>2019   (план)</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</si>
  <si>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</si>
  <si>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</si>
  <si>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</si>
  <si>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</si>
  <si>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</si>
  <si>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Потреба коштів всього</t>
  </si>
  <si>
    <t>2019                       (план)</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</si>
  <si>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</si>
  <si>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</si>
  <si>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</si>
  <si>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</si>
  <si>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</si>
  <si>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</si>
  <si>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</si>
  <si>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</si>
  <si>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</si>
  <si>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</si>
  <si>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</si>
  <si>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</si>
  <si>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</si>
  <si>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</si>
  <si>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</si>
  <si>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</si>
  <si>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</si>
  <si>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</si>
  <si>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</si>
  <si>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</si>
  <si>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</si>
  <si>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</si>
  <si>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</si>
  <si>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</si>
  <si>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</si>
  <si>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</si>
  <si>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</si>
  <si>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</si>
  <si>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</si>
  <si>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</si>
  <si>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</si>
  <si>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</si>
  <si>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</si>
  <si>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</si>
  <si>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</si>
  <si>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</si>
  <si>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</si>
  <si>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</si>
  <si>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 xml:space="preserve">Визначення норм надання послуг з вивезення ТПВ в м. Суми (ІІІ етап робіт -розробка звіту) </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</si>
  <si>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</si>
  <si>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6.1</t>
  </si>
  <si>
    <t>КПКВК 1216017</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</si>
  <si>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</si>
  <si>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</si>
  <si>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</si>
  <si>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Забезпечення функціонування об'єктів житлово-комунального господарства міста Суми на 2018 - 2020 роки</t>
  </si>
  <si>
    <t>В.о. директора департаменту</t>
  </si>
  <si>
    <t>В.І. Павленко</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</si>
  <si>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</si>
  <si>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Реконструкція мереж газопостачання до житлових будинків військового містечка по вул. Герасима Кондратьєва, 165 в м.Суми</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</si>
  <si>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</si>
  <si>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КПКВК 1217640</t>
  </si>
  <si>
    <t>4.1</t>
  </si>
  <si>
    <t>КПКВК 1216090</t>
  </si>
  <si>
    <t>КПКВК 1216030</t>
  </si>
  <si>
    <t>Будівництво спортивного майданчика «Атом-воркаут» по просп. Курський, 103» (на реалізацію громадського проекту № 55)</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</si>
  <si>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</si>
  <si>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</si>
  <si>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</si>
  <si>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Виконавець: Павленко В.І.</t>
  </si>
  <si>
    <t>Капітальний ремонт туалетів у сквері "Дружба"</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</si>
  <si>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</si>
  <si>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</si>
  <si>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</si>
  <si>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</si>
  <si>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</si>
  <si>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</si>
  <si>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Фінансова підтримка  КП «Міськводоканал» СМР для придбання аераційної системи в комплекті для станції очисних споруд -4 комлекта ( на період реконструкції 4-ї черги очисних споруд за кошти НЕФКО для безперервної експлуатації  черги)</t>
  </si>
  <si>
    <t>2.9</t>
  </si>
  <si>
    <t>фінансову підтримку КП «Сумижилкомсервіс» СМР для погашення пені за несвоєчасну сплату екологічного податку за період з 2013 по 2017 роки</t>
  </si>
  <si>
    <t>Реконструкція каналізаційної насосної станції  за адресою м.Суми вул.Привокзальна 4/13</t>
  </si>
  <si>
    <t>Нове будівництво мереж зовнішнього освітлення на сонячних батареях на території Піщанського старостинського округу</t>
  </si>
  <si>
    <t xml:space="preserve">Нове будівництво підземних контейнерних майданчиків </t>
  </si>
  <si>
    <t>Нове будівництво напірного каналізаційного колектору від КНС-6 до вул. Прокоф'єва в м. Суми з переврізкою в збудований напірний колектор (друга нитка)</t>
  </si>
  <si>
    <t>Нове будівництво дитячих та спортивних майданчиків</t>
  </si>
  <si>
    <t>Реконструкція підпірної гідроспоруди під Шевченківським мостом</t>
  </si>
  <si>
    <t>Реконструкція парку ім.І.М.Кожедуба</t>
  </si>
  <si>
    <t>Нове будівництво тортуару вздовж дороги в селі Верхнє Піщане по вул. Парнянській (з обох сторін проїзної частини)</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</si>
  <si>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</si>
  <si>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</si>
  <si>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1216020</t>
  </si>
  <si>
    <t>КПКВК 1216013</t>
  </si>
  <si>
    <t>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</si>
  <si>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</si>
  <si>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</si>
  <si>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</si>
  <si>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</si>
  <si>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</si>
  <si>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1218862</t>
  </si>
  <si>
    <t>5.2</t>
  </si>
  <si>
    <t>6.2</t>
  </si>
  <si>
    <t>6.3</t>
  </si>
  <si>
    <t>Садіння нових дерев та кущів за погодженням з замовником</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</si>
  <si>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</si>
  <si>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</si>
  <si>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Садіння квіткових рослин (цибулинних)(у тому числі і багаторічних) у квітках з усіма попередніми супровідними роботами, в тому числі догляд за трояндами</t>
  </si>
  <si>
    <t>збирання та вивезення сміття та опалого листя по загальних обєктах міста</t>
  </si>
  <si>
    <t>косіння (викошування) та прибирання скошеної трави на газонах у скверах, парках міста</t>
  </si>
  <si>
    <t>Видалення сухостійних (порослі) та аварійних дерев з навантаженням та вивезенням деревени</t>
  </si>
  <si>
    <t>Утримання майданчику для складування відходів по вул. Р.Лукаша</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</si>
  <si>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</si>
  <si>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</si>
  <si>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Поточне утримання парку ім. І.М.Кожедуба, в т.ч.догляд за газонами</t>
  </si>
  <si>
    <t>11</t>
  </si>
  <si>
    <t>12</t>
  </si>
  <si>
    <t>13</t>
  </si>
  <si>
    <t>3.2</t>
  </si>
  <si>
    <t>5.3</t>
  </si>
  <si>
    <t>6.4</t>
  </si>
  <si>
    <t>6.5</t>
  </si>
  <si>
    <t>6.6</t>
  </si>
  <si>
    <t>6.7</t>
  </si>
  <si>
    <t>7.1</t>
  </si>
  <si>
    <t>7.2</t>
  </si>
  <si>
    <t>7.3</t>
  </si>
  <si>
    <t>7.4</t>
  </si>
  <si>
    <t>7.5</t>
  </si>
  <si>
    <t>8.1</t>
  </si>
  <si>
    <t>8.2</t>
  </si>
  <si>
    <t>8.3</t>
  </si>
  <si>
    <t>9.1</t>
  </si>
  <si>
    <t>11.1</t>
  </si>
  <si>
    <t>12.1</t>
  </si>
  <si>
    <t>12.2</t>
  </si>
  <si>
    <t>12.3</t>
  </si>
  <si>
    <t>12.5</t>
  </si>
  <si>
    <t>12.8</t>
  </si>
  <si>
    <t>12.9</t>
  </si>
  <si>
    <t>12.10</t>
  </si>
  <si>
    <t>12.11</t>
  </si>
  <si>
    <t>12.13</t>
  </si>
  <si>
    <t>12.15</t>
  </si>
  <si>
    <t>12.16</t>
  </si>
  <si>
    <t>13.1</t>
  </si>
  <si>
    <t>13.2</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</si>
  <si>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</si>
  <si>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</si>
  <si>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1217340                                           КПКВК 1217310                                                 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</si>
  <si>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</si>
  <si>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20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</si>
  <si>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об'єднаної територіальної громади на 2018 - 2020 роки </t>
  </si>
  <si>
    <t xml:space="preserve"> Сумський міський голова</t>
  </si>
  <si>
    <t>Проведення ремонту об'єктів транспортної інфраструктури  Сумської міської об'єднаної територіальної громади на 2018 - 2020 роки</t>
  </si>
  <si>
    <t>Забезпечення функціонування мереж зовнішнього освітлення Сумської міської об'єднаної територіальної громади на 2018 - 2020 роки</t>
  </si>
  <si>
    <t>Збереження та утримання на належному рівні зеленої зони Сумської міської об'єднаної територіальної громади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</si>
  <si>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Сумської міської об'єднаної територіальної громади, організація громадських робіт на 2018 - 2020 роки</t>
  </si>
  <si>
    <t>Забезпечення санітарної очистки території Сумської міської об'єднаної територіальної громади на 2018 - 2020 роки</t>
  </si>
  <si>
    <t>Капітальний ремонт  об'єктів та елементів благоустрою Сумської міської об'єднаної територіальної громади на 2018 - 2020 роки</t>
  </si>
  <si>
    <t>Капітальний ремонт обєктів житлового господарства Сумської міської об'єднаної територіальної громади на 2018 - 2020 роки</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</si>
  <si>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t>
  </si>
  <si>
    <t>Забезпечення функціонування водопровідно-каналізаційного господарства Сумської міської об'єднаної територіальної громади                                                                                           на 2018 - 2020 роки</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</si>
  <si>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об'єднаної територіальної громади на 2018 - 2020 роки</t>
    </r>
  </si>
  <si>
    <t>Забезпечення зміцнення матеріально-технічної бази підприємств комунальної форми власності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</si>
  <si>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</si>
  <si>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2.10</t>
  </si>
  <si>
    <t>Поточне утримання парку ім. І.М.Кожедуба, в т.ч.збирання та вивезення сміття та опалого листя</t>
  </si>
  <si>
    <t>Догляд за газонами, в тому числі:збирання та вивезення сміття та опалого листя по загальних обєктах міста</t>
  </si>
  <si>
    <t>Визначення норм надання послуг з вивезення ТПВ в м. Суми</t>
  </si>
  <si>
    <t xml:space="preserve">Реконструкція дитячого парку "Казка" в м.Суми </t>
  </si>
  <si>
    <t>Нове будівництво дитячого майданчика на території дитячого парку "Казка"</t>
  </si>
  <si>
    <t>12.17</t>
  </si>
  <si>
    <t>2.11</t>
  </si>
  <si>
    <t>2.12</t>
  </si>
  <si>
    <t>2.13</t>
  </si>
  <si>
    <t>2.14</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</si>
  <si>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</si>
  <si>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</si>
  <si>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</si>
  <si>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"Про внесення змін до рішення Сумської міської</t>
  </si>
  <si>
    <t>ради від 21 грудня 2017 року № 2913-МР</t>
  </si>
  <si>
    <t>на  2018- 2020  роки» ( зі змінами)</t>
  </si>
  <si>
    <t xml:space="preserve">від                                        № </t>
  </si>
  <si>
    <t>Відшкодування з міського бюджету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</si>
  <si>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Поточний ремонт та утримання в належному стані об'єктів благоустрою  на 2018 - 2020 роки</t>
  </si>
  <si>
    <t>Міський бюджет, обласний бюджет, бюджет ОТГ</t>
  </si>
  <si>
    <t>Міський бюджет, Бюджет ОТГ</t>
  </si>
  <si>
    <t>бюджет ОТГ</t>
  </si>
  <si>
    <t xml:space="preserve"> КПКВК 1216090                                                                                                                                                                                                                                                                                                                                                                                         </t>
  </si>
  <si>
    <t xml:space="preserve">додаток  12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</si>
  <si>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вул.Привокзальна,4/13</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</si>
  <si>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 в т.ч.</t>
  </si>
  <si>
    <t>Капітальний ремонт об'єктів та елементів благоустрою  по місту, в т.ч.</t>
  </si>
  <si>
    <t>на реалізацію проектів-переможців громадського (партиципаторного )бюджету</t>
  </si>
  <si>
    <t>Забезпечення проведення капітального ремонту  проїздів, велосипедних доріжок, внутрішньоквартальних проїзних доріг та тротуарів, тротуарівв до шкіл та садочків</t>
  </si>
  <si>
    <t>Капітальний ремонт пішоходного переходу на перехресті вул. Харківська та Героїв Сумщини</t>
  </si>
  <si>
    <t>Нове будівництво тротуару вздовж дороги в селі Верхнє Піщане по вул. Парнянській (з обох сторін проїзної частини)</t>
  </si>
  <si>
    <t>Нове 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</si>
  <si>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Будівництво зливової каналізації по вул.Криничній</t>
  </si>
  <si>
    <t>Фінансова підтримка, в тому числі:</t>
  </si>
  <si>
    <t>10.1</t>
  </si>
  <si>
    <t>10.2</t>
  </si>
  <si>
    <t>оплата електроенергії</t>
  </si>
  <si>
    <t>погашення заборгованості за судовим рішенням</t>
  </si>
  <si>
    <t xml:space="preserve">                                                                                                                                                                                                                                                                                                                                                                                                                                                                                        </t>
  </si>
  <si>
    <t>Реконструкція теплових мереж з підключенням навантаження від КППВ до ТЕЦ ТОВ "Сумитеплоенерго"</t>
  </si>
  <si>
    <t>3</t>
  </si>
  <si>
    <t xml:space="preserve">Реконструкція систем газопостачання м.Суми по вул.Г.Кондратьєва,165 </t>
  </si>
  <si>
    <t>Виконавець: Журба О.І.</t>
  </si>
  <si>
    <t xml:space="preserve">          Виконавець: Журба О.І.                      </t>
  </si>
  <si>
    <t>Виконавець:  Журба О.І.</t>
  </si>
  <si>
    <t>програми  реформування і розвитку житлово-</t>
  </si>
  <si>
    <t>комунального господарства Сумської об"єднаної</t>
  </si>
  <si>
    <t>територіальної громади на 2018-2020 роки,</t>
  </si>
  <si>
    <t>затвердженої рішенням Сумської міської ради</t>
  </si>
  <si>
    <t>від 21 грудня 2017 року № 2913-МР (зі змінами)</t>
  </si>
  <si>
    <t xml:space="preserve">від                           № </t>
  </si>
  <si>
    <t xml:space="preserve">від                         № </t>
  </si>
  <si>
    <t>"Про внесення змін до Комплексної цільової програми</t>
  </si>
  <si>
    <t xml:space="preserve"> реформування і розвитку житлово-комунального</t>
  </si>
  <si>
    <t xml:space="preserve">на 2018- 2020  роки, затвердженої рішенням Сумської </t>
  </si>
  <si>
    <t>міської ради від 21 грудня 2017 року № 2913-МР (зі змінами)</t>
  </si>
  <si>
    <t xml:space="preserve">від                          № </t>
  </si>
  <si>
    <t>"Про внесення змін до Комплексної  цільової</t>
  </si>
  <si>
    <t>програми  реформування і розвитку житлово</t>
  </si>
  <si>
    <t>комунального господарства Сумської об'єднаної</t>
  </si>
  <si>
    <t>"Про внесення змін до Комплексної  цільової програми</t>
  </si>
  <si>
    <t xml:space="preserve">реформування і розвитку житлово-комунального </t>
  </si>
  <si>
    <t>на 2018-2020 роки, затвердженої рішенням Сумської міської ради</t>
  </si>
  <si>
    <t xml:space="preserve">від                             № </t>
  </si>
  <si>
    <t>господарства Сумської об'єднаної територіальної громади</t>
  </si>
  <si>
    <t xml:space="preserve"> Сумський міський голова </t>
  </si>
  <si>
    <t xml:space="preserve">програми  реформування і розвитку житлово- </t>
  </si>
  <si>
    <t>від від 21 грудня 2017 року №2913-МР (зі змінами)</t>
  </si>
  <si>
    <t xml:space="preserve">від                           №  </t>
  </si>
  <si>
    <t xml:space="preserve">комунального господарства Сумської об'єднаної </t>
  </si>
  <si>
    <t>на 2018- 2020  роки, затвердженої рішенням Сумської міської ради</t>
  </si>
  <si>
    <t>"Про внесення змін до Комплексної цльової</t>
  </si>
  <si>
    <t xml:space="preserve">програми реформування і розвитку житлово - </t>
  </si>
  <si>
    <t xml:space="preserve">від                               № </t>
  </si>
  <si>
    <t>від                                       №</t>
  </si>
  <si>
    <t xml:space="preserve">від                            № </t>
  </si>
  <si>
    <t>від                               №</t>
  </si>
  <si>
    <t>територіальтної громади на 2018-2020 роки</t>
  </si>
  <si>
    <t>від                              №</t>
  </si>
  <si>
    <t xml:space="preserve">від                         №  </t>
  </si>
  <si>
    <t xml:space="preserve">затвердженої рішенням Сумської міської ради </t>
  </si>
  <si>
    <t xml:space="preserve">програми реформування і розвитку житлово- </t>
  </si>
  <si>
    <t>комунального господарства Сумької об'єднаної</t>
  </si>
  <si>
    <t>" Про внесення змін до Комплексної цільової</t>
  </si>
  <si>
    <t xml:space="preserve">від                                № </t>
  </si>
  <si>
    <t xml:space="preserve">від                              № </t>
  </si>
  <si>
    <t xml:space="preserve">"Про внесення змін до Комплексної цільової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</si>
  <si>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об'єднаної територіальної громади на 2018- 2020  роки, затвердженої рішенням Сумської міської ради від 21 грудня 2017 року          № 2913-МР (зі змінами)
від                                 №                                                                                                                       </t>
  </si>
  <si>
    <t>Фінансова підтримка КП "Шляхрембуд" СМР в т.ч.</t>
  </si>
  <si>
    <t>капітальний ремонт «Монтаж системи автоматичної пожежної сигналізації, оповіщення людей про пожежу та передавання тривожних сповіщень</t>
  </si>
  <si>
    <t>придбання обладнання в харчоблок</t>
  </si>
  <si>
    <t>Департамент інфраструктури міста Сумської міської ради, КП "Шляхрембуд" СМР</t>
  </si>
  <si>
    <t>Поточний ремонт приміщення комунальної власності по проспекту Курський,103</t>
  </si>
  <si>
    <t xml:space="preserve">реформування і розвитку житлово-комунального господарства </t>
  </si>
  <si>
    <t xml:space="preserve">Сумської об'єднаної територіальної  громади </t>
  </si>
  <si>
    <t xml:space="preserve">на  2018- 2020  роки, затвердженої рішенням Сумської </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</si>
  <si>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</si>
  <si>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КПКВК 1217462   </t>
  </si>
  <si>
    <t>Забезпечення функціонування об'єктів житлово-комунального господарства Сумської міської об'єднаної територіальної громади на 2018 - 2020 роки</t>
  </si>
  <si>
    <t xml:space="preserve">Фінансова підтримка КП "Шляхрембуд" СМР </t>
  </si>
  <si>
    <t xml:space="preserve">КПКВК 1216020                                                                                                                                                                                                                                                  </t>
  </si>
  <si>
    <t xml:space="preserve">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</si>
  <si>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Директор Департаменту</t>
  </si>
  <si>
    <t>О.І. Журба</t>
  </si>
  <si>
    <t>2.1.1</t>
  </si>
  <si>
    <t>Забезпечення проведення поточного ремонту вулично-дорожньої мережі та штучних споруд за рахунок субвенції з державного бюджету в т.ч.</t>
  </si>
  <si>
    <t>поточний ремонт вулично-дорожньої мережі та штучних споруд  м.Суми, вул.Харківська</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</si>
</sst>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s>
  <fonts count="77">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3"/>
      <color indexed="10"/>
      <name val="Times New Roman"/>
      <family val="1"/>
    </font>
    <font>
      <sz val="12.5"/>
      <color indexed="8"/>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
      <sz val="13"/>
      <color rgb="FFFF0000"/>
      <name val="Times New Roman"/>
      <family val="1"/>
    </font>
    <font>
      <sz val="11"/>
      <color rgb="FFFF0000"/>
      <name val="Times New Roman"/>
      <family val="1"/>
    </font>
    <font>
      <sz val="13"/>
      <color rgb="FF000000"/>
      <name val="Times New Roman"/>
      <family val="1"/>
    </font>
    <font>
      <sz val="12.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6" fillId="32" borderId="0" applyNumberFormat="0" applyBorder="0" applyAlignment="0" applyProtection="0"/>
  </cellStyleXfs>
  <cellXfs count="73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3"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39" borderId="10" xfId="53" applyNumberFormat="1" applyFont="1" applyFill="1" applyBorder="1" applyAlignment="1">
      <alignment horizontal="center"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0" fillId="35" borderId="0" xfId="0" applyFill="1" applyAlignment="1">
      <alignment/>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4"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7" fillId="37" borderId="10" xfId="0" applyFont="1" applyFill="1" applyBorder="1" applyAlignment="1">
      <alignment vertical="center" wrapText="1"/>
    </xf>
    <xf numFmtId="0" fontId="6" fillId="0" borderId="17" xfId="53" applyFont="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6" fillId="37" borderId="15"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67"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7" xfId="0" applyFont="1" applyFill="1" applyBorder="1" applyAlignment="1">
      <alignment wrapText="1"/>
    </xf>
    <xf numFmtId="49" fontId="6" fillId="37" borderId="10" xfId="0" applyNumberFormat="1" applyFont="1" applyFill="1" applyBorder="1" applyAlignment="1">
      <alignment horizontal="left" vertical="center" wrapText="1"/>
    </xf>
    <xf numFmtId="0" fontId="67" fillId="37" borderId="10" xfId="0" applyFont="1" applyFill="1" applyBorder="1" applyAlignment="1">
      <alignment horizontal="left" wrapText="1"/>
    </xf>
    <xf numFmtId="49" fontId="67" fillId="37" borderId="10" xfId="0" applyNumberFormat="1" applyFont="1" applyFill="1" applyBorder="1" applyAlignment="1">
      <alignment wrapText="1"/>
    </xf>
    <xf numFmtId="0" fontId="67" fillId="37" borderId="10" xfId="0" applyFont="1" applyFill="1" applyBorder="1" applyAlignment="1">
      <alignment wrapText="1"/>
    </xf>
    <xf numFmtId="0" fontId="67" fillId="37" borderId="10" xfId="0" applyFont="1" applyFill="1" applyBorder="1" applyAlignment="1">
      <alignment horizontal="left" vertical="center" wrapText="1"/>
    </xf>
    <xf numFmtId="0" fontId="15" fillId="37" borderId="10" xfId="53" applyFont="1" applyFill="1" applyBorder="1" applyAlignment="1">
      <alignment horizontal="center" vertical="center" wrapText="1"/>
      <protection/>
    </xf>
    <xf numFmtId="4" fontId="15"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7"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4"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7"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68" fillId="0" borderId="12" xfId="63" applyFont="1" applyBorder="1" applyAlignment="1">
      <alignment horizontal="center" vertical="center" wrapText="1"/>
    </xf>
    <xf numFmtId="177" fontId="6" fillId="0" borderId="10" xfId="63" applyFont="1" applyFill="1" applyBorder="1" applyAlignment="1">
      <alignment horizontal="center" vertical="center" wrapText="1"/>
    </xf>
    <xf numFmtId="177" fontId="68" fillId="0" borderId="12" xfId="63" applyFont="1" applyFill="1" applyBorder="1" applyAlignment="1">
      <alignment horizontal="center" vertical="center" wrapText="1"/>
    </xf>
    <xf numFmtId="0" fontId="67" fillId="37" borderId="17" xfId="0" applyFont="1" applyFill="1" applyBorder="1" applyAlignment="1">
      <alignment horizontal="left" vertical="center" wrapText="1"/>
    </xf>
    <xf numFmtId="0" fontId="67"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7" xfId="53" applyFont="1" applyFill="1" applyBorder="1" applyAlignment="1">
      <alignment horizontal="center" vertical="center" wrapText="1"/>
      <protection/>
    </xf>
    <xf numFmtId="177" fontId="6" fillId="37" borderId="14" xfId="63" applyFont="1" applyFill="1" applyBorder="1" applyAlignment="1">
      <alignment horizontal="center" vertical="center" wrapText="1"/>
    </xf>
    <xf numFmtId="177" fontId="6" fillId="0" borderId="14" xfId="63" applyFont="1" applyFill="1" applyBorder="1" applyAlignment="1">
      <alignment horizontal="center" vertical="center" wrapText="1"/>
    </xf>
    <xf numFmtId="177" fontId="68" fillId="0" borderId="14" xfId="63" applyFont="1" applyBorder="1" applyAlignment="1">
      <alignment horizontal="center" vertical="center" wrapText="1"/>
    </xf>
    <xf numFmtId="0" fontId="6" fillId="0" borderId="12" xfId="53" applyFont="1" applyFill="1" applyBorder="1" applyAlignment="1">
      <alignment horizontal="center" vertical="center" wrapText="1"/>
      <protection/>
    </xf>
    <xf numFmtId="0" fontId="6" fillId="37" borderId="19"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3" fillId="37" borderId="0" xfId="53" applyNumberFormat="1" applyFont="1" applyFill="1" applyBorder="1" applyAlignment="1">
      <alignment horizontal="center" vertical="center" wrapText="1"/>
      <protection/>
    </xf>
    <xf numFmtId="178" fontId="13" fillId="37" borderId="0" xfId="53" applyNumberFormat="1" applyFont="1" applyFill="1" applyBorder="1" applyAlignment="1">
      <alignment horizontal="center" vertical="center" wrapText="1"/>
      <protection/>
    </xf>
    <xf numFmtId="181" fontId="14" fillId="37" borderId="0" xfId="53" applyNumberFormat="1" applyFont="1" applyFill="1">
      <alignment/>
      <protection/>
    </xf>
    <xf numFmtId="0" fontId="16" fillId="0" borderId="0" xfId="53" applyFont="1" applyBorder="1" applyAlignment="1">
      <alignment horizontal="left" vertical="center" wrapText="1"/>
      <protection/>
    </xf>
    <xf numFmtId="0" fontId="16" fillId="0" borderId="0" xfId="53" applyFont="1" applyAlignment="1">
      <alignment horizontal="center" vertical="center" wrapText="1"/>
      <protection/>
    </xf>
    <xf numFmtId="0" fontId="17"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4"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4"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4"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4" fillId="37" borderId="0" xfId="53" applyNumberFormat="1" applyFont="1" applyFill="1">
      <alignment/>
      <protection/>
    </xf>
    <xf numFmtId="0" fontId="14" fillId="37" borderId="0" xfId="53" applyFont="1" applyFill="1" applyAlignment="1">
      <alignment horizontal="left"/>
      <protection/>
    </xf>
    <xf numFmtId="14" fontId="2" fillId="37" borderId="0" xfId="53" applyNumberFormat="1" applyFont="1" applyFill="1" applyAlignment="1">
      <alignment horizontal="left"/>
      <protection/>
    </xf>
    <xf numFmtId="178" fontId="14"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6"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9"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9" fillId="0" borderId="10" xfId="0" applyFont="1" applyBorder="1" applyAlignment="1">
      <alignment horizontal="justify" vertical="center" wrapText="1"/>
    </xf>
    <xf numFmtId="0" fontId="19"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69"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70"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20" fillId="37" borderId="10" xfId="53" applyFont="1" applyFill="1" applyBorder="1" applyAlignment="1">
      <alignment horizontal="center" vertical="center" wrapText="1"/>
      <protection/>
    </xf>
    <xf numFmtId="0" fontId="20" fillId="37" borderId="17" xfId="53" applyFont="1" applyFill="1" applyBorder="1" applyAlignment="1">
      <alignment horizontal="center" vertical="center" wrapText="1"/>
      <protection/>
    </xf>
    <xf numFmtId="0" fontId="20" fillId="0" borderId="10" xfId="53" applyFont="1" applyBorder="1" applyAlignment="1">
      <alignment horizontal="center"/>
      <protection/>
    </xf>
    <xf numFmtId="0" fontId="20" fillId="0" borderId="0" xfId="53" applyFont="1" applyBorder="1" applyAlignment="1">
      <alignment horizontal="center"/>
      <protection/>
    </xf>
    <xf numFmtId="2" fontId="21"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2" fillId="0" borderId="10" xfId="53" applyNumberFormat="1" applyFont="1" applyBorder="1" applyAlignment="1">
      <alignment horizontal="center" vertical="center" wrapText="1"/>
      <protection/>
    </xf>
    <xf numFmtId="4" fontId="23" fillId="0" borderId="12" xfId="53" applyNumberFormat="1"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4" fillId="37" borderId="0" xfId="53" applyFont="1" applyFill="1" applyAlignment="1">
      <alignment horizontal="center"/>
      <protection/>
    </xf>
    <xf numFmtId="0" fontId="1" fillId="37" borderId="16"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4" fillId="34" borderId="10" xfId="53" applyFont="1" applyFill="1" applyBorder="1" applyAlignment="1">
      <alignment horizontal="left" vertical="center" wrapText="1"/>
      <protection/>
    </xf>
    <xf numFmtId="0" fontId="24"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2" fillId="37" borderId="17" xfId="53" applyFont="1" applyFill="1" applyBorder="1" applyAlignment="1">
      <alignment horizontal="center" vertical="center" wrapText="1"/>
      <protection/>
    </xf>
    <xf numFmtId="0" fontId="6" fillId="0" borderId="0" xfId="0" applyFont="1" applyAlignment="1">
      <alignment wrapText="1"/>
    </xf>
    <xf numFmtId="4" fontId="68" fillId="37" borderId="10" xfId="53" applyNumberFormat="1" applyFont="1" applyFill="1" applyBorder="1" applyAlignment="1">
      <alignment horizontal="center" vertical="center" wrapText="1"/>
      <protection/>
    </xf>
    <xf numFmtId="0" fontId="25" fillId="37" borderId="10" xfId="53" applyFont="1" applyFill="1" applyBorder="1" applyAlignment="1">
      <alignment horizontal="left" vertical="center" wrapText="1"/>
      <protection/>
    </xf>
    <xf numFmtId="0" fontId="71" fillId="0" borderId="10" xfId="0" applyFont="1" applyBorder="1" applyAlignment="1">
      <alignment wrapText="1"/>
    </xf>
    <xf numFmtId="0" fontId="72" fillId="37" borderId="10" xfId="53" applyFont="1" applyFill="1" applyBorder="1" applyAlignment="1">
      <alignment horizontal="center" vertical="center" wrapText="1"/>
      <protection/>
    </xf>
    <xf numFmtId="0" fontId="2" fillId="37" borderId="0" xfId="53" applyFont="1" applyFill="1" applyAlignment="1">
      <alignment horizontal="left"/>
      <protection/>
    </xf>
    <xf numFmtId="0" fontId="23" fillId="37" borderId="10" xfId="53" applyFont="1" applyFill="1" applyBorder="1" applyAlignment="1">
      <alignment horizontal="left" vertical="top"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3" xfId="53" applyFont="1" applyFill="1" applyBorder="1" applyAlignment="1">
      <alignment horizontal="center" vertical="center" wrapText="1"/>
      <protection/>
    </xf>
    <xf numFmtId="0" fontId="2" fillId="37" borderId="10" xfId="53" applyFont="1" applyFill="1" applyBorder="1" applyAlignment="1">
      <alignment horizontal="left" vertical="top" wrapText="1"/>
      <protection/>
    </xf>
    <xf numFmtId="0" fontId="2" fillId="0" borderId="10" xfId="0" applyFont="1" applyBorder="1" applyAlignment="1">
      <alignment wrapText="1"/>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82" fontId="68" fillId="0" borderId="10" xfId="0" applyNumberFormat="1" applyFont="1" applyFill="1" applyBorder="1" applyAlignment="1">
      <alignment horizontal="center" vertical="center"/>
    </xf>
    <xf numFmtId="49" fontId="2" fillId="37" borderId="12" xfId="53" applyNumberFormat="1" applyFont="1" applyFill="1" applyBorder="1" applyAlignment="1">
      <alignment horizontal="left" vertical="center" wrapText="1"/>
      <protection/>
    </xf>
    <xf numFmtId="49" fontId="2"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0" xfId="0" applyFont="1" applyBorder="1" applyAlignment="1">
      <alignment wrapText="1"/>
    </xf>
    <xf numFmtId="177" fontId="68" fillId="0" borderId="10" xfId="63" applyFont="1" applyBorder="1" applyAlignment="1">
      <alignment horizontal="center" vertical="center" wrapText="1"/>
    </xf>
    <xf numFmtId="0" fontId="6" fillId="37" borderId="12"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7" fillId="37" borderId="17" xfId="0" applyFont="1" applyFill="1" applyBorder="1" applyAlignment="1">
      <alignment horizontal="left" vertical="center" wrapText="1"/>
    </xf>
    <xf numFmtId="0" fontId="2" fillId="37" borderId="17" xfId="53" applyFont="1" applyFill="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0" borderId="11" xfId="0" applyFont="1" applyBorder="1" applyAlignment="1">
      <alignment horizontal="center" vertical="center" wrapText="1"/>
    </xf>
    <xf numFmtId="177" fontId="1" fillId="0" borderId="12" xfId="63" applyFont="1" applyBorder="1" applyAlignment="1">
      <alignment horizontal="center" vertical="center" wrapText="1"/>
    </xf>
    <xf numFmtId="0" fontId="2" fillId="0" borderId="12"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70" fillId="37" borderId="17" xfId="0" applyFont="1" applyFill="1" applyBorder="1" applyAlignment="1">
      <alignment horizontal="left" vertical="center" wrapText="1"/>
    </xf>
    <xf numFmtId="0" fontId="23" fillId="34" borderId="10" xfId="53" applyFont="1" applyFill="1" applyBorder="1" applyAlignment="1">
      <alignment horizontal="center" vertical="center" wrapText="1"/>
      <protection/>
    </xf>
    <xf numFmtId="177" fontId="23" fillId="0" borderId="10" xfId="63" applyFont="1" applyBorder="1" applyAlignment="1">
      <alignment horizontal="center" vertical="center" wrapText="1"/>
    </xf>
    <xf numFmtId="177" fontId="23" fillId="37" borderId="12" xfId="63" applyFont="1" applyFill="1" applyBorder="1" applyAlignment="1">
      <alignment horizontal="center" vertical="center" wrapText="1"/>
    </xf>
    <xf numFmtId="177" fontId="23" fillId="0" borderId="12" xfId="63" applyFont="1" applyFill="1" applyBorder="1" applyAlignment="1">
      <alignment horizontal="center" vertical="center" wrapText="1"/>
    </xf>
    <xf numFmtId="177" fontId="73" fillId="0" borderId="12" xfId="63" applyFont="1" applyBorder="1" applyAlignment="1">
      <alignment horizontal="center" vertical="center" wrapText="1"/>
    </xf>
    <xf numFmtId="177" fontId="23" fillId="0" borderId="12" xfId="63" applyFont="1" applyBorder="1" applyAlignment="1">
      <alignment horizontal="center" vertical="center" wrapText="1"/>
    </xf>
    <xf numFmtId="0" fontId="23" fillId="37" borderId="17" xfId="53" applyFont="1" applyFill="1" applyBorder="1" applyAlignment="1">
      <alignment horizontal="center" vertical="center" wrapText="1"/>
      <protection/>
    </xf>
    <xf numFmtId="177" fontId="23" fillId="37" borderId="14" xfId="63" applyFont="1" applyFill="1" applyBorder="1" applyAlignment="1">
      <alignment horizontal="center" vertical="center" wrapText="1"/>
    </xf>
    <xf numFmtId="177" fontId="23" fillId="0" borderId="14" xfId="63" applyFont="1" applyFill="1" applyBorder="1" applyAlignment="1">
      <alignment horizontal="center" vertical="center" wrapText="1"/>
    </xf>
    <xf numFmtId="177" fontId="73" fillId="0" borderId="14" xfId="63" applyFont="1" applyBorder="1" applyAlignment="1">
      <alignment horizontal="center" vertical="center" wrapText="1"/>
    </xf>
    <xf numFmtId="0" fontId="23" fillId="0" borderId="10" xfId="53" applyFont="1" applyFill="1" applyBorder="1" applyAlignment="1">
      <alignment horizontal="center" vertical="center" wrapText="1"/>
      <protection/>
    </xf>
    <xf numFmtId="177" fontId="23" fillId="0" borderId="10" xfId="63" applyFont="1" applyFill="1" applyBorder="1" applyAlignment="1">
      <alignment horizontal="center" vertical="center" wrapText="1"/>
    </xf>
    <xf numFmtId="0" fontId="23" fillId="0" borderId="12" xfId="53" applyFont="1" applyFill="1" applyBorder="1" applyAlignment="1">
      <alignment horizontal="center" vertical="center" wrapText="1"/>
      <protection/>
    </xf>
    <xf numFmtId="0" fontId="70" fillId="37" borderId="12" xfId="0" applyFont="1" applyFill="1" applyBorder="1" applyAlignment="1">
      <alignment horizontal="left" vertical="center" wrapText="1"/>
    </xf>
    <xf numFmtId="177" fontId="73" fillId="0" borderId="12" xfId="63" applyFont="1" applyFill="1" applyBorder="1" applyAlignment="1">
      <alignment horizontal="center" vertical="center" wrapText="1"/>
    </xf>
    <xf numFmtId="177" fontId="23" fillId="37" borderId="10" xfId="63" applyFont="1" applyFill="1" applyBorder="1" applyAlignment="1">
      <alignment horizontal="center" vertical="center" wrapText="1"/>
    </xf>
    <xf numFmtId="183" fontId="23" fillId="0" borderId="12" xfId="63" applyNumberFormat="1" applyFont="1" applyFill="1" applyBorder="1" applyAlignment="1">
      <alignment horizontal="center" vertical="center" wrapText="1"/>
    </xf>
    <xf numFmtId="0" fontId="23" fillId="37" borderId="10" xfId="53" applyFont="1" applyFill="1" applyBorder="1" applyAlignment="1">
      <alignment horizontal="center" vertical="center" wrapText="1"/>
      <protection/>
    </xf>
    <xf numFmtId="0" fontId="23" fillId="37" borderId="11" xfId="53" applyFont="1" applyFill="1" applyBorder="1" applyAlignment="1">
      <alignment horizontal="center" vertical="center" wrapText="1"/>
      <protection/>
    </xf>
    <xf numFmtId="0" fontId="23" fillId="37" borderId="19" xfId="53" applyFont="1" applyFill="1" applyBorder="1" applyAlignment="1">
      <alignment horizontal="center" vertical="center" wrapText="1"/>
      <protection/>
    </xf>
    <xf numFmtId="0" fontId="23" fillId="37" borderId="10" xfId="0" applyFont="1" applyFill="1" applyBorder="1" applyAlignment="1">
      <alignment horizontal="left" vertical="center" wrapText="1"/>
    </xf>
    <xf numFmtId="0" fontId="23" fillId="34" borderId="15" xfId="53" applyFont="1" applyFill="1" applyBorder="1" applyAlignment="1">
      <alignment horizontal="center" vertical="center" wrapText="1"/>
      <protection/>
    </xf>
    <xf numFmtId="0" fontId="70" fillId="37" borderId="10" xfId="0" applyFont="1" applyFill="1" applyBorder="1" applyAlignment="1">
      <alignment vertical="center" wrapText="1"/>
    </xf>
    <xf numFmtId="177" fontId="73" fillId="0" borderId="10" xfId="63" applyFont="1" applyBorder="1" applyAlignment="1">
      <alignment horizontal="center" vertical="center" wrapText="1"/>
    </xf>
    <xf numFmtId="0" fontId="23" fillId="0" borderId="10" xfId="0" applyFont="1" applyBorder="1" applyAlignment="1">
      <alignment wrapText="1"/>
    </xf>
    <xf numFmtId="4" fontId="1" fillId="0" borderId="12" xfId="53" applyNumberFormat="1" applyFont="1" applyBorder="1" applyAlignment="1">
      <alignment horizontal="center" vertical="center"/>
      <protection/>
    </xf>
    <xf numFmtId="0" fontId="2" fillId="0" borderId="10" xfId="53" applyFont="1" applyBorder="1" applyAlignment="1">
      <alignment vertical="center" wrapText="1"/>
      <protection/>
    </xf>
    <xf numFmtId="0" fontId="2"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8"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2" fillId="37" borderId="10" xfId="0" applyFont="1" applyFill="1" applyBorder="1" applyAlignment="1">
      <alignment horizontal="center" vertical="center" wrapText="1"/>
    </xf>
    <xf numFmtId="180" fontId="3" fillId="37" borderId="10" xfId="0" applyNumberFormat="1" applyFont="1" applyFill="1" applyBorder="1" applyAlignment="1">
      <alignment horizontal="center" vertical="center" wrapText="1"/>
    </xf>
    <xf numFmtId="180" fontId="2" fillId="37" borderId="12" xfId="0" applyNumberFormat="1" applyFont="1" applyFill="1" applyBorder="1" applyAlignment="1">
      <alignment horizontal="center" vertical="center" wrapText="1"/>
    </xf>
    <xf numFmtId="0" fontId="1" fillId="37" borderId="17"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4" xfId="53" applyFont="1" applyFill="1" applyBorder="1" applyAlignment="1">
      <alignment horizontal="center" vertical="center" wrapText="1"/>
      <protection/>
    </xf>
    <xf numFmtId="0" fontId="6" fillId="0" borderId="14" xfId="53" applyFont="1" applyBorder="1" applyAlignment="1">
      <alignment horizontal="center" vertical="center" wrapText="1"/>
      <protection/>
    </xf>
    <xf numFmtId="49" fontId="6" fillId="0" borderId="14" xfId="53" applyNumberFormat="1" applyFont="1" applyBorder="1" applyAlignment="1">
      <alignment horizontal="center" vertical="center" wrapText="1"/>
      <protection/>
    </xf>
    <xf numFmtId="0" fontId="6" fillId="0" borderId="14" xfId="53" applyFont="1" applyBorder="1" applyAlignment="1">
      <alignment horizontal="left" vertical="center" wrapText="1"/>
      <protection/>
    </xf>
    <xf numFmtId="49" fontId="2" fillId="37" borderId="14" xfId="53" applyNumberFormat="1" applyFont="1" applyFill="1" applyBorder="1" applyAlignment="1">
      <alignment horizontal="center" vertical="center" wrapText="1"/>
      <protection/>
    </xf>
    <xf numFmtId="49" fontId="24" fillId="0" borderId="10" xfId="53" applyNumberFormat="1" applyFont="1" applyBorder="1" applyAlignment="1">
      <alignment horizontal="center" vertical="center" wrapText="1"/>
      <protection/>
    </xf>
    <xf numFmtId="49" fontId="2" fillId="37" borderId="17" xfId="53" applyNumberFormat="1" applyFont="1" applyFill="1" applyBorder="1" applyAlignment="1">
      <alignment vertical="center" wrapText="1"/>
      <protection/>
    </xf>
    <xf numFmtId="49" fontId="2" fillId="37" borderId="0" xfId="53" applyNumberFormat="1" applyFont="1" applyFill="1" applyBorder="1" applyAlignment="1">
      <alignment horizontal="center" vertical="center" wrapText="1"/>
      <protection/>
    </xf>
    <xf numFmtId="49" fontId="2" fillId="37" borderId="22" xfId="53" applyNumberFormat="1" applyFont="1" applyFill="1" applyBorder="1" applyAlignment="1">
      <alignment vertical="center" wrapText="1"/>
      <protection/>
    </xf>
    <xf numFmtId="4" fontId="68" fillId="0" borderId="10" xfId="53" applyNumberFormat="1" applyFont="1" applyBorder="1" applyAlignment="1">
      <alignment horizontal="center" vertical="center" wrapText="1"/>
      <protection/>
    </xf>
    <xf numFmtId="4" fontId="68" fillId="0" borderId="10"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0" xfId="53" applyFont="1" applyAlignment="1">
      <alignment horizontal="left" vertical="center"/>
      <protection/>
    </xf>
    <xf numFmtId="49" fontId="24" fillId="37" borderId="17" xfId="53" applyNumberFormat="1" applyFont="1" applyFill="1" applyBorder="1" applyAlignment="1">
      <alignment horizontal="center" vertical="center" wrapText="1"/>
      <protection/>
    </xf>
    <xf numFmtId="0" fontId="24" fillId="0" borderId="17" xfId="53" applyFont="1" applyBorder="1" applyAlignment="1">
      <alignment horizontal="left" vertical="center" wrapText="1"/>
      <protection/>
    </xf>
    <xf numFmtId="4" fontId="24" fillId="0" borderId="10" xfId="53" applyNumberFormat="1" applyFont="1" applyBorder="1" applyAlignment="1">
      <alignment horizontal="center" vertical="center" wrapText="1"/>
      <protection/>
    </xf>
    <xf numFmtId="4" fontId="74" fillId="0" borderId="10" xfId="53" applyNumberFormat="1" applyFont="1" applyBorder="1" applyAlignment="1">
      <alignment horizontal="center" vertical="center" wrapText="1"/>
      <protection/>
    </xf>
    <xf numFmtId="4" fontId="24" fillId="34" borderId="10" xfId="53" applyNumberFormat="1" applyFont="1" applyFill="1" applyBorder="1" applyAlignment="1">
      <alignment horizontal="center" vertical="center" wrapText="1"/>
      <protection/>
    </xf>
    <xf numFmtId="49" fontId="2" fillId="37" borderId="17"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6"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0" xfId="53" applyFont="1" applyFill="1" applyAlignment="1">
      <alignment horizontal="center" vertical="center" wrapText="1"/>
      <protection/>
    </xf>
    <xf numFmtId="0" fontId="2" fillId="37" borderId="13" xfId="53" applyFont="1" applyFill="1" applyBorder="1" applyAlignment="1">
      <alignment horizontal="right"/>
      <protection/>
    </xf>
    <xf numFmtId="0" fontId="6" fillId="37" borderId="0" xfId="53" applyFont="1" applyFill="1" applyAlignment="1">
      <alignment horizontal="center"/>
      <protection/>
    </xf>
    <xf numFmtId="0" fontId="6" fillId="0" borderId="17"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37" borderId="17"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0" fontId="6" fillId="0" borderId="0" xfId="53" applyFont="1" applyAlignment="1">
      <alignment horizontal="left"/>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0" xfId="53" applyFont="1" applyAlignment="1">
      <alignment horizontal="center" wrapText="1"/>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6" fillId="0" borderId="0" xfId="0" applyFont="1" applyAlignment="1">
      <alignment horizontal="left"/>
    </xf>
    <xf numFmtId="0" fontId="1" fillId="0" borderId="0" xfId="0" applyFont="1" applyAlignment="1">
      <alignment horizont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8"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8" fillId="0" borderId="14" xfId="0" applyFont="1" applyBorder="1" applyAlignment="1">
      <alignment horizontal="center" vertical="center"/>
    </xf>
    <xf numFmtId="0" fontId="1" fillId="37" borderId="17"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37" borderId="22"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6" fillId="0" borderId="10" xfId="53" applyFont="1" applyBorder="1" applyAlignment="1">
      <alignment horizontal="center" vertical="center" wrapText="1"/>
      <protection/>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37" borderId="17"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3" fillId="0" borderId="17"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2" fillId="0" borderId="0" xfId="53" applyFont="1" applyFill="1" applyAlignment="1">
      <alignment horizontal="left"/>
      <protection/>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1" fillId="34" borderId="0" xfId="53" applyFont="1" applyFill="1" applyAlignment="1">
      <alignment horizontal="center" wrapText="1"/>
      <protection/>
    </xf>
    <xf numFmtId="0" fontId="6" fillId="0" borderId="0" xfId="53" applyFont="1" applyBorder="1" applyAlignment="1">
      <alignment wrapText="1"/>
      <protection/>
    </xf>
    <xf numFmtId="0" fontId="67" fillId="37" borderId="17"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left"/>
    </xf>
    <xf numFmtId="0" fontId="9" fillId="0" borderId="0" xfId="0" applyFont="1" applyAlignment="1">
      <alignment horizontal="center"/>
    </xf>
    <xf numFmtId="0" fontId="2" fillId="0" borderId="0" xfId="0" applyFont="1" applyBorder="1" applyAlignment="1">
      <alignment horizontal="left" vertical="center" wrapText="1"/>
    </xf>
    <xf numFmtId="0" fontId="1" fillId="0" borderId="19"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0" xfId="53" applyFont="1" applyFill="1" applyAlignment="1">
      <alignment horizontal="left"/>
      <protection/>
    </xf>
    <xf numFmtId="49" fontId="6" fillId="37" borderId="17"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8" fillId="0" borderId="17"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17"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179" fontId="6" fillId="37" borderId="17"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8" fillId="34" borderId="17" xfId="53" applyFont="1" applyFill="1" applyBorder="1" applyAlignment="1">
      <alignment horizontal="center" vertical="center" wrapText="1"/>
      <protection/>
    </xf>
    <xf numFmtId="0" fontId="8" fillId="34" borderId="12" xfId="53" applyFont="1" applyFill="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0" fontId="2" fillId="0" borderId="0" xfId="0" applyFont="1" applyFill="1" applyAlignment="1">
      <alignment horizontal="left"/>
    </xf>
    <xf numFmtId="0" fontId="23" fillId="37" borderId="17" xfId="53" applyFont="1" applyFill="1" applyBorder="1" applyAlignment="1">
      <alignment horizontal="center" vertical="top" wrapText="1"/>
      <protection/>
    </xf>
    <xf numFmtId="0" fontId="23" fillId="37" borderId="12" xfId="53" applyFont="1" applyFill="1" applyBorder="1" applyAlignment="1">
      <alignment horizontal="center" vertical="top" wrapText="1"/>
      <protection/>
    </xf>
    <xf numFmtId="0" fontId="2" fillId="0" borderId="14"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2" fillId="37" borderId="0" xfId="53" applyFont="1" applyFill="1" applyAlignment="1">
      <alignment horizontal="left"/>
      <protection/>
    </xf>
    <xf numFmtId="0" fontId="1" fillId="0" borderId="18"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23" xfId="53" applyFont="1" applyBorder="1" applyAlignment="1">
      <alignment horizontal="center" vertical="center" wrapText="1"/>
      <protection/>
    </xf>
    <xf numFmtId="179" fontId="1" fillId="34" borderId="17" xfId="53" applyNumberFormat="1" applyFont="1" applyFill="1" applyBorder="1" applyAlignment="1">
      <alignment horizontal="center" vertical="center" wrapText="1"/>
      <protection/>
    </xf>
    <xf numFmtId="179" fontId="1" fillId="34" borderId="12" xfId="53" applyNumberFormat="1" applyFont="1" applyFill="1" applyBorder="1" applyAlignment="1">
      <alignment horizontal="center" vertical="center" wrapText="1"/>
      <protection/>
    </xf>
    <xf numFmtId="179" fontId="6" fillId="37" borderId="17" xfId="0" applyNumberFormat="1" applyFont="1" applyFill="1" applyBorder="1" applyAlignment="1">
      <alignment horizontal="center" vertical="center" wrapText="1"/>
    </xf>
    <xf numFmtId="179" fontId="6" fillId="37" borderId="12" xfId="0" applyNumberFormat="1" applyFont="1" applyFill="1" applyBorder="1" applyAlignment="1">
      <alignment horizontal="center" vertical="center" wrapText="1"/>
    </xf>
    <xf numFmtId="49" fontId="6" fillId="37" borderId="17" xfId="0" applyNumberFormat="1" applyFont="1" applyFill="1" applyBorder="1" applyAlignment="1">
      <alignment horizontal="center" vertical="center" wrapText="1"/>
    </xf>
    <xf numFmtId="49" fontId="6" fillId="37" borderId="12" xfId="0" applyNumberFormat="1" applyFont="1" applyFill="1" applyBorder="1" applyAlignment="1">
      <alignment horizontal="center" vertical="center" wrapText="1"/>
    </xf>
    <xf numFmtId="0" fontId="70" fillId="37" borderId="17" xfId="0" applyFont="1" applyFill="1" applyBorder="1" applyAlignment="1">
      <alignment horizontal="center" vertical="center" wrapText="1"/>
    </xf>
    <xf numFmtId="0" fontId="70" fillId="37" borderId="12" xfId="0"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4" xfId="53" applyFont="1" applyBorder="1" applyAlignment="1">
      <alignment horizontal="center" vertical="center" wrapText="1"/>
      <protection/>
    </xf>
    <xf numFmtId="0" fontId="6" fillId="37" borderId="17"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0" fillId="0" borderId="17"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67" fillId="37" borderId="17" xfId="0" applyFont="1" applyFill="1" applyBorder="1" applyAlignment="1">
      <alignment horizontal="left" vertical="center" wrapText="1"/>
    </xf>
    <xf numFmtId="0" fontId="67" fillId="37" borderId="12" xfId="0" applyFont="1" applyFill="1" applyBorder="1" applyAlignment="1">
      <alignment horizontal="left" vertical="center" wrapText="1"/>
    </xf>
    <xf numFmtId="0" fontId="23" fillId="37" borderId="17" xfId="0" applyFont="1" applyFill="1" applyBorder="1" applyAlignment="1">
      <alignment horizontal="left" vertical="center" wrapText="1"/>
    </xf>
    <xf numFmtId="0" fontId="23" fillId="37" borderId="12" xfId="0" applyFont="1" applyFill="1" applyBorder="1" applyAlignment="1">
      <alignment horizontal="left" vertical="center" wrapText="1"/>
    </xf>
    <xf numFmtId="0" fontId="70" fillId="37" borderId="17" xfId="0" applyFont="1" applyFill="1" applyBorder="1" applyAlignment="1">
      <alignment horizontal="left" vertical="center" wrapText="1"/>
    </xf>
    <xf numFmtId="0" fontId="70" fillId="37" borderId="12" xfId="0" applyFont="1" applyFill="1" applyBorder="1" applyAlignment="1">
      <alignment horizontal="left" vertical="center" wrapText="1"/>
    </xf>
    <xf numFmtId="0" fontId="75" fillId="0" borderId="17" xfId="0" applyFont="1" applyBorder="1" applyAlignment="1">
      <alignment horizontal="left" wrapText="1"/>
    </xf>
    <xf numFmtId="0" fontId="75" fillId="0" borderId="12" xfId="0" applyFont="1" applyBorder="1" applyAlignment="1">
      <alignment horizontal="left" wrapText="1"/>
    </xf>
    <xf numFmtId="0" fontId="23" fillId="0" borderId="17" xfId="0" applyFont="1" applyBorder="1" applyAlignment="1">
      <alignment horizontal="left" wrapText="1"/>
    </xf>
    <xf numFmtId="0" fontId="23" fillId="0" borderId="12" xfId="0" applyFont="1" applyBorder="1" applyAlignment="1">
      <alignment horizontal="left" wrapText="1"/>
    </xf>
    <xf numFmtId="0" fontId="76" fillId="37" borderId="17" xfId="0" applyFont="1" applyFill="1" applyBorder="1" applyAlignment="1">
      <alignment horizontal="left" vertical="center" wrapText="1"/>
    </xf>
    <xf numFmtId="0" fontId="76" fillId="37" borderId="12" xfId="0" applyFont="1" applyFill="1" applyBorder="1" applyAlignment="1">
      <alignment horizontal="left" vertical="center" wrapText="1"/>
    </xf>
    <xf numFmtId="0" fontId="23" fillId="0" borderId="17" xfId="0" applyFont="1" applyBorder="1" applyAlignment="1">
      <alignment horizontal="center" wrapText="1"/>
    </xf>
    <xf numFmtId="0" fontId="23" fillId="0" borderId="12" xfId="0" applyFont="1" applyBorder="1" applyAlignment="1">
      <alignment horizont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left" wrapText="1"/>
    </xf>
    <xf numFmtId="0" fontId="6" fillId="0" borderId="0" xfId="53" applyFont="1" applyFill="1" applyAlignment="1">
      <alignment horizontal="left" vertical="center"/>
      <protection/>
    </xf>
    <xf numFmtId="0" fontId="6" fillId="0" borderId="0" xfId="53" applyFont="1" applyAlignment="1">
      <alignment horizontal="left" vertical="center"/>
      <protection/>
    </xf>
    <xf numFmtId="0" fontId="18" fillId="0" borderId="0" xfId="53" applyFont="1" applyAlignment="1">
      <alignment horizontal="center"/>
      <protection/>
    </xf>
    <xf numFmtId="0" fontId="6" fillId="0" borderId="0" xfId="53" applyFont="1" applyAlignment="1">
      <alignment horizontal="left" vertical="center" wrapText="1"/>
      <protection/>
    </xf>
    <xf numFmtId="0" fontId="16" fillId="0" borderId="0" xfId="53" applyFont="1" applyBorder="1" applyAlignment="1">
      <alignment horizontal="left" vertical="center" wrapText="1"/>
      <protection/>
    </xf>
    <xf numFmtId="0" fontId="6" fillId="0" borderId="0" xfId="53" applyFont="1" applyFill="1" applyAlignment="1">
      <alignment horizontal="lef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9"/>
  <sheetViews>
    <sheetView zoomScale="75" zoomScaleNormal="75" zoomScalePageLayoutView="0" workbookViewId="0" topLeftCell="A2">
      <selection activeCell="B72" sqref="B72"/>
    </sheetView>
  </sheetViews>
  <sheetFormatPr defaultColWidth="9.140625" defaultRowHeight="12.75"/>
  <cols>
    <col min="1" max="1" width="8.7109375" style="343" customWidth="1"/>
    <col min="2" max="2" width="42.00390625" style="343" customWidth="1"/>
    <col min="3" max="3" width="17.140625" style="343" customWidth="1"/>
    <col min="4" max="5" width="15.7109375" style="343" customWidth="1"/>
    <col min="6" max="6" width="48.57421875" style="343" customWidth="1"/>
    <col min="7" max="7" width="65.57421875" style="343" customWidth="1"/>
    <col min="8" max="8" width="15.7109375" style="343" customWidth="1"/>
    <col min="9" max="9" width="16.00390625" style="343" customWidth="1"/>
    <col min="10" max="10" width="14.140625" style="343" customWidth="1"/>
    <col min="11" max="11" width="12.421875" style="343" hidden="1" customWidth="1"/>
    <col min="12" max="12" width="14.8515625" style="343" customWidth="1"/>
    <col min="13" max="13" width="14.28125" style="343" customWidth="1"/>
    <col min="14" max="14" width="27.7109375" style="343" customWidth="1"/>
    <col min="15" max="15" width="19.140625" style="343" customWidth="1"/>
    <col min="16" max="16" width="15.140625" style="343" customWidth="1"/>
    <col min="17" max="17" width="14.140625" style="343" customWidth="1"/>
    <col min="18" max="18" width="17.28125" style="343" customWidth="1"/>
    <col min="19" max="19" width="13.8515625" style="343" customWidth="1"/>
  </cols>
  <sheetData>
    <row r="1" spans="1:16" s="343" customFormat="1" ht="24.75" customHeight="1">
      <c r="A1" s="331"/>
      <c r="B1" s="331"/>
      <c r="C1" s="370"/>
      <c r="D1" s="345"/>
      <c r="E1" s="449"/>
      <c r="F1" s="369"/>
      <c r="G1" s="23"/>
      <c r="H1" s="23"/>
      <c r="I1" s="23"/>
      <c r="J1" s="371"/>
      <c r="K1" s="371"/>
      <c r="O1" s="351"/>
      <c r="P1" s="351"/>
    </row>
    <row r="2" spans="1:11" s="343" customFormat="1" ht="24.75" customHeight="1">
      <c r="A2" s="331"/>
      <c r="B2" s="331"/>
      <c r="C2" s="370"/>
      <c r="D2" s="345"/>
      <c r="E2" s="449"/>
      <c r="F2" s="369"/>
      <c r="G2" s="372"/>
      <c r="H2" s="369"/>
      <c r="I2" s="369"/>
      <c r="J2" s="369"/>
      <c r="K2" s="369"/>
    </row>
    <row r="3" spans="1:11" s="343" customFormat="1" ht="24.75" customHeight="1">
      <c r="A3" s="331"/>
      <c r="B3" s="331"/>
      <c r="C3" s="370"/>
      <c r="D3" s="345"/>
      <c r="E3" s="449"/>
      <c r="F3" s="369"/>
      <c r="G3" s="369"/>
      <c r="H3" s="369"/>
      <c r="I3" s="369"/>
      <c r="J3" s="369"/>
      <c r="K3" s="369"/>
    </row>
    <row r="4" spans="1:11" s="343" customFormat="1" ht="51.75" customHeight="1">
      <c r="A4" s="553" t="s">
        <v>345</v>
      </c>
      <c r="B4" s="553"/>
      <c r="C4" s="553"/>
      <c r="D4" s="553"/>
      <c r="E4" s="553"/>
      <c r="F4" s="553"/>
      <c r="G4" s="553"/>
      <c r="H4" s="369"/>
      <c r="I4" s="369"/>
      <c r="J4" s="369"/>
      <c r="K4" s="369"/>
    </row>
    <row r="5" spans="1:11" s="343" customFormat="1" ht="1.5" customHeight="1">
      <c r="A5" s="553"/>
      <c r="B5" s="553"/>
      <c r="C5" s="553"/>
      <c r="D5" s="553"/>
      <c r="E5" s="553"/>
      <c r="F5" s="553"/>
      <c r="G5" s="553"/>
      <c r="H5" s="369"/>
      <c r="I5" s="369"/>
      <c r="J5" s="369"/>
      <c r="K5" s="369"/>
    </row>
    <row r="6" spans="1:11" s="343" customFormat="1" ht="3" customHeight="1" hidden="1">
      <c r="A6" s="331"/>
      <c r="B6" s="331"/>
      <c r="C6" s="370"/>
      <c r="D6" s="331"/>
      <c r="E6" s="331"/>
      <c r="F6" s="369"/>
      <c r="G6" s="369"/>
      <c r="H6" s="369"/>
      <c r="I6" s="369"/>
      <c r="J6" s="369"/>
      <c r="K6" s="369"/>
    </row>
    <row r="7" spans="1:11" s="343" customFormat="1" ht="37.5" customHeight="1">
      <c r="A7" s="561" t="s">
        <v>6</v>
      </c>
      <c r="B7" s="561" t="s">
        <v>136</v>
      </c>
      <c r="C7" s="409" t="s">
        <v>346</v>
      </c>
      <c r="D7" s="373" t="s">
        <v>347</v>
      </c>
      <c r="E7" s="561" t="s">
        <v>421</v>
      </c>
      <c r="F7" s="564" t="s">
        <v>348</v>
      </c>
      <c r="G7" s="565"/>
      <c r="H7" s="369"/>
      <c r="I7" s="369"/>
      <c r="J7" s="369"/>
      <c r="K7" s="369"/>
    </row>
    <row r="8" spans="1:11" s="343" customFormat="1" ht="15" customHeight="1">
      <c r="A8" s="562"/>
      <c r="B8" s="562"/>
      <c r="C8" s="561">
        <v>2020</v>
      </c>
      <c r="D8" s="570">
        <v>2020</v>
      </c>
      <c r="E8" s="562"/>
      <c r="F8" s="566"/>
      <c r="G8" s="567"/>
      <c r="H8" s="369"/>
      <c r="I8" s="369"/>
      <c r="J8" s="369"/>
      <c r="K8" s="369"/>
    </row>
    <row r="9" spans="1:11" s="343" customFormat="1" ht="18" customHeight="1">
      <c r="A9" s="563"/>
      <c r="B9" s="563"/>
      <c r="C9" s="563"/>
      <c r="D9" s="571"/>
      <c r="E9" s="563"/>
      <c r="F9" s="568"/>
      <c r="G9" s="569"/>
      <c r="H9" s="369"/>
      <c r="I9" s="369"/>
      <c r="J9" s="369"/>
      <c r="K9" s="369"/>
    </row>
    <row r="10" spans="1:11" s="343" customFormat="1" ht="43.5" customHeight="1">
      <c r="A10" s="459">
        <v>1</v>
      </c>
      <c r="B10" s="459" t="s">
        <v>464</v>
      </c>
      <c r="C10" s="453">
        <v>69000</v>
      </c>
      <c r="D10" s="460">
        <v>75377.3</v>
      </c>
      <c r="E10" s="453">
        <v>6377.3</v>
      </c>
      <c r="F10" s="550" t="s">
        <v>535</v>
      </c>
      <c r="G10" s="550" t="s">
        <v>568</v>
      </c>
      <c r="H10" s="128"/>
      <c r="I10" s="128"/>
      <c r="J10" s="128"/>
      <c r="K10" s="128"/>
    </row>
    <row r="11" spans="1:11" s="343" customFormat="1" ht="33" customHeight="1">
      <c r="A11" s="468" t="s">
        <v>276</v>
      </c>
      <c r="B11" s="459" t="s">
        <v>80</v>
      </c>
      <c r="C11" s="453">
        <v>20000</v>
      </c>
      <c r="D11" s="460">
        <v>26377.3</v>
      </c>
      <c r="E11" s="453">
        <v>6377.3</v>
      </c>
      <c r="F11" s="552"/>
      <c r="G11" s="552"/>
      <c r="H11" s="128"/>
      <c r="I11" s="128"/>
      <c r="J11" s="128"/>
      <c r="K11" s="128"/>
    </row>
    <row r="12" spans="1:11" s="343" customFormat="1" ht="87" customHeight="1">
      <c r="A12" s="459">
        <v>2</v>
      </c>
      <c r="B12" s="459" t="s">
        <v>465</v>
      </c>
      <c r="C12" s="457">
        <v>45315</v>
      </c>
      <c r="D12" s="460">
        <v>45315</v>
      </c>
      <c r="E12" s="457">
        <f>D12-C12</f>
        <v>0</v>
      </c>
      <c r="F12" s="456"/>
      <c r="G12" s="550" t="s">
        <v>616</v>
      </c>
      <c r="H12" s="128"/>
      <c r="I12" s="128"/>
      <c r="J12" s="128"/>
      <c r="K12" s="128"/>
    </row>
    <row r="13" spans="1:11" s="343" customFormat="1" ht="25.5" customHeight="1">
      <c r="A13" s="465" t="s">
        <v>387</v>
      </c>
      <c r="B13" s="459" t="s">
        <v>247</v>
      </c>
      <c r="C13" s="457">
        <v>75</v>
      </c>
      <c r="D13" s="460">
        <f>75+15</f>
        <v>90</v>
      </c>
      <c r="E13" s="457">
        <f>D13-C13</f>
        <v>15</v>
      </c>
      <c r="F13" s="456"/>
      <c r="G13" s="551"/>
      <c r="H13" s="128"/>
      <c r="I13" s="128"/>
      <c r="J13" s="128"/>
      <c r="K13" s="128"/>
    </row>
    <row r="14" spans="1:11" s="343" customFormat="1" ht="22.5" customHeight="1">
      <c r="A14" s="465" t="s">
        <v>423</v>
      </c>
      <c r="B14" s="459" t="s">
        <v>106</v>
      </c>
      <c r="C14" s="457">
        <v>85</v>
      </c>
      <c r="D14" s="460">
        <f>85+41</f>
        <v>126</v>
      </c>
      <c r="E14" s="457">
        <f aca="true" t="shared" si="0" ref="E14:E27">D14-C14</f>
        <v>41</v>
      </c>
      <c r="F14" s="456"/>
      <c r="G14" s="551"/>
      <c r="H14" s="128"/>
      <c r="I14" s="128"/>
      <c r="J14" s="128"/>
      <c r="K14" s="128"/>
    </row>
    <row r="15" spans="1:11" s="343" customFormat="1" ht="42" customHeight="1">
      <c r="A15" s="465" t="s">
        <v>449</v>
      </c>
      <c r="B15" s="459" t="s">
        <v>109</v>
      </c>
      <c r="C15" s="457">
        <v>480</v>
      </c>
      <c r="D15" s="460">
        <f>480+360</f>
        <v>840</v>
      </c>
      <c r="E15" s="457">
        <f t="shared" si="0"/>
        <v>360</v>
      </c>
      <c r="F15" s="456"/>
      <c r="G15" s="551"/>
      <c r="H15" s="128"/>
      <c r="I15" s="128"/>
      <c r="J15" s="128"/>
      <c r="K15" s="128"/>
    </row>
    <row r="16" spans="1:11" s="343" customFormat="1" ht="56.25" customHeight="1">
      <c r="A16" s="465" t="s">
        <v>450</v>
      </c>
      <c r="B16" s="459" t="s">
        <v>578</v>
      </c>
      <c r="C16" s="457">
        <v>1500</v>
      </c>
      <c r="D16" s="460">
        <f>1500+200</f>
        <v>1700</v>
      </c>
      <c r="E16" s="457">
        <f t="shared" si="0"/>
        <v>200</v>
      </c>
      <c r="F16" s="456"/>
      <c r="G16" s="551"/>
      <c r="H16" s="128"/>
      <c r="I16" s="128"/>
      <c r="J16" s="128"/>
      <c r="K16" s="128"/>
    </row>
    <row r="17" spans="1:11" s="343" customFormat="1" ht="25.5" customHeight="1">
      <c r="A17" s="465" t="s">
        <v>451</v>
      </c>
      <c r="B17" s="459" t="s">
        <v>115</v>
      </c>
      <c r="C17" s="457">
        <v>4</v>
      </c>
      <c r="D17" s="460">
        <f>4+21</f>
        <v>25</v>
      </c>
      <c r="E17" s="457">
        <f t="shared" si="0"/>
        <v>21</v>
      </c>
      <c r="F17" s="456"/>
      <c r="G17" s="551"/>
      <c r="H17" s="128"/>
      <c r="I17" s="128"/>
      <c r="J17" s="128"/>
      <c r="K17" s="128"/>
    </row>
    <row r="18" spans="1:11" s="343" customFormat="1" ht="42" customHeight="1">
      <c r="A18" s="465" t="s">
        <v>452</v>
      </c>
      <c r="B18" s="459" t="s">
        <v>575</v>
      </c>
      <c r="C18" s="457">
        <v>69</v>
      </c>
      <c r="D18" s="460">
        <f>11+69</f>
        <v>80</v>
      </c>
      <c r="E18" s="457">
        <f t="shared" si="0"/>
        <v>11</v>
      </c>
      <c r="F18" s="456"/>
      <c r="G18" s="551"/>
      <c r="H18" s="128"/>
      <c r="I18" s="128"/>
      <c r="J18" s="128"/>
      <c r="K18" s="128"/>
    </row>
    <row r="19" spans="1:11" s="343" customFormat="1" ht="42.75" customHeight="1">
      <c r="A19" s="465" t="s">
        <v>455</v>
      </c>
      <c r="B19" s="459" t="s">
        <v>573</v>
      </c>
      <c r="C19" s="457">
        <v>120</v>
      </c>
      <c r="D19" s="460">
        <v>315</v>
      </c>
      <c r="E19" s="457">
        <f t="shared" si="0"/>
        <v>195</v>
      </c>
      <c r="F19" s="456"/>
      <c r="G19" s="551"/>
      <c r="H19" s="128"/>
      <c r="I19" s="128"/>
      <c r="J19" s="128"/>
      <c r="K19" s="128"/>
    </row>
    <row r="20" spans="1:11" s="343" customFormat="1" ht="57.75" customHeight="1">
      <c r="A20" s="469" t="s">
        <v>514</v>
      </c>
      <c r="B20" s="459" t="s">
        <v>637</v>
      </c>
      <c r="C20" s="471">
        <v>0</v>
      </c>
      <c r="D20" s="460">
        <v>790.4</v>
      </c>
      <c r="E20" s="471">
        <f t="shared" si="0"/>
        <v>790.4</v>
      </c>
      <c r="F20" s="470"/>
      <c r="G20" s="551"/>
      <c r="H20" s="128"/>
      <c r="I20" s="128"/>
      <c r="J20" s="128"/>
      <c r="K20" s="128"/>
    </row>
    <row r="21" spans="1:11" s="343" customFormat="1" ht="84" customHeight="1">
      <c r="A21" s="469" t="s">
        <v>549</v>
      </c>
      <c r="B21" s="459" t="s">
        <v>576</v>
      </c>
      <c r="C21" s="471">
        <v>300</v>
      </c>
      <c r="D21" s="460">
        <v>1979</v>
      </c>
      <c r="E21" s="471">
        <f t="shared" si="0"/>
        <v>1679</v>
      </c>
      <c r="F21" s="470"/>
      <c r="G21" s="551"/>
      <c r="H21" s="128"/>
      <c r="I21" s="128"/>
      <c r="J21" s="128"/>
      <c r="K21" s="128"/>
    </row>
    <row r="22" spans="1:11" s="343" customFormat="1" ht="41.25" customHeight="1">
      <c r="A22" s="465" t="s">
        <v>635</v>
      </c>
      <c r="B22" s="459" t="s">
        <v>580</v>
      </c>
      <c r="C22" s="457">
        <v>0</v>
      </c>
      <c r="D22" s="460">
        <v>500</v>
      </c>
      <c r="E22" s="457">
        <f t="shared" si="0"/>
        <v>500</v>
      </c>
      <c r="F22" s="456"/>
      <c r="G22" s="551"/>
      <c r="H22" s="128"/>
      <c r="I22" s="128"/>
      <c r="J22" s="128"/>
      <c r="K22" s="128"/>
    </row>
    <row r="23" spans="1:11" s="343" customFormat="1" ht="17.25" customHeight="1">
      <c r="A23" s="475"/>
      <c r="B23" s="459"/>
      <c r="C23" s="473"/>
      <c r="D23" s="460"/>
      <c r="E23" s="473"/>
      <c r="F23" s="474"/>
      <c r="G23" s="551"/>
      <c r="H23" s="128"/>
      <c r="I23" s="128"/>
      <c r="J23" s="128"/>
      <c r="K23" s="128"/>
    </row>
    <row r="24" spans="1:11" s="343" customFormat="1" ht="59.25" customHeight="1">
      <c r="A24" s="469" t="s">
        <v>642</v>
      </c>
      <c r="B24" s="459" t="s">
        <v>582</v>
      </c>
      <c r="C24" s="471">
        <v>100</v>
      </c>
      <c r="D24" s="460">
        <v>210</v>
      </c>
      <c r="E24" s="471">
        <f t="shared" si="0"/>
        <v>110</v>
      </c>
      <c r="F24" s="470"/>
      <c r="G24" s="551"/>
      <c r="H24" s="128"/>
      <c r="I24" s="128"/>
      <c r="J24" s="128"/>
      <c r="K24" s="128"/>
    </row>
    <row r="25" spans="1:11" s="343" customFormat="1" ht="48.75" customHeight="1">
      <c r="A25" s="469" t="s">
        <v>643</v>
      </c>
      <c r="B25" s="459" t="s">
        <v>251</v>
      </c>
      <c r="C25" s="471">
        <v>18000</v>
      </c>
      <c r="D25" s="460">
        <f>0+18000-1679-110</f>
        <v>16211</v>
      </c>
      <c r="E25" s="471">
        <f t="shared" si="0"/>
        <v>-1789</v>
      </c>
      <c r="F25" s="470"/>
      <c r="G25" s="551"/>
      <c r="H25" s="128"/>
      <c r="I25" s="128"/>
      <c r="J25" s="128"/>
      <c r="K25" s="128"/>
    </row>
    <row r="26" spans="1:11" s="343" customFormat="1" ht="41.25" customHeight="1">
      <c r="A26" s="465" t="s">
        <v>644</v>
      </c>
      <c r="B26" s="459" t="s">
        <v>583</v>
      </c>
      <c r="C26" s="457">
        <v>2100</v>
      </c>
      <c r="D26" s="460">
        <v>0</v>
      </c>
      <c r="E26" s="457">
        <f t="shared" si="0"/>
        <v>-2100</v>
      </c>
      <c r="F26" s="456"/>
      <c r="G26" s="552"/>
      <c r="H26" s="128"/>
      <c r="I26" s="128"/>
      <c r="J26" s="128"/>
      <c r="K26" s="128"/>
    </row>
    <row r="27" spans="1:11" s="343" customFormat="1" ht="55.5" customHeight="1">
      <c r="A27" s="469" t="s">
        <v>645</v>
      </c>
      <c r="B27" s="459" t="s">
        <v>636</v>
      </c>
      <c r="C27" s="471">
        <v>480</v>
      </c>
      <c r="D27" s="460">
        <f>480-33.4</f>
        <v>446.6</v>
      </c>
      <c r="E27" s="471">
        <f t="shared" si="0"/>
        <v>-33.39999999999998</v>
      </c>
      <c r="F27" s="470"/>
      <c r="G27" s="470"/>
      <c r="H27" s="128"/>
      <c r="I27" s="128"/>
      <c r="J27" s="128"/>
      <c r="K27" s="128"/>
    </row>
    <row r="28" spans="1:7" s="343" customFormat="1" ht="89.25" customHeight="1">
      <c r="A28" s="463">
        <v>3</v>
      </c>
      <c r="B28" s="459" t="s">
        <v>466</v>
      </c>
      <c r="C28" s="453">
        <v>23454</v>
      </c>
      <c r="D28" s="460">
        <v>24960</v>
      </c>
      <c r="E28" s="453">
        <v>1506</v>
      </c>
      <c r="F28" s="550" t="s">
        <v>535</v>
      </c>
      <c r="G28" s="550" t="s">
        <v>567</v>
      </c>
    </row>
    <row r="29" spans="1:7" s="343" customFormat="1" ht="66" customHeight="1">
      <c r="A29" s="465" t="s">
        <v>511</v>
      </c>
      <c r="B29" s="459" t="s">
        <v>211</v>
      </c>
      <c r="C29" s="453">
        <v>4</v>
      </c>
      <c r="D29" s="460">
        <v>10</v>
      </c>
      <c r="E29" s="453">
        <v>6</v>
      </c>
      <c r="F29" s="551"/>
      <c r="G29" s="551"/>
    </row>
    <row r="30" spans="1:7" s="343" customFormat="1" ht="39" customHeight="1">
      <c r="A30" s="465" t="s">
        <v>587</v>
      </c>
      <c r="B30" s="459" t="s">
        <v>541</v>
      </c>
      <c r="C30" s="453">
        <v>0</v>
      </c>
      <c r="D30" s="460">
        <v>1500</v>
      </c>
      <c r="E30" s="453">
        <v>1500</v>
      </c>
      <c r="F30" s="552"/>
      <c r="G30" s="552"/>
    </row>
    <row r="31" spans="1:7" s="343" customFormat="1" ht="42.75" customHeight="1">
      <c r="A31" s="463">
        <v>4</v>
      </c>
      <c r="B31" s="459" t="s">
        <v>472</v>
      </c>
      <c r="C31" s="453">
        <v>0</v>
      </c>
      <c r="D31" s="460">
        <v>3750</v>
      </c>
      <c r="E31" s="453">
        <v>3750</v>
      </c>
      <c r="F31" s="550" t="s">
        <v>535</v>
      </c>
      <c r="G31" s="550" t="s">
        <v>566</v>
      </c>
    </row>
    <row r="32" spans="1:7" s="343" customFormat="1" ht="71.25" customHeight="1">
      <c r="A32" s="465" t="s">
        <v>533</v>
      </c>
      <c r="B32" s="459" t="s">
        <v>410</v>
      </c>
      <c r="C32" s="453">
        <v>0</v>
      </c>
      <c r="D32" s="460">
        <v>3750</v>
      </c>
      <c r="E32" s="453">
        <v>3750</v>
      </c>
      <c r="F32" s="552"/>
      <c r="G32" s="552"/>
    </row>
    <row r="33" spans="1:7" s="343" customFormat="1" ht="61.5" customHeight="1">
      <c r="A33" s="463">
        <v>5</v>
      </c>
      <c r="B33" s="459" t="s">
        <v>474</v>
      </c>
      <c r="C33" s="453">
        <v>21575</v>
      </c>
      <c r="D33" s="460">
        <v>21820</v>
      </c>
      <c r="E33" s="453">
        <v>245</v>
      </c>
      <c r="F33" s="550" t="s">
        <v>535</v>
      </c>
      <c r="G33" s="550" t="s">
        <v>565</v>
      </c>
    </row>
    <row r="34" spans="1:7" s="343" customFormat="1" ht="42" customHeight="1">
      <c r="A34" s="465" t="s">
        <v>513</v>
      </c>
      <c r="B34" s="459" t="s">
        <v>66</v>
      </c>
      <c r="C34" s="453">
        <v>700</v>
      </c>
      <c r="D34" s="460">
        <v>800</v>
      </c>
      <c r="E34" s="453">
        <v>100</v>
      </c>
      <c r="F34" s="551"/>
      <c r="G34" s="551"/>
    </row>
    <row r="35" spans="1:7" s="343" customFormat="1" ht="33" customHeight="1">
      <c r="A35" s="465" t="s">
        <v>570</v>
      </c>
      <c r="B35" s="163" t="s">
        <v>68</v>
      </c>
      <c r="C35" s="453">
        <v>130</v>
      </c>
      <c r="D35" s="460">
        <v>190</v>
      </c>
      <c r="E35" s="453">
        <v>60</v>
      </c>
      <c r="F35" s="551"/>
      <c r="G35" s="551"/>
    </row>
    <row r="36" spans="1:7" s="343" customFormat="1" ht="58.5" customHeight="1">
      <c r="A36" s="465" t="s">
        <v>588</v>
      </c>
      <c r="B36" s="163" t="s">
        <v>69</v>
      </c>
      <c r="C36" s="453">
        <v>415</v>
      </c>
      <c r="D36" s="460">
        <v>500</v>
      </c>
      <c r="E36" s="453">
        <v>85</v>
      </c>
      <c r="F36" s="552"/>
      <c r="G36" s="552"/>
    </row>
    <row r="37" spans="1:11" s="343" customFormat="1" ht="100.5" customHeight="1">
      <c r="A37" s="463">
        <v>6</v>
      </c>
      <c r="B37" s="459" t="s">
        <v>529</v>
      </c>
      <c r="C37" s="453">
        <v>4564.942</v>
      </c>
      <c r="D37" s="460">
        <v>5253.292</v>
      </c>
      <c r="E37" s="453">
        <v>688.35</v>
      </c>
      <c r="F37" s="550" t="s">
        <v>534</v>
      </c>
      <c r="G37" s="550" t="s">
        <v>564</v>
      </c>
      <c r="H37" s="369"/>
      <c r="I37" s="369"/>
      <c r="J37" s="369"/>
      <c r="K37" s="369"/>
    </row>
    <row r="38" spans="1:11" s="343" customFormat="1" ht="21.75" customHeight="1">
      <c r="A38" s="473"/>
      <c r="B38" s="459"/>
      <c r="C38" s="473"/>
      <c r="D38" s="460"/>
      <c r="E38" s="473"/>
      <c r="F38" s="551"/>
      <c r="G38" s="551"/>
      <c r="H38" s="369"/>
      <c r="I38" s="369"/>
      <c r="J38" s="369"/>
      <c r="K38" s="369"/>
    </row>
    <row r="39" spans="1:11" s="343" customFormat="1" ht="66.75" customHeight="1">
      <c r="A39" s="465" t="s">
        <v>521</v>
      </c>
      <c r="B39" s="459" t="s">
        <v>414</v>
      </c>
      <c r="C39" s="453">
        <v>50</v>
      </c>
      <c r="D39" s="460">
        <v>75</v>
      </c>
      <c r="E39" s="453">
        <v>25</v>
      </c>
      <c r="F39" s="551"/>
      <c r="G39" s="551"/>
      <c r="H39" s="369"/>
      <c r="I39" s="369"/>
      <c r="J39" s="369"/>
      <c r="K39" s="369"/>
    </row>
    <row r="40" spans="1:11" s="343" customFormat="1" ht="62.25" customHeight="1">
      <c r="A40" s="465" t="s">
        <v>571</v>
      </c>
      <c r="B40" s="459" t="s">
        <v>340</v>
      </c>
      <c r="C40" s="453">
        <v>0</v>
      </c>
      <c r="D40" s="460">
        <v>48.35</v>
      </c>
      <c r="E40" s="453">
        <v>48.35</v>
      </c>
      <c r="F40" s="551"/>
      <c r="G40" s="551"/>
      <c r="H40" s="369"/>
      <c r="I40" s="369"/>
      <c r="J40" s="369"/>
      <c r="K40" s="369"/>
    </row>
    <row r="41" spans="1:11" s="343" customFormat="1" ht="46.5" customHeight="1">
      <c r="A41" s="465" t="s">
        <v>572</v>
      </c>
      <c r="B41" s="459" t="s">
        <v>523</v>
      </c>
      <c r="C41" s="453">
        <v>0</v>
      </c>
      <c r="D41" s="460">
        <v>30</v>
      </c>
      <c r="E41" s="453">
        <v>30</v>
      </c>
      <c r="F41" s="551"/>
      <c r="G41" s="551"/>
      <c r="H41" s="369"/>
      <c r="I41" s="369"/>
      <c r="J41" s="369"/>
      <c r="K41" s="369"/>
    </row>
    <row r="42" spans="1:11" s="343" customFormat="1" ht="57" customHeight="1">
      <c r="A42" s="465" t="s">
        <v>589</v>
      </c>
      <c r="B42" s="462" t="s">
        <v>544</v>
      </c>
      <c r="C42" s="453">
        <v>0</v>
      </c>
      <c r="D42" s="460">
        <v>150</v>
      </c>
      <c r="E42" s="453">
        <v>150</v>
      </c>
      <c r="F42" s="551"/>
      <c r="G42" s="551"/>
      <c r="H42" s="369"/>
      <c r="I42" s="369"/>
      <c r="J42" s="369"/>
      <c r="K42" s="369"/>
    </row>
    <row r="43" spans="1:11" s="343" customFormat="1" ht="57" customHeight="1">
      <c r="A43" s="465" t="s">
        <v>590</v>
      </c>
      <c r="B43" s="462" t="s">
        <v>545</v>
      </c>
      <c r="C43" s="453">
        <v>0</v>
      </c>
      <c r="D43" s="460">
        <v>50</v>
      </c>
      <c r="E43" s="453">
        <v>50</v>
      </c>
      <c r="F43" s="551"/>
      <c r="G43" s="551"/>
      <c r="H43" s="369"/>
      <c r="I43" s="369"/>
      <c r="J43" s="369"/>
      <c r="K43" s="369"/>
    </row>
    <row r="44" spans="1:11" s="343" customFormat="1" ht="39.75" customHeight="1">
      <c r="A44" s="465" t="s">
        <v>591</v>
      </c>
      <c r="B44" s="462" t="s">
        <v>546</v>
      </c>
      <c r="C44" s="453">
        <v>0</v>
      </c>
      <c r="D44" s="460">
        <v>85</v>
      </c>
      <c r="E44" s="453">
        <v>85</v>
      </c>
      <c r="F44" s="551"/>
      <c r="G44" s="551"/>
      <c r="H44" s="369"/>
      <c r="I44" s="369"/>
      <c r="J44" s="369"/>
      <c r="K44" s="369"/>
    </row>
    <row r="45" spans="1:11" s="343" customFormat="1" ht="42" customHeight="1">
      <c r="A45" s="465" t="s">
        <v>592</v>
      </c>
      <c r="B45" s="462" t="s">
        <v>547</v>
      </c>
      <c r="C45" s="453">
        <v>0</v>
      </c>
      <c r="D45" s="460">
        <v>300</v>
      </c>
      <c r="E45" s="453">
        <v>300</v>
      </c>
      <c r="F45" s="552"/>
      <c r="G45" s="552"/>
      <c r="H45" s="369"/>
      <c r="I45" s="369"/>
      <c r="J45" s="369"/>
      <c r="K45" s="369"/>
    </row>
    <row r="46" spans="1:11" s="343" customFormat="1" ht="73.5" customHeight="1">
      <c r="A46" s="463">
        <v>7</v>
      </c>
      <c r="B46" s="163" t="s">
        <v>433</v>
      </c>
      <c r="C46" s="453">
        <v>9650</v>
      </c>
      <c r="D46" s="460">
        <v>38775</v>
      </c>
      <c r="E46" s="453">
        <v>29125</v>
      </c>
      <c r="F46" s="550" t="s">
        <v>562</v>
      </c>
      <c r="G46" s="550" t="s">
        <v>563</v>
      </c>
      <c r="H46" s="128"/>
      <c r="I46" s="128"/>
      <c r="J46" s="128"/>
      <c r="K46" s="128"/>
    </row>
    <row r="47" spans="1:11" s="343" customFormat="1" ht="45" customHeight="1">
      <c r="A47" s="465" t="s">
        <v>593</v>
      </c>
      <c r="B47" s="459" t="s">
        <v>412</v>
      </c>
      <c r="C47" s="453">
        <v>150</v>
      </c>
      <c r="D47" s="460">
        <v>200</v>
      </c>
      <c r="E47" s="453">
        <v>200</v>
      </c>
      <c r="F47" s="551"/>
      <c r="G47" s="551"/>
      <c r="H47" s="128"/>
      <c r="I47" s="128"/>
      <c r="J47" s="128"/>
      <c r="K47" s="128"/>
    </row>
    <row r="48" spans="1:11" s="343" customFormat="1" ht="43.5" customHeight="1">
      <c r="A48" s="465" t="s">
        <v>594</v>
      </c>
      <c r="B48" s="163" t="s">
        <v>283</v>
      </c>
      <c r="C48" s="453">
        <v>0</v>
      </c>
      <c r="D48" s="460">
        <v>225</v>
      </c>
      <c r="E48" s="453">
        <v>225</v>
      </c>
      <c r="F48" s="551"/>
      <c r="G48" s="551"/>
      <c r="H48" s="128"/>
      <c r="I48" s="128"/>
      <c r="J48" s="128"/>
      <c r="K48" s="128"/>
    </row>
    <row r="49" spans="1:11" s="343" customFormat="1" ht="47.25" customHeight="1">
      <c r="A49" s="465" t="s">
        <v>595</v>
      </c>
      <c r="B49" s="163" t="s">
        <v>411</v>
      </c>
      <c r="C49" s="453">
        <v>0</v>
      </c>
      <c r="D49" s="460">
        <v>26000</v>
      </c>
      <c r="E49" s="453">
        <v>26000</v>
      </c>
      <c r="F49" s="551"/>
      <c r="G49" s="551"/>
      <c r="H49" s="128"/>
      <c r="I49" s="128"/>
      <c r="J49" s="128"/>
      <c r="K49" s="128"/>
    </row>
    <row r="50" spans="1:11" s="343" customFormat="1" ht="138" customHeight="1">
      <c r="A50" s="465" t="s">
        <v>596</v>
      </c>
      <c r="B50" s="461" t="s">
        <v>538</v>
      </c>
      <c r="C50" s="453">
        <v>0</v>
      </c>
      <c r="D50" s="460">
        <v>1000</v>
      </c>
      <c r="E50" s="453">
        <v>1000</v>
      </c>
      <c r="F50" s="551"/>
      <c r="G50" s="551"/>
      <c r="H50" s="128"/>
      <c r="I50" s="128"/>
      <c r="J50" s="128"/>
      <c r="K50" s="128"/>
    </row>
    <row r="51" spans="1:11" s="343" customFormat="1" ht="129.75" customHeight="1">
      <c r="A51" s="465" t="s">
        <v>597</v>
      </c>
      <c r="B51" s="461" t="s">
        <v>548</v>
      </c>
      <c r="C51" s="453">
        <v>0</v>
      </c>
      <c r="D51" s="460">
        <v>1700</v>
      </c>
      <c r="E51" s="453">
        <v>1700</v>
      </c>
      <c r="F51" s="552"/>
      <c r="G51" s="552"/>
      <c r="H51" s="128"/>
      <c r="I51" s="128"/>
      <c r="J51" s="128"/>
      <c r="K51" s="128"/>
    </row>
    <row r="52" spans="1:11" s="343" customFormat="1" ht="58.5" customHeight="1">
      <c r="A52" s="464">
        <v>8</v>
      </c>
      <c r="B52" s="459" t="s">
        <v>526</v>
      </c>
      <c r="C52" s="454">
        <v>1650</v>
      </c>
      <c r="D52" s="458">
        <v>3945.23</v>
      </c>
      <c r="E52" s="454">
        <v>2295.23</v>
      </c>
      <c r="F52" s="557" t="s">
        <v>561</v>
      </c>
      <c r="G52" s="550" t="s">
        <v>560</v>
      </c>
      <c r="H52" s="128"/>
      <c r="I52" s="128"/>
      <c r="J52" s="128"/>
      <c r="K52" s="128"/>
    </row>
    <row r="53" spans="1:11" s="343" customFormat="1" ht="45" customHeight="1">
      <c r="A53" s="466" t="s">
        <v>598</v>
      </c>
      <c r="B53" s="459" t="s">
        <v>448</v>
      </c>
      <c r="C53" s="454">
        <v>0</v>
      </c>
      <c r="D53" s="458">
        <v>2295.23</v>
      </c>
      <c r="E53" s="454">
        <v>2295.23</v>
      </c>
      <c r="F53" s="559"/>
      <c r="G53" s="551"/>
      <c r="H53" s="128"/>
      <c r="I53" s="128"/>
      <c r="J53" s="128"/>
      <c r="K53" s="128"/>
    </row>
    <row r="54" spans="1:11" s="343" customFormat="1" ht="52.5" customHeight="1">
      <c r="A54" s="466" t="s">
        <v>599</v>
      </c>
      <c r="B54" s="437" t="s">
        <v>512</v>
      </c>
      <c r="C54" s="454">
        <v>0</v>
      </c>
      <c r="D54" s="238">
        <v>1541.96</v>
      </c>
      <c r="E54" s="238">
        <v>1541.96</v>
      </c>
      <c r="F54" s="559"/>
      <c r="G54" s="551"/>
      <c r="H54" s="128"/>
      <c r="I54" s="128"/>
      <c r="J54" s="128"/>
      <c r="K54" s="128"/>
    </row>
    <row r="55" spans="1:11" s="343" customFormat="1" ht="87.75" customHeight="1">
      <c r="A55" s="466" t="s">
        <v>600</v>
      </c>
      <c r="B55" s="437" t="s">
        <v>550</v>
      </c>
      <c r="C55" s="454">
        <v>0</v>
      </c>
      <c r="D55" s="238">
        <v>753.27</v>
      </c>
      <c r="E55" s="238">
        <v>753.27</v>
      </c>
      <c r="F55" s="558"/>
      <c r="G55" s="552"/>
      <c r="H55" s="128"/>
      <c r="I55" s="128"/>
      <c r="J55" s="128"/>
      <c r="K55" s="128"/>
    </row>
    <row r="56" spans="1:11" s="343" customFormat="1" ht="57.75" customHeight="1">
      <c r="A56" s="464">
        <v>9</v>
      </c>
      <c r="B56" s="453" t="s">
        <v>485</v>
      </c>
      <c r="C56" s="454">
        <v>1500</v>
      </c>
      <c r="D56" s="458">
        <v>2050</v>
      </c>
      <c r="E56" s="454">
        <v>550</v>
      </c>
      <c r="F56" s="557" t="s">
        <v>532</v>
      </c>
      <c r="G56" s="550" t="s">
        <v>559</v>
      </c>
      <c r="H56" s="128"/>
      <c r="I56" s="128"/>
      <c r="J56" s="128"/>
      <c r="K56" s="128"/>
    </row>
    <row r="57" spans="1:11" s="343" customFormat="1" ht="118.5" customHeight="1">
      <c r="A57" s="466" t="s">
        <v>601</v>
      </c>
      <c r="B57" s="459" t="s">
        <v>76</v>
      </c>
      <c r="C57" s="454">
        <v>0</v>
      </c>
      <c r="D57" s="458">
        <v>750</v>
      </c>
      <c r="E57" s="454">
        <v>550</v>
      </c>
      <c r="F57" s="558"/>
      <c r="G57" s="552"/>
      <c r="H57" s="128"/>
      <c r="I57" s="128"/>
      <c r="J57" s="128"/>
      <c r="K57" s="128"/>
    </row>
    <row r="58" spans="1:11" s="343" customFormat="1" ht="75.75" customHeight="1">
      <c r="A58" s="466" t="s">
        <v>584</v>
      </c>
      <c r="B58" s="163" t="s">
        <v>486</v>
      </c>
      <c r="C58" s="346">
        <v>0</v>
      </c>
      <c r="D58" s="346">
        <v>100</v>
      </c>
      <c r="E58" s="346">
        <f>D58-C58</f>
        <v>100</v>
      </c>
      <c r="F58" s="547" t="s">
        <v>522</v>
      </c>
      <c r="G58" s="547" t="s">
        <v>617</v>
      </c>
      <c r="H58" s="369"/>
      <c r="I58" s="369"/>
      <c r="J58" s="369"/>
      <c r="K58" s="369"/>
    </row>
    <row r="59" spans="1:11" s="343" customFormat="1" ht="55.5" customHeight="1">
      <c r="A59" s="455" t="s">
        <v>602</v>
      </c>
      <c r="B59" s="163" t="s">
        <v>135</v>
      </c>
      <c r="C59" s="346">
        <v>0</v>
      </c>
      <c r="D59" s="346">
        <v>100</v>
      </c>
      <c r="E59" s="346">
        <v>100</v>
      </c>
      <c r="F59" s="548"/>
      <c r="G59" s="548"/>
      <c r="H59" s="369"/>
      <c r="I59" s="369"/>
      <c r="J59" s="369"/>
      <c r="K59" s="369"/>
    </row>
    <row r="60" spans="1:11" s="343" customFormat="1" ht="54" customHeight="1">
      <c r="A60" s="466" t="s">
        <v>585</v>
      </c>
      <c r="B60" s="163" t="s">
        <v>488</v>
      </c>
      <c r="C60" s="346">
        <v>95000</v>
      </c>
      <c r="D60" s="346">
        <v>95000</v>
      </c>
      <c r="E60" s="346">
        <f>D60-C60</f>
        <v>0</v>
      </c>
      <c r="F60" s="547" t="s">
        <v>618</v>
      </c>
      <c r="G60" s="550" t="s">
        <v>619</v>
      </c>
      <c r="H60" s="369"/>
      <c r="I60" s="369"/>
      <c r="J60" s="369"/>
      <c r="K60" s="369"/>
    </row>
    <row r="61" spans="1:11" s="343" customFormat="1" ht="58.5" customHeight="1">
      <c r="A61" s="455" t="s">
        <v>603</v>
      </c>
      <c r="B61" s="163" t="s">
        <v>290</v>
      </c>
      <c r="C61" s="346">
        <v>0</v>
      </c>
      <c r="D61" s="346">
        <v>3000</v>
      </c>
      <c r="E61" s="346">
        <v>3000</v>
      </c>
      <c r="F61" s="549"/>
      <c r="G61" s="551"/>
      <c r="H61" s="369"/>
      <c r="I61" s="369"/>
      <c r="J61" s="369"/>
      <c r="K61" s="369"/>
    </row>
    <row r="62" spans="1:11" s="343" customFormat="1" ht="67.5" customHeight="1">
      <c r="A62" s="455" t="s">
        <v>604</v>
      </c>
      <c r="B62" s="163" t="s">
        <v>298</v>
      </c>
      <c r="C62" s="346">
        <v>0</v>
      </c>
      <c r="D62" s="346">
        <v>1000</v>
      </c>
      <c r="E62" s="346">
        <v>1000</v>
      </c>
      <c r="F62" s="549"/>
      <c r="G62" s="551"/>
      <c r="H62" s="369"/>
      <c r="I62" s="369"/>
      <c r="J62" s="369"/>
      <c r="K62" s="369"/>
    </row>
    <row r="63" spans="1:11" s="343" customFormat="1" ht="109.5" customHeight="1">
      <c r="A63" s="455" t="s">
        <v>605</v>
      </c>
      <c r="B63" s="163" t="s">
        <v>301</v>
      </c>
      <c r="C63" s="346">
        <v>0</v>
      </c>
      <c r="D63" s="346">
        <v>1220</v>
      </c>
      <c r="E63" s="346">
        <v>1220</v>
      </c>
      <c r="F63" s="549"/>
      <c r="G63" s="551"/>
      <c r="H63" s="369"/>
      <c r="I63" s="369"/>
      <c r="J63" s="369"/>
      <c r="K63" s="369"/>
    </row>
    <row r="64" spans="1:11" s="343" customFormat="1" ht="33.75" customHeight="1">
      <c r="A64" s="455" t="s">
        <v>606</v>
      </c>
      <c r="B64" s="163" t="s">
        <v>306</v>
      </c>
      <c r="C64" s="346">
        <v>0</v>
      </c>
      <c r="D64" s="346">
        <v>500</v>
      </c>
      <c r="E64" s="346">
        <v>500</v>
      </c>
      <c r="F64" s="549"/>
      <c r="G64" s="551"/>
      <c r="H64" s="369"/>
      <c r="I64" s="369"/>
      <c r="J64" s="369"/>
      <c r="K64" s="369"/>
    </row>
    <row r="65" spans="1:11" s="343" customFormat="1" ht="56.25" customHeight="1">
      <c r="A65" s="455" t="s">
        <v>607</v>
      </c>
      <c r="B65" s="163" t="s">
        <v>530</v>
      </c>
      <c r="C65" s="346">
        <v>0</v>
      </c>
      <c r="D65" s="346">
        <v>1800</v>
      </c>
      <c r="E65" s="346">
        <v>1800</v>
      </c>
      <c r="F65" s="549"/>
      <c r="G65" s="551"/>
      <c r="H65" s="369"/>
      <c r="I65" s="369"/>
      <c r="J65" s="369"/>
      <c r="K65" s="369"/>
    </row>
    <row r="66" spans="1:11" s="343" customFormat="1" ht="46.5" customHeight="1">
      <c r="A66" s="455" t="s">
        <v>608</v>
      </c>
      <c r="B66" s="163" t="s">
        <v>551</v>
      </c>
      <c r="C66" s="346">
        <v>0</v>
      </c>
      <c r="D66" s="346">
        <v>750</v>
      </c>
      <c r="E66" s="346">
        <v>750</v>
      </c>
      <c r="F66" s="549"/>
      <c r="G66" s="551"/>
      <c r="H66" s="369"/>
      <c r="I66" s="369"/>
      <c r="J66" s="369"/>
      <c r="K66" s="369"/>
    </row>
    <row r="67" spans="1:11" s="343" customFormat="1" ht="52.5" customHeight="1">
      <c r="A67" s="455" t="s">
        <v>609</v>
      </c>
      <c r="B67" s="444" t="s">
        <v>552</v>
      </c>
      <c r="C67" s="346">
        <v>0</v>
      </c>
      <c r="D67" s="346">
        <v>240</v>
      </c>
      <c r="E67" s="346">
        <v>240</v>
      </c>
      <c r="F67" s="549"/>
      <c r="G67" s="551"/>
      <c r="H67" s="369"/>
      <c r="I67" s="369"/>
      <c r="J67" s="369"/>
      <c r="K67" s="369"/>
    </row>
    <row r="68" spans="1:11" s="343" customFormat="1" ht="52.5" customHeight="1">
      <c r="A68" s="455" t="s">
        <v>610</v>
      </c>
      <c r="B68" s="444" t="s">
        <v>553</v>
      </c>
      <c r="C68" s="346">
        <v>0</v>
      </c>
      <c r="D68" s="346">
        <v>1200</v>
      </c>
      <c r="E68" s="346">
        <v>1200</v>
      </c>
      <c r="F68" s="549"/>
      <c r="G68" s="551"/>
      <c r="H68" s="369"/>
      <c r="I68" s="369"/>
      <c r="J68" s="369"/>
      <c r="K68" s="369"/>
    </row>
    <row r="69" spans="1:11" s="343" customFormat="1" ht="46.5" customHeight="1">
      <c r="A69" s="455" t="s">
        <v>611</v>
      </c>
      <c r="B69" s="444" t="s">
        <v>555</v>
      </c>
      <c r="C69" s="346">
        <v>0</v>
      </c>
      <c r="D69" s="346">
        <v>1950</v>
      </c>
      <c r="E69" s="346">
        <v>1950</v>
      </c>
      <c r="F69" s="549"/>
      <c r="G69" s="551"/>
      <c r="H69" s="369"/>
      <c r="I69" s="369"/>
      <c r="J69" s="369"/>
      <c r="K69" s="369"/>
    </row>
    <row r="70" spans="1:11" s="343" customFormat="1" ht="46.5" customHeight="1">
      <c r="A70" s="455" t="s">
        <v>612</v>
      </c>
      <c r="B70" s="444" t="s">
        <v>557</v>
      </c>
      <c r="C70" s="346">
        <v>0</v>
      </c>
      <c r="D70" s="346">
        <v>9700</v>
      </c>
      <c r="E70" s="346">
        <v>9700</v>
      </c>
      <c r="F70" s="549"/>
      <c r="G70" s="551"/>
      <c r="H70" s="369"/>
      <c r="I70" s="369"/>
      <c r="J70" s="369"/>
      <c r="K70" s="369"/>
    </row>
    <row r="71" spans="1:11" s="343" customFormat="1" ht="46.5" customHeight="1">
      <c r="A71" s="476" t="s">
        <v>613</v>
      </c>
      <c r="B71" s="477" t="s">
        <v>639</v>
      </c>
      <c r="C71" s="346">
        <v>0</v>
      </c>
      <c r="D71" s="346">
        <v>250</v>
      </c>
      <c r="E71" s="346">
        <v>250</v>
      </c>
      <c r="F71" s="549"/>
      <c r="G71" s="551"/>
      <c r="H71" s="369"/>
      <c r="I71" s="369"/>
      <c r="J71" s="369"/>
      <c r="K71" s="369"/>
    </row>
    <row r="72" spans="1:11" s="343" customFormat="1" ht="53.25" customHeight="1">
      <c r="A72" s="476" t="s">
        <v>641</v>
      </c>
      <c r="B72" s="477" t="s">
        <v>640</v>
      </c>
      <c r="C72" s="346">
        <v>0</v>
      </c>
      <c r="D72" s="346">
        <v>300</v>
      </c>
      <c r="E72" s="346">
        <v>300</v>
      </c>
      <c r="F72" s="549"/>
      <c r="G72" s="551"/>
      <c r="H72" s="369"/>
      <c r="I72" s="369"/>
      <c r="J72" s="369"/>
      <c r="K72" s="369"/>
    </row>
    <row r="73" spans="1:11" s="343" customFormat="1" ht="75.75" customHeight="1">
      <c r="A73" s="455" t="s">
        <v>613</v>
      </c>
      <c r="B73" s="444" t="s">
        <v>558</v>
      </c>
      <c r="C73" s="346">
        <v>0</v>
      </c>
      <c r="D73" s="346">
        <v>72</v>
      </c>
      <c r="E73" s="346">
        <v>72</v>
      </c>
      <c r="F73" s="548"/>
      <c r="G73" s="552"/>
      <c r="H73" s="369"/>
      <c r="I73" s="369"/>
      <c r="J73" s="369"/>
      <c r="K73" s="369"/>
    </row>
    <row r="74" spans="1:11" s="343" customFormat="1" ht="38.25" customHeight="1">
      <c r="A74" s="466" t="s">
        <v>586</v>
      </c>
      <c r="B74" s="163" t="s">
        <v>489</v>
      </c>
      <c r="C74" s="346">
        <v>0</v>
      </c>
      <c r="D74" s="346">
        <v>-2794.09</v>
      </c>
      <c r="E74" s="346">
        <f>D74-C74</f>
        <v>-2794.09</v>
      </c>
      <c r="F74" s="547" t="s">
        <v>569</v>
      </c>
      <c r="G74" s="550" t="s">
        <v>620</v>
      </c>
      <c r="H74" s="369"/>
      <c r="I74" s="369"/>
      <c r="J74" s="369"/>
      <c r="K74" s="369"/>
    </row>
    <row r="75" spans="1:11" s="343" customFormat="1" ht="32.25" customHeight="1">
      <c r="A75" s="455" t="s">
        <v>614</v>
      </c>
      <c r="B75" s="47" t="s">
        <v>153</v>
      </c>
      <c r="C75" s="346">
        <v>0</v>
      </c>
      <c r="D75" s="346">
        <v>-2054.09</v>
      </c>
      <c r="E75" s="346">
        <f>D75-C75</f>
        <v>-2054.09</v>
      </c>
      <c r="F75" s="549"/>
      <c r="G75" s="551"/>
      <c r="H75" s="369"/>
      <c r="I75" s="369"/>
      <c r="J75" s="369"/>
      <c r="K75" s="369"/>
    </row>
    <row r="76" spans="1:11" s="343" customFormat="1" ht="35.25" customHeight="1">
      <c r="A76" s="455" t="s">
        <v>615</v>
      </c>
      <c r="B76" s="47" t="s">
        <v>153</v>
      </c>
      <c r="C76" s="346">
        <v>0</v>
      </c>
      <c r="D76" s="346">
        <v>-740</v>
      </c>
      <c r="E76" s="346">
        <f>D76-C76</f>
        <v>-740</v>
      </c>
      <c r="F76" s="548"/>
      <c r="G76" s="552"/>
      <c r="H76" s="369"/>
      <c r="I76" s="369"/>
      <c r="J76" s="369"/>
      <c r="K76" s="369"/>
    </row>
    <row r="77" spans="1:11" s="343" customFormat="1" ht="18.75" customHeight="1">
      <c r="A77" s="555" t="s">
        <v>5</v>
      </c>
      <c r="B77" s="556"/>
      <c r="C77" s="130">
        <f>C10+C12+C28+C31+C33+C37+C46+C52+C56+C58+C60+C74</f>
        <v>271708.94200000004</v>
      </c>
      <c r="D77" s="130">
        <f>D10+D12+D28+D31+D33+D37+D46+D52+D56+D58+D60+D74</f>
        <v>313551.73199999996</v>
      </c>
      <c r="E77" s="130">
        <f>E10+E12+E28+E31+E33+E37+E46+E52+E56+E58+E60+E74</f>
        <v>41842.79000000001</v>
      </c>
      <c r="F77" s="374"/>
      <c r="G77" s="374"/>
      <c r="H77" s="369"/>
      <c r="I77" s="369"/>
      <c r="J77" s="369"/>
      <c r="K77" s="369"/>
    </row>
    <row r="78" spans="1:11" s="343" customFormat="1" ht="18.75" customHeight="1">
      <c r="A78" s="554" t="s">
        <v>527</v>
      </c>
      <c r="B78" s="554"/>
      <c r="C78" s="554"/>
      <c r="D78" s="185"/>
      <c r="E78" s="185"/>
      <c r="F78" s="68"/>
      <c r="G78" s="241" t="s">
        <v>528</v>
      </c>
      <c r="H78" s="369"/>
      <c r="I78" s="369"/>
      <c r="J78" s="369"/>
      <c r="K78" s="369"/>
    </row>
    <row r="79" spans="1:11" s="343" customFormat="1" ht="18.75">
      <c r="A79" s="376"/>
      <c r="B79" s="376"/>
      <c r="C79" s="377"/>
      <c r="D79" s="136"/>
      <c r="E79" s="136"/>
      <c r="F79" s="339"/>
      <c r="G79" s="369"/>
      <c r="H79" s="369"/>
      <c r="I79" s="369"/>
      <c r="J79" s="369"/>
      <c r="K79" s="369"/>
    </row>
    <row r="80" spans="1:11" s="343" customFormat="1" ht="18.75">
      <c r="A80" s="560"/>
      <c r="B80" s="560"/>
      <c r="C80" s="166"/>
      <c r="D80" s="378"/>
      <c r="E80" s="378"/>
      <c r="F80" s="369"/>
      <c r="G80" s="369"/>
      <c r="H80" s="369"/>
      <c r="I80" s="369"/>
      <c r="J80" s="369"/>
      <c r="K80" s="369"/>
    </row>
    <row r="81" s="343" customFormat="1" ht="15">
      <c r="A81" s="356"/>
    </row>
    <row r="82" s="343" customFormat="1" ht="15">
      <c r="A82" s="356"/>
    </row>
    <row r="83" s="343" customFormat="1" ht="15">
      <c r="A83" s="356"/>
    </row>
    <row r="84" s="343" customFormat="1" ht="15">
      <c r="A84" s="356"/>
    </row>
    <row r="85" s="343" customFormat="1" ht="15">
      <c r="A85" s="356"/>
    </row>
    <row r="86" s="343" customFormat="1" ht="15">
      <c r="A86" s="356"/>
    </row>
    <row r="87" s="343" customFormat="1" ht="15">
      <c r="A87" s="356"/>
    </row>
    <row r="88" s="343" customFormat="1" ht="15">
      <c r="A88" s="356"/>
    </row>
    <row r="89" s="343" customFormat="1" ht="15">
      <c r="A89" s="356"/>
    </row>
    <row r="90" s="343" customFormat="1" ht="15"/>
  </sheetData>
  <sheetProtection/>
  <mergeCells count="33">
    <mergeCell ref="F10:F11"/>
    <mergeCell ref="G10:G11"/>
    <mergeCell ref="G37:G45"/>
    <mergeCell ref="F46:F51"/>
    <mergeCell ref="G46:G51"/>
    <mergeCell ref="F37:F45"/>
    <mergeCell ref="F31:F32"/>
    <mergeCell ref="A80:B80"/>
    <mergeCell ref="A7:A9"/>
    <mergeCell ref="B7:B9"/>
    <mergeCell ref="F7:G9"/>
    <mergeCell ref="C8:C9"/>
    <mergeCell ref="D8:D9"/>
    <mergeCell ref="E7:E9"/>
    <mergeCell ref="G31:G32"/>
    <mergeCell ref="F28:F30"/>
    <mergeCell ref="G28:G30"/>
    <mergeCell ref="A4:G5"/>
    <mergeCell ref="A78:C78"/>
    <mergeCell ref="A77:B77"/>
    <mergeCell ref="F56:F57"/>
    <mergeCell ref="G56:G57"/>
    <mergeCell ref="F52:F55"/>
    <mergeCell ref="G52:G55"/>
    <mergeCell ref="G12:G26"/>
    <mergeCell ref="F74:F76"/>
    <mergeCell ref="G74:G76"/>
    <mergeCell ref="F58:F59"/>
    <mergeCell ref="G58:G59"/>
    <mergeCell ref="F60:F73"/>
    <mergeCell ref="G60:G73"/>
    <mergeCell ref="F33:F36"/>
    <mergeCell ref="G33:G36"/>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rgb="FFFFFF00"/>
  </sheetPr>
  <dimension ref="A1:M136"/>
  <sheetViews>
    <sheetView view="pageBreakPreview" zoomScale="74" zoomScaleSheetLayoutView="74" zoomScalePageLayoutView="0" workbookViewId="0" topLeftCell="A34">
      <selection activeCell="A1" sqref="A1:I39"/>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498</v>
      </c>
      <c r="I1" s="59"/>
      <c r="J1" s="12"/>
      <c r="K1" s="12"/>
    </row>
    <row r="2" spans="8:11" ht="18.75">
      <c r="H2" s="59" t="s">
        <v>11</v>
      </c>
      <c r="I2" s="59"/>
      <c r="J2" s="12"/>
      <c r="K2" s="12"/>
    </row>
    <row r="3" spans="8:11" ht="18.75">
      <c r="H3" s="59" t="s">
        <v>688</v>
      </c>
      <c r="I3" s="59"/>
      <c r="J3" s="12"/>
      <c r="K3" s="12"/>
    </row>
    <row r="4" spans="8:11" ht="18.75">
      <c r="H4" s="582" t="s">
        <v>689</v>
      </c>
      <c r="I4" s="582"/>
      <c r="J4" s="12"/>
      <c r="K4" s="12"/>
    </row>
    <row r="5" spans="8:13" ht="18.75">
      <c r="H5" s="73" t="s">
        <v>700</v>
      </c>
      <c r="I5" s="73"/>
      <c r="J5" s="17"/>
      <c r="K5" s="17"/>
      <c r="L5" s="17"/>
      <c r="M5" s="17"/>
    </row>
    <row r="6" spans="2:11" ht="18.75">
      <c r="B6" s="15"/>
      <c r="C6" s="15"/>
      <c r="D6" s="15"/>
      <c r="H6" s="582" t="s">
        <v>706</v>
      </c>
      <c r="I6" s="582"/>
      <c r="J6" s="12"/>
      <c r="K6" s="12"/>
    </row>
    <row r="7" spans="2:11" ht="18.75">
      <c r="B7" s="15"/>
      <c r="C7" s="15"/>
      <c r="D7" s="15"/>
      <c r="H7" s="59" t="s">
        <v>685</v>
      </c>
      <c r="I7" s="59"/>
      <c r="J7" s="12"/>
      <c r="K7" s="12"/>
    </row>
    <row r="8" spans="2:13" ht="15.75" customHeight="1">
      <c r="B8" s="15"/>
      <c r="C8" s="15"/>
      <c r="D8" s="15"/>
      <c r="H8" s="367" t="s">
        <v>699</v>
      </c>
      <c r="I8" s="56"/>
      <c r="J8" s="17"/>
      <c r="K8" s="17"/>
      <c r="L8" s="17"/>
      <c r="M8" s="17"/>
    </row>
    <row r="9" spans="2:9" ht="12" customHeight="1">
      <c r="B9" s="15"/>
      <c r="C9" s="15"/>
      <c r="D9" s="15"/>
      <c r="E9" s="15"/>
      <c r="F9" s="15"/>
      <c r="G9" s="15"/>
      <c r="H9" s="12"/>
      <c r="I9" s="12"/>
    </row>
    <row r="10" spans="2:9" ht="17.25" customHeight="1">
      <c r="B10" s="650" t="s">
        <v>654</v>
      </c>
      <c r="C10" s="650"/>
      <c r="D10" s="650"/>
      <c r="E10" s="650"/>
      <c r="F10" s="650"/>
      <c r="G10" s="650"/>
      <c r="H10" s="650"/>
      <c r="I10" s="15"/>
    </row>
    <row r="11" spans="2:9" ht="21.75" customHeight="1">
      <c r="B11" s="34"/>
      <c r="C11" s="34"/>
      <c r="D11" s="34"/>
      <c r="E11" s="34"/>
      <c r="F11" s="34"/>
      <c r="G11" s="34"/>
      <c r="H11" s="431" t="s">
        <v>467</v>
      </c>
      <c r="I11" s="15"/>
    </row>
    <row r="12" spans="1:9" ht="19.5" customHeight="1">
      <c r="A12" s="583" t="s">
        <v>32</v>
      </c>
      <c r="B12" s="583" t="s">
        <v>12</v>
      </c>
      <c r="C12" s="583" t="s">
        <v>13</v>
      </c>
      <c r="D12" s="583" t="s">
        <v>442</v>
      </c>
      <c r="E12" s="588" t="s">
        <v>9</v>
      </c>
      <c r="F12" s="588"/>
      <c r="G12" s="588"/>
      <c r="H12" s="588" t="s">
        <v>15</v>
      </c>
      <c r="I12" s="15"/>
    </row>
    <row r="13" spans="1:9" ht="15.75" customHeight="1">
      <c r="A13" s="584"/>
      <c r="B13" s="584"/>
      <c r="C13" s="584"/>
      <c r="D13" s="584"/>
      <c r="E13" s="561" t="s">
        <v>475</v>
      </c>
      <c r="F13" s="561" t="s">
        <v>473</v>
      </c>
      <c r="G13" s="561" t="s">
        <v>476</v>
      </c>
      <c r="H13" s="588"/>
      <c r="I13" s="15"/>
    </row>
    <row r="14" spans="1:9" ht="29.25" customHeight="1">
      <c r="A14" s="585"/>
      <c r="B14" s="585"/>
      <c r="C14" s="585"/>
      <c r="D14" s="585"/>
      <c r="E14" s="563"/>
      <c r="F14" s="563"/>
      <c r="G14" s="563"/>
      <c r="H14" s="588"/>
      <c r="I14" s="15"/>
    </row>
    <row r="15" spans="1:9" ht="33.75" customHeight="1" hidden="1">
      <c r="A15" s="66">
        <v>1</v>
      </c>
      <c r="B15" s="61" t="s">
        <v>34</v>
      </c>
      <c r="C15" s="36" t="s">
        <v>16</v>
      </c>
      <c r="D15" s="74" t="e">
        <f>#REF!+E15+F15+G15</f>
        <v>#REF!</v>
      </c>
      <c r="E15" s="108"/>
      <c r="F15" s="108"/>
      <c r="G15" s="108"/>
      <c r="H15" s="36" t="s">
        <v>35</v>
      </c>
      <c r="I15" s="15"/>
    </row>
    <row r="16" spans="1:9" ht="33.75" customHeight="1">
      <c r="A16" s="557">
        <v>1</v>
      </c>
      <c r="B16" s="557" t="s">
        <v>204</v>
      </c>
      <c r="C16" s="238" t="s">
        <v>16</v>
      </c>
      <c r="D16" s="245">
        <f aca="true" t="shared" si="0" ref="D16:D33">E16+F16+G16</f>
        <v>1333</v>
      </c>
      <c r="E16" s="246">
        <v>633</v>
      </c>
      <c r="F16" s="246">
        <v>700</v>
      </c>
      <c r="G16" s="246"/>
      <c r="H16" s="557" t="s">
        <v>56</v>
      </c>
      <c r="I16" s="15"/>
    </row>
    <row r="17" spans="1:9" ht="18" customHeight="1">
      <c r="A17" s="558"/>
      <c r="B17" s="558"/>
      <c r="C17" s="238" t="s">
        <v>648</v>
      </c>
      <c r="D17" s="245">
        <f t="shared" si="0"/>
        <v>750</v>
      </c>
      <c r="E17" s="246"/>
      <c r="F17" s="246"/>
      <c r="G17" s="246">
        <v>750</v>
      </c>
      <c r="H17" s="558"/>
      <c r="I17" s="15"/>
    </row>
    <row r="18" spans="1:9" ht="36" customHeight="1">
      <c r="A18" s="557">
        <v>2</v>
      </c>
      <c r="B18" s="557" t="s">
        <v>65</v>
      </c>
      <c r="C18" s="238" t="s">
        <v>16</v>
      </c>
      <c r="D18" s="245">
        <f t="shared" si="0"/>
        <v>450</v>
      </c>
      <c r="E18" s="246">
        <v>200</v>
      </c>
      <c r="F18" s="246">
        <v>250</v>
      </c>
      <c r="G18" s="246"/>
      <c r="H18" s="557" t="s">
        <v>31</v>
      </c>
      <c r="I18" s="15"/>
    </row>
    <row r="19" spans="1:9" ht="18.75">
      <c r="A19" s="558"/>
      <c r="B19" s="558"/>
      <c r="C19" s="238" t="s">
        <v>648</v>
      </c>
      <c r="D19" s="245">
        <f t="shared" si="0"/>
        <v>300</v>
      </c>
      <c r="E19" s="246"/>
      <c r="F19" s="246"/>
      <c r="G19" s="246">
        <v>300</v>
      </c>
      <c r="H19" s="558"/>
      <c r="I19" s="15"/>
    </row>
    <row r="20" spans="1:9" ht="30.75" customHeight="1">
      <c r="A20" s="557">
        <v>3</v>
      </c>
      <c r="B20" s="557" t="s">
        <v>64</v>
      </c>
      <c r="C20" s="238" t="s">
        <v>16</v>
      </c>
      <c r="D20" s="245">
        <f t="shared" si="0"/>
        <v>135</v>
      </c>
      <c r="E20" s="246">
        <v>60</v>
      </c>
      <c r="F20" s="246">
        <v>75</v>
      </c>
      <c r="G20" s="246"/>
      <c r="H20" s="557" t="s">
        <v>31</v>
      </c>
      <c r="I20" s="15"/>
    </row>
    <row r="21" spans="1:9" ht="13.5" customHeight="1">
      <c r="A21" s="558"/>
      <c r="B21" s="558"/>
      <c r="C21" s="238" t="s">
        <v>648</v>
      </c>
      <c r="D21" s="245">
        <f t="shared" si="0"/>
        <v>80</v>
      </c>
      <c r="E21" s="246"/>
      <c r="F21" s="246"/>
      <c r="G21" s="246">
        <v>80</v>
      </c>
      <c r="H21" s="558"/>
      <c r="I21" s="15"/>
    </row>
    <row r="22" spans="1:9" ht="36" customHeight="1">
      <c r="A22" s="557">
        <v>4</v>
      </c>
      <c r="B22" s="652" t="s">
        <v>205</v>
      </c>
      <c r="C22" s="238" t="s">
        <v>16</v>
      </c>
      <c r="D22" s="247">
        <f t="shared" si="0"/>
        <v>8000</v>
      </c>
      <c r="E22" s="246">
        <v>5000</v>
      </c>
      <c r="F22" s="246">
        <f>6000-3000</f>
        <v>3000</v>
      </c>
      <c r="G22" s="246"/>
      <c r="H22" s="557" t="s">
        <v>31</v>
      </c>
      <c r="I22" s="15"/>
    </row>
    <row r="23" spans="1:9" ht="18.75" customHeight="1">
      <c r="A23" s="558"/>
      <c r="B23" s="653"/>
      <c r="C23" s="238" t="s">
        <v>648</v>
      </c>
      <c r="D23" s="247">
        <f t="shared" si="0"/>
        <v>7000</v>
      </c>
      <c r="E23" s="246"/>
      <c r="F23" s="246"/>
      <c r="G23" s="246">
        <v>7000</v>
      </c>
      <c r="H23" s="558"/>
      <c r="I23" s="15"/>
    </row>
    <row r="24" spans="1:9" ht="48" customHeight="1">
      <c r="A24" s="578">
        <v>5</v>
      </c>
      <c r="B24" s="557" t="s">
        <v>206</v>
      </c>
      <c r="C24" s="238" t="s">
        <v>16</v>
      </c>
      <c r="D24" s="245">
        <f t="shared" si="0"/>
        <v>25700</v>
      </c>
      <c r="E24" s="246">
        <v>11700</v>
      </c>
      <c r="F24" s="246">
        <f>11800+2200</f>
        <v>14000</v>
      </c>
      <c r="G24" s="246"/>
      <c r="H24" s="557" t="s">
        <v>252</v>
      </c>
      <c r="I24" s="15"/>
    </row>
    <row r="25" spans="1:9" ht="69.75" customHeight="1">
      <c r="A25" s="579"/>
      <c r="B25" s="558"/>
      <c r="C25" s="238" t="s">
        <v>648</v>
      </c>
      <c r="D25" s="245">
        <f t="shared" si="0"/>
        <v>11900</v>
      </c>
      <c r="E25" s="246"/>
      <c r="F25" s="246"/>
      <c r="G25" s="246">
        <v>11900</v>
      </c>
      <c r="H25" s="558"/>
      <c r="I25" s="15"/>
    </row>
    <row r="26" spans="1:9" ht="31.5" customHeight="1">
      <c r="A26" s="578">
        <v>6</v>
      </c>
      <c r="B26" s="557" t="s">
        <v>66</v>
      </c>
      <c r="C26" s="238" t="s">
        <v>16</v>
      </c>
      <c r="D26" s="245">
        <f t="shared" si="0"/>
        <v>3075.7</v>
      </c>
      <c r="E26" s="246">
        <v>1762</v>
      </c>
      <c r="F26" s="246">
        <f>650+663.7</f>
        <v>1313.7</v>
      </c>
      <c r="G26" s="246"/>
      <c r="H26" s="557" t="s">
        <v>67</v>
      </c>
      <c r="I26" s="15"/>
    </row>
    <row r="27" spans="1:9" ht="17.25" customHeight="1">
      <c r="A27" s="579"/>
      <c r="B27" s="558"/>
      <c r="C27" s="248" t="s">
        <v>648</v>
      </c>
      <c r="D27" s="245">
        <f t="shared" si="0"/>
        <v>800</v>
      </c>
      <c r="E27" s="246"/>
      <c r="F27" s="246"/>
      <c r="G27" s="246">
        <v>800</v>
      </c>
      <c r="H27" s="558"/>
      <c r="I27" s="15"/>
    </row>
    <row r="28" spans="1:9" ht="37.5">
      <c r="A28" s="578">
        <v>7</v>
      </c>
      <c r="B28" s="557" t="s">
        <v>68</v>
      </c>
      <c r="C28" s="238" t="s">
        <v>16</v>
      </c>
      <c r="D28" s="245">
        <f t="shared" si="0"/>
        <v>325</v>
      </c>
      <c r="E28" s="246">
        <f>115+25</f>
        <v>140</v>
      </c>
      <c r="F28" s="246">
        <f>120+65</f>
        <v>185</v>
      </c>
      <c r="G28" s="246"/>
      <c r="H28" s="557" t="s">
        <v>48</v>
      </c>
      <c r="I28" s="15"/>
    </row>
    <row r="29" spans="1:9" ht="18.75">
      <c r="A29" s="579"/>
      <c r="B29" s="558"/>
      <c r="C29" s="238" t="s">
        <v>648</v>
      </c>
      <c r="D29" s="245">
        <f t="shared" si="0"/>
        <v>190</v>
      </c>
      <c r="E29" s="246"/>
      <c r="F29" s="246"/>
      <c r="G29" s="246">
        <v>190</v>
      </c>
      <c r="H29" s="558"/>
      <c r="I29" s="15"/>
    </row>
    <row r="30" spans="1:9" ht="33.75" customHeight="1">
      <c r="A30" s="578">
        <v>8</v>
      </c>
      <c r="B30" s="557" t="s">
        <v>69</v>
      </c>
      <c r="C30" s="238" t="s">
        <v>16</v>
      </c>
      <c r="D30" s="245">
        <f t="shared" si="0"/>
        <v>815</v>
      </c>
      <c r="E30" s="246">
        <v>405</v>
      </c>
      <c r="F30" s="246">
        <v>410</v>
      </c>
      <c r="G30" s="246"/>
      <c r="H30" s="557" t="s">
        <v>70</v>
      </c>
      <c r="I30" s="15"/>
    </row>
    <row r="31" spans="1:9" ht="18.75">
      <c r="A31" s="579"/>
      <c r="B31" s="558"/>
      <c r="C31" s="238" t="s">
        <v>648</v>
      </c>
      <c r="D31" s="245">
        <f t="shared" si="0"/>
        <v>500</v>
      </c>
      <c r="E31" s="246"/>
      <c r="F31" s="246"/>
      <c r="G31" s="246">
        <v>500</v>
      </c>
      <c r="H31" s="558"/>
      <c r="I31" s="15"/>
    </row>
    <row r="32" spans="1:9" ht="32.25" customHeight="1">
      <c r="A32" s="578">
        <v>9</v>
      </c>
      <c r="B32" s="557" t="s">
        <v>71</v>
      </c>
      <c r="C32" s="238" t="s">
        <v>16</v>
      </c>
      <c r="D32" s="245">
        <f t="shared" si="0"/>
        <v>450</v>
      </c>
      <c r="E32" s="246">
        <v>200</v>
      </c>
      <c r="F32" s="246">
        <v>250</v>
      </c>
      <c r="G32" s="246"/>
      <c r="H32" s="557" t="s">
        <v>31</v>
      </c>
      <c r="I32" s="15"/>
    </row>
    <row r="33" spans="1:9" ht="18.75">
      <c r="A33" s="579"/>
      <c r="B33" s="558"/>
      <c r="C33" s="238" t="s">
        <v>648</v>
      </c>
      <c r="D33" s="245">
        <f t="shared" si="0"/>
        <v>300</v>
      </c>
      <c r="E33" s="246"/>
      <c r="F33" s="246"/>
      <c r="G33" s="246">
        <v>300</v>
      </c>
      <c r="H33" s="558"/>
      <c r="I33" s="15"/>
    </row>
    <row r="34" spans="1:9" ht="18.75">
      <c r="A34" s="77"/>
      <c r="B34" s="78" t="s">
        <v>5</v>
      </c>
      <c r="C34" s="78"/>
      <c r="D34" s="102">
        <f>D16+D18+D20+D22+D24+D26+D28+D30+D32+D17+D19+D21+D23+D25+D27+D29+D31+D33</f>
        <v>62103.7</v>
      </c>
      <c r="E34" s="102">
        <f>E16+E18+E20+E22+E24+E26+E28+E30+E32</f>
        <v>20100</v>
      </c>
      <c r="F34" s="102">
        <f>F16+F18+F20+F22+F24+F26+F28+F30+F32</f>
        <v>20183.7</v>
      </c>
      <c r="G34" s="102">
        <f>G16+G18+G20+G22+G24+G26+G28+G30+G32+G17+G19+G21+G23+G25+G27+G29+G31+G33</f>
        <v>21820</v>
      </c>
      <c r="H34" s="72"/>
      <c r="I34" s="15"/>
    </row>
    <row r="35" spans="2:9" ht="18.75">
      <c r="B35" s="249"/>
      <c r="C35" s="15"/>
      <c r="D35" s="15"/>
      <c r="E35" s="15"/>
      <c r="F35" s="15"/>
      <c r="G35" s="15"/>
      <c r="H35" s="15"/>
      <c r="I35" s="15"/>
    </row>
    <row r="36" spans="2:11" ht="33" customHeight="1">
      <c r="B36" s="651" t="s">
        <v>18</v>
      </c>
      <c r="C36" s="651"/>
      <c r="D36" s="375"/>
      <c r="E36" s="22"/>
      <c r="F36" s="22"/>
      <c r="G36" s="16"/>
      <c r="H36" s="241" t="s">
        <v>30</v>
      </c>
      <c r="J36" s="23"/>
      <c r="K36" s="24"/>
    </row>
    <row r="37" spans="2:11" ht="12.75" customHeight="1">
      <c r="B37" s="375"/>
      <c r="C37" s="375"/>
      <c r="D37" s="375"/>
      <c r="E37" s="22"/>
      <c r="F37" s="22"/>
      <c r="G37" s="16"/>
      <c r="H37" s="241"/>
      <c r="J37" s="23"/>
      <c r="K37" s="24"/>
    </row>
    <row r="38" spans="2:11" ht="18.75">
      <c r="B38" s="587" t="s">
        <v>678</v>
      </c>
      <c r="C38" s="587"/>
      <c r="D38" s="25"/>
      <c r="E38" s="26"/>
      <c r="F38" s="26"/>
      <c r="G38" s="26"/>
      <c r="H38" s="26"/>
      <c r="I38" s="26"/>
      <c r="J38" s="15"/>
      <c r="K38" s="15"/>
    </row>
    <row r="39" spans="2:11" ht="15.75">
      <c r="B39" s="27" t="s">
        <v>37</v>
      </c>
      <c r="C39" s="27"/>
      <c r="D39" s="26"/>
      <c r="E39" s="26"/>
      <c r="F39" s="26"/>
      <c r="G39" s="26"/>
      <c r="H39" s="26"/>
      <c r="I39" s="26"/>
      <c r="J39" s="15"/>
      <c r="K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sheetData>
  <sheetProtection/>
  <mergeCells count="41">
    <mergeCell ref="H32:H33"/>
    <mergeCell ref="A28:A29"/>
    <mergeCell ref="B28:B29"/>
    <mergeCell ref="H28:H29"/>
    <mergeCell ref="A30:A31"/>
    <mergeCell ref="B30:B31"/>
    <mergeCell ref="H30:H31"/>
    <mergeCell ref="H22:H23"/>
    <mergeCell ref="A24:A25"/>
    <mergeCell ref="B24:B25"/>
    <mergeCell ref="H24:H25"/>
    <mergeCell ref="A26:A27"/>
    <mergeCell ref="B26:B27"/>
    <mergeCell ref="H26:H27"/>
    <mergeCell ref="H16:H17"/>
    <mergeCell ref="A18:A19"/>
    <mergeCell ref="B18:B19"/>
    <mergeCell ref="H18:H19"/>
    <mergeCell ref="A20:A21"/>
    <mergeCell ref="B20:B21"/>
    <mergeCell ref="H20:H21"/>
    <mergeCell ref="F13:F14"/>
    <mergeCell ref="G13:G14"/>
    <mergeCell ref="B36:C36"/>
    <mergeCell ref="B38:C38"/>
    <mergeCell ref="A16:A17"/>
    <mergeCell ref="B16:B17"/>
    <mergeCell ref="A22:A23"/>
    <mergeCell ref="B22:B23"/>
    <mergeCell ref="A32:A33"/>
    <mergeCell ref="B32:B33"/>
    <mergeCell ref="H4:I4"/>
    <mergeCell ref="H6:I6"/>
    <mergeCell ref="B10:H10"/>
    <mergeCell ref="A12:A14"/>
    <mergeCell ref="B12:B14"/>
    <mergeCell ref="C12:C14"/>
    <mergeCell ref="D12:D14"/>
    <mergeCell ref="E12:G12"/>
    <mergeCell ref="H12:H14"/>
    <mergeCell ref="E13:E14"/>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N30"/>
  <sheetViews>
    <sheetView view="pageBreakPreview" zoomScale="82" zoomScaleSheetLayoutView="82" zoomScalePageLayoutView="0" workbookViewId="0" topLeftCell="A1">
      <selection activeCell="A1" sqref="A1:K25"/>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662" t="s">
        <v>499</v>
      </c>
      <c r="K1" s="662"/>
      <c r="L1" s="2" t="s">
        <v>19</v>
      </c>
    </row>
    <row r="2" spans="2:12" ht="15.75">
      <c r="B2" s="1"/>
      <c r="C2" s="1"/>
      <c r="D2" s="1"/>
      <c r="E2" s="1"/>
      <c r="F2" s="1"/>
      <c r="G2" s="1"/>
      <c r="H2" s="1"/>
      <c r="I2" s="3" t="s">
        <v>11</v>
      </c>
      <c r="J2" s="662" t="s">
        <v>11</v>
      </c>
      <c r="K2" s="662"/>
      <c r="L2" s="3" t="s">
        <v>11</v>
      </c>
    </row>
    <row r="3" spans="2:12" ht="15.75">
      <c r="B3" s="1"/>
      <c r="C3" s="1"/>
      <c r="D3" s="1"/>
      <c r="E3" s="1"/>
      <c r="F3" s="1"/>
      <c r="G3" s="1"/>
      <c r="H3" s="1"/>
      <c r="I3" s="3"/>
      <c r="J3" s="3" t="s">
        <v>707</v>
      </c>
      <c r="K3" s="3"/>
      <c r="L3" s="3"/>
    </row>
    <row r="4" spans="2:12" ht="15.75">
      <c r="B4" s="1"/>
      <c r="C4" s="1"/>
      <c r="D4" s="1"/>
      <c r="E4" s="1"/>
      <c r="F4" s="1"/>
      <c r="G4" s="1"/>
      <c r="H4" s="1"/>
      <c r="I4" s="3" t="s">
        <v>21</v>
      </c>
      <c r="J4" s="3" t="s">
        <v>708</v>
      </c>
      <c r="K4" s="3"/>
      <c r="L4" s="3" t="s">
        <v>21</v>
      </c>
    </row>
    <row r="5" spans="2:12" ht="15.75">
      <c r="B5" s="1"/>
      <c r="C5" s="1"/>
      <c r="D5" s="1"/>
      <c r="E5" s="1"/>
      <c r="F5" s="1"/>
      <c r="G5" s="1"/>
      <c r="H5" s="1"/>
      <c r="I5" s="3" t="s">
        <v>23</v>
      </c>
      <c r="J5" s="3" t="s">
        <v>695</v>
      </c>
      <c r="K5" s="3"/>
      <c r="L5" s="3" t="s">
        <v>23</v>
      </c>
    </row>
    <row r="6" spans="2:12" ht="15.75">
      <c r="B6" s="1"/>
      <c r="C6" s="1"/>
      <c r="D6" s="1"/>
      <c r="E6" s="1"/>
      <c r="F6" s="1"/>
      <c r="G6" s="1"/>
      <c r="H6" s="1"/>
      <c r="I6" s="3"/>
      <c r="J6" s="3" t="s">
        <v>683</v>
      </c>
      <c r="K6" s="3"/>
      <c r="L6" s="3"/>
    </row>
    <row r="7" spans="2:12" ht="15.75">
      <c r="B7" s="1"/>
      <c r="C7" s="1"/>
      <c r="D7" s="1"/>
      <c r="E7" s="1"/>
      <c r="F7" s="1"/>
      <c r="G7" s="1"/>
      <c r="H7" s="9"/>
      <c r="I7" s="3" t="s">
        <v>24</v>
      </c>
      <c r="J7" s="3" t="s">
        <v>684</v>
      </c>
      <c r="K7" s="3"/>
      <c r="L7" s="3" t="s">
        <v>24</v>
      </c>
    </row>
    <row r="8" spans="2:12" ht="15.75">
      <c r="B8" s="1"/>
      <c r="C8" s="1"/>
      <c r="D8" s="1"/>
      <c r="E8" s="1"/>
      <c r="F8" s="1"/>
      <c r="G8" s="1"/>
      <c r="H8" s="9"/>
      <c r="I8" s="3"/>
      <c r="J8" s="3" t="s">
        <v>685</v>
      </c>
      <c r="K8" s="3"/>
      <c r="L8" s="3"/>
    </row>
    <row r="9" spans="2:12" ht="15.75">
      <c r="B9" s="1"/>
      <c r="C9" s="1"/>
      <c r="D9" s="1"/>
      <c r="E9" s="1"/>
      <c r="F9" s="1"/>
      <c r="G9" s="1"/>
      <c r="H9" s="1"/>
      <c r="I9" s="1"/>
      <c r="J9" s="1" t="s">
        <v>709</v>
      </c>
      <c r="K9" s="1"/>
      <c r="L9" s="1"/>
    </row>
    <row r="10" spans="2:12" ht="35.25" customHeight="1">
      <c r="B10" s="594" t="s">
        <v>477</v>
      </c>
      <c r="C10" s="594"/>
      <c r="D10" s="594"/>
      <c r="E10" s="594"/>
      <c r="F10" s="594"/>
      <c r="G10" s="594"/>
      <c r="H10" s="594"/>
      <c r="I10" s="594"/>
      <c r="J10" s="594"/>
      <c r="K10" s="594"/>
      <c r="L10" s="1"/>
    </row>
    <row r="11" spans="2:12" ht="15.75">
      <c r="B11" s="1"/>
      <c r="C11" s="1"/>
      <c r="D11" s="663"/>
      <c r="E11" s="663"/>
      <c r="F11" s="663"/>
      <c r="G11" s="663"/>
      <c r="H11" s="663"/>
      <c r="I11" s="1"/>
      <c r="J11" s="1"/>
      <c r="K11" s="46" t="s">
        <v>478</v>
      </c>
      <c r="L11" s="1"/>
    </row>
    <row r="12" spans="1:12" ht="15.75" customHeight="1">
      <c r="A12" s="656" t="s">
        <v>32</v>
      </c>
      <c r="B12" s="656" t="s">
        <v>12</v>
      </c>
      <c r="C12" s="656" t="s">
        <v>13</v>
      </c>
      <c r="D12" s="656" t="s">
        <v>442</v>
      </c>
      <c r="E12" s="659" t="s">
        <v>9</v>
      </c>
      <c r="F12" s="659"/>
      <c r="G12" s="659"/>
      <c r="H12" s="659"/>
      <c r="I12" s="659"/>
      <c r="J12" s="660"/>
      <c r="K12" s="661" t="s">
        <v>15</v>
      </c>
      <c r="L12" s="1"/>
    </row>
    <row r="13" spans="1:12" ht="15.75">
      <c r="A13" s="657"/>
      <c r="B13" s="657"/>
      <c r="C13" s="657"/>
      <c r="D13" s="657"/>
      <c r="E13" s="656" t="s">
        <v>468</v>
      </c>
      <c r="F13" s="656" t="s">
        <v>470</v>
      </c>
      <c r="G13" s="656" t="s">
        <v>27</v>
      </c>
      <c r="H13" s="656" t="s">
        <v>28</v>
      </c>
      <c r="I13" s="656" t="s">
        <v>29</v>
      </c>
      <c r="J13" s="661" t="s">
        <v>476</v>
      </c>
      <c r="K13" s="661"/>
      <c r="L13" s="1"/>
    </row>
    <row r="14" spans="1:12" ht="15.75">
      <c r="A14" s="658"/>
      <c r="B14" s="658"/>
      <c r="C14" s="658"/>
      <c r="D14" s="658"/>
      <c r="E14" s="658"/>
      <c r="F14" s="658"/>
      <c r="G14" s="658"/>
      <c r="H14" s="658"/>
      <c r="I14" s="658"/>
      <c r="J14" s="661"/>
      <c r="K14" s="661"/>
      <c r="L14" s="1"/>
    </row>
    <row r="15" spans="1:12" ht="32.25" customHeight="1">
      <c r="A15" s="595">
        <v>1</v>
      </c>
      <c r="B15" s="654" t="s">
        <v>249</v>
      </c>
      <c r="C15" s="173" t="s">
        <v>16</v>
      </c>
      <c r="D15" s="174">
        <f>E15+F15+J15</f>
        <v>2200</v>
      </c>
      <c r="E15" s="175">
        <v>1000</v>
      </c>
      <c r="F15" s="176">
        <v>1200</v>
      </c>
      <c r="G15" s="177"/>
      <c r="H15" s="177"/>
      <c r="I15" s="177"/>
      <c r="J15" s="177"/>
      <c r="K15" s="654" t="s">
        <v>203</v>
      </c>
      <c r="L15" s="1"/>
    </row>
    <row r="16" spans="1:14" ht="25.5" customHeight="1">
      <c r="A16" s="597"/>
      <c r="B16" s="655"/>
      <c r="C16" s="522" t="s">
        <v>648</v>
      </c>
      <c r="D16" s="523">
        <f>SUM(E16:J16)</f>
        <v>1400</v>
      </c>
      <c r="E16" s="524">
        <v>0</v>
      </c>
      <c r="F16" s="177"/>
      <c r="G16" s="177"/>
      <c r="H16" s="177"/>
      <c r="I16" s="177"/>
      <c r="J16" s="177">
        <v>1400</v>
      </c>
      <c r="K16" s="655"/>
      <c r="L16" s="1"/>
      <c r="N16" s="178"/>
    </row>
    <row r="17" spans="1:12" ht="32.25" customHeight="1">
      <c r="A17" s="179"/>
      <c r="B17" s="172" t="s">
        <v>5</v>
      </c>
      <c r="C17" s="180"/>
      <c r="D17" s="174">
        <f>D15+D16</f>
        <v>3600</v>
      </c>
      <c r="E17" s="174">
        <f>E15</f>
        <v>1000</v>
      </c>
      <c r="F17" s="174">
        <f>F15</f>
        <v>1200</v>
      </c>
      <c r="G17" s="174">
        <f>G15</f>
        <v>0</v>
      </c>
      <c r="H17" s="174">
        <f>H15</f>
        <v>0</v>
      </c>
      <c r="I17" s="174">
        <f>I15</f>
        <v>0</v>
      </c>
      <c r="J17" s="174">
        <f>J15+J16</f>
        <v>1400</v>
      </c>
      <c r="K17" s="181"/>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49"/>
      <c r="C20" s="150"/>
      <c r="E20" s="6"/>
      <c r="F20" s="6"/>
      <c r="G20" s="6"/>
      <c r="H20" s="6"/>
      <c r="I20" s="6"/>
      <c r="J20" s="6"/>
      <c r="K20" s="150"/>
      <c r="L20" s="1"/>
    </row>
    <row r="21" spans="2:12" ht="48" customHeight="1">
      <c r="B21" s="651" t="s">
        <v>622</v>
      </c>
      <c r="C21" s="651"/>
      <c r="D21" s="385"/>
      <c r="E21" s="8"/>
      <c r="F21" s="8"/>
      <c r="G21" s="9"/>
      <c r="H21" s="9"/>
      <c r="I21" s="9"/>
      <c r="J21" s="48"/>
      <c r="K21" s="441" t="s">
        <v>30</v>
      </c>
      <c r="L21" s="48"/>
    </row>
    <row r="22" spans="2:12" ht="9.75" customHeight="1">
      <c r="B22" s="145"/>
      <c r="C22" s="145"/>
      <c r="D22" s="11"/>
      <c r="E22" s="8"/>
      <c r="F22" s="8"/>
      <c r="J22" s="48"/>
      <c r="K22" s="182"/>
      <c r="L22" s="48"/>
    </row>
    <row r="23" spans="2:12" ht="12.75" customHeight="1">
      <c r="B23" s="145"/>
      <c r="C23" s="145"/>
      <c r="D23" s="11"/>
      <c r="E23" s="8"/>
      <c r="F23" s="8"/>
      <c r="J23" s="48"/>
      <c r="K23" s="182"/>
      <c r="L23" s="48"/>
    </row>
    <row r="24" spans="2:11" ht="18.75">
      <c r="B24" s="664" t="s">
        <v>678</v>
      </c>
      <c r="C24" s="664"/>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21">
    <mergeCell ref="B21:C21"/>
    <mergeCell ref="B24:C24"/>
    <mergeCell ref="K12:K14"/>
    <mergeCell ref="E13:E14"/>
    <mergeCell ref="F13:F14"/>
    <mergeCell ref="G13:G14"/>
    <mergeCell ref="H13:H14"/>
    <mergeCell ref="D12:D14"/>
    <mergeCell ref="J1:K1"/>
    <mergeCell ref="J2:K2"/>
    <mergeCell ref="B10:K10"/>
    <mergeCell ref="D11:H11"/>
    <mergeCell ref="I13:I14"/>
    <mergeCell ref="C12:C14"/>
    <mergeCell ref="A15:A16"/>
    <mergeCell ref="B15:B16"/>
    <mergeCell ref="K15:K16"/>
    <mergeCell ref="A12:A14"/>
    <mergeCell ref="B12:B14"/>
    <mergeCell ref="E12:J12"/>
    <mergeCell ref="J13:J14"/>
  </mergeCells>
  <printOptions horizontalCentered="1"/>
  <pageMargins left="0" right="0" top="1.1811023622047245"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M32"/>
  <sheetViews>
    <sheetView view="pageBreakPreview" zoomScale="78" zoomScaleSheetLayoutView="78" zoomScalePageLayoutView="0" workbookViewId="0" topLeftCell="A1">
      <selection activeCell="A1" sqref="A1:K27"/>
    </sheetView>
  </sheetViews>
  <sheetFormatPr defaultColWidth="9.140625" defaultRowHeight="12.75"/>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667" t="s">
        <v>333</v>
      </c>
      <c r="K1" s="667"/>
      <c r="L1" s="13" t="s">
        <v>19</v>
      </c>
    </row>
    <row r="2" spans="2:12" ht="18.75">
      <c r="B2" s="15"/>
      <c r="C2" s="15"/>
      <c r="D2" s="15"/>
      <c r="E2" s="15"/>
      <c r="F2" s="15"/>
      <c r="G2" s="15"/>
      <c r="H2" s="15"/>
      <c r="I2" s="12" t="s">
        <v>11</v>
      </c>
      <c r="J2" s="582" t="s">
        <v>11</v>
      </c>
      <c r="K2" s="582"/>
      <c r="L2" s="12" t="s">
        <v>11</v>
      </c>
    </row>
    <row r="3" spans="2:12" ht="18.75">
      <c r="B3" s="15"/>
      <c r="C3" s="15"/>
      <c r="D3" s="15"/>
      <c r="E3" s="15"/>
      <c r="F3" s="15"/>
      <c r="G3" s="15"/>
      <c r="H3" s="15"/>
      <c r="I3" s="12"/>
      <c r="J3" s="59" t="s">
        <v>322</v>
      </c>
      <c r="K3" s="59"/>
      <c r="L3" s="12"/>
    </row>
    <row r="4" spans="2:12" ht="18.75">
      <c r="B4" s="15"/>
      <c r="C4" s="15"/>
      <c r="D4" s="15"/>
      <c r="E4" s="15"/>
      <c r="F4" s="15"/>
      <c r="G4" s="15"/>
      <c r="H4" s="15"/>
      <c r="I4" s="12" t="s">
        <v>21</v>
      </c>
      <c r="J4" s="59" t="s">
        <v>681</v>
      </c>
      <c r="K4" s="59"/>
      <c r="L4" s="12" t="s">
        <v>21</v>
      </c>
    </row>
    <row r="5" spans="2:12" ht="18.75">
      <c r="B5" s="15"/>
      <c r="C5" s="15"/>
      <c r="D5" s="15"/>
      <c r="E5" s="15"/>
      <c r="F5" s="15"/>
      <c r="G5" s="15"/>
      <c r="H5" s="15"/>
      <c r="I5" s="12" t="s">
        <v>23</v>
      </c>
      <c r="J5" s="59" t="s">
        <v>705</v>
      </c>
      <c r="K5" s="59"/>
      <c r="L5" s="12" t="s">
        <v>23</v>
      </c>
    </row>
    <row r="6" spans="2:12" ht="18.75">
      <c r="B6" s="15"/>
      <c r="C6" s="15"/>
      <c r="D6" s="15"/>
      <c r="E6" s="15"/>
      <c r="F6" s="15"/>
      <c r="G6" s="15"/>
      <c r="H6" s="15"/>
      <c r="I6" s="12"/>
      <c r="J6" s="59" t="s">
        <v>683</v>
      </c>
      <c r="K6" s="59"/>
      <c r="L6" s="12"/>
    </row>
    <row r="7" spans="2:12" ht="18.75">
      <c r="B7" s="15"/>
      <c r="C7" s="15"/>
      <c r="D7" s="15"/>
      <c r="E7" s="15"/>
      <c r="F7" s="15"/>
      <c r="G7" s="15"/>
      <c r="H7" s="15"/>
      <c r="I7" s="12"/>
      <c r="J7" s="59" t="s">
        <v>684</v>
      </c>
      <c r="K7" s="59"/>
      <c r="L7" s="12"/>
    </row>
    <row r="8" spans="2:12" ht="18.75">
      <c r="B8" s="15"/>
      <c r="C8" s="15"/>
      <c r="D8" s="15"/>
      <c r="E8" s="15"/>
      <c r="F8" s="15"/>
      <c r="G8" s="15"/>
      <c r="H8" s="16"/>
      <c r="I8" s="12" t="s">
        <v>24</v>
      </c>
      <c r="J8" s="59" t="s">
        <v>685</v>
      </c>
      <c r="K8" s="59"/>
      <c r="L8" s="12" t="s">
        <v>24</v>
      </c>
    </row>
    <row r="9" spans="2:12" ht="15.75">
      <c r="B9" s="15"/>
      <c r="C9" s="15"/>
      <c r="D9" s="15"/>
      <c r="E9" s="15"/>
      <c r="F9" s="15"/>
      <c r="G9" s="15"/>
      <c r="H9" s="15"/>
      <c r="I9" s="15"/>
      <c r="J9" s="15" t="s">
        <v>652</v>
      </c>
      <c r="K9" s="15"/>
      <c r="L9" s="15"/>
    </row>
    <row r="10" spans="2:12" ht="42" customHeight="1">
      <c r="B10" s="586" t="s">
        <v>628</v>
      </c>
      <c r="C10" s="586"/>
      <c r="D10" s="586"/>
      <c r="E10" s="586"/>
      <c r="F10" s="586"/>
      <c r="G10" s="586"/>
      <c r="H10" s="586"/>
      <c r="I10" s="586"/>
      <c r="J10" s="586"/>
      <c r="K10" s="586"/>
      <c r="L10" s="15"/>
    </row>
    <row r="11" spans="2:12" ht="37.5" customHeight="1">
      <c r="B11" s="15"/>
      <c r="C11" s="15"/>
      <c r="D11" s="589"/>
      <c r="E11" s="589"/>
      <c r="F11" s="589"/>
      <c r="G11" s="589"/>
      <c r="H11" s="589"/>
      <c r="I11" s="15"/>
      <c r="J11" s="15"/>
      <c r="K11" s="442" t="s">
        <v>467</v>
      </c>
      <c r="L11" s="15"/>
    </row>
    <row r="12" spans="1:12" ht="15.75" customHeight="1">
      <c r="A12" s="583" t="s">
        <v>6</v>
      </c>
      <c r="B12" s="583" t="s">
        <v>12</v>
      </c>
      <c r="C12" s="583" t="s">
        <v>13</v>
      </c>
      <c r="D12" s="583" t="s">
        <v>442</v>
      </c>
      <c r="E12" s="590" t="s">
        <v>9</v>
      </c>
      <c r="F12" s="590"/>
      <c r="G12" s="590"/>
      <c r="H12" s="590"/>
      <c r="I12" s="590"/>
      <c r="J12" s="665"/>
      <c r="K12" s="588" t="s">
        <v>15</v>
      </c>
      <c r="L12" s="15"/>
    </row>
    <row r="13" spans="1:12" ht="15.75">
      <c r="A13" s="584"/>
      <c r="B13" s="584"/>
      <c r="C13" s="584"/>
      <c r="D13" s="584"/>
      <c r="E13" s="583" t="s">
        <v>468</v>
      </c>
      <c r="F13" s="583" t="s">
        <v>470</v>
      </c>
      <c r="G13" s="583" t="s">
        <v>27</v>
      </c>
      <c r="H13" s="583" t="s">
        <v>28</v>
      </c>
      <c r="I13" s="583" t="s">
        <v>29</v>
      </c>
      <c r="J13" s="588" t="s">
        <v>476</v>
      </c>
      <c r="K13" s="588"/>
      <c r="L13" s="15"/>
    </row>
    <row r="14" spans="1:12" ht="21.75" customHeight="1">
      <c r="A14" s="585"/>
      <c r="B14" s="585"/>
      <c r="C14" s="585"/>
      <c r="D14" s="585"/>
      <c r="E14" s="585"/>
      <c r="F14" s="585"/>
      <c r="G14" s="585"/>
      <c r="H14" s="585"/>
      <c r="I14" s="585"/>
      <c r="J14" s="588"/>
      <c r="K14" s="588"/>
      <c r="L14" s="15"/>
    </row>
    <row r="15" spans="1:12" ht="39" customHeight="1">
      <c r="A15" s="578">
        <v>1</v>
      </c>
      <c r="B15" s="578" t="s">
        <v>662</v>
      </c>
      <c r="C15" s="36" t="s">
        <v>16</v>
      </c>
      <c r="D15" s="62">
        <f aca="true" t="shared" si="0" ref="D15:D20">SUM(E15:J15)</f>
        <v>23765</v>
      </c>
      <c r="E15" s="63">
        <v>11780</v>
      </c>
      <c r="F15" s="64">
        <f>12000-15</f>
        <v>11985</v>
      </c>
      <c r="G15" s="63"/>
      <c r="H15" s="63"/>
      <c r="I15" s="63"/>
      <c r="J15" s="127"/>
      <c r="K15" s="578" t="s">
        <v>31</v>
      </c>
      <c r="L15" s="15"/>
    </row>
    <row r="16" spans="1:12" ht="18.75">
      <c r="A16" s="579"/>
      <c r="B16" s="579"/>
      <c r="C16" s="244" t="s">
        <v>648</v>
      </c>
      <c r="D16" s="62">
        <f t="shared" si="0"/>
        <v>23582</v>
      </c>
      <c r="E16" s="63"/>
      <c r="F16" s="64"/>
      <c r="G16" s="63"/>
      <c r="H16" s="63"/>
      <c r="I16" s="63"/>
      <c r="J16" s="63">
        <f>12100-18+11500</f>
        <v>23582</v>
      </c>
      <c r="K16" s="666"/>
      <c r="L16" s="15"/>
    </row>
    <row r="17" spans="1:12" ht="35.25" customHeight="1">
      <c r="A17" s="530" t="s">
        <v>276</v>
      </c>
      <c r="B17" s="531" t="s">
        <v>663</v>
      </c>
      <c r="C17" s="244" t="s">
        <v>648</v>
      </c>
      <c r="D17" s="62">
        <f t="shared" si="0"/>
        <v>11500</v>
      </c>
      <c r="E17" s="63"/>
      <c r="F17" s="64"/>
      <c r="G17" s="63"/>
      <c r="H17" s="63"/>
      <c r="I17" s="63"/>
      <c r="J17" s="63">
        <v>11500</v>
      </c>
      <c r="K17" s="579"/>
      <c r="L17" s="15"/>
    </row>
    <row r="18" spans="1:12" ht="37.5" customHeight="1">
      <c r="A18" s="578">
        <v>2</v>
      </c>
      <c r="B18" s="578" t="s">
        <v>400</v>
      </c>
      <c r="C18" s="244" t="s">
        <v>63</v>
      </c>
      <c r="D18" s="62">
        <f t="shared" si="0"/>
        <v>20183.8</v>
      </c>
      <c r="E18" s="63">
        <f>0+5075</f>
        <v>5075</v>
      </c>
      <c r="F18" s="64">
        <f>6097+6401+20+500+636+670</f>
        <v>14324</v>
      </c>
      <c r="G18" s="63"/>
      <c r="H18" s="63"/>
      <c r="I18" s="63"/>
      <c r="J18" s="63">
        <v>784.8</v>
      </c>
      <c r="K18" s="578" t="s">
        <v>31</v>
      </c>
      <c r="L18" s="15"/>
    </row>
    <row r="19" spans="1:12" ht="18.75">
      <c r="A19" s="666"/>
      <c r="B19" s="666"/>
      <c r="C19" s="244" t="s">
        <v>16</v>
      </c>
      <c r="D19" s="62">
        <f t="shared" si="0"/>
        <v>352.2</v>
      </c>
      <c r="E19" s="63">
        <f>0+152.2</f>
        <v>152.2</v>
      </c>
      <c r="F19" s="64">
        <f>185+15</f>
        <v>200</v>
      </c>
      <c r="G19" s="63"/>
      <c r="H19" s="63"/>
      <c r="I19" s="63"/>
      <c r="J19" s="63"/>
      <c r="K19" s="579"/>
      <c r="L19" s="15"/>
    </row>
    <row r="20" spans="1:12" ht="18.75">
      <c r="A20" s="579"/>
      <c r="B20" s="579"/>
      <c r="C20" s="244" t="s">
        <v>648</v>
      </c>
      <c r="D20" s="62">
        <f t="shared" si="0"/>
        <v>18</v>
      </c>
      <c r="E20" s="63"/>
      <c r="F20" s="64"/>
      <c r="G20" s="63"/>
      <c r="H20" s="63"/>
      <c r="I20" s="63"/>
      <c r="J20" s="63">
        <v>18</v>
      </c>
      <c r="K20" s="287"/>
      <c r="L20" s="15"/>
    </row>
    <row r="21" spans="1:12" ht="27.75" customHeight="1">
      <c r="A21" s="70"/>
      <c r="B21" s="60" t="s">
        <v>5</v>
      </c>
      <c r="C21" s="71"/>
      <c r="D21" s="62">
        <f>D16+D15+D18+D19</f>
        <v>67883</v>
      </c>
      <c r="E21" s="62">
        <f>E15+E18+E19</f>
        <v>17007.2</v>
      </c>
      <c r="F21" s="62">
        <f>F15+F18+F19</f>
        <v>26509</v>
      </c>
      <c r="G21" s="62">
        <f>G15+G18+G19</f>
        <v>0</v>
      </c>
      <c r="H21" s="62">
        <f>H15+H18+H19</f>
        <v>0</v>
      </c>
      <c r="I21" s="62">
        <f>I15+I18+I19</f>
        <v>0</v>
      </c>
      <c r="J21" s="62">
        <f>J15+J18+J19+J16+J20</f>
        <v>24384.8</v>
      </c>
      <c r="K21" s="72"/>
      <c r="L21" s="15"/>
    </row>
    <row r="22" spans="1:12" ht="17.25" customHeight="1">
      <c r="A22" s="39"/>
      <c r="B22" s="18"/>
      <c r="C22" s="18"/>
      <c r="D22" s="40"/>
      <c r="E22" s="40"/>
      <c r="F22" s="40"/>
      <c r="G22" s="40"/>
      <c r="H22" s="40"/>
      <c r="I22" s="40"/>
      <c r="J22" s="40"/>
      <c r="K22" s="20"/>
      <c r="L22" s="15"/>
    </row>
    <row r="23" spans="1:12" ht="53.25" customHeight="1">
      <c r="A23" s="39"/>
      <c r="C23" s="18"/>
      <c r="D23" s="19"/>
      <c r="E23" s="19"/>
      <c r="F23" s="19"/>
      <c r="G23" s="19"/>
      <c r="H23" s="19"/>
      <c r="I23" s="19"/>
      <c r="J23" s="19"/>
      <c r="K23" s="20"/>
      <c r="L23" s="15"/>
    </row>
    <row r="24" spans="2:12" ht="36.75" customHeight="1">
      <c r="B24" s="375" t="s">
        <v>18</v>
      </c>
      <c r="C24" s="375"/>
      <c r="D24" s="375"/>
      <c r="E24" s="22"/>
      <c r="F24" s="22"/>
      <c r="G24" s="16"/>
      <c r="H24" s="16"/>
      <c r="I24" s="16"/>
      <c r="J24" s="23"/>
      <c r="K24" s="23" t="s">
        <v>30</v>
      </c>
      <c r="L24" s="23"/>
    </row>
    <row r="25" spans="2:12" ht="15" customHeight="1">
      <c r="B25" s="21"/>
      <c r="C25" s="21"/>
      <c r="D25" s="21"/>
      <c r="E25" s="22"/>
      <c r="F25" s="22"/>
      <c r="J25" s="23"/>
      <c r="K25" s="24"/>
      <c r="L25" s="23"/>
    </row>
    <row r="26" spans="2:11" ht="18.75">
      <c r="B26" s="412" t="s">
        <v>678</v>
      </c>
      <c r="C26" s="54"/>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J1:K1"/>
    <mergeCell ref="J2:K2"/>
    <mergeCell ref="B10:K10"/>
    <mergeCell ref="K12:K14"/>
    <mergeCell ref="E13:E14"/>
    <mergeCell ref="F13:F14"/>
    <mergeCell ref="H13:H14"/>
    <mergeCell ref="I13:I14"/>
    <mergeCell ref="J13:J14"/>
    <mergeCell ref="G13:G14"/>
    <mergeCell ref="B15:B16"/>
    <mergeCell ref="A15:A16"/>
    <mergeCell ref="K18:K19"/>
    <mergeCell ref="A18:A20"/>
    <mergeCell ref="B18:B20"/>
    <mergeCell ref="K15:K17"/>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K44"/>
  <sheetViews>
    <sheetView view="pageBreakPreview" zoomScale="82" zoomScaleSheetLayoutView="82" zoomScalePageLayoutView="0" workbookViewId="0" topLeftCell="A18">
      <selection activeCell="A1" sqref="A1:K39"/>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82" t="s">
        <v>500</v>
      </c>
      <c r="K1" s="582"/>
    </row>
    <row r="2" spans="2:11" ht="18.75">
      <c r="B2" s="15"/>
      <c r="C2" s="15"/>
      <c r="D2" s="15"/>
      <c r="E2" s="15"/>
      <c r="F2" s="15"/>
      <c r="G2" s="15"/>
      <c r="H2" s="15"/>
      <c r="I2" s="12" t="s">
        <v>11</v>
      </c>
      <c r="J2" s="582" t="s">
        <v>11</v>
      </c>
      <c r="K2" s="582"/>
    </row>
    <row r="3" spans="2:11" ht="18.75">
      <c r="B3" s="15"/>
      <c r="C3" s="15"/>
      <c r="D3" s="15"/>
      <c r="E3" s="15"/>
      <c r="F3" s="15"/>
      <c r="G3" s="15"/>
      <c r="H3" s="15"/>
      <c r="I3" s="12"/>
      <c r="J3" s="59" t="s">
        <v>322</v>
      </c>
      <c r="K3" s="59"/>
    </row>
    <row r="4" spans="2:11" ht="18.75">
      <c r="B4" s="15"/>
      <c r="C4" s="15"/>
      <c r="D4" s="15"/>
      <c r="E4" s="15"/>
      <c r="F4" s="15"/>
      <c r="G4" s="15"/>
      <c r="H4" s="15"/>
      <c r="I4" s="12" t="s">
        <v>21</v>
      </c>
      <c r="J4" s="59" t="s">
        <v>681</v>
      </c>
      <c r="K4" s="59"/>
    </row>
    <row r="5" spans="2:11" ht="18.75">
      <c r="B5" s="15"/>
      <c r="C5" s="15"/>
      <c r="D5" s="15"/>
      <c r="E5" s="15"/>
      <c r="F5" s="15"/>
      <c r="G5" s="15"/>
      <c r="H5" s="15"/>
      <c r="I5" s="12" t="s">
        <v>23</v>
      </c>
      <c r="J5" s="59" t="s">
        <v>705</v>
      </c>
      <c r="K5" s="59"/>
    </row>
    <row r="6" spans="2:11" ht="18.75">
      <c r="B6" s="15"/>
      <c r="C6" s="15"/>
      <c r="D6" s="15"/>
      <c r="E6" s="15"/>
      <c r="F6" s="15"/>
      <c r="G6" s="15"/>
      <c r="H6" s="15"/>
      <c r="I6" s="12"/>
      <c r="J6" s="59" t="s">
        <v>683</v>
      </c>
      <c r="K6" s="59"/>
    </row>
    <row r="7" spans="2:11" ht="18.75">
      <c r="B7" s="15"/>
      <c r="C7" s="15"/>
      <c r="D7" s="15"/>
      <c r="E7" s="15"/>
      <c r="F7" s="15"/>
      <c r="G7" s="15"/>
      <c r="H7" s="15"/>
      <c r="I7" s="12"/>
      <c r="J7" s="59" t="s">
        <v>684</v>
      </c>
      <c r="K7" s="59"/>
    </row>
    <row r="8" spans="2:11" ht="18.75">
      <c r="B8" s="15"/>
      <c r="C8" s="15"/>
      <c r="D8" s="15"/>
      <c r="E8" s="15"/>
      <c r="F8" s="15"/>
      <c r="G8" s="15"/>
      <c r="H8" s="16"/>
      <c r="I8" s="12" t="s">
        <v>24</v>
      </c>
      <c r="J8" s="59" t="s">
        <v>685</v>
      </c>
      <c r="K8" s="59"/>
    </row>
    <row r="9" spans="2:11" ht="15.75">
      <c r="B9" s="15"/>
      <c r="C9" s="15"/>
      <c r="D9" s="15"/>
      <c r="E9" s="15"/>
      <c r="F9" s="15"/>
      <c r="G9" s="15"/>
      <c r="H9" s="15"/>
      <c r="I9" s="15"/>
      <c r="J9" s="15" t="s">
        <v>710</v>
      </c>
      <c r="K9" s="15"/>
    </row>
    <row r="10" spans="2:11" ht="18.75">
      <c r="B10" s="586" t="s">
        <v>629</v>
      </c>
      <c r="C10" s="586"/>
      <c r="D10" s="586"/>
      <c r="E10" s="586"/>
      <c r="F10" s="586"/>
      <c r="G10" s="586"/>
      <c r="H10" s="586"/>
      <c r="I10" s="586"/>
      <c r="J10" s="586"/>
      <c r="K10" s="586"/>
    </row>
    <row r="11" spans="2:11" ht="18.75">
      <c r="B11" s="15"/>
      <c r="C11" s="15"/>
      <c r="D11" s="589"/>
      <c r="E11" s="589"/>
      <c r="F11" s="589"/>
      <c r="G11" s="589"/>
      <c r="H11" s="589"/>
      <c r="I11" s="15"/>
      <c r="J11" s="15"/>
      <c r="K11" s="442" t="s">
        <v>467</v>
      </c>
    </row>
    <row r="12" spans="1:11" ht="18.75">
      <c r="A12" s="673" t="s">
        <v>6</v>
      </c>
      <c r="B12" s="583" t="s">
        <v>12</v>
      </c>
      <c r="C12" s="583" t="s">
        <v>13</v>
      </c>
      <c r="D12" s="583" t="s">
        <v>479</v>
      </c>
      <c r="E12" s="590" t="s">
        <v>9</v>
      </c>
      <c r="F12" s="590"/>
      <c r="G12" s="590"/>
      <c r="H12" s="590"/>
      <c r="I12" s="590"/>
      <c r="J12" s="665"/>
      <c r="K12" s="588" t="s">
        <v>15</v>
      </c>
    </row>
    <row r="13" spans="1:11" ht="17.25" customHeight="1">
      <c r="A13" s="674"/>
      <c r="B13" s="584"/>
      <c r="C13" s="584"/>
      <c r="D13" s="584"/>
      <c r="E13" s="583" t="s">
        <v>471</v>
      </c>
      <c r="F13" s="583" t="s">
        <v>480</v>
      </c>
      <c r="G13" s="583" t="s">
        <v>27</v>
      </c>
      <c r="H13" s="583" t="s">
        <v>28</v>
      </c>
      <c r="I13" s="583" t="s">
        <v>29</v>
      </c>
      <c r="J13" s="588" t="s">
        <v>445</v>
      </c>
      <c r="K13" s="588"/>
    </row>
    <row r="14" spans="1:11" ht="27" customHeight="1">
      <c r="A14" s="675"/>
      <c r="B14" s="585"/>
      <c r="C14" s="585"/>
      <c r="D14" s="585"/>
      <c r="E14" s="585"/>
      <c r="F14" s="585"/>
      <c r="G14" s="585"/>
      <c r="H14" s="585"/>
      <c r="I14" s="585"/>
      <c r="J14" s="588"/>
      <c r="K14" s="588"/>
    </row>
    <row r="15" spans="1:11" ht="40.5" customHeight="1">
      <c r="A15" s="292"/>
      <c r="B15" s="289" t="s">
        <v>275</v>
      </c>
      <c r="C15" s="290"/>
      <c r="D15" s="303">
        <f>SUM(E15:J15)</f>
        <v>169972.1</v>
      </c>
      <c r="E15" s="303">
        <f>45960+1522+245.7+8354+675.6</f>
        <v>56757.299999999996</v>
      </c>
      <c r="F15" s="303">
        <f>48000+742.6+5339.3+4663.3+4487-170</f>
        <v>63062.200000000004</v>
      </c>
      <c r="G15" s="303"/>
      <c r="H15" s="303"/>
      <c r="I15" s="303"/>
      <c r="J15" s="303">
        <f>50000+152.6+0.8-0.8</f>
        <v>50152.6</v>
      </c>
      <c r="K15" s="288"/>
    </row>
    <row r="16" spans="1:11" ht="33" customHeight="1">
      <c r="A16" s="668" t="s">
        <v>276</v>
      </c>
      <c r="B16" s="557" t="s">
        <v>277</v>
      </c>
      <c r="C16" s="238" t="s">
        <v>16</v>
      </c>
      <c r="D16" s="243">
        <f>E16+F16+J16</f>
        <v>94372.6</v>
      </c>
      <c r="E16" s="64">
        <f>45000+800</f>
        <v>45800</v>
      </c>
      <c r="F16" s="127">
        <f>48000+742.6-170</f>
        <v>48572.6</v>
      </c>
      <c r="G16" s="127"/>
      <c r="H16" s="127"/>
      <c r="I16" s="127"/>
      <c r="J16" s="127"/>
      <c r="K16" s="557" t="s">
        <v>36</v>
      </c>
    </row>
    <row r="17" spans="1:11" ht="18.75">
      <c r="A17" s="669"/>
      <c r="B17" s="558"/>
      <c r="C17" s="238" t="s">
        <v>648</v>
      </c>
      <c r="D17" s="243">
        <f>E17+F17+J17</f>
        <v>49999.2</v>
      </c>
      <c r="E17" s="64"/>
      <c r="F17" s="127"/>
      <c r="G17" s="127"/>
      <c r="H17" s="127"/>
      <c r="I17" s="127"/>
      <c r="J17" s="127">
        <f>50000-0.8</f>
        <v>49999.2</v>
      </c>
      <c r="K17" s="558"/>
    </row>
    <row r="18" spans="1:11" ht="75">
      <c r="A18" s="368" t="s">
        <v>289</v>
      </c>
      <c r="B18" s="302" t="s">
        <v>341</v>
      </c>
      <c r="C18" s="238" t="s">
        <v>63</v>
      </c>
      <c r="D18" s="243">
        <f aca="true" t="shared" si="0" ref="D18:D30">E18+F18+J18</f>
        <v>160</v>
      </c>
      <c r="E18" s="127">
        <f>160</f>
        <v>160</v>
      </c>
      <c r="F18" s="127">
        <v>0</v>
      </c>
      <c r="G18" s="127"/>
      <c r="H18" s="127"/>
      <c r="I18" s="127"/>
      <c r="J18" s="127">
        <v>0</v>
      </c>
      <c r="K18" s="301" t="s">
        <v>36</v>
      </c>
    </row>
    <row r="19" spans="1:11" ht="51.75" customHeight="1">
      <c r="A19" s="668" t="s">
        <v>291</v>
      </c>
      <c r="B19" s="676" t="s">
        <v>342</v>
      </c>
      <c r="C19" s="238" t="s">
        <v>63</v>
      </c>
      <c r="D19" s="243">
        <f t="shared" si="0"/>
        <v>548</v>
      </c>
      <c r="E19" s="127">
        <v>548</v>
      </c>
      <c r="F19" s="127">
        <v>0</v>
      </c>
      <c r="G19" s="127"/>
      <c r="H19" s="127"/>
      <c r="I19" s="127"/>
      <c r="J19" s="127">
        <v>0</v>
      </c>
      <c r="K19" s="557" t="s">
        <v>36</v>
      </c>
    </row>
    <row r="20" spans="1:11" ht="24" customHeight="1">
      <c r="A20" s="669"/>
      <c r="B20" s="677"/>
      <c r="C20" s="238" t="s">
        <v>16</v>
      </c>
      <c r="D20" s="243">
        <f t="shared" si="0"/>
        <v>16.5</v>
      </c>
      <c r="E20" s="127">
        <v>16.5</v>
      </c>
      <c r="F20" s="127">
        <v>0</v>
      </c>
      <c r="G20" s="127"/>
      <c r="H20" s="127"/>
      <c r="I20" s="127"/>
      <c r="J20" s="127">
        <v>0</v>
      </c>
      <c r="K20" s="558"/>
    </row>
    <row r="21" spans="1:11" ht="34.5" customHeight="1">
      <c r="A21" s="668" t="s">
        <v>292</v>
      </c>
      <c r="B21" s="670" t="s">
        <v>344</v>
      </c>
      <c r="C21" s="238" t="s">
        <v>63</v>
      </c>
      <c r="D21" s="243">
        <f t="shared" si="0"/>
        <v>389.2</v>
      </c>
      <c r="E21" s="127">
        <v>344</v>
      </c>
      <c r="F21" s="127">
        <v>45.2</v>
      </c>
      <c r="G21" s="127"/>
      <c r="H21" s="127"/>
      <c r="I21" s="127"/>
      <c r="J21" s="127">
        <v>0</v>
      </c>
      <c r="K21" s="557" t="s">
        <v>36</v>
      </c>
    </row>
    <row r="22" spans="1:11" ht="20.25" customHeight="1">
      <c r="A22" s="669"/>
      <c r="B22" s="671"/>
      <c r="C22" s="238" t="s">
        <v>16</v>
      </c>
      <c r="D22" s="243">
        <f t="shared" si="0"/>
        <v>233.9</v>
      </c>
      <c r="E22" s="127">
        <v>210.3</v>
      </c>
      <c r="F22" s="127">
        <v>23.6</v>
      </c>
      <c r="G22" s="127"/>
      <c r="H22" s="127"/>
      <c r="I22" s="127"/>
      <c r="J22" s="127">
        <v>0</v>
      </c>
      <c r="K22" s="558"/>
    </row>
    <row r="23" spans="1:11" ht="47.25" customHeight="1">
      <c r="A23" s="668" t="s">
        <v>294</v>
      </c>
      <c r="B23" s="670" t="s">
        <v>343</v>
      </c>
      <c r="C23" s="238" t="s">
        <v>63</v>
      </c>
      <c r="D23" s="243">
        <f t="shared" si="0"/>
        <v>1251.1</v>
      </c>
      <c r="E23" s="127">
        <v>630</v>
      </c>
      <c r="F23" s="127">
        <v>621.1</v>
      </c>
      <c r="G23" s="127"/>
      <c r="H23" s="127"/>
      <c r="I23" s="127"/>
      <c r="J23" s="127">
        <v>0</v>
      </c>
      <c r="K23" s="557" t="s">
        <v>36</v>
      </c>
    </row>
    <row r="24" spans="1:11" ht="24.75" customHeight="1">
      <c r="A24" s="669"/>
      <c r="B24" s="671"/>
      <c r="C24" s="238" t="s">
        <v>16</v>
      </c>
      <c r="D24" s="243">
        <f t="shared" si="0"/>
        <v>37.5</v>
      </c>
      <c r="E24" s="127">
        <v>18.9</v>
      </c>
      <c r="F24" s="127">
        <v>18.6</v>
      </c>
      <c r="G24" s="127"/>
      <c r="H24" s="127"/>
      <c r="I24" s="127"/>
      <c r="J24" s="127">
        <v>0</v>
      </c>
      <c r="K24" s="558"/>
    </row>
    <row r="25" spans="1:11" ht="44.25" customHeight="1">
      <c r="A25" s="668" t="s">
        <v>296</v>
      </c>
      <c r="B25" s="670" t="s">
        <v>399</v>
      </c>
      <c r="C25" s="238" t="s">
        <v>63</v>
      </c>
      <c r="D25" s="243">
        <f>E25+F25+J25</f>
        <v>23614.899999999998</v>
      </c>
      <c r="E25" s="127">
        <f>0+8354</f>
        <v>8354</v>
      </c>
      <c r="F25" s="127">
        <f>4673+4663.3+4487+990+295</f>
        <v>15108.3</v>
      </c>
      <c r="G25" s="127"/>
      <c r="H25" s="127"/>
      <c r="I25" s="127"/>
      <c r="J25" s="127">
        <v>152.6</v>
      </c>
      <c r="K25" s="557" t="s">
        <v>36</v>
      </c>
    </row>
    <row r="26" spans="1:11" ht="33" customHeight="1">
      <c r="A26" s="669"/>
      <c r="B26" s="671"/>
      <c r="C26" s="238" t="s">
        <v>16</v>
      </c>
      <c r="D26" s="243">
        <f t="shared" si="0"/>
        <v>826.4</v>
      </c>
      <c r="E26" s="127">
        <f>0+675.6</f>
        <v>675.6</v>
      </c>
      <c r="F26" s="127">
        <v>150</v>
      </c>
      <c r="G26" s="127"/>
      <c r="H26" s="127"/>
      <c r="I26" s="127"/>
      <c r="J26" s="127">
        <v>0.8</v>
      </c>
      <c r="K26" s="558"/>
    </row>
    <row r="27" spans="1:11" ht="31.5" customHeight="1">
      <c r="A27" s="668">
        <v>2</v>
      </c>
      <c r="B27" s="557" t="s">
        <v>278</v>
      </c>
      <c r="C27" s="238" t="s">
        <v>16</v>
      </c>
      <c r="D27" s="243">
        <f t="shared" si="0"/>
        <v>29000</v>
      </c>
      <c r="E27" s="127">
        <v>15000</v>
      </c>
      <c r="F27" s="127">
        <v>14000</v>
      </c>
      <c r="G27" s="127"/>
      <c r="H27" s="127"/>
      <c r="I27" s="127"/>
      <c r="J27" s="127"/>
      <c r="K27" s="557" t="s">
        <v>36</v>
      </c>
    </row>
    <row r="28" spans="1:11" ht="18.75">
      <c r="A28" s="669"/>
      <c r="B28" s="558"/>
      <c r="C28" s="238" t="s">
        <v>648</v>
      </c>
      <c r="D28" s="243">
        <f t="shared" si="0"/>
        <v>13000</v>
      </c>
      <c r="E28" s="127"/>
      <c r="F28" s="127"/>
      <c r="G28" s="127"/>
      <c r="H28" s="127"/>
      <c r="I28" s="127"/>
      <c r="J28" s="127">
        <v>13000</v>
      </c>
      <c r="K28" s="558"/>
    </row>
    <row r="29" spans="1:11" ht="24.75" customHeight="1">
      <c r="A29" s="668">
        <v>3</v>
      </c>
      <c r="B29" s="678" t="s">
        <v>279</v>
      </c>
      <c r="C29" s="238" t="s">
        <v>16</v>
      </c>
      <c r="D29" s="243">
        <f t="shared" si="0"/>
        <v>11000</v>
      </c>
      <c r="E29" s="127">
        <v>5000</v>
      </c>
      <c r="F29" s="127">
        <v>6000</v>
      </c>
      <c r="G29" s="127"/>
      <c r="H29" s="127"/>
      <c r="I29" s="127"/>
      <c r="J29" s="127"/>
      <c r="K29" s="557" t="s">
        <v>77</v>
      </c>
    </row>
    <row r="30" spans="1:11" ht="18.75">
      <c r="A30" s="669"/>
      <c r="B30" s="679"/>
      <c r="C30" s="238" t="s">
        <v>648</v>
      </c>
      <c r="D30" s="243">
        <f t="shared" si="0"/>
        <v>7000</v>
      </c>
      <c r="E30" s="127"/>
      <c r="F30" s="127"/>
      <c r="G30" s="127"/>
      <c r="H30" s="127"/>
      <c r="I30" s="127"/>
      <c r="J30" s="127">
        <v>7000</v>
      </c>
      <c r="K30" s="558"/>
    </row>
    <row r="31" spans="1:11" ht="18.75">
      <c r="A31" s="77"/>
      <c r="B31" s="60" t="s">
        <v>5</v>
      </c>
      <c r="C31" s="60"/>
      <c r="D31" s="62">
        <f>D29+D27+D15+D28+D30</f>
        <v>229972.1</v>
      </c>
      <c r="E31" s="62">
        <f>E29+E27+E15</f>
        <v>76757.29999999999</v>
      </c>
      <c r="F31" s="62">
        <f>F29+F27+F15</f>
        <v>83062.20000000001</v>
      </c>
      <c r="G31" s="62">
        <f>G29+G27+G15</f>
        <v>0</v>
      </c>
      <c r="H31" s="62">
        <f>H29+H27+H15</f>
        <v>0</v>
      </c>
      <c r="I31" s="62">
        <f>I29+I27+I15</f>
        <v>0</v>
      </c>
      <c r="J31" s="62">
        <f>J29+J27+J15+J28+J30</f>
        <v>70152.6</v>
      </c>
      <c r="K31" s="72"/>
    </row>
    <row r="32" spans="1:11" ht="18.75">
      <c r="A32" s="91"/>
      <c r="B32" s="142"/>
      <c r="C32" s="18"/>
      <c r="D32" s="19"/>
      <c r="E32" s="19"/>
      <c r="F32" s="19"/>
      <c r="G32" s="19"/>
      <c r="H32" s="19"/>
      <c r="I32" s="19"/>
      <c r="J32" s="19"/>
      <c r="K32" s="94"/>
    </row>
    <row r="33" spans="1:11" ht="0.75" customHeight="1">
      <c r="A33" s="91"/>
      <c r="B33" s="18"/>
      <c r="C33" s="18"/>
      <c r="D33" s="19"/>
      <c r="E33" s="19"/>
      <c r="F33" s="19"/>
      <c r="G33" s="19"/>
      <c r="H33" s="19"/>
      <c r="I33" s="19"/>
      <c r="J33" s="19"/>
      <c r="K33" s="99"/>
    </row>
    <row r="34" spans="1:11" ht="3" customHeight="1">
      <c r="A34" s="91"/>
      <c r="B34" s="18"/>
      <c r="C34" s="18"/>
      <c r="D34" s="19"/>
      <c r="E34" s="19"/>
      <c r="F34" s="19"/>
      <c r="G34" s="19"/>
      <c r="H34" s="19"/>
      <c r="I34" s="19"/>
      <c r="J34" s="19"/>
      <c r="K34" s="99"/>
    </row>
    <row r="35" spans="2:11" ht="18.75">
      <c r="B35" s="52"/>
      <c r="C35" s="53"/>
      <c r="E35" s="19"/>
      <c r="F35" s="19"/>
      <c r="G35" s="19"/>
      <c r="H35" s="19"/>
      <c r="I35" s="19"/>
      <c r="J35" s="19"/>
      <c r="K35" s="15"/>
    </row>
    <row r="36" spans="2:10" ht="35.25" customHeight="1">
      <c r="B36" s="380" t="s">
        <v>18</v>
      </c>
      <c r="C36" s="380"/>
      <c r="D36" s="91"/>
      <c r="E36" s="380"/>
      <c r="F36" s="672" t="s">
        <v>30</v>
      </c>
      <c r="G36" s="672"/>
      <c r="H36" s="672"/>
      <c r="I36" s="672"/>
      <c r="J36" s="672"/>
    </row>
    <row r="37" spans="2:10" ht="18.75">
      <c r="B37" s="380"/>
      <c r="C37" s="380"/>
      <c r="D37" s="91"/>
      <c r="E37" s="380"/>
      <c r="F37" s="381"/>
      <c r="G37" s="381"/>
      <c r="H37" s="381"/>
      <c r="I37" s="381"/>
      <c r="J37" s="381"/>
    </row>
    <row r="38" spans="2:10" ht="18.75">
      <c r="B38" s="96" t="s">
        <v>678</v>
      </c>
      <c r="C38" s="96"/>
      <c r="D38" s="91"/>
      <c r="E38" s="97"/>
      <c r="F38" s="98"/>
      <c r="G38" s="98"/>
      <c r="H38" s="98"/>
      <c r="I38" s="98"/>
      <c r="J38" s="98"/>
    </row>
    <row r="39" spans="2:10" ht="15.75">
      <c r="B39" s="100" t="s">
        <v>10</v>
      </c>
      <c r="C39" s="91"/>
      <c r="D39" s="100"/>
      <c r="E39" s="98"/>
      <c r="F39" s="98"/>
      <c r="G39" s="98"/>
      <c r="H39" s="98"/>
      <c r="I39" s="98"/>
      <c r="J39" s="98"/>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8">
    <mergeCell ref="A29:A30"/>
    <mergeCell ref="B29:B30"/>
    <mergeCell ref="K29:K30"/>
    <mergeCell ref="A16:A17"/>
    <mergeCell ref="B16:B17"/>
    <mergeCell ref="K16:K17"/>
    <mergeCell ref="A27:A28"/>
    <mergeCell ref="B27:B28"/>
    <mergeCell ref="K27:K28"/>
    <mergeCell ref="K25:K26"/>
    <mergeCell ref="K23:K24"/>
    <mergeCell ref="A23:A24"/>
    <mergeCell ref="B23:B24"/>
    <mergeCell ref="A19:A20"/>
    <mergeCell ref="B19:B20"/>
    <mergeCell ref="K19:K20"/>
    <mergeCell ref="A21:A22"/>
    <mergeCell ref="B21:B22"/>
    <mergeCell ref="K21:K22"/>
    <mergeCell ref="J1:K1"/>
    <mergeCell ref="J2:K2"/>
    <mergeCell ref="B10:K10"/>
    <mergeCell ref="D11:H11"/>
    <mergeCell ref="I13:I14"/>
    <mergeCell ref="J13:J14"/>
    <mergeCell ref="K12:K14"/>
    <mergeCell ref="E13:E14"/>
    <mergeCell ref="F13:F14"/>
    <mergeCell ref="A25:A26"/>
    <mergeCell ref="B25:B26"/>
    <mergeCell ref="F36:J36"/>
    <mergeCell ref="B12:B14"/>
    <mergeCell ref="C12:C14"/>
    <mergeCell ref="D12:D14"/>
    <mergeCell ref="E12:J12"/>
    <mergeCell ref="H13:H14"/>
    <mergeCell ref="A12:A14"/>
    <mergeCell ref="G13:G14"/>
  </mergeCells>
  <printOptions horizontalCentered="1"/>
  <pageMargins left="0" right="0" top="1.1811023622047245" bottom="0" header="0" footer="0"/>
  <pageSetup fitToHeight="1" fitToWidth="1"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N68"/>
  <sheetViews>
    <sheetView view="pageBreakPreview" zoomScale="80" zoomScaleSheetLayoutView="80" zoomScalePageLayoutView="0" workbookViewId="0" topLeftCell="A46">
      <selection activeCell="A1" sqref="A1:K62"/>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667" t="s">
        <v>394</v>
      </c>
      <c r="K1" s="667"/>
      <c r="L1" s="13" t="s">
        <v>19</v>
      </c>
    </row>
    <row r="2" spans="2:12" ht="18.75">
      <c r="B2" s="15"/>
      <c r="C2" s="15"/>
      <c r="D2" s="15"/>
      <c r="E2" s="15"/>
      <c r="F2" s="15"/>
      <c r="G2" s="15"/>
      <c r="H2" s="15"/>
      <c r="I2" s="12" t="s">
        <v>11</v>
      </c>
      <c r="J2" s="582" t="s">
        <v>11</v>
      </c>
      <c r="K2" s="582"/>
      <c r="L2" s="12" t="s">
        <v>11</v>
      </c>
    </row>
    <row r="3" spans="2:12" ht="18.75">
      <c r="B3" s="15"/>
      <c r="C3" s="15"/>
      <c r="D3" s="15"/>
      <c r="E3" s="15"/>
      <c r="F3" s="15"/>
      <c r="G3" s="15"/>
      <c r="H3" s="15"/>
      <c r="I3" s="12"/>
      <c r="J3" s="59" t="s">
        <v>688</v>
      </c>
      <c r="K3" s="59"/>
      <c r="L3" s="12"/>
    </row>
    <row r="4" spans="2:12" ht="18.75">
      <c r="B4" s="15"/>
      <c r="C4" s="15"/>
      <c r="D4" s="15"/>
      <c r="E4" s="15"/>
      <c r="F4" s="15"/>
      <c r="G4" s="15"/>
      <c r="H4" s="15"/>
      <c r="I4" s="12" t="s">
        <v>21</v>
      </c>
      <c r="J4" s="59" t="s">
        <v>729</v>
      </c>
      <c r="K4" s="59"/>
      <c r="L4" s="12" t="s">
        <v>21</v>
      </c>
    </row>
    <row r="5" spans="2:12" ht="18.75">
      <c r="B5" s="15"/>
      <c r="C5" s="15"/>
      <c r="D5" s="15"/>
      <c r="E5" s="15"/>
      <c r="F5" s="15"/>
      <c r="G5" s="15"/>
      <c r="H5" s="15"/>
      <c r="I5" s="12" t="s">
        <v>23</v>
      </c>
      <c r="J5" s="59" t="s">
        <v>730</v>
      </c>
      <c r="K5" s="59"/>
      <c r="L5" s="12" t="s">
        <v>23</v>
      </c>
    </row>
    <row r="6" spans="2:12" ht="18.75">
      <c r="B6" s="15"/>
      <c r="C6" s="15"/>
      <c r="D6" s="15"/>
      <c r="E6" s="15"/>
      <c r="F6" s="15"/>
      <c r="G6" s="15"/>
      <c r="H6" s="16"/>
      <c r="I6" s="12" t="s">
        <v>24</v>
      </c>
      <c r="J6" s="59" t="s">
        <v>731</v>
      </c>
      <c r="K6" s="59"/>
      <c r="L6" s="12" t="s">
        <v>24</v>
      </c>
    </row>
    <row r="7" spans="2:12" ht="18.75">
      <c r="B7" s="15"/>
      <c r="C7" s="15"/>
      <c r="D7" s="15"/>
      <c r="E7" s="15"/>
      <c r="F7" s="15"/>
      <c r="G7" s="15"/>
      <c r="H7" s="16"/>
      <c r="I7" s="12"/>
      <c r="J7" s="59" t="s">
        <v>691</v>
      </c>
      <c r="K7" s="59"/>
      <c r="L7" s="12"/>
    </row>
    <row r="8" spans="2:12" ht="18.75">
      <c r="B8" s="15"/>
      <c r="C8" s="15"/>
      <c r="D8" s="15"/>
      <c r="E8" s="15"/>
      <c r="F8" s="15"/>
      <c r="G8" s="15"/>
      <c r="H8" s="15"/>
      <c r="I8" s="15"/>
      <c r="J8" s="359" t="s">
        <v>711</v>
      </c>
      <c r="K8" s="359"/>
      <c r="L8" s="15"/>
    </row>
    <row r="9" spans="2:12" ht="36" customHeight="1">
      <c r="B9" s="586" t="s">
        <v>630</v>
      </c>
      <c r="C9" s="586"/>
      <c r="D9" s="586"/>
      <c r="E9" s="586"/>
      <c r="F9" s="586"/>
      <c r="G9" s="586"/>
      <c r="H9" s="586"/>
      <c r="I9" s="586"/>
      <c r="J9" s="586"/>
      <c r="K9" s="586"/>
      <c r="L9" s="15"/>
    </row>
    <row r="10" spans="2:12" ht="18.75">
      <c r="B10" s="15"/>
      <c r="C10" s="15"/>
      <c r="D10" s="589"/>
      <c r="E10" s="589"/>
      <c r="F10" s="589"/>
      <c r="G10" s="589"/>
      <c r="H10" s="589"/>
      <c r="I10" s="15"/>
      <c r="J10" s="15"/>
      <c r="K10" s="442" t="s">
        <v>467</v>
      </c>
      <c r="L10" s="15"/>
    </row>
    <row r="11" spans="1:12" ht="15.75" customHeight="1">
      <c r="A11" s="673" t="s">
        <v>6</v>
      </c>
      <c r="B11" s="583" t="s">
        <v>12</v>
      </c>
      <c r="C11" s="583" t="s">
        <v>13</v>
      </c>
      <c r="D11" s="583" t="s">
        <v>481</v>
      </c>
      <c r="E11" s="590" t="s">
        <v>9</v>
      </c>
      <c r="F11" s="590"/>
      <c r="G11" s="590"/>
      <c r="H11" s="590"/>
      <c r="I11" s="590"/>
      <c r="J11" s="665"/>
      <c r="K11" s="588" t="s">
        <v>15</v>
      </c>
      <c r="L11" s="15"/>
    </row>
    <row r="12" spans="1:12" ht="15.75">
      <c r="A12" s="674"/>
      <c r="B12" s="584"/>
      <c r="C12" s="584"/>
      <c r="D12" s="584"/>
      <c r="E12" s="583" t="s">
        <v>482</v>
      </c>
      <c r="F12" s="583" t="s">
        <v>483</v>
      </c>
      <c r="G12" s="583" t="s">
        <v>27</v>
      </c>
      <c r="H12" s="583" t="s">
        <v>28</v>
      </c>
      <c r="I12" s="583" t="s">
        <v>29</v>
      </c>
      <c r="J12" s="588" t="s">
        <v>484</v>
      </c>
      <c r="K12" s="588"/>
      <c r="L12" s="15"/>
    </row>
    <row r="13" spans="1:12" ht="21.75" customHeight="1">
      <c r="A13" s="675"/>
      <c r="B13" s="585"/>
      <c r="C13" s="585"/>
      <c r="D13" s="585"/>
      <c r="E13" s="585"/>
      <c r="F13" s="585"/>
      <c r="G13" s="585"/>
      <c r="H13" s="585"/>
      <c r="I13" s="585"/>
      <c r="J13" s="588"/>
      <c r="K13" s="588"/>
      <c r="L13" s="15"/>
    </row>
    <row r="14" spans="1:12" ht="28.5" customHeight="1">
      <c r="A14" s="673">
        <v>1</v>
      </c>
      <c r="B14" s="557" t="s">
        <v>268</v>
      </c>
      <c r="C14" s="238" t="s">
        <v>16</v>
      </c>
      <c r="D14" s="243">
        <f>E14+F14+J14</f>
        <v>3716.9</v>
      </c>
      <c r="E14" s="127">
        <v>2000</v>
      </c>
      <c r="F14" s="127">
        <f>2000-272-11.1</f>
        <v>1716.9</v>
      </c>
      <c r="G14" s="127"/>
      <c r="H14" s="127"/>
      <c r="I14" s="127"/>
      <c r="J14" s="127"/>
      <c r="K14" s="557" t="s">
        <v>55</v>
      </c>
      <c r="L14" s="15"/>
    </row>
    <row r="15" spans="1:12" ht="25.5" customHeight="1">
      <c r="A15" s="675"/>
      <c r="B15" s="558"/>
      <c r="C15" s="238" t="s">
        <v>648</v>
      </c>
      <c r="D15" s="243">
        <f>E15+F15+J15</f>
        <v>2000</v>
      </c>
      <c r="E15" s="127"/>
      <c r="F15" s="127"/>
      <c r="G15" s="127"/>
      <c r="H15" s="127"/>
      <c r="I15" s="127"/>
      <c r="J15" s="127">
        <v>2000</v>
      </c>
      <c r="K15" s="558"/>
      <c r="L15" s="15"/>
    </row>
    <row r="16" spans="1:12" ht="31.5" customHeight="1">
      <c r="A16" s="673">
        <v>2</v>
      </c>
      <c r="B16" s="557" t="s">
        <v>57</v>
      </c>
      <c r="C16" s="238" t="s">
        <v>16</v>
      </c>
      <c r="D16" s="243">
        <f aca="true" t="shared" si="0" ref="D16:D54">E16+F16+J16</f>
        <v>1550</v>
      </c>
      <c r="E16" s="127">
        <f>700</f>
        <v>700</v>
      </c>
      <c r="F16" s="127">
        <f>800+50</f>
        <v>850</v>
      </c>
      <c r="G16" s="127"/>
      <c r="H16" s="127"/>
      <c r="I16" s="127"/>
      <c r="J16" s="127"/>
      <c r="K16" s="557" t="s">
        <v>58</v>
      </c>
      <c r="L16" s="15"/>
    </row>
    <row r="17" spans="1:12" ht="21" customHeight="1">
      <c r="A17" s="675"/>
      <c r="B17" s="558"/>
      <c r="C17" s="238" t="s">
        <v>648</v>
      </c>
      <c r="D17" s="243">
        <f t="shared" si="0"/>
        <v>900</v>
      </c>
      <c r="E17" s="127"/>
      <c r="F17" s="127"/>
      <c r="G17" s="127"/>
      <c r="H17" s="127"/>
      <c r="I17" s="127"/>
      <c r="J17" s="127">
        <v>900</v>
      </c>
      <c r="K17" s="558"/>
      <c r="L17" s="15"/>
    </row>
    <row r="18" spans="1:12" ht="30" customHeight="1">
      <c r="A18" s="673">
        <v>3</v>
      </c>
      <c r="B18" s="557" t="s">
        <v>62</v>
      </c>
      <c r="C18" s="238" t="s">
        <v>16</v>
      </c>
      <c r="D18" s="243">
        <f t="shared" si="0"/>
        <v>463</v>
      </c>
      <c r="E18" s="127">
        <f>250-87</f>
        <v>163</v>
      </c>
      <c r="F18" s="127">
        <v>300</v>
      </c>
      <c r="G18" s="127"/>
      <c r="H18" s="127"/>
      <c r="I18" s="127"/>
      <c r="J18" s="127"/>
      <c r="K18" s="557" t="s">
        <v>31</v>
      </c>
      <c r="L18" s="15"/>
    </row>
    <row r="19" spans="1:12" ht="21.75" customHeight="1">
      <c r="A19" s="675"/>
      <c r="B19" s="558"/>
      <c r="C19" s="238" t="s">
        <v>648</v>
      </c>
      <c r="D19" s="243">
        <f t="shared" si="0"/>
        <v>350</v>
      </c>
      <c r="E19" s="127"/>
      <c r="F19" s="127"/>
      <c r="G19" s="127"/>
      <c r="H19" s="127"/>
      <c r="I19" s="127"/>
      <c r="J19" s="127">
        <v>350</v>
      </c>
      <c r="K19" s="558"/>
      <c r="L19" s="15"/>
    </row>
    <row r="20" spans="1:12" ht="33.75" customHeight="1">
      <c r="A20" s="673">
        <v>4</v>
      </c>
      <c r="B20" s="557" t="s">
        <v>395</v>
      </c>
      <c r="C20" s="238" t="s">
        <v>16</v>
      </c>
      <c r="D20" s="243">
        <f t="shared" si="0"/>
        <v>433.075</v>
      </c>
      <c r="E20" s="126">
        <v>209</v>
      </c>
      <c r="F20" s="126">
        <v>224.075</v>
      </c>
      <c r="G20" s="126"/>
      <c r="H20" s="126"/>
      <c r="I20" s="126"/>
      <c r="J20" s="126"/>
      <c r="K20" s="557" t="s">
        <v>60</v>
      </c>
      <c r="L20" s="15"/>
    </row>
    <row r="21" spans="1:12" ht="24.75" customHeight="1">
      <c r="A21" s="675"/>
      <c r="B21" s="558"/>
      <c r="C21" s="238" t="s">
        <v>648</v>
      </c>
      <c r="D21" s="243">
        <f t="shared" si="0"/>
        <v>537.53</v>
      </c>
      <c r="E21" s="126"/>
      <c r="F21" s="126"/>
      <c r="G21" s="126"/>
      <c r="H21" s="126"/>
      <c r="I21" s="126"/>
      <c r="J21" s="126">
        <v>537.53</v>
      </c>
      <c r="K21" s="559"/>
      <c r="L21" s="15"/>
    </row>
    <row r="22" spans="1:12" ht="33" customHeight="1">
      <c r="A22" s="680">
        <v>5</v>
      </c>
      <c r="B22" s="557" t="s">
        <v>59</v>
      </c>
      <c r="C22" s="238" t="s">
        <v>16</v>
      </c>
      <c r="D22" s="243">
        <f t="shared" si="0"/>
        <v>223.07999999999998</v>
      </c>
      <c r="E22" s="126">
        <v>103.38</v>
      </c>
      <c r="F22" s="126">
        <v>119.7</v>
      </c>
      <c r="G22" s="126"/>
      <c r="H22" s="126"/>
      <c r="I22" s="126"/>
      <c r="J22" s="126"/>
      <c r="K22" s="559"/>
      <c r="L22" s="15"/>
    </row>
    <row r="23" spans="1:12" ht="18.75">
      <c r="A23" s="681"/>
      <c r="B23" s="558"/>
      <c r="C23" s="238" t="s">
        <v>648</v>
      </c>
      <c r="D23" s="243">
        <f t="shared" si="0"/>
        <v>127.23</v>
      </c>
      <c r="E23" s="126"/>
      <c r="F23" s="126"/>
      <c r="G23" s="126"/>
      <c r="H23" s="126"/>
      <c r="I23" s="126"/>
      <c r="J23" s="126">
        <v>127.23</v>
      </c>
      <c r="K23" s="559"/>
      <c r="L23" s="15"/>
    </row>
    <row r="24" spans="1:12" ht="37.5" customHeight="1">
      <c r="A24" s="682">
        <v>6</v>
      </c>
      <c r="B24" s="557" t="s">
        <v>202</v>
      </c>
      <c r="C24" s="238" t="s">
        <v>16</v>
      </c>
      <c r="D24" s="243">
        <f t="shared" si="0"/>
        <v>909.54</v>
      </c>
      <c r="E24" s="126">
        <v>428.84</v>
      </c>
      <c r="F24" s="126">
        <v>480.7</v>
      </c>
      <c r="G24" s="126"/>
      <c r="H24" s="126"/>
      <c r="I24" s="126"/>
      <c r="J24" s="126"/>
      <c r="K24" s="559"/>
      <c r="L24" s="15"/>
    </row>
    <row r="25" spans="1:12" ht="88.5" customHeight="1">
      <c r="A25" s="683"/>
      <c r="B25" s="558"/>
      <c r="C25" s="238" t="s">
        <v>648</v>
      </c>
      <c r="D25" s="243">
        <f t="shared" si="0"/>
        <v>509.99</v>
      </c>
      <c r="E25" s="126"/>
      <c r="F25" s="126"/>
      <c r="G25" s="126"/>
      <c r="H25" s="126"/>
      <c r="I25" s="126"/>
      <c r="J25" s="126">
        <v>509.99</v>
      </c>
      <c r="K25" s="559"/>
      <c r="L25" s="15"/>
    </row>
    <row r="26" spans="1:12" ht="53.25" customHeight="1">
      <c r="A26" s="682">
        <v>7</v>
      </c>
      <c r="B26" s="557" t="s">
        <v>201</v>
      </c>
      <c r="C26" s="238" t="s">
        <v>16</v>
      </c>
      <c r="D26" s="243">
        <f t="shared" si="0"/>
        <v>547.2</v>
      </c>
      <c r="E26" s="126">
        <v>264</v>
      </c>
      <c r="F26" s="126">
        <v>283.2</v>
      </c>
      <c r="G26" s="126"/>
      <c r="H26" s="126"/>
      <c r="I26" s="126"/>
      <c r="J26" s="382"/>
      <c r="K26" s="559"/>
      <c r="L26" s="15"/>
    </row>
    <row r="27" spans="1:12" ht="18.75">
      <c r="A27" s="683"/>
      <c r="B27" s="558"/>
      <c r="C27" s="238" t="s">
        <v>648</v>
      </c>
      <c r="D27" s="243">
        <f t="shared" si="0"/>
        <v>300.192</v>
      </c>
      <c r="E27" s="126"/>
      <c r="F27" s="126"/>
      <c r="G27" s="126"/>
      <c r="H27" s="126"/>
      <c r="I27" s="126"/>
      <c r="J27" s="382">
        <v>300.192</v>
      </c>
      <c r="K27" s="558"/>
      <c r="L27" s="15"/>
    </row>
    <row r="28" spans="1:12" ht="93.75">
      <c r="A28" s="87">
        <v>8</v>
      </c>
      <c r="B28" s="383" t="s">
        <v>350</v>
      </c>
      <c r="C28" s="379" t="s">
        <v>16</v>
      </c>
      <c r="D28" s="243">
        <f t="shared" si="0"/>
        <v>250</v>
      </c>
      <c r="E28" s="126">
        <v>150</v>
      </c>
      <c r="F28" s="126">
        <v>100</v>
      </c>
      <c r="G28" s="126"/>
      <c r="H28" s="126"/>
      <c r="I28" s="126"/>
      <c r="J28" s="382">
        <v>0</v>
      </c>
      <c r="K28" s="384" t="s">
        <v>351</v>
      </c>
      <c r="L28" s="15"/>
    </row>
    <row r="29" spans="1:12" ht="42.75" customHeight="1">
      <c r="A29" s="673">
        <v>9</v>
      </c>
      <c r="B29" s="557" t="s">
        <v>61</v>
      </c>
      <c r="C29" s="238" t="s">
        <v>16</v>
      </c>
      <c r="D29" s="243">
        <f t="shared" si="0"/>
        <v>16</v>
      </c>
      <c r="E29" s="127">
        <v>10</v>
      </c>
      <c r="F29" s="127">
        <v>6</v>
      </c>
      <c r="G29" s="127"/>
      <c r="H29" s="127"/>
      <c r="I29" s="127"/>
      <c r="J29" s="127"/>
      <c r="K29" s="557" t="s">
        <v>36</v>
      </c>
      <c r="L29" s="15"/>
    </row>
    <row r="30" spans="1:12" ht="27.75" customHeight="1">
      <c r="A30" s="675"/>
      <c r="B30" s="558"/>
      <c r="C30" s="238" t="s">
        <v>648</v>
      </c>
      <c r="D30" s="243">
        <f t="shared" si="0"/>
        <v>15</v>
      </c>
      <c r="E30" s="127"/>
      <c r="F30" s="127"/>
      <c r="G30" s="127"/>
      <c r="H30" s="127"/>
      <c r="I30" s="127"/>
      <c r="J30" s="127">
        <v>15</v>
      </c>
      <c r="K30" s="558"/>
      <c r="L30" s="15"/>
    </row>
    <row r="31" spans="1:12" ht="34.5" customHeight="1">
      <c r="A31" s="673">
        <v>10</v>
      </c>
      <c r="B31" s="557" t="s">
        <v>200</v>
      </c>
      <c r="C31" s="238" t="s">
        <v>16</v>
      </c>
      <c r="D31" s="243">
        <f t="shared" si="0"/>
        <v>123</v>
      </c>
      <c r="E31" s="127">
        <v>65</v>
      </c>
      <c r="F31" s="127">
        <v>58</v>
      </c>
      <c r="G31" s="127"/>
      <c r="H31" s="127"/>
      <c r="I31" s="127"/>
      <c r="J31" s="127"/>
      <c r="K31" s="557" t="s">
        <v>36</v>
      </c>
      <c r="L31" s="15"/>
    </row>
    <row r="32" spans="1:12" ht="18.75">
      <c r="A32" s="675"/>
      <c r="B32" s="558"/>
      <c r="C32" s="238" t="s">
        <v>648</v>
      </c>
      <c r="D32" s="243">
        <f t="shared" si="0"/>
        <v>75</v>
      </c>
      <c r="E32" s="127"/>
      <c r="F32" s="127"/>
      <c r="G32" s="127"/>
      <c r="H32" s="127"/>
      <c r="I32" s="127"/>
      <c r="J32" s="127">
        <v>75</v>
      </c>
      <c r="K32" s="558"/>
      <c r="L32" s="15"/>
    </row>
    <row r="33" spans="1:12" ht="36.75" customHeight="1">
      <c r="A33" s="673">
        <v>11</v>
      </c>
      <c r="B33" s="557" t="s">
        <v>414</v>
      </c>
      <c r="C33" s="238" t="s">
        <v>16</v>
      </c>
      <c r="D33" s="243">
        <f t="shared" si="0"/>
        <v>274</v>
      </c>
      <c r="E33" s="127">
        <f>42+80+87</f>
        <v>209</v>
      </c>
      <c r="F33" s="127">
        <f>63+2</f>
        <v>65</v>
      </c>
      <c r="G33" s="127"/>
      <c r="H33" s="127"/>
      <c r="I33" s="127"/>
      <c r="J33" s="127"/>
      <c r="K33" s="557" t="s">
        <v>36</v>
      </c>
      <c r="L33" s="15"/>
    </row>
    <row r="34" spans="1:12" ht="29.25" customHeight="1">
      <c r="A34" s="675"/>
      <c r="B34" s="558"/>
      <c r="C34" s="304" t="s">
        <v>648</v>
      </c>
      <c r="D34" s="243">
        <f t="shared" si="0"/>
        <v>75</v>
      </c>
      <c r="E34" s="127"/>
      <c r="F34" s="127"/>
      <c r="G34" s="127"/>
      <c r="H34" s="127"/>
      <c r="I34" s="127"/>
      <c r="J34" s="127">
        <v>75</v>
      </c>
      <c r="K34" s="558"/>
      <c r="L34" s="15"/>
    </row>
    <row r="35" spans="1:12" ht="37.5">
      <c r="A35" s="86">
        <v>12</v>
      </c>
      <c r="B35" s="169" t="s">
        <v>280</v>
      </c>
      <c r="C35" s="304" t="s">
        <v>16</v>
      </c>
      <c r="D35" s="243">
        <f t="shared" si="0"/>
        <v>150</v>
      </c>
      <c r="E35" s="64">
        <v>150</v>
      </c>
      <c r="F35" s="127">
        <v>0</v>
      </c>
      <c r="G35" s="127">
        <v>0</v>
      </c>
      <c r="H35" s="127">
        <v>0</v>
      </c>
      <c r="I35" s="127">
        <v>0</v>
      </c>
      <c r="J35" s="127">
        <v>0</v>
      </c>
      <c r="K35" s="291" t="s">
        <v>36</v>
      </c>
      <c r="L35" s="15"/>
    </row>
    <row r="36" spans="1:12" ht="37.5">
      <c r="A36" s="86">
        <v>13</v>
      </c>
      <c r="B36" s="169" t="s">
        <v>281</v>
      </c>
      <c r="C36" s="304" t="s">
        <v>16</v>
      </c>
      <c r="D36" s="243">
        <f t="shared" si="0"/>
        <v>1</v>
      </c>
      <c r="E36" s="64">
        <v>1</v>
      </c>
      <c r="F36" s="127">
        <v>0</v>
      </c>
      <c r="G36" s="127"/>
      <c r="H36" s="127"/>
      <c r="I36" s="127"/>
      <c r="J36" s="127">
        <v>0</v>
      </c>
      <c r="K36" s="291" t="s">
        <v>36</v>
      </c>
      <c r="L36" s="15"/>
    </row>
    <row r="37" spans="1:12" ht="56.25" customHeight="1">
      <c r="A37" s="673">
        <v>14</v>
      </c>
      <c r="B37" s="557" t="s">
        <v>340</v>
      </c>
      <c r="C37" s="304" t="s">
        <v>16</v>
      </c>
      <c r="D37" s="243">
        <f t="shared" si="0"/>
        <v>85</v>
      </c>
      <c r="E37" s="64">
        <v>34</v>
      </c>
      <c r="F37" s="127">
        <v>51</v>
      </c>
      <c r="G37" s="127"/>
      <c r="H37" s="127"/>
      <c r="I37" s="127"/>
      <c r="J37" s="127"/>
      <c r="K37" s="557" t="s">
        <v>36</v>
      </c>
      <c r="L37" s="15"/>
    </row>
    <row r="38" spans="1:12" ht="18.75">
      <c r="A38" s="675"/>
      <c r="B38" s="558"/>
      <c r="C38" s="304" t="s">
        <v>648</v>
      </c>
      <c r="D38" s="243">
        <f t="shared" si="0"/>
        <v>48.35</v>
      </c>
      <c r="E38" s="64"/>
      <c r="F38" s="127"/>
      <c r="G38" s="127"/>
      <c r="H38" s="127"/>
      <c r="I38" s="127"/>
      <c r="J38" s="127">
        <v>48.35</v>
      </c>
      <c r="K38" s="558"/>
      <c r="L38" s="15"/>
    </row>
    <row r="39" spans="1:12" ht="75">
      <c r="A39" s="86">
        <v>15</v>
      </c>
      <c r="B39" s="169" t="s">
        <v>406</v>
      </c>
      <c r="C39" s="304" t="s">
        <v>16</v>
      </c>
      <c r="D39" s="243">
        <f t="shared" si="0"/>
        <v>250</v>
      </c>
      <c r="E39" s="64">
        <v>0</v>
      </c>
      <c r="F39" s="127">
        <v>250</v>
      </c>
      <c r="G39" s="127"/>
      <c r="H39" s="127"/>
      <c r="I39" s="127"/>
      <c r="J39" s="127">
        <v>0</v>
      </c>
      <c r="K39" s="413" t="s">
        <v>36</v>
      </c>
      <c r="L39" s="15"/>
    </row>
    <row r="40" spans="1:12" ht="37.5">
      <c r="A40" s="86">
        <v>16</v>
      </c>
      <c r="B40" s="169" t="s">
        <v>413</v>
      </c>
      <c r="C40" s="304" t="s">
        <v>16</v>
      </c>
      <c r="D40" s="243">
        <f t="shared" si="0"/>
        <v>200</v>
      </c>
      <c r="E40" s="64">
        <v>0</v>
      </c>
      <c r="F40" s="127">
        <v>200</v>
      </c>
      <c r="G40" s="127"/>
      <c r="H40" s="127"/>
      <c r="I40" s="127"/>
      <c r="J40" s="127">
        <v>0</v>
      </c>
      <c r="K40" s="414" t="s">
        <v>36</v>
      </c>
      <c r="L40" s="15"/>
    </row>
    <row r="41" spans="1:12" ht="86.25" customHeight="1">
      <c r="A41" s="86">
        <v>17</v>
      </c>
      <c r="B41" s="169" t="s">
        <v>415</v>
      </c>
      <c r="C41" s="304" t="s">
        <v>16</v>
      </c>
      <c r="D41" s="243">
        <f t="shared" si="0"/>
        <v>79.7</v>
      </c>
      <c r="E41" s="64">
        <v>0</v>
      </c>
      <c r="F41" s="127">
        <f>0+20+30+16.2+13.5</f>
        <v>79.7</v>
      </c>
      <c r="G41" s="127"/>
      <c r="H41" s="127"/>
      <c r="I41" s="127"/>
      <c r="J41" s="127">
        <v>0</v>
      </c>
      <c r="K41" s="414" t="s">
        <v>36</v>
      </c>
      <c r="L41" s="15"/>
    </row>
    <row r="42" spans="1:12" ht="32.25" customHeight="1">
      <c r="A42" s="673">
        <v>18</v>
      </c>
      <c r="B42" s="557" t="s">
        <v>523</v>
      </c>
      <c r="C42" s="304" t="s">
        <v>16</v>
      </c>
      <c r="D42" s="243">
        <f t="shared" si="0"/>
        <v>15</v>
      </c>
      <c r="E42" s="64">
        <v>0</v>
      </c>
      <c r="F42" s="127">
        <f>0+12+3</f>
        <v>15</v>
      </c>
      <c r="G42" s="127"/>
      <c r="H42" s="127"/>
      <c r="I42" s="127"/>
      <c r="J42" s="127"/>
      <c r="K42" s="557" t="s">
        <v>36</v>
      </c>
      <c r="L42" s="15"/>
    </row>
    <row r="43" spans="1:12" ht="21" customHeight="1">
      <c r="A43" s="675"/>
      <c r="B43" s="558"/>
      <c r="C43" s="304" t="s">
        <v>648</v>
      </c>
      <c r="D43" s="243">
        <f t="shared" si="0"/>
        <v>30</v>
      </c>
      <c r="E43" s="64"/>
      <c r="F43" s="127"/>
      <c r="G43" s="127"/>
      <c r="H43" s="127"/>
      <c r="I43" s="127"/>
      <c r="J43" s="127">
        <v>30</v>
      </c>
      <c r="K43" s="558"/>
      <c r="L43" s="15"/>
    </row>
    <row r="44" spans="1:12" ht="42" customHeight="1">
      <c r="A44" s="86">
        <v>19</v>
      </c>
      <c r="B44" s="447" t="s">
        <v>646</v>
      </c>
      <c r="C44" s="238" t="s">
        <v>16</v>
      </c>
      <c r="D44" s="243">
        <f t="shared" si="0"/>
        <v>200</v>
      </c>
      <c r="E44" s="64"/>
      <c r="F44" s="127">
        <f>0+200</f>
        <v>200</v>
      </c>
      <c r="G44" s="127"/>
      <c r="H44" s="127"/>
      <c r="I44" s="127"/>
      <c r="J44" s="127"/>
      <c r="K44" s="451" t="s">
        <v>36</v>
      </c>
      <c r="L44" s="15"/>
    </row>
    <row r="45" spans="1:12" ht="42" customHeight="1">
      <c r="A45" s="86">
        <v>20</v>
      </c>
      <c r="B45" s="477" t="s">
        <v>537</v>
      </c>
      <c r="C45" s="238" t="s">
        <v>16</v>
      </c>
      <c r="D45" s="243">
        <f t="shared" si="0"/>
        <v>80</v>
      </c>
      <c r="E45" s="64"/>
      <c r="F45" s="127">
        <f>0+80</f>
        <v>80</v>
      </c>
      <c r="G45" s="127"/>
      <c r="H45" s="127"/>
      <c r="I45" s="127"/>
      <c r="J45" s="127"/>
      <c r="K45" s="452" t="s">
        <v>36</v>
      </c>
      <c r="L45" s="15"/>
    </row>
    <row r="46" spans="1:12" ht="42" customHeight="1">
      <c r="A46" s="86">
        <v>21</v>
      </c>
      <c r="B46" s="477" t="s">
        <v>542</v>
      </c>
      <c r="C46" s="238" t="s">
        <v>16</v>
      </c>
      <c r="D46" s="243">
        <f t="shared" si="0"/>
        <v>84</v>
      </c>
      <c r="E46" s="64"/>
      <c r="F46" s="127">
        <v>84</v>
      </c>
      <c r="G46" s="127"/>
      <c r="H46" s="127"/>
      <c r="I46" s="127"/>
      <c r="J46" s="127"/>
      <c r="K46" s="452" t="s">
        <v>36</v>
      </c>
      <c r="L46" s="15"/>
    </row>
    <row r="47" spans="1:12" ht="69" customHeight="1">
      <c r="A47" s="86">
        <v>22</v>
      </c>
      <c r="B47" s="477" t="s">
        <v>543</v>
      </c>
      <c r="C47" s="238" t="s">
        <v>16</v>
      </c>
      <c r="D47" s="243">
        <f t="shared" si="0"/>
        <v>11.1</v>
      </c>
      <c r="E47" s="64"/>
      <c r="F47" s="127">
        <v>11.1</v>
      </c>
      <c r="G47" s="127"/>
      <c r="H47" s="127"/>
      <c r="I47" s="127"/>
      <c r="J47" s="127"/>
      <c r="K47" s="452" t="s">
        <v>36</v>
      </c>
      <c r="L47" s="15"/>
    </row>
    <row r="48" spans="1:12" ht="34.5" customHeight="1">
      <c r="A48" s="86"/>
      <c r="B48" s="477" t="s">
        <v>638</v>
      </c>
      <c r="C48" s="238" t="s">
        <v>16</v>
      </c>
      <c r="D48" s="243">
        <f t="shared" si="0"/>
        <v>96</v>
      </c>
      <c r="E48" s="64"/>
      <c r="F48" s="127">
        <v>96</v>
      </c>
      <c r="G48" s="127"/>
      <c r="H48" s="127"/>
      <c r="I48" s="127"/>
      <c r="J48" s="127"/>
      <c r="K48" s="472" t="s">
        <v>36</v>
      </c>
      <c r="L48" s="15"/>
    </row>
    <row r="49" spans="1:12" ht="54.75" customHeight="1">
      <c r="A49" s="86">
        <v>23</v>
      </c>
      <c r="B49" s="477" t="s">
        <v>544</v>
      </c>
      <c r="C49" s="238" t="s">
        <v>648</v>
      </c>
      <c r="D49" s="243">
        <f t="shared" si="0"/>
        <v>150</v>
      </c>
      <c r="E49" s="64"/>
      <c r="F49" s="127"/>
      <c r="G49" s="127"/>
      <c r="H49" s="127"/>
      <c r="I49" s="127"/>
      <c r="J49" s="127">
        <v>150</v>
      </c>
      <c r="K49" s="518" t="s">
        <v>36</v>
      </c>
      <c r="L49" s="15"/>
    </row>
    <row r="50" spans="1:12" ht="49.5" customHeight="1">
      <c r="A50" s="86">
        <v>24</v>
      </c>
      <c r="B50" s="477" t="s">
        <v>545</v>
      </c>
      <c r="C50" s="238" t="s">
        <v>648</v>
      </c>
      <c r="D50" s="243">
        <f t="shared" si="0"/>
        <v>50</v>
      </c>
      <c r="E50" s="64"/>
      <c r="F50" s="127"/>
      <c r="G50" s="127"/>
      <c r="H50" s="127"/>
      <c r="I50" s="127"/>
      <c r="J50" s="127">
        <v>50</v>
      </c>
      <c r="K50" s="452" t="s">
        <v>36</v>
      </c>
      <c r="L50" s="15"/>
    </row>
    <row r="51" spans="1:12" ht="39.75" customHeight="1">
      <c r="A51" s="86">
        <v>25</v>
      </c>
      <c r="B51" s="477" t="s">
        <v>546</v>
      </c>
      <c r="C51" s="238" t="s">
        <v>648</v>
      </c>
      <c r="D51" s="243">
        <f t="shared" si="0"/>
        <v>85</v>
      </c>
      <c r="E51" s="64"/>
      <c r="F51" s="127"/>
      <c r="G51" s="127"/>
      <c r="H51" s="127"/>
      <c r="I51" s="127"/>
      <c r="J51" s="127">
        <v>85</v>
      </c>
      <c r="K51" s="452" t="s">
        <v>36</v>
      </c>
      <c r="L51" s="15"/>
    </row>
    <row r="52" spans="1:12" ht="38.25" customHeight="1">
      <c r="A52" s="86">
        <v>26</v>
      </c>
      <c r="B52" s="477" t="s">
        <v>547</v>
      </c>
      <c r="C52" s="238" t="s">
        <v>648</v>
      </c>
      <c r="D52" s="243">
        <f t="shared" si="0"/>
        <v>300</v>
      </c>
      <c r="E52" s="64"/>
      <c r="F52" s="127"/>
      <c r="G52" s="127"/>
      <c r="H52" s="127"/>
      <c r="I52" s="127"/>
      <c r="J52" s="127">
        <v>300</v>
      </c>
      <c r="K52" s="452" t="s">
        <v>36</v>
      </c>
      <c r="L52" s="15"/>
    </row>
    <row r="53" spans="1:12" ht="96" customHeight="1">
      <c r="A53" s="86">
        <v>27</v>
      </c>
      <c r="B53" s="477" t="s">
        <v>647</v>
      </c>
      <c r="C53" s="238" t="s">
        <v>648</v>
      </c>
      <c r="D53" s="243">
        <f t="shared" si="0"/>
        <v>60</v>
      </c>
      <c r="E53" s="64"/>
      <c r="F53" s="127"/>
      <c r="G53" s="127"/>
      <c r="H53" s="127"/>
      <c r="I53" s="127"/>
      <c r="J53" s="127">
        <v>60</v>
      </c>
      <c r="K53" s="479" t="s">
        <v>36</v>
      </c>
      <c r="L53" s="15"/>
    </row>
    <row r="54" spans="1:12" ht="39" customHeight="1">
      <c r="A54" s="86">
        <v>28</v>
      </c>
      <c r="B54" s="477" t="s">
        <v>728</v>
      </c>
      <c r="C54" s="238" t="s">
        <v>648</v>
      </c>
      <c r="D54" s="243">
        <f t="shared" si="0"/>
        <v>190</v>
      </c>
      <c r="E54" s="64"/>
      <c r="F54" s="127"/>
      <c r="G54" s="127"/>
      <c r="H54" s="127"/>
      <c r="I54" s="127"/>
      <c r="J54" s="127">
        <v>190</v>
      </c>
      <c r="K54" s="540" t="s">
        <v>36</v>
      </c>
      <c r="L54" s="15"/>
    </row>
    <row r="55" spans="1:12" ht="21.75" customHeight="1">
      <c r="A55" s="77"/>
      <c r="B55" s="60" t="s">
        <v>5</v>
      </c>
      <c r="C55" s="71"/>
      <c r="D55" s="306">
        <f>D14+D16+D18+D20+D22+D24+D26+D28+D29+D31+D33+D35+D36+D37+D39+D40+D41+D42+D44+D45+D46+D47+D49+D50+D51+D52+D48+D53+D15+D17+D19+D21+D23+D25+D27+D30+D32+D34+D38+D43+D54</f>
        <v>15560.887</v>
      </c>
      <c r="E55" s="306">
        <f>E14+E16+E18+E20+E22+E24+E26+E28+E29+E31+E33+E35+E36+E37+E39+E40</f>
        <v>4487.22</v>
      </c>
      <c r="F55" s="306">
        <f>F14+F16+F18+F20+F22+F24+F26+F28+F29+F31+F33+F35+F36+F37+F39+F40+F41+F42+F44+F45+F46+F47+F48</f>
        <v>5270.374999999999</v>
      </c>
      <c r="G55" s="306">
        <f>G14+G16+G18+G20+G22+G24+G26+G29+G31+G33+G35+G36</f>
        <v>0</v>
      </c>
      <c r="H55" s="306">
        <f>H14+H16+H18+H20+H22+H24+H26+H29+H31+H33+H35+H36</f>
        <v>0</v>
      </c>
      <c r="I55" s="306">
        <f>I14+I16+I18+I20+I22+I24+I26+I29+I31+I33+I35+I36</f>
        <v>0</v>
      </c>
      <c r="J55" s="306">
        <f>J14+J16+J18+J20+J22+J24+J26+J29+J31+J33+J35+J36+J37+J39+J40+J41+J42+J44+J45+J46+J47+J49+J50+J51+J52+J53+J15+J17+J19+J21+J23+J25+J27+J30+J32+J34+J38+J43+J48+J54</f>
        <v>5803.2919999999995</v>
      </c>
      <c r="K55" s="72"/>
      <c r="L55" s="15"/>
    </row>
    <row r="56" spans="1:12" ht="15.75">
      <c r="A56" s="41"/>
      <c r="B56" s="18"/>
      <c r="C56" s="18"/>
      <c r="D56" s="90"/>
      <c r="E56" s="90"/>
      <c r="F56" s="90"/>
      <c r="G56" s="90"/>
      <c r="H56" s="90"/>
      <c r="I56" s="90"/>
      <c r="J56" s="90"/>
      <c r="K56" s="20"/>
      <c r="L56" s="15"/>
    </row>
    <row r="57" spans="1:12" ht="15.75" hidden="1">
      <c r="A57" s="41"/>
      <c r="B57" s="18"/>
      <c r="C57" s="18"/>
      <c r="D57" s="90"/>
      <c r="E57" s="90"/>
      <c r="F57" s="90"/>
      <c r="G57" s="90"/>
      <c r="H57" s="90"/>
      <c r="I57" s="90"/>
      <c r="J57" s="90"/>
      <c r="K57" s="20"/>
      <c r="L57" s="15"/>
    </row>
    <row r="58" spans="1:13" s="91" customFormat="1" ht="18.75" customHeight="1">
      <c r="A58" s="14"/>
      <c r="B58" s="18"/>
      <c r="C58" s="18"/>
      <c r="D58" s="19"/>
      <c r="E58" s="19"/>
      <c r="F58" s="19"/>
      <c r="G58" s="19"/>
      <c r="H58" s="19"/>
      <c r="I58" s="19"/>
      <c r="J58" s="19"/>
      <c r="K58" s="20"/>
      <c r="L58" s="95" t="s">
        <v>7</v>
      </c>
      <c r="M58" s="94"/>
    </row>
    <row r="59" spans="1:13" s="91" customFormat="1" ht="18.75" customHeight="1">
      <c r="A59" s="14"/>
      <c r="B59" s="52"/>
      <c r="C59" s="53"/>
      <c r="D59" s="14"/>
      <c r="E59" s="19"/>
      <c r="F59" s="19"/>
      <c r="G59" s="19"/>
      <c r="H59" s="19"/>
      <c r="I59" s="19"/>
      <c r="J59" s="19"/>
      <c r="K59" s="53"/>
      <c r="L59" s="95"/>
      <c r="M59" s="94"/>
    </row>
    <row r="60" spans="2:12" s="91" customFormat="1" ht="33" customHeight="1">
      <c r="B60" s="380" t="s">
        <v>18</v>
      </c>
      <c r="C60" s="380"/>
      <c r="E60" s="380"/>
      <c r="F60" s="672" t="s">
        <v>30</v>
      </c>
      <c r="G60" s="672"/>
      <c r="H60" s="672"/>
      <c r="I60" s="672"/>
      <c r="J60" s="672"/>
      <c r="K60" s="94"/>
      <c r="L60" s="99"/>
    </row>
    <row r="61" spans="2:14" s="91" customFormat="1" ht="13.5" customHeight="1">
      <c r="B61" s="92"/>
      <c r="C61" s="92"/>
      <c r="E61" s="92"/>
      <c r="F61" s="93"/>
      <c r="G61" s="93"/>
      <c r="H61" s="93"/>
      <c r="I61" s="93"/>
      <c r="J61" s="93"/>
      <c r="K61" s="94"/>
      <c r="L61" s="99"/>
      <c r="N61" s="101"/>
    </row>
    <row r="62" spans="1:11" ht="18.75">
      <c r="A62" s="91"/>
      <c r="B62" s="141" t="s">
        <v>678</v>
      </c>
      <c r="C62" s="96"/>
      <c r="D62" s="91"/>
      <c r="E62" s="97"/>
      <c r="F62" s="98"/>
      <c r="G62" s="98"/>
      <c r="H62" s="98"/>
      <c r="I62" s="98"/>
      <c r="J62" s="98"/>
      <c r="K62" s="99"/>
    </row>
    <row r="63" spans="1:11" ht="15.75">
      <c r="A63" s="91"/>
      <c r="B63" s="140"/>
      <c r="C63" s="91"/>
      <c r="D63" s="100"/>
      <c r="E63" s="98"/>
      <c r="F63" s="98"/>
      <c r="G63" s="98"/>
      <c r="H63" s="98"/>
      <c r="I63" s="98"/>
      <c r="J63" s="98"/>
      <c r="K63" s="99"/>
    </row>
    <row r="64" spans="2:11" ht="15.75">
      <c r="B64" s="28"/>
      <c r="C64" s="29"/>
      <c r="D64" s="30"/>
      <c r="E64" s="26"/>
      <c r="F64" s="26"/>
      <c r="G64" s="26"/>
      <c r="H64" s="26"/>
      <c r="I64" s="26"/>
      <c r="J64" s="15"/>
      <c r="K64" s="15"/>
    </row>
    <row r="65" spans="3:10" ht="15.75">
      <c r="C65" s="30"/>
      <c r="D65" s="26"/>
      <c r="E65" s="26"/>
      <c r="F65" s="26"/>
      <c r="G65" s="26"/>
      <c r="H65" s="26"/>
      <c r="I65" s="26"/>
      <c r="J65" s="26"/>
    </row>
    <row r="66" spans="3:10" ht="15.75">
      <c r="C66" s="31"/>
      <c r="D66" s="26"/>
      <c r="E66" s="26"/>
      <c r="F66" s="26"/>
      <c r="G66" s="26"/>
      <c r="H66" s="26"/>
      <c r="I66" s="26"/>
      <c r="J66" s="26"/>
    </row>
    <row r="68" ht="12.75">
      <c r="H68" s="32"/>
    </row>
  </sheetData>
  <sheetProtection/>
  <mergeCells count="50">
    <mergeCell ref="A37:A38"/>
    <mergeCell ref="B37:B38"/>
    <mergeCell ref="K37:K38"/>
    <mergeCell ref="A42:A43"/>
    <mergeCell ref="B42:B43"/>
    <mergeCell ref="K42:K43"/>
    <mergeCell ref="A31:A32"/>
    <mergeCell ref="B31:B32"/>
    <mergeCell ref="K31:K32"/>
    <mergeCell ref="A33:A34"/>
    <mergeCell ref="B33:B34"/>
    <mergeCell ref="K33:K34"/>
    <mergeCell ref="A24:A25"/>
    <mergeCell ref="B24:B25"/>
    <mergeCell ref="A26:A27"/>
    <mergeCell ref="B26:B27"/>
    <mergeCell ref="K20:K27"/>
    <mergeCell ref="A29:A30"/>
    <mergeCell ref="B29:B30"/>
    <mergeCell ref="K29:K30"/>
    <mergeCell ref="A18:A19"/>
    <mergeCell ref="B18:B19"/>
    <mergeCell ref="K18:K19"/>
    <mergeCell ref="A20:A21"/>
    <mergeCell ref="B20:B21"/>
    <mergeCell ref="A22:A23"/>
    <mergeCell ref="B22:B23"/>
    <mergeCell ref="A14:A15"/>
    <mergeCell ref="B14:B15"/>
    <mergeCell ref="K14:K15"/>
    <mergeCell ref="A16:A17"/>
    <mergeCell ref="B16:B17"/>
    <mergeCell ref="K16:K17"/>
    <mergeCell ref="F60:J60"/>
    <mergeCell ref="K11:K13"/>
    <mergeCell ref="E12:E13"/>
    <mergeCell ref="F12:F13"/>
    <mergeCell ref="G12:G13"/>
    <mergeCell ref="H12:H13"/>
    <mergeCell ref="I12:I13"/>
    <mergeCell ref="J12:J13"/>
    <mergeCell ref="J1:K1"/>
    <mergeCell ref="J2:K2"/>
    <mergeCell ref="B9:K9"/>
    <mergeCell ref="D10:H10"/>
    <mergeCell ref="A11:A13"/>
    <mergeCell ref="B11:B13"/>
    <mergeCell ref="C11:C13"/>
    <mergeCell ref="D11:D13"/>
    <mergeCell ref="E11:J11"/>
  </mergeCells>
  <printOptions horizontalCentered="1"/>
  <pageMargins left="0" right="0" top="1.1811023622047245" bottom="0" header="0" footer="0"/>
  <pageSetup fitToHeight="2" fitToWidth="1" horizontalDpi="600" verticalDpi="600" orientation="landscape" paperSize="9" scale="48" r:id="rId1"/>
  <rowBreaks count="1" manualBreakCount="1">
    <brk id="62" max="10"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K56"/>
  <sheetViews>
    <sheetView zoomScaleSheetLayoutView="83" zoomScalePageLayoutView="75" workbookViewId="0" topLeftCell="A39">
      <selection activeCell="A1" sqref="A1:K51"/>
    </sheetView>
  </sheetViews>
  <sheetFormatPr defaultColWidth="9.140625" defaultRowHeight="12.75"/>
  <cols>
    <col min="1" max="1" width="7.85156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684" t="s">
        <v>501</v>
      </c>
      <c r="K1" s="684"/>
    </row>
    <row r="2" spans="2:11" ht="12.75" customHeight="1">
      <c r="B2" s="1"/>
      <c r="C2" s="1"/>
      <c r="D2" s="1"/>
      <c r="E2" s="1"/>
      <c r="F2" s="1"/>
      <c r="G2" s="1"/>
      <c r="H2" s="1"/>
      <c r="I2" s="3" t="s">
        <v>11</v>
      </c>
      <c r="J2" s="662" t="s">
        <v>11</v>
      </c>
      <c r="K2" s="662"/>
    </row>
    <row r="3" spans="2:11" ht="12.75" customHeight="1">
      <c r="B3" s="1"/>
      <c r="C3" s="1"/>
      <c r="D3" s="1"/>
      <c r="E3" s="1"/>
      <c r="F3" s="1"/>
      <c r="G3" s="1"/>
      <c r="H3" s="1"/>
      <c r="I3" s="3"/>
      <c r="J3" s="3" t="s">
        <v>322</v>
      </c>
      <c r="K3" s="3"/>
    </row>
    <row r="4" spans="2:11" ht="12" customHeight="1">
      <c r="B4" s="1"/>
      <c r="C4" s="1"/>
      <c r="D4" s="1"/>
      <c r="E4" s="1"/>
      <c r="F4" s="1"/>
      <c r="G4" s="1"/>
      <c r="H4" s="1"/>
      <c r="I4" s="3" t="s">
        <v>21</v>
      </c>
      <c r="J4" s="3" t="s">
        <v>702</v>
      </c>
      <c r="K4" s="3"/>
    </row>
    <row r="5" spans="2:11" ht="12.75" customHeight="1">
      <c r="B5" s="1"/>
      <c r="C5" s="1"/>
      <c r="D5" s="1"/>
      <c r="E5" s="1"/>
      <c r="F5" s="1"/>
      <c r="G5" s="1"/>
      <c r="H5" s="1"/>
      <c r="I5" s="3" t="s">
        <v>23</v>
      </c>
      <c r="J5" s="3" t="s">
        <v>695</v>
      </c>
      <c r="K5" s="3"/>
    </row>
    <row r="6" spans="2:11" ht="12.75" customHeight="1">
      <c r="B6" s="1"/>
      <c r="C6" s="1"/>
      <c r="D6" s="1"/>
      <c r="E6" s="1"/>
      <c r="F6" s="1"/>
      <c r="G6" s="1"/>
      <c r="H6" s="1"/>
      <c r="I6" s="3"/>
      <c r="J6" s="3" t="s">
        <v>683</v>
      </c>
      <c r="K6" s="3"/>
    </row>
    <row r="7" spans="9:11" s="411" customFormat="1" ht="15" customHeight="1">
      <c r="I7" s="56" t="s">
        <v>24</v>
      </c>
      <c r="J7" s="662" t="s">
        <v>684</v>
      </c>
      <c r="K7" s="662"/>
    </row>
    <row r="8" spans="9:11" s="411" customFormat="1" ht="15" customHeight="1">
      <c r="I8" s="56"/>
      <c r="J8" s="3" t="s">
        <v>685</v>
      </c>
      <c r="K8" s="3"/>
    </row>
    <row r="9" spans="9:11" s="411" customFormat="1" ht="15" customHeight="1">
      <c r="I9" s="56" t="s">
        <v>25</v>
      </c>
      <c r="J9" s="592" t="s">
        <v>712</v>
      </c>
      <c r="K9" s="662"/>
    </row>
    <row r="10" spans="9:11" s="411" customFormat="1" ht="15.75" customHeight="1">
      <c r="I10" s="56"/>
      <c r="J10" s="592"/>
      <c r="K10" s="592"/>
    </row>
    <row r="11" spans="2:11" ht="15" customHeight="1">
      <c r="B11" s="1"/>
      <c r="C11" s="1"/>
      <c r="D11" s="1"/>
      <c r="E11" s="1"/>
      <c r="F11" s="1"/>
      <c r="G11" s="1"/>
      <c r="H11" s="1"/>
      <c r="I11" s="1"/>
      <c r="J11" s="1"/>
      <c r="K11" s="1"/>
    </row>
    <row r="12" spans="2:11" ht="6" customHeight="1">
      <c r="B12" s="1"/>
      <c r="C12" s="1"/>
      <c r="D12" s="1"/>
      <c r="E12" s="1"/>
      <c r="F12" s="1"/>
      <c r="G12" s="1"/>
      <c r="H12" s="1"/>
      <c r="I12" s="1"/>
      <c r="J12" s="411"/>
      <c r="K12" s="1"/>
    </row>
    <row r="13" spans="2:11" ht="34.5" customHeight="1">
      <c r="B13" s="594" t="s">
        <v>631</v>
      </c>
      <c r="C13" s="594"/>
      <c r="D13" s="594"/>
      <c r="E13" s="594"/>
      <c r="F13" s="594"/>
      <c r="G13" s="594"/>
      <c r="H13" s="594"/>
      <c r="I13" s="594"/>
      <c r="J13" s="594"/>
      <c r="K13" s="594"/>
    </row>
    <row r="14" spans="2:11" ht="15.75">
      <c r="B14" s="1"/>
      <c r="C14" s="1"/>
      <c r="D14" s="663"/>
      <c r="E14" s="663"/>
      <c r="F14" s="663"/>
      <c r="G14" s="663"/>
      <c r="H14" s="663"/>
      <c r="I14" s="1"/>
      <c r="J14" s="1"/>
      <c r="K14" s="46" t="s">
        <v>426</v>
      </c>
    </row>
    <row r="15" spans="1:11" ht="15" customHeight="1">
      <c r="A15" s="583" t="s">
        <v>6</v>
      </c>
      <c r="B15" s="583" t="s">
        <v>12</v>
      </c>
      <c r="C15" s="583" t="s">
        <v>434</v>
      </c>
      <c r="D15" s="583" t="s">
        <v>432</v>
      </c>
      <c r="E15" s="590" t="s">
        <v>9</v>
      </c>
      <c r="F15" s="590"/>
      <c r="G15" s="590"/>
      <c r="H15" s="590"/>
      <c r="I15" s="590"/>
      <c r="J15" s="665"/>
      <c r="K15" s="588" t="s">
        <v>15</v>
      </c>
    </row>
    <row r="16" spans="1:11" ht="12.75">
      <c r="A16" s="584"/>
      <c r="B16" s="584"/>
      <c r="C16" s="584"/>
      <c r="D16" s="584"/>
      <c r="E16" s="583" t="s">
        <v>435</v>
      </c>
      <c r="F16" s="583" t="s">
        <v>436</v>
      </c>
      <c r="G16" s="583" t="s">
        <v>27</v>
      </c>
      <c r="H16" s="583" t="s">
        <v>28</v>
      </c>
      <c r="I16" s="583" t="s">
        <v>29</v>
      </c>
      <c r="J16" s="588" t="s">
        <v>431</v>
      </c>
      <c r="K16" s="588"/>
    </row>
    <row r="17" spans="1:11" ht="18" customHeight="1">
      <c r="A17" s="585"/>
      <c r="B17" s="585"/>
      <c r="C17" s="585"/>
      <c r="D17" s="585"/>
      <c r="E17" s="585"/>
      <c r="F17" s="585"/>
      <c r="G17" s="585"/>
      <c r="H17" s="585"/>
      <c r="I17" s="585"/>
      <c r="J17" s="588"/>
      <c r="K17" s="588"/>
    </row>
    <row r="18" spans="1:11" ht="67.5" customHeight="1">
      <c r="A18" s="36">
        <v>1</v>
      </c>
      <c r="B18" s="169" t="s">
        <v>52</v>
      </c>
      <c r="C18" s="238" t="s">
        <v>16</v>
      </c>
      <c r="D18" s="126">
        <f>SUM(E18:J18)</f>
        <v>70</v>
      </c>
      <c r="E18" s="127">
        <v>70</v>
      </c>
      <c r="F18" s="127"/>
      <c r="G18" s="127"/>
      <c r="H18" s="127"/>
      <c r="I18" s="127"/>
      <c r="J18" s="127"/>
      <c r="K18" s="36" t="s">
        <v>48</v>
      </c>
    </row>
    <row r="19" spans="1:11" ht="40.5" customHeight="1">
      <c r="A19" s="578">
        <v>2</v>
      </c>
      <c r="B19" s="557" t="s">
        <v>258</v>
      </c>
      <c r="C19" s="238" t="s">
        <v>16</v>
      </c>
      <c r="D19" s="126">
        <f>SUM(E19:J19)</f>
        <v>15992</v>
      </c>
      <c r="E19" s="64">
        <v>5492</v>
      </c>
      <c r="F19" s="127">
        <f>6500+4000</f>
        <v>10500</v>
      </c>
      <c r="G19" s="127"/>
      <c r="H19" s="127"/>
      <c r="I19" s="127"/>
      <c r="J19" s="127"/>
      <c r="K19" s="578" t="s">
        <v>48</v>
      </c>
    </row>
    <row r="20" spans="1:11" ht="30" customHeight="1">
      <c r="A20" s="579"/>
      <c r="B20" s="558"/>
      <c r="C20" s="238" t="s">
        <v>648</v>
      </c>
      <c r="D20" s="126">
        <f>SUM(E20:J20)</f>
        <v>7000</v>
      </c>
      <c r="E20" s="64"/>
      <c r="F20" s="127"/>
      <c r="G20" s="127"/>
      <c r="H20" s="127"/>
      <c r="I20" s="127"/>
      <c r="J20" s="127">
        <v>7000</v>
      </c>
      <c r="K20" s="579"/>
    </row>
    <row r="21" spans="1:11" ht="67.5" customHeight="1">
      <c r="A21" s="36">
        <v>3</v>
      </c>
      <c r="B21" s="169" t="s">
        <v>53</v>
      </c>
      <c r="C21" s="238" t="s">
        <v>16</v>
      </c>
      <c r="D21" s="126">
        <f aca="true" t="shared" si="0" ref="D21:D44">SUM(E21:J21)</f>
        <v>350.4</v>
      </c>
      <c r="E21" s="127">
        <v>150.4</v>
      </c>
      <c r="F21" s="127">
        <v>200</v>
      </c>
      <c r="G21" s="127"/>
      <c r="H21" s="127"/>
      <c r="I21" s="127"/>
      <c r="J21" s="127"/>
      <c r="K21" s="36" t="s">
        <v>48</v>
      </c>
    </row>
    <row r="22" spans="1:11" ht="36" customHeight="1">
      <c r="A22" s="578">
        <v>4</v>
      </c>
      <c r="B22" s="557" t="s">
        <v>412</v>
      </c>
      <c r="C22" s="238" t="s">
        <v>16</v>
      </c>
      <c r="D22" s="126">
        <f t="shared" si="0"/>
        <v>230</v>
      </c>
      <c r="E22" s="126">
        <v>100</v>
      </c>
      <c r="F22" s="126">
        <f>130+20000-3000-9000-3000-3000-2000</f>
        <v>130</v>
      </c>
      <c r="G22" s="126"/>
      <c r="H22" s="126"/>
      <c r="I22" s="126"/>
      <c r="J22" s="126"/>
      <c r="K22" s="578" t="s">
        <v>48</v>
      </c>
    </row>
    <row r="23" spans="1:11" ht="33.75" customHeight="1">
      <c r="A23" s="579"/>
      <c r="B23" s="558"/>
      <c r="C23" s="238" t="s">
        <v>648</v>
      </c>
      <c r="D23" s="126">
        <f t="shared" si="0"/>
        <v>350</v>
      </c>
      <c r="E23" s="126"/>
      <c r="F23" s="126"/>
      <c r="G23" s="126"/>
      <c r="H23" s="126"/>
      <c r="I23" s="126"/>
      <c r="J23" s="126">
        <v>350</v>
      </c>
      <c r="K23" s="579"/>
    </row>
    <row r="24" spans="1:11" ht="31.5" customHeight="1">
      <c r="A24" s="578">
        <v>5</v>
      </c>
      <c r="B24" s="557" t="s">
        <v>518</v>
      </c>
      <c r="C24" s="238" t="s">
        <v>16</v>
      </c>
      <c r="D24" s="126">
        <f t="shared" si="0"/>
        <v>850</v>
      </c>
      <c r="E24" s="126">
        <v>400</v>
      </c>
      <c r="F24" s="126">
        <v>450</v>
      </c>
      <c r="G24" s="126"/>
      <c r="H24" s="126"/>
      <c r="I24" s="126"/>
      <c r="J24" s="126"/>
      <c r="K24" s="578" t="s">
        <v>48</v>
      </c>
    </row>
    <row r="25" spans="1:11" ht="32.25" customHeight="1">
      <c r="A25" s="579"/>
      <c r="B25" s="558"/>
      <c r="C25" s="238" t="s">
        <v>648</v>
      </c>
      <c r="D25" s="126">
        <f t="shared" si="0"/>
        <v>500</v>
      </c>
      <c r="E25" s="126"/>
      <c r="F25" s="126"/>
      <c r="G25" s="126"/>
      <c r="H25" s="126"/>
      <c r="I25" s="126"/>
      <c r="J25" s="126">
        <v>500</v>
      </c>
      <c r="K25" s="579"/>
    </row>
    <row r="26" spans="1:11" ht="35.25" customHeight="1">
      <c r="A26" s="578">
        <v>6</v>
      </c>
      <c r="B26" s="557" t="s">
        <v>54</v>
      </c>
      <c r="C26" s="238" t="s">
        <v>16</v>
      </c>
      <c r="D26" s="126">
        <f t="shared" si="0"/>
        <v>3250</v>
      </c>
      <c r="E26" s="37">
        <f>1000+700+50</f>
        <v>1750</v>
      </c>
      <c r="F26" s="126">
        <v>1500</v>
      </c>
      <c r="G26" s="126"/>
      <c r="H26" s="126"/>
      <c r="I26" s="126"/>
      <c r="J26" s="126"/>
      <c r="K26" s="578" t="s">
        <v>48</v>
      </c>
    </row>
    <row r="27" spans="1:11" ht="36.75" customHeight="1">
      <c r="A27" s="579"/>
      <c r="B27" s="558"/>
      <c r="C27" s="238" t="s">
        <v>648</v>
      </c>
      <c r="D27" s="126">
        <f t="shared" si="0"/>
        <v>2000</v>
      </c>
      <c r="E27" s="37"/>
      <c r="F27" s="126"/>
      <c r="G27" s="126"/>
      <c r="H27" s="126"/>
      <c r="I27" s="126"/>
      <c r="J27" s="126">
        <v>2000</v>
      </c>
      <c r="K27" s="579"/>
    </row>
    <row r="28" spans="1:11" ht="70.5" customHeight="1">
      <c r="A28" s="36">
        <v>7</v>
      </c>
      <c r="B28" s="169" t="s">
        <v>317</v>
      </c>
      <c r="C28" s="238" t="s">
        <v>16</v>
      </c>
      <c r="D28" s="126">
        <f t="shared" si="0"/>
        <v>790</v>
      </c>
      <c r="E28" s="37">
        <v>790</v>
      </c>
      <c r="F28" s="445"/>
      <c r="G28" s="126"/>
      <c r="H28" s="126"/>
      <c r="I28" s="126"/>
      <c r="J28" s="126"/>
      <c r="K28" s="36" t="s">
        <v>48</v>
      </c>
    </row>
    <row r="29" spans="1:11" ht="70.5" customHeight="1">
      <c r="A29" s="36">
        <v>8</v>
      </c>
      <c r="B29" s="169" t="s">
        <v>282</v>
      </c>
      <c r="C29" s="238" t="s">
        <v>16</v>
      </c>
      <c r="D29" s="126">
        <f t="shared" si="0"/>
        <v>370</v>
      </c>
      <c r="E29" s="37">
        <v>320</v>
      </c>
      <c r="F29" s="126">
        <f>0+50</f>
        <v>50</v>
      </c>
      <c r="G29" s="126"/>
      <c r="H29" s="126"/>
      <c r="I29" s="126"/>
      <c r="J29" s="126"/>
      <c r="K29" s="36" t="s">
        <v>48</v>
      </c>
    </row>
    <row r="30" spans="1:11" ht="36" customHeight="1">
      <c r="A30" s="578">
        <v>9</v>
      </c>
      <c r="B30" s="557" t="s">
        <v>283</v>
      </c>
      <c r="C30" s="304" t="s">
        <v>16</v>
      </c>
      <c r="D30" s="126">
        <f t="shared" si="0"/>
        <v>826</v>
      </c>
      <c r="E30" s="64">
        <f>240+90+8+38</f>
        <v>376</v>
      </c>
      <c r="F30" s="127">
        <f>0+190+140+120</f>
        <v>450</v>
      </c>
      <c r="G30" s="127"/>
      <c r="H30" s="127"/>
      <c r="I30" s="127"/>
      <c r="J30" s="127"/>
      <c r="K30" s="578" t="s">
        <v>48</v>
      </c>
    </row>
    <row r="31" spans="1:11" ht="30.75" customHeight="1">
      <c r="A31" s="579"/>
      <c r="B31" s="558"/>
      <c r="C31" s="304" t="s">
        <v>648</v>
      </c>
      <c r="D31" s="126">
        <f t="shared" si="0"/>
        <v>225</v>
      </c>
      <c r="E31" s="64"/>
      <c r="F31" s="127"/>
      <c r="G31" s="127"/>
      <c r="H31" s="127"/>
      <c r="I31" s="127"/>
      <c r="J31" s="127">
        <v>225</v>
      </c>
      <c r="K31" s="579"/>
    </row>
    <row r="32" spans="1:11" ht="30.75" customHeight="1">
      <c r="A32" s="529">
        <v>10</v>
      </c>
      <c r="B32" s="528" t="s">
        <v>669</v>
      </c>
      <c r="C32" s="304"/>
      <c r="D32" s="126">
        <f>D33+D34</f>
        <v>85705</v>
      </c>
      <c r="E32" s="126">
        <f aca="true" t="shared" si="1" ref="E32:J32">E33+E34</f>
        <v>14000</v>
      </c>
      <c r="F32" s="126">
        <f t="shared" si="1"/>
        <v>45705</v>
      </c>
      <c r="G32" s="126">
        <f t="shared" si="1"/>
        <v>0</v>
      </c>
      <c r="H32" s="126">
        <f t="shared" si="1"/>
        <v>0</v>
      </c>
      <c r="I32" s="126">
        <f t="shared" si="1"/>
        <v>0</v>
      </c>
      <c r="J32" s="126">
        <f t="shared" si="1"/>
        <v>26000</v>
      </c>
      <c r="K32" s="578" t="s">
        <v>284</v>
      </c>
    </row>
    <row r="33" spans="1:11" ht="30" customHeight="1">
      <c r="A33" s="533" t="s">
        <v>670</v>
      </c>
      <c r="B33" s="169" t="s">
        <v>672</v>
      </c>
      <c r="C33" s="304" t="s">
        <v>16</v>
      </c>
      <c r="D33" s="126">
        <f t="shared" si="0"/>
        <v>59705</v>
      </c>
      <c r="E33" s="64">
        <f>3000+2000+3000+1000+3000+2000</f>
        <v>14000</v>
      </c>
      <c r="F33" s="127">
        <f>0+4000+2725+3000+9000+3000+3000+3000+3200+4000+3500+5000+2280</f>
        <v>45705</v>
      </c>
      <c r="G33" s="127"/>
      <c r="H33" s="127"/>
      <c r="I33" s="127"/>
      <c r="J33" s="127"/>
      <c r="K33" s="666"/>
    </row>
    <row r="34" spans="1:11" ht="36" customHeight="1">
      <c r="A34" s="533" t="s">
        <v>671</v>
      </c>
      <c r="B34" s="169" t="s">
        <v>673</v>
      </c>
      <c r="C34" s="304" t="s">
        <v>648</v>
      </c>
      <c r="D34" s="126">
        <f t="shared" si="0"/>
        <v>26000</v>
      </c>
      <c r="E34" s="64"/>
      <c r="F34" s="127"/>
      <c r="G34" s="127"/>
      <c r="H34" s="127"/>
      <c r="I34" s="127"/>
      <c r="J34" s="127">
        <v>26000</v>
      </c>
      <c r="K34" s="579"/>
    </row>
    <row r="35" spans="1:11" ht="117.75" customHeight="1">
      <c r="A35" s="36">
        <v>11</v>
      </c>
      <c r="B35" s="446" t="s">
        <v>416</v>
      </c>
      <c r="C35" s="304" t="s">
        <v>16</v>
      </c>
      <c r="D35" s="126">
        <f t="shared" si="0"/>
        <v>123</v>
      </c>
      <c r="E35" s="64">
        <f>35+10</f>
        <v>45</v>
      </c>
      <c r="F35" s="127">
        <f>40+15+23</f>
        <v>78</v>
      </c>
      <c r="G35" s="127"/>
      <c r="H35" s="127"/>
      <c r="I35" s="127"/>
      <c r="J35" s="127"/>
      <c r="K35" s="36" t="s">
        <v>284</v>
      </c>
    </row>
    <row r="36" spans="1:11" ht="57" customHeight="1">
      <c r="A36" s="36">
        <v>12</v>
      </c>
      <c r="B36" s="169" t="s">
        <v>353</v>
      </c>
      <c r="C36" s="304" t="s">
        <v>16</v>
      </c>
      <c r="D36" s="126">
        <f t="shared" si="0"/>
        <v>1952</v>
      </c>
      <c r="E36" s="64"/>
      <c r="F36" s="127">
        <f>2300-80-190-40-15-23</f>
        <v>1952</v>
      </c>
      <c r="G36" s="127"/>
      <c r="H36" s="127"/>
      <c r="I36" s="127"/>
      <c r="J36" s="127"/>
      <c r="K36" s="36" t="s">
        <v>284</v>
      </c>
    </row>
    <row r="37" spans="1:11" ht="58.5" customHeight="1">
      <c r="A37" s="36">
        <v>13</v>
      </c>
      <c r="B37" s="169" t="s">
        <v>398</v>
      </c>
      <c r="C37" s="304" t="s">
        <v>16</v>
      </c>
      <c r="D37" s="126">
        <f t="shared" si="0"/>
        <v>920</v>
      </c>
      <c r="E37" s="64"/>
      <c r="F37" s="127">
        <f>3200-2280</f>
        <v>920</v>
      </c>
      <c r="G37" s="127"/>
      <c r="H37" s="127"/>
      <c r="I37" s="127"/>
      <c r="J37" s="127"/>
      <c r="K37" s="36" t="s">
        <v>284</v>
      </c>
    </row>
    <row r="38" spans="1:11" ht="55.5" customHeight="1">
      <c r="A38" s="36">
        <v>14</v>
      </c>
      <c r="B38" s="169" t="s">
        <v>407</v>
      </c>
      <c r="C38" s="304" t="s">
        <v>16</v>
      </c>
      <c r="D38" s="126">
        <f t="shared" si="0"/>
        <v>1000</v>
      </c>
      <c r="E38" s="64"/>
      <c r="F38" s="127">
        <f>0+1000</f>
        <v>1000</v>
      </c>
      <c r="G38" s="127"/>
      <c r="H38" s="127"/>
      <c r="I38" s="127"/>
      <c r="J38" s="127"/>
      <c r="K38" s="36" t="s">
        <v>284</v>
      </c>
    </row>
    <row r="39" spans="1:11" ht="53.25" customHeight="1">
      <c r="A39" s="36">
        <v>15</v>
      </c>
      <c r="B39" s="169" t="s">
        <v>417</v>
      </c>
      <c r="C39" s="304" t="s">
        <v>16</v>
      </c>
      <c r="D39" s="126">
        <f t="shared" si="0"/>
        <v>80</v>
      </c>
      <c r="E39" s="64"/>
      <c r="F39" s="127">
        <f>0+80</f>
        <v>80</v>
      </c>
      <c r="G39" s="127"/>
      <c r="H39" s="127"/>
      <c r="I39" s="127"/>
      <c r="J39" s="127"/>
      <c r="K39" s="36" t="s">
        <v>284</v>
      </c>
    </row>
    <row r="40" spans="1:11" ht="66.75" customHeight="1">
      <c r="A40" s="36">
        <v>16</v>
      </c>
      <c r="B40" s="450" t="s">
        <v>524</v>
      </c>
      <c r="C40" s="304" t="s">
        <v>16</v>
      </c>
      <c r="D40" s="126">
        <f t="shared" si="0"/>
        <v>0</v>
      </c>
      <c r="E40" s="64"/>
      <c r="F40" s="127">
        <f>0+1000-1000</f>
        <v>0</v>
      </c>
      <c r="G40" s="127"/>
      <c r="H40" s="127"/>
      <c r="I40" s="127"/>
      <c r="J40" s="127"/>
      <c r="K40" s="36" t="s">
        <v>284</v>
      </c>
    </row>
    <row r="41" spans="1:11" ht="57.75" customHeight="1">
      <c r="A41" s="578">
        <v>17</v>
      </c>
      <c r="B41" s="685" t="s">
        <v>538</v>
      </c>
      <c r="C41" s="304" t="s">
        <v>16</v>
      </c>
      <c r="D41" s="126">
        <f t="shared" si="0"/>
        <v>1000</v>
      </c>
      <c r="E41" s="64"/>
      <c r="F41" s="127">
        <f>0+1000</f>
        <v>1000</v>
      </c>
      <c r="G41" s="127"/>
      <c r="H41" s="127"/>
      <c r="I41" s="127"/>
      <c r="J41" s="127"/>
      <c r="K41" s="578" t="s">
        <v>284</v>
      </c>
    </row>
    <row r="42" spans="1:11" ht="57" customHeight="1">
      <c r="A42" s="579"/>
      <c r="B42" s="686"/>
      <c r="C42" s="304" t="s">
        <v>648</v>
      </c>
      <c r="D42" s="126">
        <f t="shared" si="0"/>
        <v>1000</v>
      </c>
      <c r="E42" s="64"/>
      <c r="F42" s="127"/>
      <c r="G42" s="127"/>
      <c r="H42" s="127"/>
      <c r="I42" s="127"/>
      <c r="J42" s="127">
        <v>1000</v>
      </c>
      <c r="K42" s="579"/>
    </row>
    <row r="43" spans="1:11" ht="87" customHeight="1">
      <c r="A43" s="578">
        <v>18</v>
      </c>
      <c r="B43" s="685" t="s">
        <v>548</v>
      </c>
      <c r="C43" s="304" t="s">
        <v>16</v>
      </c>
      <c r="D43" s="126">
        <f t="shared" si="0"/>
        <v>0</v>
      </c>
      <c r="E43" s="64"/>
      <c r="F43" s="127"/>
      <c r="G43" s="127"/>
      <c r="H43" s="127"/>
      <c r="I43" s="127"/>
      <c r="J43" s="127"/>
      <c r="K43" s="578" t="s">
        <v>284</v>
      </c>
    </row>
    <row r="44" spans="1:11" ht="15" customHeight="1">
      <c r="A44" s="579"/>
      <c r="B44" s="686"/>
      <c r="C44" s="304" t="s">
        <v>648</v>
      </c>
      <c r="D44" s="126">
        <f t="shared" si="0"/>
        <v>0</v>
      </c>
      <c r="E44" s="64"/>
      <c r="F44" s="127"/>
      <c r="G44" s="127"/>
      <c r="H44" s="127"/>
      <c r="I44" s="127"/>
      <c r="J44" s="127">
        <f>1700-1700</f>
        <v>0</v>
      </c>
      <c r="K44" s="579"/>
    </row>
    <row r="45" spans="1:11" ht="29.25" customHeight="1">
      <c r="A45" s="82"/>
      <c r="B45" s="57" t="s">
        <v>5</v>
      </c>
      <c r="C45" s="58"/>
      <c r="D45" s="80">
        <f>D18+D19+D21+D22+D26+D28+D29+D30+D33+D35+D24+D36+D37+D38+D39+D40+D41+D43+D20+D23+D25+D27+D31+D34+D42+D44</f>
        <v>124583.4</v>
      </c>
      <c r="E45" s="80">
        <f>E18+E19+E21+E22+E26+E28+E29+E30+E33+E35+E24</f>
        <v>23493.4</v>
      </c>
      <c r="F45" s="80">
        <f>F18+F19+F21+F22+F26+F28+F29+F30+F33+F35+F24+F36+F37+F38+F39+F40+F41</f>
        <v>64015</v>
      </c>
      <c r="G45" s="80" t="e">
        <f>G18+G19+G21+G22+G26+#REF!+G28+G29+G30+G33+G35+G24</f>
        <v>#REF!</v>
      </c>
      <c r="H45" s="80" t="e">
        <f>H18+H19+H21+H22+H26+#REF!+H28+H29+H30+H33+H35+H24</f>
        <v>#REF!</v>
      </c>
      <c r="I45" s="80" t="e">
        <f>I18+I19+I21+I22+I26+#REF!+I28+I29+I30+I33+I35+I24</f>
        <v>#REF!</v>
      </c>
      <c r="J45" s="80">
        <f>J18+J19+J21+J22+J26+J28+J29+J30+J33+J35+J24+J41+J43+J20+J23+J25+J27+J31+J34+J42+J44</f>
        <v>37075</v>
      </c>
      <c r="K45" s="81"/>
    </row>
    <row r="46" spans="1:11" ht="15.75">
      <c r="A46" s="51"/>
      <c r="B46" s="4"/>
      <c r="C46" s="4"/>
      <c r="D46" s="6"/>
      <c r="E46" s="6"/>
      <c r="F46" s="6"/>
      <c r="G46" s="6"/>
      <c r="H46" s="6"/>
      <c r="I46" s="6"/>
      <c r="J46" s="6"/>
      <c r="K46" s="42"/>
    </row>
    <row r="47" spans="2:11" ht="15.75">
      <c r="B47" s="4"/>
      <c r="C47" s="4"/>
      <c r="D47" s="6"/>
      <c r="E47" s="6"/>
      <c r="F47" s="6"/>
      <c r="G47" s="6"/>
      <c r="H47" s="6"/>
      <c r="I47" s="6"/>
      <c r="J47" s="6"/>
      <c r="K47" s="42"/>
    </row>
    <row r="48" spans="2:11" ht="20.25" customHeight="1">
      <c r="B48" s="609" t="s">
        <v>18</v>
      </c>
      <c r="C48" s="609"/>
      <c r="D48" s="385"/>
      <c r="E48" s="8"/>
      <c r="F48" s="8"/>
      <c r="G48" s="9"/>
      <c r="H48" s="9"/>
      <c r="I48" s="9"/>
      <c r="J48" s="48"/>
      <c r="K48" s="48" t="s">
        <v>30</v>
      </c>
    </row>
    <row r="49" spans="2:11" ht="6.75" customHeight="1">
      <c r="B49" s="385"/>
      <c r="C49" s="385"/>
      <c r="D49" s="385"/>
      <c r="E49" s="8"/>
      <c r="F49" s="8"/>
      <c r="G49" s="9"/>
      <c r="H49" s="9"/>
      <c r="I49" s="9"/>
      <c r="J49" s="48"/>
      <c r="K49" s="48"/>
    </row>
    <row r="50" spans="2:11" ht="15.75" customHeight="1">
      <c r="B50" s="664" t="s">
        <v>678</v>
      </c>
      <c r="C50" s="664"/>
      <c r="D50" s="49"/>
      <c r="E50" s="7"/>
      <c r="F50" s="7"/>
      <c r="G50" s="7"/>
      <c r="H50" s="7"/>
      <c r="I50" s="7"/>
      <c r="J50" s="1"/>
      <c r="K50" s="1"/>
    </row>
    <row r="51" spans="2:11" ht="13.5" customHeight="1">
      <c r="B51" s="171" t="s">
        <v>10</v>
      </c>
      <c r="C51" s="171"/>
      <c r="D51" s="7"/>
      <c r="E51" s="7"/>
      <c r="F51" s="7"/>
      <c r="G51" s="7"/>
      <c r="H51" s="7"/>
      <c r="I51" s="7"/>
      <c r="J51" s="1"/>
      <c r="K51" s="1"/>
    </row>
    <row r="52" spans="2:11" ht="15.75">
      <c r="B52" s="43"/>
      <c r="C52" s="10"/>
      <c r="D52" s="44"/>
      <c r="E52" s="7"/>
      <c r="F52" s="7"/>
      <c r="G52" s="7"/>
      <c r="H52" s="7"/>
      <c r="I52" s="7"/>
      <c r="J52" s="1"/>
      <c r="K52" s="1"/>
    </row>
    <row r="53" spans="3:10" ht="15.75">
      <c r="C53" s="44"/>
      <c r="D53" s="7"/>
      <c r="E53" s="7"/>
      <c r="F53" s="7"/>
      <c r="G53" s="7"/>
      <c r="H53" s="7"/>
      <c r="I53" s="7"/>
      <c r="J53" s="7"/>
    </row>
    <row r="54" spans="3:10" ht="15.75">
      <c r="C54" s="45"/>
      <c r="D54" s="7"/>
      <c r="E54" s="7"/>
      <c r="F54" s="7"/>
      <c r="G54" s="7"/>
      <c r="H54" s="7"/>
      <c r="I54" s="7"/>
      <c r="J54" s="7"/>
    </row>
    <row r="56" ht="12.75">
      <c r="H56" s="5"/>
    </row>
  </sheetData>
  <sheetProtection/>
  <mergeCells count="43">
    <mergeCell ref="A43:A44"/>
    <mergeCell ref="B43:B44"/>
    <mergeCell ref="K43:K44"/>
    <mergeCell ref="A41:A42"/>
    <mergeCell ref="B41:B42"/>
    <mergeCell ref="K41:K42"/>
    <mergeCell ref="A26:A27"/>
    <mergeCell ref="B26:B27"/>
    <mergeCell ref="K26:K27"/>
    <mergeCell ref="A30:A31"/>
    <mergeCell ref="B30:B31"/>
    <mergeCell ref="K30:K31"/>
    <mergeCell ref="A22:A23"/>
    <mergeCell ref="B22:B23"/>
    <mergeCell ref="K22:K23"/>
    <mergeCell ref="A24:A25"/>
    <mergeCell ref="B24:B25"/>
    <mergeCell ref="K24:K25"/>
    <mergeCell ref="A15:A17"/>
    <mergeCell ref="B15:B17"/>
    <mergeCell ref="C15:C17"/>
    <mergeCell ref="D15:D17"/>
    <mergeCell ref="E15:J15"/>
    <mergeCell ref="K15:K17"/>
    <mergeCell ref="E16:E17"/>
    <mergeCell ref="J10:K10"/>
    <mergeCell ref="B50:C50"/>
    <mergeCell ref="G16:G17"/>
    <mergeCell ref="H16:H17"/>
    <mergeCell ref="B48:C48"/>
    <mergeCell ref="I16:I17"/>
    <mergeCell ref="J16:J17"/>
    <mergeCell ref="K32:K34"/>
    <mergeCell ref="A19:A20"/>
    <mergeCell ref="B19:B20"/>
    <mergeCell ref="K19:K20"/>
    <mergeCell ref="J1:K1"/>
    <mergeCell ref="J2:K2"/>
    <mergeCell ref="J9:K9"/>
    <mergeCell ref="B13:K13"/>
    <mergeCell ref="D14:H14"/>
    <mergeCell ref="F16:F17"/>
    <mergeCell ref="J7:K7"/>
  </mergeCells>
  <printOptions horizontalCentered="1"/>
  <pageMargins left="1.1811023622047245" right="0.5905511811023623" top="0.984251968503937" bottom="0.5905511811023623" header="0" footer="0"/>
  <pageSetup fitToHeight="0"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45"/>
  <sheetViews>
    <sheetView view="pageBreakPreview" zoomScale="76" zoomScaleSheetLayoutView="76" zoomScalePageLayoutView="0" workbookViewId="0" topLeftCell="A24">
      <selection activeCell="A1" sqref="A1:K40"/>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582" t="s">
        <v>502</v>
      </c>
      <c r="K1" s="582"/>
    </row>
    <row r="2" spans="2:11" ht="18.75">
      <c r="B2" s="15"/>
      <c r="C2" s="15"/>
      <c r="D2" s="15"/>
      <c r="E2" s="15"/>
      <c r="F2" s="15"/>
      <c r="G2" s="15"/>
      <c r="H2" s="15"/>
      <c r="I2" s="12" t="s">
        <v>11</v>
      </c>
      <c r="J2" s="582" t="s">
        <v>11</v>
      </c>
      <c r="K2" s="582"/>
    </row>
    <row r="3" spans="2:11" ht="18.75">
      <c r="B3" s="15"/>
      <c r="C3" s="15"/>
      <c r="D3" s="15"/>
      <c r="E3" s="15"/>
      <c r="F3" s="15"/>
      <c r="G3" s="15"/>
      <c r="H3" s="15"/>
      <c r="I3" s="12"/>
      <c r="J3" s="59" t="s">
        <v>322</v>
      </c>
      <c r="K3" s="59"/>
    </row>
    <row r="4" spans="2:11" ht="18.75">
      <c r="B4" s="15"/>
      <c r="C4" s="15"/>
      <c r="D4" s="15"/>
      <c r="E4" s="15"/>
      <c r="F4" s="15"/>
      <c r="G4" s="15"/>
      <c r="H4" s="15"/>
      <c r="I4" s="12" t="s">
        <v>21</v>
      </c>
      <c r="J4" s="59" t="s">
        <v>702</v>
      </c>
      <c r="K4" s="59"/>
    </row>
    <row r="5" spans="2:11" ht="18.75">
      <c r="B5" s="15"/>
      <c r="C5" s="15"/>
      <c r="D5" s="15"/>
      <c r="E5" s="15"/>
      <c r="F5" s="15"/>
      <c r="G5" s="15"/>
      <c r="H5" s="15"/>
      <c r="I5" s="12" t="s">
        <v>23</v>
      </c>
      <c r="J5" s="59" t="s">
        <v>705</v>
      </c>
      <c r="K5" s="59"/>
    </row>
    <row r="6" spans="2:11" ht="18.75">
      <c r="B6" s="15"/>
      <c r="C6" s="15"/>
      <c r="D6" s="15"/>
      <c r="E6" s="15"/>
      <c r="F6" s="15"/>
      <c r="G6" s="15"/>
      <c r="H6" s="15"/>
      <c r="I6" s="12"/>
      <c r="J6" s="59" t="s">
        <v>713</v>
      </c>
      <c r="K6" s="59"/>
    </row>
    <row r="7" spans="2:11" ht="18.75">
      <c r="B7" s="15"/>
      <c r="C7" s="15"/>
      <c r="D7" s="15"/>
      <c r="E7" s="15"/>
      <c r="F7" s="15"/>
      <c r="G7" s="15"/>
      <c r="H7" s="15"/>
      <c r="I7" s="12"/>
      <c r="J7" s="59" t="s">
        <v>684</v>
      </c>
      <c r="K7" s="59"/>
    </row>
    <row r="8" spans="2:11" ht="18.75">
      <c r="B8" s="15"/>
      <c r="C8" s="15"/>
      <c r="D8" s="15"/>
      <c r="E8" s="15"/>
      <c r="F8" s="15"/>
      <c r="G8" s="15"/>
      <c r="H8" s="16"/>
      <c r="I8" s="12" t="s">
        <v>24</v>
      </c>
      <c r="J8" s="59" t="s">
        <v>685</v>
      </c>
      <c r="K8" s="59"/>
    </row>
    <row r="9" spans="2:11" ht="21" customHeight="1">
      <c r="B9" s="15"/>
      <c r="C9" s="15"/>
      <c r="D9" s="15"/>
      <c r="E9" s="15"/>
      <c r="F9" s="15"/>
      <c r="G9" s="15"/>
      <c r="H9" s="16"/>
      <c r="I9" s="12" t="s">
        <v>25</v>
      </c>
      <c r="J9" s="359" t="s">
        <v>714</v>
      </c>
      <c r="K9" s="359"/>
    </row>
    <row r="10" spans="2:11" ht="15.75">
      <c r="B10" s="15"/>
      <c r="C10" s="15"/>
      <c r="D10" s="15"/>
      <c r="E10" s="15"/>
      <c r="F10" s="15"/>
      <c r="G10" s="15"/>
      <c r="H10" s="15"/>
      <c r="I10" s="15"/>
      <c r="J10" s="15"/>
      <c r="K10" s="15"/>
    </row>
    <row r="11" spans="1:11" ht="18.75">
      <c r="A11" s="586" t="s">
        <v>632</v>
      </c>
      <c r="B11" s="586"/>
      <c r="C11" s="586"/>
      <c r="D11" s="586"/>
      <c r="E11" s="586"/>
      <c r="F11" s="586"/>
      <c r="G11" s="586"/>
      <c r="H11" s="586"/>
      <c r="I11" s="586"/>
      <c r="J11" s="586"/>
      <c r="K11" s="586"/>
    </row>
    <row r="12" spans="2:11" ht="15.75">
      <c r="B12" s="15"/>
      <c r="C12" s="15"/>
      <c r="D12" s="589"/>
      <c r="E12" s="589"/>
      <c r="F12" s="589"/>
      <c r="G12" s="589"/>
      <c r="H12" s="589"/>
      <c r="I12" s="15"/>
      <c r="J12" s="15"/>
      <c r="K12" s="35" t="s">
        <v>426</v>
      </c>
    </row>
    <row r="13" spans="1:11" ht="18.75">
      <c r="A13" s="583" t="s">
        <v>32</v>
      </c>
      <c r="B13" s="583" t="s">
        <v>12</v>
      </c>
      <c r="C13" s="583" t="s">
        <v>13</v>
      </c>
      <c r="D13" s="583" t="s">
        <v>432</v>
      </c>
      <c r="E13" s="590" t="s">
        <v>9</v>
      </c>
      <c r="F13" s="590"/>
      <c r="G13" s="590"/>
      <c r="H13" s="590"/>
      <c r="I13" s="590"/>
      <c r="J13" s="665"/>
      <c r="K13" s="588" t="s">
        <v>15</v>
      </c>
    </row>
    <row r="14" spans="1:11" ht="12.75">
      <c r="A14" s="584"/>
      <c r="B14" s="584"/>
      <c r="C14" s="584"/>
      <c r="D14" s="584"/>
      <c r="E14" s="583" t="s">
        <v>429</v>
      </c>
      <c r="F14" s="583" t="s">
        <v>430</v>
      </c>
      <c r="G14" s="583" t="s">
        <v>27</v>
      </c>
      <c r="H14" s="583" t="s">
        <v>28</v>
      </c>
      <c r="I14" s="583" t="s">
        <v>29</v>
      </c>
      <c r="J14" s="588" t="s">
        <v>431</v>
      </c>
      <c r="K14" s="588"/>
    </row>
    <row r="15" spans="1:11" ht="24.75" customHeight="1">
      <c r="A15" s="585"/>
      <c r="B15" s="585"/>
      <c r="C15" s="585"/>
      <c r="D15" s="585"/>
      <c r="E15" s="585"/>
      <c r="F15" s="585"/>
      <c r="G15" s="585"/>
      <c r="H15" s="585"/>
      <c r="I15" s="585"/>
      <c r="J15" s="588"/>
      <c r="K15" s="588"/>
    </row>
    <row r="16" spans="1:11" ht="25.5" customHeight="1">
      <c r="A16" s="578">
        <v>1</v>
      </c>
      <c r="B16" s="557" t="s">
        <v>198</v>
      </c>
      <c r="C16" s="66" t="s">
        <v>16</v>
      </c>
      <c r="D16" s="432">
        <f>F16+E16+J16</f>
        <v>3058.7</v>
      </c>
      <c r="E16" s="432">
        <v>1521.7</v>
      </c>
      <c r="F16" s="433">
        <f>1600-63</f>
        <v>1537</v>
      </c>
      <c r="G16" s="433"/>
      <c r="H16" s="433"/>
      <c r="I16" s="433"/>
      <c r="J16" s="433"/>
      <c r="K16" s="578" t="s">
        <v>199</v>
      </c>
    </row>
    <row r="17" spans="1:11" ht="23.25" customHeight="1">
      <c r="A17" s="579"/>
      <c r="B17" s="558"/>
      <c r="C17" s="66" t="s">
        <v>648</v>
      </c>
      <c r="D17" s="432">
        <f>F17+E17+J17</f>
        <v>1650</v>
      </c>
      <c r="E17" s="432"/>
      <c r="F17" s="433"/>
      <c r="G17" s="433"/>
      <c r="H17" s="433"/>
      <c r="I17" s="433"/>
      <c r="J17" s="433">
        <v>1650</v>
      </c>
      <c r="K17" s="579"/>
    </row>
    <row r="18" spans="1:11" ht="32.25" customHeight="1">
      <c r="A18" s="578">
        <v>2</v>
      </c>
      <c r="B18" s="557" t="s">
        <v>448</v>
      </c>
      <c r="C18" s="238" t="s">
        <v>16</v>
      </c>
      <c r="D18" s="432">
        <f>F18+E18+J18</f>
        <v>11549.1</v>
      </c>
      <c r="E18" s="432">
        <f>6103+500+500</f>
        <v>7103</v>
      </c>
      <c r="F18" s="433">
        <f>0+877+2209+427+232+316.5+384.6</f>
        <v>4446.1</v>
      </c>
      <c r="G18" s="433"/>
      <c r="H18" s="433"/>
      <c r="I18" s="433"/>
      <c r="J18" s="433"/>
      <c r="K18" s="578" t="s">
        <v>285</v>
      </c>
    </row>
    <row r="19" spans="1:11" ht="21" customHeight="1">
      <c r="A19" s="579"/>
      <c r="B19" s="558"/>
      <c r="C19" s="66" t="s">
        <v>648</v>
      </c>
      <c r="D19" s="432">
        <f>F19+E19+J19</f>
        <v>2295.23</v>
      </c>
      <c r="E19" s="432"/>
      <c r="F19" s="433"/>
      <c r="G19" s="433"/>
      <c r="H19" s="433"/>
      <c r="I19" s="433"/>
      <c r="J19" s="433">
        <v>2295.23</v>
      </c>
      <c r="K19" s="579"/>
    </row>
    <row r="20" spans="1:11" ht="62.25" customHeight="1">
      <c r="A20" s="436" t="s">
        <v>387</v>
      </c>
      <c r="B20" s="437" t="s">
        <v>453</v>
      </c>
      <c r="C20" s="238"/>
      <c r="D20" s="432"/>
      <c r="E20" s="432"/>
      <c r="F20" s="433">
        <v>537</v>
      </c>
      <c r="G20" s="433"/>
      <c r="H20" s="433"/>
      <c r="I20" s="433"/>
      <c r="J20" s="433"/>
      <c r="K20" s="438" t="s">
        <v>285</v>
      </c>
    </row>
    <row r="21" spans="1:11" ht="37.5" customHeight="1">
      <c r="A21" s="436" t="s">
        <v>423</v>
      </c>
      <c r="B21" s="437" t="s">
        <v>454</v>
      </c>
      <c r="C21" s="238"/>
      <c r="D21" s="432"/>
      <c r="E21" s="432"/>
      <c r="F21" s="433">
        <v>20</v>
      </c>
      <c r="G21" s="433"/>
      <c r="H21" s="433"/>
      <c r="I21" s="433"/>
      <c r="J21" s="433"/>
      <c r="K21" s="438" t="s">
        <v>285</v>
      </c>
    </row>
    <row r="22" spans="1:11" ht="27.75" customHeight="1">
      <c r="A22" s="436" t="s">
        <v>449</v>
      </c>
      <c r="B22" s="437" t="s">
        <v>515</v>
      </c>
      <c r="C22" s="238"/>
      <c r="D22" s="432"/>
      <c r="E22" s="432"/>
      <c r="F22" s="433">
        <f>86.9+232+316.5</f>
        <v>635.4</v>
      </c>
      <c r="G22" s="433"/>
      <c r="H22" s="433"/>
      <c r="I22" s="433"/>
      <c r="J22" s="433"/>
      <c r="K22" s="438" t="s">
        <v>285</v>
      </c>
    </row>
    <row r="23" spans="1:11" ht="48.75" customHeight="1">
      <c r="A23" s="436" t="s">
        <v>450</v>
      </c>
      <c r="B23" s="437" t="s">
        <v>516</v>
      </c>
      <c r="C23" s="238"/>
      <c r="D23" s="432"/>
      <c r="E23" s="432"/>
      <c r="F23" s="433">
        <v>233.1</v>
      </c>
      <c r="G23" s="433"/>
      <c r="H23" s="433"/>
      <c r="I23" s="433"/>
      <c r="J23" s="433"/>
      <c r="K23" s="438" t="s">
        <v>285</v>
      </c>
    </row>
    <row r="24" spans="1:11" ht="45" customHeight="1">
      <c r="A24" s="436" t="s">
        <v>451</v>
      </c>
      <c r="B24" s="437" t="s">
        <v>458</v>
      </c>
      <c r="C24" s="238"/>
      <c r="D24" s="432"/>
      <c r="E24" s="432"/>
      <c r="F24" s="433">
        <v>1195</v>
      </c>
      <c r="G24" s="433"/>
      <c r="H24" s="433"/>
      <c r="I24" s="433"/>
      <c r="J24" s="433"/>
      <c r="K24" s="438" t="s">
        <v>285</v>
      </c>
    </row>
    <row r="25" spans="1:11" ht="31.5" customHeight="1">
      <c r="A25" s="436" t="s">
        <v>452</v>
      </c>
      <c r="B25" s="437" t="s">
        <v>459</v>
      </c>
      <c r="C25" s="238"/>
      <c r="D25" s="432"/>
      <c r="E25" s="432"/>
      <c r="F25" s="433">
        <v>463</v>
      </c>
      <c r="G25" s="433"/>
      <c r="H25" s="433"/>
      <c r="I25" s="433"/>
      <c r="J25" s="433"/>
      <c r="K25" s="438" t="s">
        <v>285</v>
      </c>
    </row>
    <row r="26" spans="1:11" ht="33" customHeight="1">
      <c r="A26" s="436" t="s">
        <v>455</v>
      </c>
      <c r="B26" s="437" t="s">
        <v>460</v>
      </c>
      <c r="C26" s="238"/>
      <c r="D26" s="432"/>
      <c r="E26" s="432"/>
      <c r="F26" s="433">
        <v>551</v>
      </c>
      <c r="G26" s="433"/>
      <c r="H26" s="433"/>
      <c r="I26" s="433"/>
      <c r="J26" s="433"/>
      <c r="K26" s="438" t="s">
        <v>285</v>
      </c>
    </row>
    <row r="27" spans="1:11" ht="33" customHeight="1">
      <c r="A27" s="436" t="s">
        <v>514</v>
      </c>
      <c r="B27" s="437" t="s">
        <v>512</v>
      </c>
      <c r="C27" s="238"/>
      <c r="D27" s="432"/>
      <c r="E27" s="432"/>
      <c r="F27" s="433">
        <f>427+384.6</f>
        <v>811.6</v>
      </c>
      <c r="G27" s="433"/>
      <c r="H27" s="433"/>
      <c r="I27" s="433"/>
      <c r="J27" s="433">
        <v>1541.96</v>
      </c>
      <c r="K27" s="438" t="s">
        <v>285</v>
      </c>
    </row>
    <row r="28" spans="1:11" ht="33.75" customHeight="1">
      <c r="A28" s="436" t="s">
        <v>549</v>
      </c>
      <c r="B28" s="437" t="s">
        <v>550</v>
      </c>
      <c r="C28" s="238"/>
      <c r="D28" s="432"/>
      <c r="E28" s="432"/>
      <c r="F28" s="433"/>
      <c r="G28" s="433"/>
      <c r="H28" s="433"/>
      <c r="I28" s="433"/>
      <c r="J28" s="433">
        <v>753.27</v>
      </c>
      <c r="K28" s="438"/>
    </row>
    <row r="29" spans="1:11" ht="33.75" customHeight="1">
      <c r="A29" s="436" t="s">
        <v>676</v>
      </c>
      <c r="B29" s="65" t="s">
        <v>724</v>
      </c>
      <c r="C29" s="238" t="s">
        <v>648</v>
      </c>
      <c r="D29" s="432">
        <f>E29+F29+J29</f>
        <v>2000</v>
      </c>
      <c r="E29" s="432"/>
      <c r="F29" s="433"/>
      <c r="G29" s="433"/>
      <c r="H29" s="433"/>
      <c r="I29" s="433"/>
      <c r="J29" s="433">
        <v>2000</v>
      </c>
      <c r="K29" s="438" t="s">
        <v>727</v>
      </c>
    </row>
    <row r="30" spans="1:11" ht="33.75" customHeight="1">
      <c r="A30" s="436" t="s">
        <v>511</v>
      </c>
      <c r="B30" s="437" t="s">
        <v>725</v>
      </c>
      <c r="C30" s="238"/>
      <c r="D30" s="432"/>
      <c r="E30" s="432"/>
      <c r="F30" s="433"/>
      <c r="G30" s="433"/>
      <c r="H30" s="433"/>
      <c r="I30" s="433"/>
      <c r="J30" s="433">
        <v>700</v>
      </c>
      <c r="K30" s="438" t="s">
        <v>727</v>
      </c>
    </row>
    <row r="31" spans="1:11" ht="33.75" customHeight="1">
      <c r="A31" s="436" t="s">
        <v>587</v>
      </c>
      <c r="B31" s="437" t="s">
        <v>726</v>
      </c>
      <c r="C31" s="238"/>
      <c r="D31" s="432"/>
      <c r="E31" s="432"/>
      <c r="F31" s="433"/>
      <c r="G31" s="433"/>
      <c r="H31" s="433"/>
      <c r="I31" s="433"/>
      <c r="J31" s="433">
        <v>1300</v>
      </c>
      <c r="K31" s="438" t="s">
        <v>727</v>
      </c>
    </row>
    <row r="32" spans="1:11" ht="213" customHeight="1">
      <c r="A32" s="36">
        <v>4</v>
      </c>
      <c r="B32" s="65" t="s">
        <v>286</v>
      </c>
      <c r="C32" s="238" t="s">
        <v>63</v>
      </c>
      <c r="D32" s="432">
        <v>13705</v>
      </c>
      <c r="E32" s="434">
        <v>13705</v>
      </c>
      <c r="F32" s="433"/>
      <c r="G32" s="433"/>
      <c r="H32" s="433"/>
      <c r="I32" s="433"/>
      <c r="J32" s="433"/>
      <c r="K32" s="36" t="s">
        <v>287</v>
      </c>
    </row>
    <row r="33" spans="1:11" ht="18.75">
      <c r="A33" s="70"/>
      <c r="B33" s="60" t="s">
        <v>5</v>
      </c>
      <c r="C33" s="71"/>
      <c r="D33" s="168">
        <f>D16+D18+D32+D17+D19</f>
        <v>32258.03</v>
      </c>
      <c r="E33" s="168">
        <f>E16+E18+E32</f>
        <v>22329.7</v>
      </c>
      <c r="F33" s="168">
        <f>F16+F18+F32</f>
        <v>5983.1</v>
      </c>
      <c r="G33" s="168">
        <f>G16+G18+G32</f>
        <v>0</v>
      </c>
      <c r="H33" s="168">
        <f>H16+H18+H32</f>
        <v>0</v>
      </c>
      <c r="I33" s="168">
        <f>I16+I18+I32</f>
        <v>0</v>
      </c>
      <c r="J33" s="168">
        <f>J16+J18+J32+J17+J19+J29</f>
        <v>5945.23</v>
      </c>
      <c r="K33" s="72"/>
    </row>
    <row r="34" spans="1:11" ht="15.75">
      <c r="A34" s="39"/>
      <c r="B34" s="18"/>
      <c r="C34" s="18"/>
      <c r="D34" s="19"/>
      <c r="E34" s="19"/>
      <c r="F34" s="19"/>
      <c r="G34" s="19"/>
      <c r="H34" s="19"/>
      <c r="I34" s="19"/>
      <c r="J34" s="19"/>
      <c r="K34" s="20"/>
    </row>
    <row r="35" spans="2:11" ht="15.75">
      <c r="B35" s="18"/>
      <c r="C35" s="18"/>
      <c r="D35" s="19"/>
      <c r="E35" s="19"/>
      <c r="F35" s="19"/>
      <c r="G35" s="19"/>
      <c r="H35" s="19"/>
      <c r="I35" s="19"/>
      <c r="J35" s="19"/>
      <c r="K35" s="20"/>
    </row>
    <row r="36" spans="2:11" ht="18.75">
      <c r="B36" s="52"/>
      <c r="C36" s="53"/>
      <c r="E36" s="19"/>
      <c r="F36" s="19"/>
      <c r="G36" s="19"/>
      <c r="H36" s="19"/>
      <c r="I36" s="19"/>
      <c r="J36" s="19"/>
      <c r="K36" s="53"/>
    </row>
    <row r="37" spans="2:11" ht="18.75">
      <c r="B37" s="554" t="s">
        <v>622</v>
      </c>
      <c r="C37" s="554"/>
      <c r="D37" s="375"/>
      <c r="E37" s="22"/>
      <c r="F37" s="22"/>
      <c r="G37" s="16"/>
      <c r="H37" s="16"/>
      <c r="I37" s="16"/>
      <c r="J37" s="23"/>
      <c r="K37" s="23" t="s">
        <v>30</v>
      </c>
    </row>
    <row r="38" spans="2:11" ht="15" customHeight="1">
      <c r="B38" s="375"/>
      <c r="C38" s="375"/>
      <c r="D38" s="375"/>
      <c r="E38" s="22"/>
      <c r="F38" s="22"/>
      <c r="G38" s="16"/>
      <c r="H38" s="16"/>
      <c r="I38" s="16"/>
      <c r="J38" s="23"/>
      <c r="K38" s="23"/>
    </row>
    <row r="39" spans="2:11" ht="18.75">
      <c r="B39" s="587" t="s">
        <v>678</v>
      </c>
      <c r="C39" s="587"/>
      <c r="D39" s="25"/>
      <c r="E39" s="26"/>
      <c r="F39" s="26"/>
      <c r="G39" s="26"/>
      <c r="H39" s="26"/>
      <c r="I39" s="26"/>
      <c r="J39" s="15"/>
      <c r="K39" s="15"/>
    </row>
    <row r="40" spans="2:11" ht="15.75">
      <c r="B40" s="27" t="s">
        <v>10</v>
      </c>
      <c r="C40" s="27"/>
      <c r="D40" s="26"/>
      <c r="E40" s="26"/>
      <c r="F40" s="26"/>
      <c r="G40" s="26"/>
      <c r="H40" s="26"/>
      <c r="I40" s="26"/>
      <c r="J40" s="15"/>
      <c r="K40" s="15"/>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24">
    <mergeCell ref="A16:A17"/>
    <mergeCell ref="B16:B17"/>
    <mergeCell ref="K16:K17"/>
    <mergeCell ref="A18:A19"/>
    <mergeCell ref="B18:B19"/>
    <mergeCell ref="K18:K19"/>
    <mergeCell ref="B37:C37"/>
    <mergeCell ref="B39:C39"/>
    <mergeCell ref="K13:K15"/>
    <mergeCell ref="E14:E15"/>
    <mergeCell ref="F14:F15"/>
    <mergeCell ref="G14:G15"/>
    <mergeCell ref="H14:H15"/>
    <mergeCell ref="I14:I15"/>
    <mergeCell ref="J14:J15"/>
    <mergeCell ref="J1:K1"/>
    <mergeCell ref="J2:K2"/>
    <mergeCell ref="A11:K11"/>
    <mergeCell ref="D12:H12"/>
    <mergeCell ref="A13:A15"/>
    <mergeCell ref="B13:B15"/>
    <mergeCell ref="C13:C15"/>
    <mergeCell ref="D13:D15"/>
    <mergeCell ref="E13:J13"/>
  </mergeCells>
  <printOptions horizontalCentered="1"/>
  <pageMargins left="1.1811023622047245" right="0.5905511811023623" top="1.1811023622047245" bottom="0.7874015748031497" header="0" footer="0"/>
  <pageSetup fitToWidth="0" fitToHeight="1" horizontalDpi="600" verticalDpi="600" orientation="landscape" paperSize="9" scale="39"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N32"/>
  <sheetViews>
    <sheetView view="pageBreakPreview" zoomScaleSheetLayoutView="100" zoomScalePageLayoutView="0" workbookViewId="0" topLeftCell="A1">
      <selection activeCell="A1" sqref="A1:K27"/>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91" t="s">
        <v>503</v>
      </c>
      <c r="K1" s="591"/>
      <c r="L1" s="13" t="s">
        <v>19</v>
      </c>
    </row>
    <row r="2" spans="2:12" ht="15.75">
      <c r="B2" s="15"/>
      <c r="C2" s="15"/>
      <c r="D2" s="15"/>
      <c r="E2" s="15"/>
      <c r="F2" s="15"/>
      <c r="G2" s="15"/>
      <c r="H2" s="15"/>
      <c r="I2" s="12" t="s">
        <v>11</v>
      </c>
      <c r="J2" s="591" t="s">
        <v>11</v>
      </c>
      <c r="K2" s="591"/>
      <c r="L2" s="12" t="s">
        <v>11</v>
      </c>
    </row>
    <row r="3" spans="2:12" ht="15.75">
      <c r="B3" s="15"/>
      <c r="C3" s="15"/>
      <c r="D3" s="15"/>
      <c r="E3" s="15"/>
      <c r="F3" s="15"/>
      <c r="G3" s="15"/>
      <c r="H3" s="15"/>
      <c r="I3" s="12"/>
      <c r="J3" s="12" t="s">
        <v>322</v>
      </c>
      <c r="K3" s="12"/>
      <c r="L3" s="12"/>
    </row>
    <row r="4" spans="2:12" ht="15.75">
      <c r="B4" s="15"/>
      <c r="C4" s="15"/>
      <c r="D4" s="15"/>
      <c r="E4" s="15"/>
      <c r="F4" s="15"/>
      <c r="G4" s="15"/>
      <c r="H4" s="15"/>
      <c r="I4" s="12" t="s">
        <v>21</v>
      </c>
      <c r="J4" s="12" t="s">
        <v>702</v>
      </c>
      <c r="K4" s="12"/>
      <c r="L4" s="12" t="s">
        <v>21</v>
      </c>
    </row>
    <row r="5" spans="2:12" ht="15.75">
      <c r="B5" s="15"/>
      <c r="C5" s="15"/>
      <c r="D5" s="15"/>
      <c r="E5" s="15"/>
      <c r="F5" s="15"/>
      <c r="G5" s="15"/>
      <c r="H5" s="15"/>
      <c r="I5" s="12" t="s">
        <v>23</v>
      </c>
      <c r="J5" s="12" t="s">
        <v>705</v>
      </c>
      <c r="K5" s="12"/>
      <c r="L5" s="12" t="s">
        <v>23</v>
      </c>
    </row>
    <row r="6" spans="2:12" ht="15.75">
      <c r="B6" s="15"/>
      <c r="C6" s="15"/>
      <c r="D6" s="15"/>
      <c r="E6" s="15"/>
      <c r="F6" s="15"/>
      <c r="G6" s="15"/>
      <c r="H6" s="15"/>
      <c r="I6" s="12"/>
      <c r="J6" s="12" t="s">
        <v>683</v>
      </c>
      <c r="K6" s="12"/>
      <c r="L6" s="12"/>
    </row>
    <row r="7" spans="2:12" ht="15.75">
      <c r="B7" s="15"/>
      <c r="C7" s="15"/>
      <c r="D7" s="15"/>
      <c r="E7" s="15"/>
      <c r="F7" s="15"/>
      <c r="G7" s="15"/>
      <c r="H7" s="15"/>
      <c r="I7" s="12"/>
      <c r="J7" s="12" t="s">
        <v>684</v>
      </c>
      <c r="K7" s="12"/>
      <c r="L7" s="12"/>
    </row>
    <row r="8" spans="2:12" ht="15.75">
      <c r="B8" s="15"/>
      <c r="C8" s="15"/>
      <c r="D8" s="15"/>
      <c r="E8" s="15"/>
      <c r="F8" s="15"/>
      <c r="G8" s="15"/>
      <c r="H8" s="16"/>
      <c r="I8" s="12" t="s">
        <v>24</v>
      </c>
      <c r="J8" s="12" t="s">
        <v>685</v>
      </c>
      <c r="K8" s="12"/>
      <c r="L8" s="12" t="s">
        <v>24</v>
      </c>
    </row>
    <row r="9" spans="2:12" ht="15.75">
      <c r="B9" s="15"/>
      <c r="C9" s="15"/>
      <c r="D9" s="15"/>
      <c r="E9" s="15"/>
      <c r="F9" s="15"/>
      <c r="G9" s="15"/>
      <c r="H9" s="15"/>
      <c r="I9" s="15"/>
      <c r="J9" s="15" t="s">
        <v>715</v>
      </c>
      <c r="K9" s="15"/>
      <c r="L9" s="15"/>
    </row>
    <row r="10" spans="2:12" ht="21.75" customHeight="1">
      <c r="B10" s="586" t="s">
        <v>485</v>
      </c>
      <c r="C10" s="586"/>
      <c r="D10" s="586"/>
      <c r="E10" s="586"/>
      <c r="F10" s="586"/>
      <c r="G10" s="586"/>
      <c r="H10" s="586"/>
      <c r="I10" s="586"/>
      <c r="J10" s="586"/>
      <c r="K10" s="586"/>
      <c r="L10" s="15"/>
    </row>
    <row r="11" spans="2:12" ht="15.75">
      <c r="B11" s="15"/>
      <c r="C11" s="15"/>
      <c r="D11" s="589"/>
      <c r="E11" s="589"/>
      <c r="F11" s="589"/>
      <c r="G11" s="589"/>
      <c r="H11" s="589"/>
      <c r="I11" s="15"/>
      <c r="J11" s="15"/>
      <c r="K11" s="35" t="s">
        <v>467</v>
      </c>
      <c r="L11" s="15"/>
    </row>
    <row r="12" spans="1:12" ht="15.75" customHeight="1">
      <c r="A12" s="639" t="s">
        <v>32</v>
      </c>
      <c r="B12" s="639" t="s">
        <v>12</v>
      </c>
      <c r="C12" s="639" t="s">
        <v>13</v>
      </c>
      <c r="D12" s="639" t="s">
        <v>442</v>
      </c>
      <c r="E12" s="646" t="s">
        <v>9</v>
      </c>
      <c r="F12" s="646"/>
      <c r="G12" s="646"/>
      <c r="H12" s="646"/>
      <c r="I12" s="646"/>
      <c r="J12" s="647"/>
      <c r="K12" s="642" t="s">
        <v>15</v>
      </c>
      <c r="L12" s="15"/>
    </row>
    <row r="13" spans="1:12" ht="15.75">
      <c r="A13" s="640"/>
      <c r="B13" s="640"/>
      <c r="C13" s="640"/>
      <c r="D13" s="640"/>
      <c r="E13" s="639">
        <v>2018</v>
      </c>
      <c r="F13" s="639">
        <v>2019</v>
      </c>
      <c r="G13" s="639" t="s">
        <v>27</v>
      </c>
      <c r="H13" s="639" t="s">
        <v>28</v>
      </c>
      <c r="I13" s="639" t="s">
        <v>29</v>
      </c>
      <c r="J13" s="642">
        <v>2020</v>
      </c>
      <c r="K13" s="642"/>
      <c r="L13" s="15"/>
    </row>
    <row r="14" spans="1:12" ht="15.75">
      <c r="A14" s="641"/>
      <c r="B14" s="641"/>
      <c r="C14" s="641"/>
      <c r="D14" s="641"/>
      <c r="E14" s="641"/>
      <c r="F14" s="641"/>
      <c r="G14" s="641"/>
      <c r="H14" s="641"/>
      <c r="I14" s="641"/>
      <c r="J14" s="642"/>
      <c r="K14" s="642"/>
      <c r="L14" s="15"/>
    </row>
    <row r="15" spans="1:12" ht="26.25" customHeight="1">
      <c r="A15" s="578">
        <v>1</v>
      </c>
      <c r="B15" s="644" t="s">
        <v>74</v>
      </c>
      <c r="C15" s="516" t="s">
        <v>16</v>
      </c>
      <c r="D15" s="109">
        <f>E15+F15+J15</f>
        <v>2900</v>
      </c>
      <c r="E15" s="110">
        <f>1300+100</f>
        <v>1400</v>
      </c>
      <c r="F15" s="110">
        <f>1300+200</f>
        <v>1500</v>
      </c>
      <c r="G15" s="110">
        <v>1100</v>
      </c>
      <c r="H15" s="110">
        <v>1100</v>
      </c>
      <c r="I15" s="110">
        <v>1100</v>
      </c>
      <c r="J15" s="110"/>
      <c r="K15" s="644" t="s">
        <v>75</v>
      </c>
      <c r="L15" s="15"/>
    </row>
    <row r="16" spans="1:14" ht="35.25" customHeight="1">
      <c r="A16" s="666"/>
      <c r="B16" s="645"/>
      <c r="C16" s="516" t="s">
        <v>648</v>
      </c>
      <c r="D16" s="109">
        <f>E16+F16+J16</f>
        <v>1300</v>
      </c>
      <c r="E16" s="111">
        <v>0</v>
      </c>
      <c r="F16" s="110"/>
      <c r="G16" s="110"/>
      <c r="H16" s="110"/>
      <c r="I16" s="110"/>
      <c r="J16" s="110">
        <v>1300</v>
      </c>
      <c r="K16" s="687"/>
      <c r="L16" s="15"/>
      <c r="N16" s="55">
        <v>441</v>
      </c>
    </row>
    <row r="17" spans="1:14" ht="56.25" customHeight="1">
      <c r="A17" s="666"/>
      <c r="B17" s="644" t="s">
        <v>653</v>
      </c>
      <c r="C17" s="516" t="s">
        <v>16</v>
      </c>
      <c r="D17" s="109">
        <f>E17+F17+J17</f>
        <v>1120</v>
      </c>
      <c r="E17" s="114">
        <f>200+90</f>
        <v>290</v>
      </c>
      <c r="F17" s="114">
        <f>200+100+100+130+170+130</f>
        <v>830</v>
      </c>
      <c r="G17" s="114">
        <v>200</v>
      </c>
      <c r="H17" s="114">
        <v>200</v>
      </c>
      <c r="I17" s="114">
        <v>200</v>
      </c>
      <c r="J17" s="114"/>
      <c r="K17" s="687"/>
      <c r="L17" s="15"/>
      <c r="N17" s="55"/>
    </row>
    <row r="18" spans="1:14" ht="22.5" customHeight="1">
      <c r="A18" s="579"/>
      <c r="B18" s="645"/>
      <c r="C18" s="516" t="s">
        <v>648</v>
      </c>
      <c r="D18" s="109">
        <f>E18+F18+J18</f>
        <v>750</v>
      </c>
      <c r="E18" s="114"/>
      <c r="F18" s="114"/>
      <c r="G18" s="114"/>
      <c r="H18" s="114"/>
      <c r="I18" s="114"/>
      <c r="J18" s="114">
        <v>750</v>
      </c>
      <c r="K18" s="645"/>
      <c r="L18" s="15"/>
      <c r="N18" s="55"/>
    </row>
    <row r="19" spans="1:12" ht="32.25" customHeight="1">
      <c r="A19" s="85"/>
      <c r="B19" s="83" t="s">
        <v>5</v>
      </c>
      <c r="C19" s="112"/>
      <c r="D19" s="109">
        <f>D17+D15+D16+D18</f>
        <v>6070</v>
      </c>
      <c r="E19" s="109">
        <f>E15+E17</f>
        <v>1690</v>
      </c>
      <c r="F19" s="109">
        <f>F17+F15</f>
        <v>2330</v>
      </c>
      <c r="G19" s="109" t="e">
        <f>G15+G16+#REF!</f>
        <v>#REF!</v>
      </c>
      <c r="H19" s="109" t="e">
        <f>H15+H16+#REF!</f>
        <v>#REF!</v>
      </c>
      <c r="I19" s="109" t="e">
        <f>I15+I16+#REF!</f>
        <v>#REF!</v>
      </c>
      <c r="J19" s="109">
        <f>J17+J15+J16+J18</f>
        <v>2050</v>
      </c>
      <c r="K19" s="113"/>
      <c r="L19" s="15"/>
    </row>
    <row r="20" spans="2:12" ht="15.75">
      <c r="B20" s="18"/>
      <c r="C20" s="18"/>
      <c r="D20" s="19"/>
      <c r="E20" s="19"/>
      <c r="F20" s="19"/>
      <c r="G20" s="19"/>
      <c r="H20" s="19"/>
      <c r="I20" s="19"/>
      <c r="J20" s="19"/>
      <c r="K20" s="20"/>
      <c r="L20" s="15"/>
    </row>
    <row r="21" spans="2:12" ht="15.75" hidden="1">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9.75" customHeight="1">
      <c r="B23" s="52"/>
      <c r="C23" s="53"/>
      <c r="E23" s="19"/>
      <c r="F23" s="19"/>
      <c r="G23" s="19"/>
      <c r="H23" s="19"/>
      <c r="I23" s="19"/>
      <c r="J23" s="19"/>
      <c r="K23" s="53"/>
      <c r="L23" s="15"/>
    </row>
    <row r="24" spans="2:12" ht="18.75" customHeight="1">
      <c r="B24" s="609" t="s">
        <v>18</v>
      </c>
      <c r="C24" s="609"/>
      <c r="D24" s="375"/>
      <c r="E24" s="22"/>
      <c r="F24" s="22"/>
      <c r="G24" s="16"/>
      <c r="H24" s="16"/>
      <c r="I24" s="16"/>
      <c r="J24" s="23"/>
      <c r="K24" s="23" t="s">
        <v>30</v>
      </c>
      <c r="L24" s="23"/>
    </row>
    <row r="25" spans="2:12" ht="14.25" customHeight="1">
      <c r="B25" s="375"/>
      <c r="C25" s="375"/>
      <c r="D25" s="375"/>
      <c r="E25" s="22"/>
      <c r="F25" s="22"/>
      <c r="G25" s="16"/>
      <c r="H25" s="16"/>
      <c r="I25" s="16"/>
      <c r="J25" s="23"/>
      <c r="K25" s="23"/>
      <c r="L25" s="23"/>
    </row>
    <row r="26" spans="2:11" ht="18.75">
      <c r="B26" s="587" t="s">
        <v>678</v>
      </c>
      <c r="C26" s="587"/>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B26:C26"/>
    <mergeCell ref="K12:K14"/>
    <mergeCell ref="E13:E14"/>
    <mergeCell ref="F13:F14"/>
    <mergeCell ref="G13:G14"/>
    <mergeCell ref="D12:D14"/>
    <mergeCell ref="B17:B18"/>
    <mergeCell ref="A12:A14"/>
    <mergeCell ref="B12:B14"/>
    <mergeCell ref="I13:I14"/>
    <mergeCell ref="J13:J14"/>
    <mergeCell ref="A15:A18"/>
    <mergeCell ref="C12:C14"/>
    <mergeCell ref="E12:J12"/>
    <mergeCell ref="J1:K1"/>
    <mergeCell ref="J2:K2"/>
    <mergeCell ref="B10:K10"/>
    <mergeCell ref="D11:H11"/>
    <mergeCell ref="B15:B16"/>
    <mergeCell ref="B24:C24"/>
    <mergeCell ref="H13:H14"/>
    <mergeCell ref="K15:K18"/>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162"/>
  <sheetViews>
    <sheetView view="pageBreakPreview" zoomScale="71" zoomScaleSheetLayoutView="71" zoomScalePageLayoutView="0" workbookViewId="0" topLeftCell="A138">
      <selection activeCell="A1" sqref="A1:J159"/>
    </sheetView>
  </sheetViews>
  <sheetFormatPr defaultColWidth="9.140625" defaultRowHeight="12.75"/>
  <cols>
    <col min="1" max="1" width="5.28125" style="16" customWidth="1"/>
    <col min="2" max="2" width="84.00390625" style="128"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89"/>
      <c r="C1" s="15"/>
      <c r="D1" s="15"/>
      <c r="E1" s="15"/>
      <c r="F1" s="15"/>
      <c r="G1" s="15"/>
      <c r="H1" s="15"/>
      <c r="I1" s="689" t="s">
        <v>504</v>
      </c>
      <c r="J1" s="689"/>
      <c r="K1" s="13" t="s">
        <v>19</v>
      </c>
    </row>
    <row r="2" spans="2:11" ht="15.75">
      <c r="B2" s="89"/>
      <c r="C2" s="15"/>
      <c r="D2" s="15"/>
      <c r="E2" s="15"/>
      <c r="F2" s="15"/>
      <c r="G2" s="15"/>
      <c r="H2" s="15"/>
      <c r="I2" s="591" t="s">
        <v>11</v>
      </c>
      <c r="J2" s="591"/>
      <c r="K2" s="12" t="s">
        <v>11</v>
      </c>
    </row>
    <row r="3" spans="2:11" ht="15.75">
      <c r="B3" s="89"/>
      <c r="C3" s="15"/>
      <c r="D3" s="15"/>
      <c r="E3" s="15"/>
      <c r="F3" s="15"/>
      <c r="G3" s="15"/>
      <c r="H3" s="15"/>
      <c r="I3" s="12" t="s">
        <v>322</v>
      </c>
      <c r="J3" s="12"/>
      <c r="K3" s="12"/>
    </row>
    <row r="4" spans="2:11" ht="15.75">
      <c r="B4" s="89"/>
      <c r="C4" s="15"/>
      <c r="D4" s="15"/>
      <c r="E4" s="15"/>
      <c r="F4" s="15"/>
      <c r="G4" s="15"/>
      <c r="H4" s="15"/>
      <c r="I4" s="12" t="s">
        <v>702</v>
      </c>
      <c r="J4" s="12"/>
      <c r="K4" s="12" t="s">
        <v>21</v>
      </c>
    </row>
    <row r="5" spans="2:11" ht="15.75">
      <c r="B5" s="89"/>
      <c r="C5" s="15"/>
      <c r="D5" s="15"/>
      <c r="E5" s="15"/>
      <c r="F5" s="15"/>
      <c r="G5" s="15"/>
      <c r="H5" s="15"/>
      <c r="I5" s="12" t="s">
        <v>695</v>
      </c>
      <c r="J5" s="12"/>
      <c r="K5" s="12" t="s">
        <v>23</v>
      </c>
    </row>
    <row r="6" spans="2:11" ht="15.75">
      <c r="B6" s="89"/>
      <c r="C6" s="15"/>
      <c r="D6" s="15"/>
      <c r="E6" s="15"/>
      <c r="F6" s="15"/>
      <c r="G6" s="15"/>
      <c r="H6" s="15"/>
      <c r="I6" s="12" t="s">
        <v>683</v>
      </c>
      <c r="J6" s="12"/>
      <c r="K6" s="12"/>
    </row>
    <row r="7" spans="2:11" ht="15.75">
      <c r="B7" s="89"/>
      <c r="C7" s="15"/>
      <c r="D7" s="15"/>
      <c r="E7" s="15"/>
      <c r="F7" s="15"/>
      <c r="G7" s="15"/>
      <c r="H7" s="15"/>
      <c r="I7" s="12" t="s">
        <v>716</v>
      </c>
      <c r="J7" s="12"/>
      <c r="K7" s="12"/>
    </row>
    <row r="8" spans="2:11" ht="15.75">
      <c r="B8" s="89"/>
      <c r="C8" s="15"/>
      <c r="D8" s="15"/>
      <c r="E8" s="15"/>
      <c r="F8" s="15"/>
      <c r="G8" s="15"/>
      <c r="I8" s="12" t="s">
        <v>685</v>
      </c>
      <c r="J8" s="12"/>
      <c r="K8" s="12" t="s">
        <v>24</v>
      </c>
    </row>
    <row r="9" spans="2:14" ht="15.75" customHeight="1">
      <c r="B9" s="89"/>
      <c r="C9" s="15"/>
      <c r="D9" s="15"/>
      <c r="E9" s="15"/>
      <c r="F9" s="15"/>
      <c r="G9" s="15"/>
      <c r="I9" s="592" t="s">
        <v>686</v>
      </c>
      <c r="J9" s="592"/>
      <c r="K9" s="17"/>
      <c r="L9" s="17"/>
      <c r="M9" s="17"/>
      <c r="N9" s="17"/>
    </row>
    <row r="10" spans="2:11" ht="15.75">
      <c r="B10" s="89"/>
      <c r="C10" s="15"/>
      <c r="D10" s="15"/>
      <c r="E10" s="15"/>
      <c r="F10" s="15"/>
      <c r="G10" s="15"/>
      <c r="H10" s="15"/>
      <c r="I10" s="15"/>
      <c r="J10" s="15"/>
      <c r="K10" s="15"/>
    </row>
    <row r="11" spans="1:11" ht="18.75" customHeight="1">
      <c r="A11" s="650" t="s">
        <v>633</v>
      </c>
      <c r="B11" s="650"/>
      <c r="C11" s="650"/>
      <c r="D11" s="650"/>
      <c r="E11" s="650"/>
      <c r="F11" s="650"/>
      <c r="G11" s="650"/>
      <c r="H11" s="650"/>
      <c r="I11" s="650"/>
      <c r="J11" s="650"/>
      <c r="K11" s="15"/>
    </row>
    <row r="12" spans="2:11" ht="15.75">
      <c r="B12" s="89"/>
      <c r="C12" s="15"/>
      <c r="D12" s="589"/>
      <c r="E12" s="589"/>
      <c r="F12" s="589"/>
      <c r="G12" s="589"/>
      <c r="H12" s="589"/>
      <c r="I12" s="15"/>
      <c r="J12" s="35" t="s">
        <v>426</v>
      </c>
      <c r="K12" s="15"/>
    </row>
    <row r="13" spans="1:11" ht="15.75" customHeight="1">
      <c r="A13" s="588" t="s">
        <v>6</v>
      </c>
      <c r="B13" s="572" t="s">
        <v>12</v>
      </c>
      <c r="C13" s="688" t="s">
        <v>13</v>
      </c>
      <c r="D13" s="583" t="s">
        <v>437</v>
      </c>
      <c r="E13" s="688" t="s">
        <v>9</v>
      </c>
      <c r="F13" s="590"/>
      <c r="G13" s="590"/>
      <c r="H13" s="590"/>
      <c r="I13" s="590"/>
      <c r="J13" s="588" t="s">
        <v>15</v>
      </c>
      <c r="K13" s="15"/>
    </row>
    <row r="14" spans="1:11" ht="15.75" customHeight="1">
      <c r="A14" s="588"/>
      <c r="B14" s="572"/>
      <c r="C14" s="693"/>
      <c r="D14" s="584"/>
      <c r="E14" s="583" t="s">
        <v>438</v>
      </c>
      <c r="F14" s="688" t="s">
        <v>439</v>
      </c>
      <c r="G14" s="590"/>
      <c r="H14" s="665"/>
      <c r="I14" s="583" t="s">
        <v>431</v>
      </c>
      <c r="J14" s="588"/>
      <c r="K14" s="15"/>
    </row>
    <row r="15" spans="1:11" ht="23.25" customHeight="1">
      <c r="A15" s="588"/>
      <c r="B15" s="572"/>
      <c r="C15" s="690"/>
      <c r="D15" s="585"/>
      <c r="E15" s="585"/>
      <c r="F15" s="690"/>
      <c r="G15" s="691"/>
      <c r="H15" s="692"/>
      <c r="I15" s="585"/>
      <c r="J15" s="588"/>
      <c r="K15" s="15"/>
    </row>
    <row r="16" spans="1:13" ht="56.25" customHeight="1">
      <c r="A16" s="36">
        <v>1</v>
      </c>
      <c r="B16" s="117" t="s">
        <v>0</v>
      </c>
      <c r="C16" s="116" t="s">
        <v>140</v>
      </c>
      <c r="D16" s="67">
        <f aca="true" t="shared" si="0" ref="D16:D22">E16</f>
        <v>10230</v>
      </c>
      <c r="E16" s="88">
        <f>E17+E18+E19+E20+E21+E22</f>
        <v>10230</v>
      </c>
      <c r="F16" s="88">
        <f>F17+F18+F19+F20+F21+F22</f>
        <v>0</v>
      </c>
      <c r="G16" s="88">
        <f>G17+G18+G19+G20+G21+G22</f>
        <v>0</v>
      </c>
      <c r="H16" s="88">
        <f>H17+H18+H19+H20+H21+H22</f>
        <v>0</v>
      </c>
      <c r="I16" s="88">
        <f>I17+I18+I19+I20+I21+I22</f>
        <v>0</v>
      </c>
      <c r="J16" s="36" t="s">
        <v>41</v>
      </c>
      <c r="K16" s="15"/>
      <c r="M16" s="115"/>
    </row>
    <row r="17" spans="1:13" ht="42" customHeight="1">
      <c r="A17" s="36"/>
      <c r="B17" s="258" t="s">
        <v>219</v>
      </c>
      <c r="C17" s="116" t="s">
        <v>140</v>
      </c>
      <c r="D17" s="67">
        <f t="shared" si="0"/>
        <v>1980</v>
      </c>
      <c r="E17" s="259">
        <v>1980</v>
      </c>
      <c r="F17" s="75"/>
      <c r="G17" s="63"/>
      <c r="H17" s="63"/>
      <c r="I17" s="118"/>
      <c r="J17" s="36"/>
      <c r="K17" s="15"/>
      <c r="M17" s="115"/>
    </row>
    <row r="18" spans="1:13" ht="48" customHeight="1">
      <c r="A18" s="36"/>
      <c r="B18" s="258" t="s">
        <v>220</v>
      </c>
      <c r="C18" s="116" t="s">
        <v>140</v>
      </c>
      <c r="D18" s="67">
        <f t="shared" si="0"/>
        <v>3000</v>
      </c>
      <c r="E18" s="259">
        <v>3000</v>
      </c>
      <c r="F18" s="75"/>
      <c r="G18" s="63"/>
      <c r="H18" s="63"/>
      <c r="I18" s="118"/>
      <c r="J18" s="36"/>
      <c r="K18" s="15"/>
      <c r="M18" s="115"/>
    </row>
    <row r="19" spans="1:13" ht="63" customHeight="1">
      <c r="A19" s="36"/>
      <c r="B19" s="258" t="s">
        <v>440</v>
      </c>
      <c r="C19" s="116" t="s">
        <v>140</v>
      </c>
      <c r="D19" s="67">
        <f t="shared" si="0"/>
        <v>3700</v>
      </c>
      <c r="E19" s="223">
        <v>3700</v>
      </c>
      <c r="F19" s="75"/>
      <c r="G19" s="63"/>
      <c r="H19" s="63"/>
      <c r="I19" s="118"/>
      <c r="J19" s="36"/>
      <c r="K19" s="15"/>
      <c r="M19" s="115"/>
    </row>
    <row r="20" spans="1:13" ht="60.75" customHeight="1">
      <c r="A20" s="77"/>
      <c r="B20" s="258" t="s">
        <v>221</v>
      </c>
      <c r="C20" s="116" t="s">
        <v>140</v>
      </c>
      <c r="D20" s="67">
        <f t="shared" si="0"/>
        <v>350</v>
      </c>
      <c r="E20" s="223">
        <v>350</v>
      </c>
      <c r="F20" s="75"/>
      <c r="G20" s="63"/>
      <c r="H20" s="63"/>
      <c r="I20" s="118"/>
      <c r="J20" s="36"/>
      <c r="K20" s="15"/>
      <c r="M20" s="115"/>
    </row>
    <row r="21" spans="1:13" ht="56.25" customHeight="1">
      <c r="A21" s="36"/>
      <c r="B21" s="258" t="s">
        <v>222</v>
      </c>
      <c r="C21" s="116" t="s">
        <v>140</v>
      </c>
      <c r="D21" s="67">
        <f t="shared" si="0"/>
        <v>500</v>
      </c>
      <c r="E21" s="223">
        <v>500</v>
      </c>
      <c r="F21" s="75"/>
      <c r="G21" s="63"/>
      <c r="H21" s="63"/>
      <c r="I21" s="119"/>
      <c r="J21" s="36"/>
      <c r="K21" s="15"/>
      <c r="M21" s="115"/>
    </row>
    <row r="22" spans="1:13" ht="59.25" customHeight="1">
      <c r="A22" s="36"/>
      <c r="B22" s="258" t="s">
        <v>223</v>
      </c>
      <c r="C22" s="116" t="s">
        <v>140</v>
      </c>
      <c r="D22" s="67">
        <f t="shared" si="0"/>
        <v>700</v>
      </c>
      <c r="E22" s="223">
        <v>700</v>
      </c>
      <c r="F22" s="75"/>
      <c r="G22" s="63"/>
      <c r="H22" s="63"/>
      <c r="I22" s="119"/>
      <c r="J22" s="36"/>
      <c r="K22" s="15"/>
      <c r="M22" s="115"/>
    </row>
    <row r="23" spans="1:13" ht="57" customHeight="1">
      <c r="A23" s="36">
        <v>2</v>
      </c>
      <c r="B23" s="117" t="s">
        <v>1</v>
      </c>
      <c r="C23" s="116" t="s">
        <v>140</v>
      </c>
      <c r="D23" s="67">
        <f>E23+F23</f>
        <v>25400</v>
      </c>
      <c r="E23" s="88">
        <f>E24+E25+E26+E27</f>
        <v>10400</v>
      </c>
      <c r="F23" s="88">
        <f>F24+F25+F26+F27+F28+F29+F30</f>
        <v>15000</v>
      </c>
      <c r="G23" s="88">
        <f>G24+G25+G26+G27+G28+G29+G30</f>
        <v>0</v>
      </c>
      <c r="H23" s="88">
        <f>H24+H25+H26+H27+H28+H29+H30</f>
        <v>0</v>
      </c>
      <c r="I23" s="88">
        <f>I24+I25+I26+I27+I28+I29+I30</f>
        <v>0</v>
      </c>
      <c r="J23" s="36" t="s">
        <v>42</v>
      </c>
      <c r="K23" s="15"/>
      <c r="M23" s="115"/>
    </row>
    <row r="24" spans="1:13" ht="45" customHeight="1">
      <c r="A24" s="36"/>
      <c r="B24" s="258" t="s">
        <v>224</v>
      </c>
      <c r="C24" s="116" t="s">
        <v>140</v>
      </c>
      <c r="D24" s="67">
        <f aca="true" t="shared" si="1" ref="D24:D30">E24+F24</f>
        <v>4000</v>
      </c>
      <c r="E24" s="223">
        <v>4000</v>
      </c>
      <c r="F24" s="75"/>
      <c r="G24" s="63"/>
      <c r="H24" s="63"/>
      <c r="I24" s="118"/>
      <c r="J24" s="36"/>
      <c r="K24" s="15"/>
      <c r="M24" s="115"/>
    </row>
    <row r="25" spans="1:13" ht="48" customHeight="1">
      <c r="A25" s="36"/>
      <c r="B25" s="258" t="s">
        <v>225</v>
      </c>
      <c r="C25" s="116" t="s">
        <v>140</v>
      </c>
      <c r="D25" s="67">
        <f t="shared" si="1"/>
        <v>2500</v>
      </c>
      <c r="E25" s="223">
        <v>2500</v>
      </c>
      <c r="F25" s="75"/>
      <c r="G25" s="63"/>
      <c r="H25" s="63"/>
      <c r="I25" s="118"/>
      <c r="J25" s="36"/>
      <c r="K25" s="15"/>
      <c r="M25" s="115"/>
    </row>
    <row r="26" spans="1:13" ht="38.25" customHeight="1">
      <c r="A26" s="36"/>
      <c r="B26" s="258" t="s">
        <v>226</v>
      </c>
      <c r="C26" s="116" t="s">
        <v>140</v>
      </c>
      <c r="D26" s="67">
        <f t="shared" si="1"/>
        <v>3000</v>
      </c>
      <c r="E26" s="223">
        <v>3000</v>
      </c>
      <c r="F26" s="75"/>
      <c r="G26" s="63"/>
      <c r="H26" s="63"/>
      <c r="I26" s="118"/>
      <c r="J26" s="36"/>
      <c r="K26" s="15"/>
      <c r="M26" s="115"/>
    </row>
    <row r="27" spans="1:13" ht="45.75" customHeight="1">
      <c r="A27" s="36"/>
      <c r="B27" s="258" t="s">
        <v>227</v>
      </c>
      <c r="C27" s="116" t="s">
        <v>140</v>
      </c>
      <c r="D27" s="67">
        <f t="shared" si="1"/>
        <v>900</v>
      </c>
      <c r="E27" s="223">
        <v>900</v>
      </c>
      <c r="F27" s="75"/>
      <c r="G27" s="63"/>
      <c r="H27" s="63"/>
      <c r="I27" s="118"/>
      <c r="J27" s="36"/>
      <c r="K27" s="15"/>
      <c r="M27" s="115"/>
    </row>
    <row r="28" spans="1:13" ht="45.75" customHeight="1">
      <c r="A28" s="36"/>
      <c r="B28" s="258" t="s">
        <v>354</v>
      </c>
      <c r="C28" s="116" t="s">
        <v>140</v>
      </c>
      <c r="D28" s="67">
        <f t="shared" si="1"/>
        <v>5000</v>
      </c>
      <c r="E28" s="223"/>
      <c r="F28" s="75">
        <v>5000</v>
      </c>
      <c r="G28" s="63"/>
      <c r="H28" s="63"/>
      <c r="I28" s="118"/>
      <c r="J28" s="36"/>
      <c r="K28" s="15"/>
      <c r="M28" s="115"/>
    </row>
    <row r="29" spans="1:13" ht="45.75" customHeight="1">
      <c r="A29" s="36"/>
      <c r="B29" s="258" t="s">
        <v>355</v>
      </c>
      <c r="C29" s="116" t="s">
        <v>140</v>
      </c>
      <c r="D29" s="67">
        <f t="shared" si="1"/>
        <v>7000</v>
      </c>
      <c r="E29" s="223"/>
      <c r="F29" s="75">
        <v>7000</v>
      </c>
      <c r="G29" s="63"/>
      <c r="H29" s="63"/>
      <c r="I29" s="118"/>
      <c r="J29" s="36"/>
      <c r="K29" s="15"/>
      <c r="M29" s="115"/>
    </row>
    <row r="30" spans="1:13" ht="45.75" customHeight="1">
      <c r="A30" s="36"/>
      <c r="B30" s="258" t="s">
        <v>356</v>
      </c>
      <c r="C30" s="116" t="s">
        <v>140</v>
      </c>
      <c r="D30" s="67">
        <f t="shared" si="1"/>
        <v>3000</v>
      </c>
      <c r="E30" s="223"/>
      <c r="F30" s="75">
        <v>3000</v>
      </c>
      <c r="G30" s="63"/>
      <c r="H30" s="63"/>
      <c r="I30" s="118"/>
      <c r="J30" s="36"/>
      <c r="K30" s="15"/>
      <c r="M30" s="115"/>
    </row>
    <row r="31" spans="1:13" ht="50.25" customHeight="1">
      <c r="A31" s="36">
        <v>3</v>
      </c>
      <c r="B31" s="117" t="s">
        <v>46</v>
      </c>
      <c r="C31" s="116" t="s">
        <v>140</v>
      </c>
      <c r="D31" s="67">
        <f>E31+F31</f>
        <v>25454.5</v>
      </c>
      <c r="E31" s="88">
        <f>E32+E33+E34+E35+E38+E39</f>
        <v>9202.1</v>
      </c>
      <c r="F31" s="62">
        <f>F36+F37</f>
        <v>16252.400000000001</v>
      </c>
      <c r="G31" s="62">
        <f>G36+G37</f>
        <v>0</v>
      </c>
      <c r="H31" s="62">
        <f>H36+H37</f>
        <v>0</v>
      </c>
      <c r="I31" s="62">
        <f>I36+I37</f>
        <v>0</v>
      </c>
      <c r="J31" s="36" t="s">
        <v>47</v>
      </c>
      <c r="K31" s="15"/>
      <c r="M31" s="115"/>
    </row>
    <row r="32" spans="1:13" ht="62.25" customHeight="1">
      <c r="A32" s="36"/>
      <c r="B32" s="260" t="s">
        <v>228</v>
      </c>
      <c r="C32" s="116" t="s">
        <v>140</v>
      </c>
      <c r="D32" s="67">
        <f aca="true" t="shared" si="2" ref="D32:D44">E32</f>
        <v>454.8</v>
      </c>
      <c r="E32" s="261">
        <v>454.8</v>
      </c>
      <c r="F32" s="75"/>
      <c r="G32" s="63"/>
      <c r="H32" s="63"/>
      <c r="I32" s="121"/>
      <c r="J32" s="36"/>
      <c r="K32" s="15"/>
      <c r="M32" s="115"/>
    </row>
    <row r="33" spans="1:13" ht="42.75" customHeight="1">
      <c r="A33" s="36"/>
      <c r="B33" s="260" t="s">
        <v>229</v>
      </c>
      <c r="C33" s="116" t="s">
        <v>140</v>
      </c>
      <c r="D33" s="67">
        <f t="shared" si="2"/>
        <v>918.2</v>
      </c>
      <c r="E33" s="261">
        <v>918.2</v>
      </c>
      <c r="F33" s="75"/>
      <c r="G33" s="63"/>
      <c r="H33" s="63"/>
      <c r="I33" s="122"/>
      <c r="J33" s="36"/>
      <c r="K33" s="15"/>
      <c r="M33" s="115"/>
    </row>
    <row r="34" spans="1:13" ht="36.75" customHeight="1">
      <c r="A34" s="36"/>
      <c r="B34" s="260" t="s">
        <v>230</v>
      </c>
      <c r="C34" s="116" t="s">
        <v>140</v>
      </c>
      <c r="D34" s="67">
        <f t="shared" si="2"/>
        <v>5000</v>
      </c>
      <c r="E34" s="261">
        <v>5000</v>
      </c>
      <c r="F34" s="75"/>
      <c r="G34" s="63"/>
      <c r="H34" s="63"/>
      <c r="I34" s="122"/>
      <c r="J34" s="36"/>
      <c r="K34" s="15"/>
      <c r="M34" s="115"/>
    </row>
    <row r="35" spans="1:13" ht="51" customHeight="1">
      <c r="A35" s="36"/>
      <c r="B35" s="260" t="s">
        <v>231</v>
      </c>
      <c r="C35" s="116" t="s">
        <v>140</v>
      </c>
      <c r="D35" s="67">
        <f t="shared" si="2"/>
        <v>2700</v>
      </c>
      <c r="E35" s="261">
        <v>2700</v>
      </c>
      <c r="F35" s="75"/>
      <c r="G35" s="63"/>
      <c r="H35" s="63"/>
      <c r="I35" s="122"/>
      <c r="J35" s="36"/>
      <c r="K35" s="15"/>
      <c r="M35" s="115"/>
    </row>
    <row r="36" spans="1:13" ht="51" customHeight="1">
      <c r="A36" s="36"/>
      <c r="B36" s="260" t="s">
        <v>392</v>
      </c>
      <c r="C36" s="116" t="s">
        <v>140</v>
      </c>
      <c r="D36" s="67">
        <f>E36+F36</f>
        <v>9987.2</v>
      </c>
      <c r="E36" s="261"/>
      <c r="F36" s="75">
        <v>9987.2</v>
      </c>
      <c r="G36" s="63"/>
      <c r="H36" s="63"/>
      <c r="I36" s="122"/>
      <c r="J36" s="36"/>
      <c r="K36" s="15"/>
      <c r="M36" s="115"/>
    </row>
    <row r="37" spans="1:13" ht="51" customHeight="1">
      <c r="A37" s="36"/>
      <c r="B37" s="260" t="s">
        <v>393</v>
      </c>
      <c r="C37" s="116" t="s">
        <v>140</v>
      </c>
      <c r="D37" s="67">
        <f>E37+F37</f>
        <v>6265.2</v>
      </c>
      <c r="E37" s="261"/>
      <c r="F37" s="75">
        <v>6265.2</v>
      </c>
      <c r="G37" s="63"/>
      <c r="H37" s="63"/>
      <c r="I37" s="122"/>
      <c r="J37" s="36"/>
      <c r="K37" s="15"/>
      <c r="M37" s="115"/>
    </row>
    <row r="38" spans="1:13" ht="51" customHeight="1">
      <c r="A38" s="36"/>
      <c r="B38" s="260" t="s">
        <v>401</v>
      </c>
      <c r="C38" s="116" t="s">
        <v>140</v>
      </c>
      <c r="D38" s="67">
        <f>E38+F38</f>
        <v>85</v>
      </c>
      <c r="E38" s="261">
        <f>0+85</f>
        <v>85</v>
      </c>
      <c r="F38" s="75"/>
      <c r="G38" s="63"/>
      <c r="H38" s="63"/>
      <c r="I38" s="122"/>
      <c r="J38" s="36"/>
      <c r="K38" s="15"/>
      <c r="M38" s="115"/>
    </row>
    <row r="39" spans="1:13" ht="51" customHeight="1">
      <c r="A39" s="36"/>
      <c r="B39" s="260" t="s">
        <v>402</v>
      </c>
      <c r="C39" s="116" t="s">
        <v>140</v>
      </c>
      <c r="D39" s="67">
        <f>E39+F39</f>
        <v>44.1</v>
      </c>
      <c r="E39" s="261">
        <v>44.1</v>
      </c>
      <c r="F39" s="75"/>
      <c r="G39" s="63"/>
      <c r="H39" s="63"/>
      <c r="I39" s="122"/>
      <c r="J39" s="36"/>
      <c r="K39" s="15"/>
      <c r="M39" s="115"/>
    </row>
    <row r="40" spans="1:13" ht="67.5" customHeight="1">
      <c r="A40" s="36">
        <v>4</v>
      </c>
      <c r="B40" s="117" t="s">
        <v>2</v>
      </c>
      <c r="C40" s="116" t="s">
        <v>140</v>
      </c>
      <c r="D40" s="67">
        <f t="shared" si="2"/>
        <v>537.8</v>
      </c>
      <c r="E40" s="88">
        <f>E41+E42+E43+E44</f>
        <v>537.8</v>
      </c>
      <c r="F40" s="88">
        <f>F41+F42+F43+F44</f>
        <v>0</v>
      </c>
      <c r="G40" s="88">
        <f>G41+G42+G43+G44</f>
        <v>0</v>
      </c>
      <c r="H40" s="88">
        <f>H41+H42+H43+H44</f>
        <v>0</v>
      </c>
      <c r="I40" s="88">
        <f>I41+I42+I43+I44</f>
        <v>0</v>
      </c>
      <c r="J40" s="36" t="s">
        <v>43</v>
      </c>
      <c r="K40" s="15"/>
      <c r="M40" s="115"/>
    </row>
    <row r="41" spans="1:13" ht="67.5" customHeight="1">
      <c r="A41" s="36"/>
      <c r="B41" s="258" t="s">
        <v>232</v>
      </c>
      <c r="C41" s="116" t="s">
        <v>140</v>
      </c>
      <c r="D41" s="67">
        <f t="shared" si="2"/>
        <v>13</v>
      </c>
      <c r="E41" s="262">
        <v>13</v>
      </c>
      <c r="F41" s="75"/>
      <c r="G41" s="63"/>
      <c r="H41" s="63"/>
      <c r="I41" s="120"/>
      <c r="J41" s="36"/>
      <c r="K41" s="15"/>
      <c r="M41" s="115"/>
    </row>
    <row r="42" spans="1:13" ht="67.5" customHeight="1">
      <c r="A42" s="36"/>
      <c r="B42" s="258" t="s">
        <v>233</v>
      </c>
      <c r="C42" s="116" t="s">
        <v>140</v>
      </c>
      <c r="D42" s="67">
        <f t="shared" si="2"/>
        <v>9</v>
      </c>
      <c r="E42" s="262">
        <v>9</v>
      </c>
      <c r="F42" s="75"/>
      <c r="G42" s="63"/>
      <c r="H42" s="63"/>
      <c r="I42" s="120"/>
      <c r="J42" s="36"/>
      <c r="K42" s="15"/>
      <c r="M42" s="115"/>
    </row>
    <row r="43" spans="1:13" ht="67.5" customHeight="1">
      <c r="A43" s="36"/>
      <c r="B43" s="258" t="s">
        <v>254</v>
      </c>
      <c r="C43" s="116" t="s">
        <v>140</v>
      </c>
      <c r="D43" s="67">
        <f t="shared" si="2"/>
        <v>200</v>
      </c>
      <c r="E43" s="262">
        <v>200</v>
      </c>
      <c r="F43" s="75"/>
      <c r="G43" s="63"/>
      <c r="H43" s="63"/>
      <c r="I43" s="120"/>
      <c r="J43" s="36"/>
      <c r="K43" s="15"/>
      <c r="M43" s="115"/>
    </row>
    <row r="44" spans="1:13" ht="63" customHeight="1">
      <c r="A44" s="36"/>
      <c r="B44" s="258" t="s">
        <v>234</v>
      </c>
      <c r="C44" s="116" t="s">
        <v>140</v>
      </c>
      <c r="D44" s="67">
        <f t="shared" si="2"/>
        <v>315.8</v>
      </c>
      <c r="E44" s="262">
        <v>315.8</v>
      </c>
      <c r="F44" s="75"/>
      <c r="G44" s="63"/>
      <c r="H44" s="63"/>
      <c r="I44" s="121"/>
      <c r="J44" s="36"/>
      <c r="K44" s="15"/>
      <c r="M44" s="115"/>
    </row>
    <row r="45" spans="1:13" ht="25.5" customHeight="1">
      <c r="A45" s="578">
        <v>5</v>
      </c>
      <c r="B45" s="694" t="s">
        <v>3</v>
      </c>
      <c r="C45" s="116" t="s">
        <v>140</v>
      </c>
      <c r="D45" s="67">
        <f>E45+F45+I45</f>
        <v>37220</v>
      </c>
      <c r="E45" s="88">
        <f>E47+E49+E50+E51+E52+E61+E62+E63+E64+E65+E66+E67</f>
        <v>11085</v>
      </c>
      <c r="F45" s="88">
        <f>F47+F49+F50+F51+F52+F61+F62+F63+F64+F65+F66+F67+F53+F55+F56+F57+F58+F60</f>
        <v>26135</v>
      </c>
      <c r="G45" s="88">
        <f>G47+G49+G50+G51+G52+G61+G62+G63+G64+G65+G66+G67+G53+G55+G56+G57+G58+G60</f>
        <v>0</v>
      </c>
      <c r="H45" s="88">
        <f>H47+H49+H50+H51+H52+H61+H62+H63+H64+H65+H66+H67+H53+H55+H56+H57+H58+H60</f>
        <v>0</v>
      </c>
      <c r="I45" s="88"/>
      <c r="J45" s="578" t="s">
        <v>44</v>
      </c>
      <c r="K45" s="15"/>
      <c r="M45" s="115"/>
    </row>
    <row r="46" spans="1:13" ht="25.5" customHeight="1">
      <c r="A46" s="579"/>
      <c r="B46" s="695"/>
      <c r="C46" s="116" t="s">
        <v>648</v>
      </c>
      <c r="D46" s="67">
        <f>E46+F46+I46</f>
        <v>3797.4</v>
      </c>
      <c r="E46" s="88"/>
      <c r="F46" s="88"/>
      <c r="G46" s="515"/>
      <c r="H46" s="515"/>
      <c r="I46" s="88">
        <f>I48+I54+I59+I68</f>
        <v>3797.4</v>
      </c>
      <c r="J46" s="579"/>
      <c r="K46" s="15"/>
      <c r="M46" s="115"/>
    </row>
    <row r="47" spans="1:13" ht="20.25" customHeight="1">
      <c r="A47" s="578"/>
      <c r="B47" s="696" t="s">
        <v>235</v>
      </c>
      <c r="C47" s="116" t="s">
        <v>140</v>
      </c>
      <c r="D47" s="67">
        <f>E47+F47</f>
        <v>2600</v>
      </c>
      <c r="E47" s="233">
        <v>1250</v>
      </c>
      <c r="F47" s="75">
        <v>1350</v>
      </c>
      <c r="G47" s="63"/>
      <c r="H47" s="63"/>
      <c r="I47" s="122"/>
      <c r="J47" s="578"/>
      <c r="K47" s="15"/>
      <c r="M47" s="115"/>
    </row>
    <row r="48" spans="1:13" ht="21.75" customHeight="1">
      <c r="A48" s="579"/>
      <c r="B48" s="697"/>
      <c r="C48" s="116" t="s">
        <v>648</v>
      </c>
      <c r="D48" s="67">
        <f>E48+F48+I48</f>
        <v>1350</v>
      </c>
      <c r="E48" s="233"/>
      <c r="F48" s="75"/>
      <c r="G48" s="63"/>
      <c r="H48" s="63"/>
      <c r="I48" s="122">
        <v>1350</v>
      </c>
      <c r="J48" s="579"/>
      <c r="K48" s="15"/>
      <c r="M48" s="115"/>
    </row>
    <row r="49" spans="1:13" ht="42" customHeight="1">
      <c r="A49" s="36"/>
      <c r="B49" s="258" t="s">
        <v>236</v>
      </c>
      <c r="C49" s="116" t="s">
        <v>140</v>
      </c>
      <c r="D49" s="67">
        <f aca="true" t="shared" si="3" ref="D49:D64">E49+F49</f>
        <v>2310</v>
      </c>
      <c r="E49" s="233">
        <v>1110</v>
      </c>
      <c r="F49" s="75">
        <v>1200</v>
      </c>
      <c r="G49" s="63"/>
      <c r="H49" s="63"/>
      <c r="I49" s="122"/>
      <c r="J49" s="36"/>
      <c r="K49" s="15"/>
      <c r="M49" s="115"/>
    </row>
    <row r="50" spans="1:13" ht="38.25" customHeight="1">
      <c r="A50" s="36"/>
      <c r="B50" s="258" t="s">
        <v>237</v>
      </c>
      <c r="C50" s="116" t="s">
        <v>140</v>
      </c>
      <c r="D50" s="67">
        <f t="shared" si="3"/>
        <v>7100</v>
      </c>
      <c r="E50" s="233">
        <v>3500</v>
      </c>
      <c r="F50" s="75">
        <v>3600</v>
      </c>
      <c r="G50" s="63"/>
      <c r="H50" s="63"/>
      <c r="I50" s="122"/>
      <c r="J50" s="36"/>
      <c r="K50" s="15"/>
      <c r="M50" s="115"/>
    </row>
    <row r="51" spans="1:13" ht="38.25" customHeight="1">
      <c r="A51" s="36"/>
      <c r="B51" s="258" t="s">
        <v>238</v>
      </c>
      <c r="C51" s="116" t="s">
        <v>140</v>
      </c>
      <c r="D51" s="67">
        <f t="shared" si="3"/>
        <v>6500</v>
      </c>
      <c r="E51" s="233">
        <v>3200</v>
      </c>
      <c r="F51" s="75">
        <v>3300</v>
      </c>
      <c r="G51" s="63"/>
      <c r="H51" s="63"/>
      <c r="I51" s="122"/>
      <c r="J51" s="36"/>
      <c r="K51" s="15"/>
      <c r="M51" s="115"/>
    </row>
    <row r="52" spans="1:13" ht="38.25" customHeight="1">
      <c r="A52" s="36"/>
      <c r="B52" s="258" t="s">
        <v>239</v>
      </c>
      <c r="C52" s="116" t="s">
        <v>140</v>
      </c>
      <c r="D52" s="67">
        <f t="shared" si="3"/>
        <v>1300</v>
      </c>
      <c r="E52" s="233">
        <v>600</v>
      </c>
      <c r="F52" s="75">
        <v>700</v>
      </c>
      <c r="G52" s="63"/>
      <c r="H52" s="63"/>
      <c r="I52" s="122"/>
      <c r="J52" s="36"/>
      <c r="K52" s="15"/>
      <c r="M52" s="115"/>
    </row>
    <row r="53" spans="1:13" ht="22.5" customHeight="1">
      <c r="A53" s="578"/>
      <c r="B53" s="696" t="s">
        <v>357</v>
      </c>
      <c r="C53" s="116" t="s">
        <v>140</v>
      </c>
      <c r="D53" s="67">
        <f t="shared" si="3"/>
        <v>700</v>
      </c>
      <c r="E53" s="233"/>
      <c r="F53" s="75">
        <v>700</v>
      </c>
      <c r="G53" s="63"/>
      <c r="H53" s="63"/>
      <c r="I53" s="122"/>
      <c r="J53" s="578"/>
      <c r="K53" s="15"/>
      <c r="M53" s="115"/>
    </row>
    <row r="54" spans="1:13" ht="21.75" customHeight="1">
      <c r="A54" s="579"/>
      <c r="B54" s="697"/>
      <c r="C54" s="116" t="s">
        <v>648</v>
      </c>
      <c r="D54" s="67">
        <f t="shared" si="3"/>
        <v>0</v>
      </c>
      <c r="E54" s="233"/>
      <c r="F54" s="75"/>
      <c r="G54" s="63"/>
      <c r="H54" s="63"/>
      <c r="I54" s="122">
        <v>700</v>
      </c>
      <c r="J54" s="579"/>
      <c r="K54" s="15"/>
      <c r="M54" s="115"/>
    </row>
    <row r="55" spans="1:13" ht="38.25" customHeight="1">
      <c r="A55" s="36"/>
      <c r="B55" s="258" t="s">
        <v>358</v>
      </c>
      <c r="C55" s="116" t="s">
        <v>140</v>
      </c>
      <c r="D55" s="67">
        <f t="shared" si="3"/>
        <v>5200</v>
      </c>
      <c r="E55" s="233"/>
      <c r="F55" s="75">
        <v>5200</v>
      </c>
      <c r="G55" s="63"/>
      <c r="H55" s="63"/>
      <c r="I55" s="122"/>
      <c r="J55" s="36"/>
      <c r="K55" s="15"/>
      <c r="M55" s="115"/>
    </row>
    <row r="56" spans="1:13" ht="38.25" customHeight="1">
      <c r="A56" s="36"/>
      <c r="B56" s="258" t="s">
        <v>359</v>
      </c>
      <c r="C56" s="116" t="s">
        <v>140</v>
      </c>
      <c r="D56" s="67">
        <f t="shared" si="3"/>
        <v>3700</v>
      </c>
      <c r="E56" s="233"/>
      <c r="F56" s="75">
        <v>3700</v>
      </c>
      <c r="G56" s="63"/>
      <c r="H56" s="63"/>
      <c r="I56" s="122"/>
      <c r="J56" s="36"/>
      <c r="K56" s="15"/>
      <c r="M56" s="115"/>
    </row>
    <row r="57" spans="1:13" ht="38.25" customHeight="1">
      <c r="A57" s="36"/>
      <c r="B57" s="258" t="s">
        <v>360</v>
      </c>
      <c r="C57" s="116" t="s">
        <v>140</v>
      </c>
      <c r="D57" s="67">
        <f t="shared" si="3"/>
        <v>3100</v>
      </c>
      <c r="E57" s="233"/>
      <c r="F57" s="75">
        <v>3100</v>
      </c>
      <c r="G57" s="63"/>
      <c r="H57" s="63"/>
      <c r="I57" s="122"/>
      <c r="J57" s="36"/>
      <c r="K57" s="15"/>
      <c r="M57" s="115"/>
    </row>
    <row r="58" spans="1:13" ht="21.75" customHeight="1">
      <c r="A58" s="578"/>
      <c r="B58" s="696" t="s">
        <v>361</v>
      </c>
      <c r="C58" s="116" t="s">
        <v>140</v>
      </c>
      <c r="D58" s="67">
        <f t="shared" si="3"/>
        <v>1700</v>
      </c>
      <c r="E58" s="233"/>
      <c r="F58" s="75">
        <v>1700</v>
      </c>
      <c r="G58" s="63"/>
      <c r="H58" s="63"/>
      <c r="I58" s="122"/>
      <c r="J58" s="578"/>
      <c r="K58" s="15"/>
      <c r="M58" s="115"/>
    </row>
    <row r="59" spans="1:13" ht="20.25" customHeight="1">
      <c r="A59" s="579"/>
      <c r="B59" s="697"/>
      <c r="C59" s="116" t="s">
        <v>648</v>
      </c>
      <c r="D59" s="67">
        <f>E59+F59+I59</f>
        <v>1700</v>
      </c>
      <c r="E59" s="233"/>
      <c r="F59" s="75"/>
      <c r="G59" s="63"/>
      <c r="H59" s="63"/>
      <c r="I59" s="122">
        <v>1700</v>
      </c>
      <c r="J59" s="579"/>
      <c r="K59" s="15"/>
      <c r="M59" s="115"/>
    </row>
    <row r="60" spans="1:13" ht="38.25" customHeight="1">
      <c r="A60" s="36"/>
      <c r="B60" s="258" t="s">
        <v>362</v>
      </c>
      <c r="C60" s="116" t="s">
        <v>140</v>
      </c>
      <c r="D60" s="67">
        <f t="shared" si="3"/>
        <v>300</v>
      </c>
      <c r="E60" s="233"/>
      <c r="F60" s="75">
        <v>300</v>
      </c>
      <c r="G60" s="63"/>
      <c r="H60" s="63"/>
      <c r="I60" s="122"/>
      <c r="J60" s="36"/>
      <c r="K60" s="15"/>
      <c r="M60" s="115"/>
    </row>
    <row r="61" spans="1:13" ht="38.25" customHeight="1">
      <c r="A61" s="36"/>
      <c r="B61" s="258" t="s">
        <v>240</v>
      </c>
      <c r="C61" s="116" t="s">
        <v>140</v>
      </c>
      <c r="D61" s="67">
        <f t="shared" si="3"/>
        <v>160</v>
      </c>
      <c r="E61" s="233">
        <v>75</v>
      </c>
      <c r="F61" s="75">
        <v>85</v>
      </c>
      <c r="G61" s="63"/>
      <c r="H61" s="63"/>
      <c r="I61" s="122"/>
      <c r="J61" s="36"/>
      <c r="K61" s="15"/>
      <c r="M61" s="115"/>
    </row>
    <row r="62" spans="1:13" ht="38.25" customHeight="1">
      <c r="A62" s="36"/>
      <c r="B62" s="258" t="s">
        <v>241</v>
      </c>
      <c r="C62" s="116" t="s">
        <v>140</v>
      </c>
      <c r="D62" s="67">
        <f t="shared" si="3"/>
        <v>36</v>
      </c>
      <c r="E62" s="233">
        <v>36</v>
      </c>
      <c r="F62" s="75"/>
      <c r="G62" s="63"/>
      <c r="H62" s="63"/>
      <c r="I62" s="122"/>
      <c r="J62" s="36"/>
      <c r="K62" s="15"/>
      <c r="M62" s="115"/>
    </row>
    <row r="63" spans="1:13" ht="38.25" customHeight="1">
      <c r="A63" s="36"/>
      <c r="B63" s="258" t="s">
        <v>242</v>
      </c>
      <c r="C63" s="116" t="s">
        <v>140</v>
      </c>
      <c r="D63" s="67">
        <f t="shared" si="3"/>
        <v>710</v>
      </c>
      <c r="E63" s="233">
        <v>110</v>
      </c>
      <c r="F63" s="75">
        <v>600</v>
      </c>
      <c r="G63" s="63"/>
      <c r="H63" s="63"/>
      <c r="I63" s="122"/>
      <c r="J63" s="36"/>
      <c r="K63" s="15"/>
      <c r="M63" s="115"/>
    </row>
    <row r="64" spans="1:13" ht="69" customHeight="1">
      <c r="A64" s="36"/>
      <c r="B64" s="258" t="s">
        <v>243</v>
      </c>
      <c r="C64" s="116" t="s">
        <v>140</v>
      </c>
      <c r="D64" s="67">
        <f t="shared" si="3"/>
        <v>910</v>
      </c>
      <c r="E64" s="233">
        <v>310</v>
      </c>
      <c r="F64" s="75">
        <v>600</v>
      </c>
      <c r="G64" s="63"/>
      <c r="H64" s="63"/>
      <c r="I64" s="122"/>
      <c r="J64" s="36"/>
      <c r="K64" s="15"/>
      <c r="M64" s="115"/>
    </row>
    <row r="65" spans="1:13" ht="44.25" customHeight="1">
      <c r="A65" s="36"/>
      <c r="B65" s="258" t="s">
        <v>244</v>
      </c>
      <c r="C65" s="116" t="s">
        <v>140</v>
      </c>
      <c r="D65" s="67">
        <f aca="true" t="shared" si="4" ref="D65:D73">E65</f>
        <v>175</v>
      </c>
      <c r="E65" s="233">
        <v>175</v>
      </c>
      <c r="F65" s="75"/>
      <c r="G65" s="63"/>
      <c r="H65" s="63"/>
      <c r="I65" s="122"/>
      <c r="J65" s="36"/>
      <c r="K65" s="15"/>
      <c r="M65" s="115"/>
    </row>
    <row r="66" spans="1:13" ht="66" customHeight="1">
      <c r="A66" s="36"/>
      <c r="B66" s="258" t="s">
        <v>245</v>
      </c>
      <c r="C66" s="116" t="s">
        <v>140</v>
      </c>
      <c r="D66" s="67">
        <f t="shared" si="4"/>
        <v>320</v>
      </c>
      <c r="E66" s="233">
        <v>320</v>
      </c>
      <c r="F66" s="75"/>
      <c r="G66" s="63"/>
      <c r="H66" s="63"/>
      <c r="I66" s="122"/>
      <c r="J66" s="36"/>
      <c r="K66" s="15"/>
      <c r="M66" s="115"/>
    </row>
    <row r="67" spans="1:13" ht="38.25" customHeight="1">
      <c r="A67" s="36"/>
      <c r="B67" s="258" t="s">
        <v>246</v>
      </c>
      <c r="C67" s="116" t="s">
        <v>140</v>
      </c>
      <c r="D67" s="67">
        <f t="shared" si="4"/>
        <v>399</v>
      </c>
      <c r="E67" s="233">
        <v>399</v>
      </c>
      <c r="F67" s="75"/>
      <c r="G67" s="63"/>
      <c r="H67" s="63"/>
      <c r="I67" s="122"/>
      <c r="J67" s="36"/>
      <c r="K67" s="15"/>
      <c r="M67" s="115"/>
    </row>
    <row r="68" spans="1:13" ht="38.25" customHeight="1">
      <c r="A68" s="36"/>
      <c r="B68" s="258" t="s">
        <v>525</v>
      </c>
      <c r="C68" s="116" t="s">
        <v>648</v>
      </c>
      <c r="D68" s="67">
        <f>E68+F68+I68</f>
        <v>47.4</v>
      </c>
      <c r="E68" s="233"/>
      <c r="F68" s="75"/>
      <c r="G68" s="63"/>
      <c r="H68" s="63"/>
      <c r="I68" s="122">
        <v>47.4</v>
      </c>
      <c r="J68" s="36"/>
      <c r="K68" s="15"/>
      <c r="M68" s="115"/>
    </row>
    <row r="69" spans="1:13" ht="22.5" customHeight="1">
      <c r="A69" s="578">
        <v>6</v>
      </c>
      <c r="B69" s="694" t="s">
        <v>4</v>
      </c>
      <c r="C69" s="116" t="s">
        <v>140</v>
      </c>
      <c r="D69" s="67">
        <f>E69+F69+I69</f>
        <v>6506.2</v>
      </c>
      <c r="E69" s="88">
        <f>E71+E72+E73</f>
        <v>3006.2</v>
      </c>
      <c r="F69" s="88">
        <f>F71+F72+F73+F74</f>
        <v>3500</v>
      </c>
      <c r="G69" s="88">
        <f>G71+G72+G73+G74</f>
        <v>0</v>
      </c>
      <c r="H69" s="88">
        <f>H71+H72+H73+H74</f>
        <v>0</v>
      </c>
      <c r="I69" s="88"/>
      <c r="J69" s="578" t="s">
        <v>45</v>
      </c>
      <c r="K69" s="15"/>
      <c r="M69" s="115"/>
    </row>
    <row r="70" spans="1:13" ht="30" customHeight="1">
      <c r="A70" s="579"/>
      <c r="B70" s="695"/>
      <c r="C70" s="116" t="s">
        <v>648</v>
      </c>
      <c r="D70" s="67">
        <f>E70+F70+I70</f>
        <v>3500</v>
      </c>
      <c r="E70" s="88"/>
      <c r="F70" s="88"/>
      <c r="G70" s="515"/>
      <c r="H70" s="515"/>
      <c r="I70" s="88">
        <v>3500</v>
      </c>
      <c r="J70" s="579"/>
      <c r="K70" s="15"/>
      <c r="M70" s="115"/>
    </row>
    <row r="71" spans="1:13" ht="56.25" customHeight="1">
      <c r="A71" s="36"/>
      <c r="B71" s="263" t="s">
        <v>164</v>
      </c>
      <c r="C71" s="116" t="s">
        <v>140</v>
      </c>
      <c r="D71" s="67">
        <f t="shared" si="4"/>
        <v>1812</v>
      </c>
      <c r="E71" s="223">
        <v>1812</v>
      </c>
      <c r="F71" s="227"/>
      <c r="G71" s="63"/>
      <c r="H71" s="63"/>
      <c r="I71" s="119"/>
      <c r="J71" s="36"/>
      <c r="K71" s="15"/>
      <c r="M71" s="115"/>
    </row>
    <row r="72" spans="1:13" ht="53.25" customHeight="1">
      <c r="A72" s="36"/>
      <c r="B72" s="263" t="s">
        <v>165</v>
      </c>
      <c r="C72" s="116" t="s">
        <v>140</v>
      </c>
      <c r="D72" s="67">
        <f t="shared" si="4"/>
        <v>597.1</v>
      </c>
      <c r="E72" s="223">
        <v>597.1</v>
      </c>
      <c r="F72" s="227"/>
      <c r="G72" s="63"/>
      <c r="H72" s="63"/>
      <c r="I72" s="119"/>
      <c r="J72" s="36"/>
      <c r="K72" s="15"/>
      <c r="M72" s="115"/>
    </row>
    <row r="73" spans="1:13" ht="45" customHeight="1">
      <c r="A73" s="36"/>
      <c r="B73" s="263" t="s">
        <v>166</v>
      </c>
      <c r="C73" s="116" t="s">
        <v>140</v>
      </c>
      <c r="D73" s="67">
        <f t="shared" si="4"/>
        <v>597.1</v>
      </c>
      <c r="E73" s="223">
        <v>597.1</v>
      </c>
      <c r="F73" s="227"/>
      <c r="G73" s="63"/>
      <c r="H73" s="63"/>
      <c r="I73" s="119"/>
      <c r="J73" s="36"/>
      <c r="K73" s="15"/>
      <c r="M73" s="115"/>
    </row>
    <row r="74" spans="1:13" ht="19.5" customHeight="1">
      <c r="A74" s="578"/>
      <c r="B74" s="698" t="s">
        <v>391</v>
      </c>
      <c r="C74" s="116" t="s">
        <v>140</v>
      </c>
      <c r="D74" s="67">
        <f>E74+F74</f>
        <v>3500</v>
      </c>
      <c r="E74" s="223"/>
      <c r="F74" s="227">
        <v>3500</v>
      </c>
      <c r="G74" s="63"/>
      <c r="H74" s="63"/>
      <c r="I74" s="119"/>
      <c r="J74" s="578"/>
      <c r="K74" s="15"/>
      <c r="M74" s="115"/>
    </row>
    <row r="75" spans="1:13" ht="20.25" customHeight="1">
      <c r="A75" s="579"/>
      <c r="B75" s="699"/>
      <c r="C75" s="116" t="s">
        <v>648</v>
      </c>
      <c r="D75" s="67">
        <f>E75+F75+I75</f>
        <v>3500</v>
      </c>
      <c r="E75" s="223"/>
      <c r="F75" s="227"/>
      <c r="G75" s="63"/>
      <c r="H75" s="63"/>
      <c r="I75" s="119">
        <v>3500</v>
      </c>
      <c r="J75" s="579"/>
      <c r="K75" s="15"/>
      <c r="M75" s="115"/>
    </row>
    <row r="76" spans="1:13" ht="58.5" customHeight="1">
      <c r="A76" s="36">
        <v>7</v>
      </c>
      <c r="B76" s="264" t="s">
        <v>39</v>
      </c>
      <c r="C76" s="116" t="s">
        <v>140</v>
      </c>
      <c r="D76" s="67">
        <f>E76+F76+I76</f>
        <v>76733.072</v>
      </c>
      <c r="E76" s="88">
        <f>E77+E78+E79+E80+E81+E82+E83+E84+E85+E86+E87+E88+E89+E90+E91+E92+E93+E94+E95+E96+E97+E98+E99+E100+E101+E102+E103+E104+E105+E106+E107+E108</f>
        <v>50100.2</v>
      </c>
      <c r="F76" s="88">
        <f>F77+F78+F79+F80+F81+F82+F83+F84+F85+F86+F87+F88+F89+F90+F91+F92+F93+F94+F95+F96+F97+F98+F99+F100+F101+F102+F103+F104+F105+F106+F107+F108+F109+F110+F111+F112+F113+F114+F115+F116+F117+F118+F119+F120+F121+F122+F123+F124+F125+F126+F127+F128+F129+F130</f>
        <v>26632.872000000007</v>
      </c>
      <c r="G76" s="88">
        <f>G77+G78+G79+G80+G81+G82+G83+G84+G85+G86+G87+G88+G89+G90+G91+G92+G93+G94+G95+G96+G97+G98+G99+G100+G101+G102+G103+G104+G105+G106+G107+G108+G109+G110+G111+G112+G113+G114+G115+G116+G117+G118+G119+G120+G121+G122+G123+G124+G125+G126+G127+G128+G129+G130</f>
        <v>0</v>
      </c>
      <c r="H76" s="88">
        <f>H77+H78+H79+H80+H81+H82+H83+H84+H85+H86+H87+H88+H89+H90+H91+H92+H93+H94+H95+H96+H97+H98+H99+H100+H101+H102+H103+H104+H105+H106+H107+H108+H109+H110+H111+H112+H113+H114+H115+H116+H117+H118+H119+H120+H121+H122+H123+H124+H125+H126+H127+H128+H129+H130</f>
        <v>0</v>
      </c>
      <c r="I76" s="88">
        <f>I77+I78+I79+I80+I81+I82+I83+I84+I85+I86+I87+I88+I89+I90+I91+I92+I93+I94+I95+I96+I97+I98+I99+I100+I101+I102+I103+I104+I105+I106+I107+I108+I109+I110+I111+I112+I113+I114+I115+I116+I117+I118+I119+I120+I121+I122+I123+I124+I125+I126+I127+I128+I129+I130</f>
        <v>0</v>
      </c>
      <c r="J76" s="36" t="s">
        <v>40</v>
      </c>
      <c r="K76" s="15"/>
      <c r="M76" s="115"/>
    </row>
    <row r="77" spans="1:13" ht="86.25" customHeight="1">
      <c r="A77" s="36"/>
      <c r="B77" s="265" t="s">
        <v>167</v>
      </c>
      <c r="C77" s="116" t="s">
        <v>140</v>
      </c>
      <c r="D77" s="234">
        <f>E77+F77+I77</f>
        <v>55</v>
      </c>
      <c r="E77" s="223">
        <v>55</v>
      </c>
      <c r="F77" s="231"/>
      <c r="G77" s="63"/>
      <c r="H77" s="63"/>
      <c r="I77" s="123"/>
      <c r="J77" s="36"/>
      <c r="K77" s="15"/>
      <c r="M77" s="115"/>
    </row>
    <row r="78" spans="1:13" ht="58.5" customHeight="1">
      <c r="A78" s="36"/>
      <c r="B78" s="265" t="s">
        <v>253</v>
      </c>
      <c r="C78" s="116" t="s">
        <v>140</v>
      </c>
      <c r="D78" s="234">
        <f aca="true" t="shared" si="5" ref="D78:D107">E78+F78+I78</f>
        <v>1500</v>
      </c>
      <c r="E78" s="223">
        <v>1500</v>
      </c>
      <c r="F78" s="231"/>
      <c r="G78" s="63"/>
      <c r="H78" s="63"/>
      <c r="I78" s="123"/>
      <c r="J78" s="36"/>
      <c r="K78" s="15"/>
      <c r="M78" s="115"/>
    </row>
    <row r="79" spans="1:13" ht="79.5" customHeight="1">
      <c r="A79" s="36"/>
      <c r="B79" s="266" t="s">
        <v>168</v>
      </c>
      <c r="C79" s="116" t="s">
        <v>140</v>
      </c>
      <c r="D79" s="234">
        <f t="shared" si="5"/>
        <v>1308</v>
      </c>
      <c r="E79" s="223">
        <v>1308</v>
      </c>
      <c r="F79" s="231"/>
      <c r="G79" s="63"/>
      <c r="H79" s="63"/>
      <c r="I79" s="123"/>
      <c r="J79" s="36"/>
      <c r="K79" s="15"/>
      <c r="M79" s="115"/>
    </row>
    <row r="80" spans="1:13" ht="58.5" customHeight="1">
      <c r="A80" s="36"/>
      <c r="B80" s="267" t="s">
        <v>169</v>
      </c>
      <c r="C80" s="116" t="s">
        <v>140</v>
      </c>
      <c r="D80" s="234">
        <f t="shared" si="5"/>
        <v>650</v>
      </c>
      <c r="E80" s="223">
        <v>650</v>
      </c>
      <c r="F80" s="231"/>
      <c r="G80" s="63"/>
      <c r="H80" s="63"/>
      <c r="I80" s="123"/>
      <c r="J80" s="36"/>
      <c r="K80" s="15"/>
      <c r="M80" s="115"/>
    </row>
    <row r="81" spans="1:13" ht="38.25" customHeight="1">
      <c r="A81" s="36"/>
      <c r="B81" s="267" t="s">
        <v>170</v>
      </c>
      <c r="C81" s="116" t="s">
        <v>140</v>
      </c>
      <c r="D81" s="234">
        <f t="shared" si="5"/>
        <v>1100</v>
      </c>
      <c r="E81" s="223">
        <v>1100</v>
      </c>
      <c r="F81" s="231"/>
      <c r="G81" s="63"/>
      <c r="H81" s="63"/>
      <c r="I81" s="123"/>
      <c r="J81" s="36"/>
      <c r="K81" s="15"/>
      <c r="M81" s="115"/>
    </row>
    <row r="82" spans="1:13" ht="93" customHeight="1">
      <c r="A82" s="36"/>
      <c r="B82" s="268" t="s">
        <v>171</v>
      </c>
      <c r="C82" s="116" t="s">
        <v>140</v>
      </c>
      <c r="D82" s="234">
        <f t="shared" si="5"/>
        <v>30</v>
      </c>
      <c r="E82" s="232">
        <v>30</v>
      </c>
      <c r="F82" s="231"/>
      <c r="G82" s="63"/>
      <c r="H82" s="63"/>
      <c r="I82" s="123"/>
      <c r="J82" s="36"/>
      <c r="K82" s="15"/>
      <c r="M82" s="115"/>
    </row>
    <row r="83" spans="1:13" ht="58.5" customHeight="1">
      <c r="A83" s="36"/>
      <c r="B83" s="268" t="s">
        <v>172</v>
      </c>
      <c r="C83" s="116" t="s">
        <v>140</v>
      </c>
      <c r="D83" s="234">
        <f t="shared" si="5"/>
        <v>6500</v>
      </c>
      <c r="E83" s="233">
        <v>6500</v>
      </c>
      <c r="F83" s="231"/>
      <c r="G83" s="63"/>
      <c r="H83" s="63"/>
      <c r="I83" s="123"/>
      <c r="J83" s="36"/>
      <c r="K83" s="15"/>
      <c r="M83" s="115"/>
    </row>
    <row r="84" spans="1:13" ht="58.5" customHeight="1">
      <c r="A84" s="36"/>
      <c r="B84" s="270" t="s">
        <v>173</v>
      </c>
      <c r="C84" s="116" t="s">
        <v>140</v>
      </c>
      <c r="D84" s="234">
        <f t="shared" si="5"/>
        <v>1535</v>
      </c>
      <c r="E84" s="233">
        <v>1535</v>
      </c>
      <c r="F84" s="231"/>
      <c r="G84" s="63"/>
      <c r="H84" s="63"/>
      <c r="I84" s="123"/>
      <c r="J84" s="36"/>
      <c r="K84" s="15"/>
      <c r="M84" s="115"/>
    </row>
    <row r="85" spans="1:13" ht="58.5" customHeight="1">
      <c r="A85" s="36"/>
      <c r="B85" s="271" t="s">
        <v>174</v>
      </c>
      <c r="C85" s="116" t="s">
        <v>140</v>
      </c>
      <c r="D85" s="234">
        <f t="shared" si="5"/>
        <v>70</v>
      </c>
      <c r="E85" s="233">
        <v>70</v>
      </c>
      <c r="F85" s="231"/>
      <c r="G85" s="63"/>
      <c r="H85" s="63"/>
      <c r="I85" s="123"/>
      <c r="J85" s="36"/>
      <c r="K85" s="15"/>
      <c r="M85" s="115"/>
    </row>
    <row r="86" spans="1:13" ht="55.5" customHeight="1">
      <c r="A86" s="36"/>
      <c r="B86" s="271" t="s">
        <v>175</v>
      </c>
      <c r="C86" s="116" t="s">
        <v>140</v>
      </c>
      <c r="D86" s="234">
        <f t="shared" si="5"/>
        <v>850</v>
      </c>
      <c r="E86" s="233">
        <v>850</v>
      </c>
      <c r="F86" s="231"/>
      <c r="G86" s="63"/>
      <c r="H86" s="63"/>
      <c r="I86" s="123"/>
      <c r="J86" s="36"/>
      <c r="K86" s="15"/>
      <c r="M86" s="115"/>
    </row>
    <row r="87" spans="1:13" ht="77.25" customHeight="1">
      <c r="A87" s="36"/>
      <c r="B87" s="271" t="s">
        <v>176</v>
      </c>
      <c r="C87" s="116" t="s">
        <v>140</v>
      </c>
      <c r="D87" s="234">
        <f t="shared" si="5"/>
        <v>300</v>
      </c>
      <c r="E87" s="233">
        <v>300</v>
      </c>
      <c r="F87" s="231"/>
      <c r="G87" s="63"/>
      <c r="H87" s="63"/>
      <c r="I87" s="123"/>
      <c r="J87" s="36"/>
      <c r="K87" s="15"/>
      <c r="M87" s="115"/>
    </row>
    <row r="88" spans="1:13" ht="100.5" customHeight="1">
      <c r="A88" s="36"/>
      <c r="B88" s="271" t="s">
        <v>177</v>
      </c>
      <c r="C88" s="116" t="s">
        <v>140</v>
      </c>
      <c r="D88" s="234">
        <f t="shared" si="5"/>
        <v>280</v>
      </c>
      <c r="E88" s="233">
        <v>280</v>
      </c>
      <c r="F88" s="231"/>
      <c r="G88" s="63"/>
      <c r="H88" s="63"/>
      <c r="I88" s="123"/>
      <c r="J88" s="36"/>
      <c r="K88" s="15"/>
      <c r="M88" s="115"/>
    </row>
    <row r="89" spans="1:13" ht="79.5" customHeight="1">
      <c r="A89" s="36"/>
      <c r="B89" s="271" t="s">
        <v>178</v>
      </c>
      <c r="C89" s="116" t="s">
        <v>140</v>
      </c>
      <c r="D89" s="234">
        <f t="shared" si="5"/>
        <v>80</v>
      </c>
      <c r="E89" s="233">
        <v>80</v>
      </c>
      <c r="F89" s="231"/>
      <c r="G89" s="63"/>
      <c r="H89" s="63"/>
      <c r="I89" s="123"/>
      <c r="J89" s="36"/>
      <c r="K89" s="15"/>
      <c r="M89" s="115"/>
    </row>
    <row r="90" spans="1:13" ht="58.5" customHeight="1">
      <c r="A90" s="36"/>
      <c r="B90" s="271" t="s">
        <v>179</v>
      </c>
      <c r="C90" s="116" t="s">
        <v>140</v>
      </c>
      <c r="D90" s="234">
        <f t="shared" si="5"/>
        <v>350</v>
      </c>
      <c r="E90" s="233">
        <v>350</v>
      </c>
      <c r="F90" s="231"/>
      <c r="G90" s="63"/>
      <c r="H90" s="63"/>
      <c r="I90" s="123"/>
      <c r="J90" s="36"/>
      <c r="K90" s="15"/>
      <c r="M90" s="115"/>
    </row>
    <row r="91" spans="1:13" ht="84" customHeight="1">
      <c r="A91" s="36"/>
      <c r="B91" s="271" t="s">
        <v>180</v>
      </c>
      <c r="C91" s="116" t="s">
        <v>140</v>
      </c>
      <c r="D91" s="234">
        <f t="shared" si="5"/>
        <v>80</v>
      </c>
      <c r="E91" s="233">
        <v>80</v>
      </c>
      <c r="F91" s="231"/>
      <c r="G91" s="63"/>
      <c r="H91" s="63"/>
      <c r="I91" s="123"/>
      <c r="J91" s="36"/>
      <c r="K91" s="15"/>
      <c r="M91" s="115"/>
    </row>
    <row r="92" spans="1:13" ht="58.5" customHeight="1">
      <c r="A92" s="36"/>
      <c r="B92" s="271" t="s">
        <v>181</v>
      </c>
      <c r="C92" s="116" t="s">
        <v>140</v>
      </c>
      <c r="D92" s="234">
        <f t="shared" si="5"/>
        <v>550</v>
      </c>
      <c r="E92" s="233">
        <v>550</v>
      </c>
      <c r="F92" s="231"/>
      <c r="G92" s="63"/>
      <c r="H92" s="63"/>
      <c r="I92" s="123"/>
      <c r="J92" s="36"/>
      <c r="K92" s="15"/>
      <c r="M92" s="115"/>
    </row>
    <row r="93" spans="1:13" ht="97.5" customHeight="1">
      <c r="A93" s="36"/>
      <c r="B93" s="271" t="s">
        <v>182</v>
      </c>
      <c r="C93" s="116" t="s">
        <v>140</v>
      </c>
      <c r="D93" s="234">
        <f t="shared" si="5"/>
        <v>80</v>
      </c>
      <c r="E93" s="233">
        <v>80</v>
      </c>
      <c r="F93" s="231"/>
      <c r="G93" s="63"/>
      <c r="H93" s="63"/>
      <c r="I93" s="123"/>
      <c r="J93" s="36"/>
      <c r="K93" s="15"/>
      <c r="M93" s="115"/>
    </row>
    <row r="94" spans="1:13" ht="77.25" customHeight="1">
      <c r="A94" s="36"/>
      <c r="B94" s="271" t="s">
        <v>183</v>
      </c>
      <c r="C94" s="116" t="s">
        <v>140</v>
      </c>
      <c r="D94" s="234">
        <f t="shared" si="5"/>
        <v>320</v>
      </c>
      <c r="E94" s="233">
        <v>320</v>
      </c>
      <c r="F94" s="231"/>
      <c r="G94" s="63"/>
      <c r="H94" s="63"/>
      <c r="I94" s="123"/>
      <c r="J94" s="36"/>
      <c r="K94" s="15"/>
      <c r="M94" s="115"/>
    </row>
    <row r="95" spans="1:13" ht="72.75" customHeight="1">
      <c r="A95" s="36"/>
      <c r="B95" s="271" t="s">
        <v>184</v>
      </c>
      <c r="C95" s="116" t="s">
        <v>140</v>
      </c>
      <c r="D95" s="234">
        <f t="shared" si="5"/>
        <v>210</v>
      </c>
      <c r="E95" s="233">
        <v>210</v>
      </c>
      <c r="F95" s="231"/>
      <c r="G95" s="63"/>
      <c r="H95" s="63"/>
      <c r="I95" s="123"/>
      <c r="J95" s="36"/>
      <c r="K95" s="15"/>
      <c r="M95" s="115"/>
    </row>
    <row r="96" spans="1:13" ht="86.25" customHeight="1">
      <c r="A96" s="36"/>
      <c r="B96" s="271" t="s">
        <v>185</v>
      </c>
      <c r="C96" s="116" t="s">
        <v>140</v>
      </c>
      <c r="D96" s="234">
        <f t="shared" si="5"/>
        <v>215</v>
      </c>
      <c r="E96" s="233">
        <v>215</v>
      </c>
      <c r="F96" s="231"/>
      <c r="G96" s="63"/>
      <c r="H96" s="63"/>
      <c r="I96" s="123"/>
      <c r="J96" s="36"/>
      <c r="K96" s="15"/>
      <c r="M96" s="115"/>
    </row>
    <row r="97" spans="1:13" ht="81" customHeight="1">
      <c r="A97" s="36"/>
      <c r="B97" s="271" t="s">
        <v>186</v>
      </c>
      <c r="C97" s="116" t="s">
        <v>140</v>
      </c>
      <c r="D97" s="234">
        <f t="shared" si="5"/>
        <v>205.2</v>
      </c>
      <c r="E97" s="233">
        <v>205.2</v>
      </c>
      <c r="F97" s="231"/>
      <c r="G97" s="63"/>
      <c r="H97" s="63"/>
      <c r="I97" s="123"/>
      <c r="J97" s="36"/>
      <c r="K97" s="15"/>
      <c r="M97" s="115"/>
    </row>
    <row r="98" spans="1:13" ht="58.5" customHeight="1">
      <c r="A98" s="36"/>
      <c r="B98" s="271" t="s">
        <v>187</v>
      </c>
      <c r="C98" s="116" t="s">
        <v>140</v>
      </c>
      <c r="D98" s="234">
        <f t="shared" si="5"/>
        <v>8950</v>
      </c>
      <c r="E98" s="233">
        <v>8950</v>
      </c>
      <c r="F98" s="231"/>
      <c r="G98" s="63"/>
      <c r="H98" s="63"/>
      <c r="I98" s="123"/>
      <c r="J98" s="36"/>
      <c r="K98" s="15"/>
      <c r="M98" s="115"/>
    </row>
    <row r="99" spans="1:13" ht="58.5" customHeight="1">
      <c r="A99" s="36"/>
      <c r="B99" s="271" t="s">
        <v>188</v>
      </c>
      <c r="C99" s="116" t="s">
        <v>140</v>
      </c>
      <c r="D99" s="234">
        <f t="shared" si="5"/>
        <v>2100</v>
      </c>
      <c r="E99" s="233">
        <v>2100</v>
      </c>
      <c r="F99" s="231"/>
      <c r="G99" s="63"/>
      <c r="H99" s="63"/>
      <c r="I99" s="123"/>
      <c r="J99" s="36"/>
      <c r="K99" s="15"/>
      <c r="M99" s="115"/>
    </row>
    <row r="100" spans="1:13" ht="58.5" customHeight="1">
      <c r="A100" s="36"/>
      <c r="B100" s="272" t="s">
        <v>189</v>
      </c>
      <c r="C100" s="116" t="s">
        <v>140</v>
      </c>
      <c r="D100" s="234">
        <f t="shared" si="5"/>
        <v>3000</v>
      </c>
      <c r="E100" s="233">
        <v>3000</v>
      </c>
      <c r="F100" s="231"/>
      <c r="G100" s="63"/>
      <c r="H100" s="63"/>
      <c r="I100" s="123"/>
      <c r="J100" s="36"/>
      <c r="K100" s="15"/>
      <c r="M100" s="115"/>
    </row>
    <row r="101" spans="1:13" ht="43.5" customHeight="1">
      <c r="A101" s="36"/>
      <c r="B101" s="272" t="s">
        <v>190</v>
      </c>
      <c r="C101" s="116" t="s">
        <v>140</v>
      </c>
      <c r="D101" s="234">
        <f t="shared" si="5"/>
        <v>4475</v>
      </c>
      <c r="E101" s="233">
        <v>4475</v>
      </c>
      <c r="F101" s="231"/>
      <c r="G101" s="63"/>
      <c r="H101" s="63"/>
      <c r="I101" s="123"/>
      <c r="J101" s="36"/>
      <c r="K101" s="15"/>
      <c r="M101" s="115"/>
    </row>
    <row r="102" spans="1:13" ht="35.25" customHeight="1">
      <c r="A102" s="36"/>
      <c r="B102" s="272" t="s">
        <v>191</v>
      </c>
      <c r="C102" s="116" t="s">
        <v>140</v>
      </c>
      <c r="D102" s="234">
        <f t="shared" si="5"/>
        <v>2300</v>
      </c>
      <c r="E102" s="233">
        <v>2300</v>
      </c>
      <c r="F102" s="231"/>
      <c r="G102" s="63"/>
      <c r="H102" s="63"/>
      <c r="I102" s="123"/>
      <c r="J102" s="36"/>
      <c r="K102" s="15"/>
      <c r="M102" s="115"/>
    </row>
    <row r="103" spans="1:13" ht="37.5" customHeight="1">
      <c r="A103" s="36"/>
      <c r="B103" s="272" t="s">
        <v>192</v>
      </c>
      <c r="C103" s="116" t="s">
        <v>140</v>
      </c>
      <c r="D103" s="234">
        <f t="shared" si="5"/>
        <v>4806</v>
      </c>
      <c r="E103" s="233">
        <v>2403</v>
      </c>
      <c r="F103" s="231">
        <v>2403</v>
      </c>
      <c r="G103" s="63"/>
      <c r="H103" s="63"/>
      <c r="I103" s="124"/>
      <c r="J103" s="36"/>
      <c r="K103" s="15"/>
      <c r="M103" s="115"/>
    </row>
    <row r="104" spans="1:13" ht="36.75" customHeight="1">
      <c r="A104" s="36"/>
      <c r="B104" s="271" t="s">
        <v>193</v>
      </c>
      <c r="C104" s="116" t="s">
        <v>140</v>
      </c>
      <c r="D104" s="234">
        <f t="shared" si="5"/>
        <v>3429</v>
      </c>
      <c r="E104" s="233">
        <v>3429</v>
      </c>
      <c r="F104" s="231"/>
      <c r="G104" s="63"/>
      <c r="H104" s="63"/>
      <c r="I104" s="124"/>
      <c r="J104" s="36"/>
      <c r="K104" s="15"/>
      <c r="M104" s="115"/>
    </row>
    <row r="105" spans="1:13" ht="39" customHeight="1">
      <c r="A105" s="36"/>
      <c r="B105" s="271" t="s">
        <v>194</v>
      </c>
      <c r="C105" s="116" t="s">
        <v>140</v>
      </c>
      <c r="D105" s="234">
        <f t="shared" si="5"/>
        <v>1950</v>
      </c>
      <c r="E105" s="233">
        <v>1950</v>
      </c>
      <c r="F105" s="231"/>
      <c r="G105" s="63"/>
      <c r="H105" s="63"/>
      <c r="I105" s="124"/>
      <c r="J105" s="36"/>
      <c r="K105" s="15"/>
      <c r="M105" s="115"/>
    </row>
    <row r="106" spans="1:13" ht="40.5" customHeight="1">
      <c r="A106" s="36"/>
      <c r="B106" s="271" t="s">
        <v>195</v>
      </c>
      <c r="C106" s="116" t="s">
        <v>140</v>
      </c>
      <c r="D106" s="234">
        <f t="shared" si="5"/>
        <v>2100</v>
      </c>
      <c r="E106" s="233">
        <v>2100</v>
      </c>
      <c r="F106" s="226"/>
      <c r="G106" s="63"/>
      <c r="H106" s="63"/>
      <c r="I106" s="38"/>
      <c r="J106" s="36"/>
      <c r="K106" s="15"/>
      <c r="M106" s="115"/>
    </row>
    <row r="107" spans="1:13" ht="38.25" customHeight="1">
      <c r="A107" s="36"/>
      <c r="B107" s="271" t="s">
        <v>196</v>
      </c>
      <c r="C107" s="116" t="s">
        <v>140</v>
      </c>
      <c r="D107" s="234">
        <f t="shared" si="5"/>
        <v>2500</v>
      </c>
      <c r="E107" s="233">
        <v>2500</v>
      </c>
      <c r="F107" s="226"/>
      <c r="G107" s="125"/>
      <c r="H107" s="125"/>
      <c r="I107" s="126"/>
      <c r="J107" s="36"/>
      <c r="K107" s="15"/>
      <c r="M107" s="115"/>
    </row>
    <row r="108" spans="1:13" ht="65.25" customHeight="1">
      <c r="A108" s="36"/>
      <c r="B108" s="269" t="s">
        <v>197</v>
      </c>
      <c r="C108" s="116" t="s">
        <v>140</v>
      </c>
      <c r="D108" s="234">
        <f>E108+F108+I108</f>
        <v>625</v>
      </c>
      <c r="E108" s="233">
        <v>625</v>
      </c>
      <c r="F108" s="226"/>
      <c r="G108" s="125"/>
      <c r="H108" s="125"/>
      <c r="I108" s="126"/>
      <c r="J108" s="36"/>
      <c r="K108" s="15"/>
      <c r="M108" s="115"/>
    </row>
    <row r="109" spans="1:13" ht="55.5" customHeight="1">
      <c r="A109" s="36"/>
      <c r="B109" s="269" t="s">
        <v>364</v>
      </c>
      <c r="C109" s="116" t="s">
        <v>140</v>
      </c>
      <c r="D109" s="234">
        <f aca="true" t="shared" si="6" ref="D109:D130">E109+F109+I109</f>
        <v>4800</v>
      </c>
      <c r="E109" s="233"/>
      <c r="F109" s="226">
        <v>4800</v>
      </c>
      <c r="G109" s="125"/>
      <c r="H109" s="125"/>
      <c r="I109" s="126"/>
      <c r="J109" s="36"/>
      <c r="K109" s="15"/>
      <c r="M109" s="115"/>
    </row>
    <row r="110" spans="1:13" ht="34.5" customHeight="1">
      <c r="A110" s="36"/>
      <c r="B110" s="269" t="s">
        <v>365</v>
      </c>
      <c r="C110" s="116" t="s">
        <v>140</v>
      </c>
      <c r="D110" s="234">
        <f t="shared" si="6"/>
        <v>2600</v>
      </c>
      <c r="E110" s="233"/>
      <c r="F110" s="226">
        <v>2600</v>
      </c>
      <c r="G110" s="125"/>
      <c r="H110" s="125"/>
      <c r="I110" s="126"/>
      <c r="J110" s="36"/>
      <c r="K110" s="15"/>
      <c r="M110" s="115"/>
    </row>
    <row r="111" spans="1:13" ht="37.5" customHeight="1">
      <c r="A111" s="36"/>
      <c r="B111" s="269" t="s">
        <v>366</v>
      </c>
      <c r="C111" s="116" t="s">
        <v>140</v>
      </c>
      <c r="D111" s="234">
        <f t="shared" si="6"/>
        <v>2800</v>
      </c>
      <c r="E111" s="233"/>
      <c r="F111" s="226">
        <v>2800</v>
      </c>
      <c r="G111" s="125"/>
      <c r="H111" s="125"/>
      <c r="I111" s="126"/>
      <c r="J111" s="36"/>
      <c r="K111" s="15"/>
      <c r="M111" s="115"/>
    </row>
    <row r="112" spans="1:13" ht="36.75" customHeight="1">
      <c r="A112" s="36"/>
      <c r="B112" s="269" t="s">
        <v>367</v>
      </c>
      <c r="C112" s="116" t="s">
        <v>140</v>
      </c>
      <c r="D112" s="234">
        <f t="shared" si="6"/>
        <v>1755</v>
      </c>
      <c r="E112" s="233"/>
      <c r="F112" s="226">
        <v>1755</v>
      </c>
      <c r="G112" s="125"/>
      <c r="H112" s="125"/>
      <c r="I112" s="126"/>
      <c r="J112" s="36"/>
      <c r="K112" s="15"/>
      <c r="M112" s="115"/>
    </row>
    <row r="113" spans="1:13" ht="36" customHeight="1">
      <c r="A113" s="36"/>
      <c r="B113" s="269" t="s">
        <v>368</v>
      </c>
      <c r="C113" s="116" t="s">
        <v>140</v>
      </c>
      <c r="D113" s="234">
        <f t="shared" si="6"/>
        <v>3511</v>
      </c>
      <c r="E113" s="233"/>
      <c r="F113" s="226">
        <v>3511</v>
      </c>
      <c r="G113" s="125"/>
      <c r="H113" s="125"/>
      <c r="I113" s="126"/>
      <c r="J113" s="36"/>
      <c r="K113" s="15"/>
      <c r="M113" s="115"/>
    </row>
    <row r="114" spans="1:13" ht="52.5" customHeight="1">
      <c r="A114" s="36"/>
      <c r="B114" s="269" t="s">
        <v>369</v>
      </c>
      <c r="C114" s="116" t="s">
        <v>140</v>
      </c>
      <c r="D114" s="234">
        <f t="shared" si="6"/>
        <v>1260</v>
      </c>
      <c r="E114" s="233"/>
      <c r="F114" s="226">
        <v>1260</v>
      </c>
      <c r="G114" s="125"/>
      <c r="H114" s="125"/>
      <c r="I114" s="126"/>
      <c r="J114" s="36"/>
      <c r="K114" s="15"/>
      <c r="M114" s="115"/>
    </row>
    <row r="115" spans="1:13" ht="36.75" customHeight="1">
      <c r="A115" s="36"/>
      <c r="B115" s="269" t="s">
        <v>370</v>
      </c>
      <c r="C115" s="116" t="s">
        <v>140</v>
      </c>
      <c r="D115" s="234">
        <f t="shared" si="6"/>
        <v>667</v>
      </c>
      <c r="E115" s="233"/>
      <c r="F115" s="226">
        <v>667</v>
      </c>
      <c r="G115" s="125"/>
      <c r="H115" s="125"/>
      <c r="I115" s="126"/>
      <c r="J115" s="36"/>
      <c r="K115" s="15"/>
      <c r="M115" s="115"/>
    </row>
    <row r="116" spans="1:13" ht="35.25" customHeight="1">
      <c r="A116" s="36"/>
      <c r="B116" s="269" t="s">
        <v>371</v>
      </c>
      <c r="C116" s="116" t="s">
        <v>140</v>
      </c>
      <c r="D116" s="234">
        <f t="shared" si="6"/>
        <v>6.092</v>
      </c>
      <c r="E116" s="233"/>
      <c r="F116" s="226">
        <v>6.092</v>
      </c>
      <c r="G116" s="125"/>
      <c r="H116" s="125"/>
      <c r="I116" s="126"/>
      <c r="J116" s="36"/>
      <c r="K116" s="15"/>
      <c r="M116" s="115"/>
    </row>
    <row r="117" spans="1:13" ht="35.25" customHeight="1">
      <c r="A117" s="36"/>
      <c r="B117" s="269" t="s">
        <v>372</v>
      </c>
      <c r="C117" s="116" t="s">
        <v>140</v>
      </c>
      <c r="D117" s="234">
        <f t="shared" si="6"/>
        <v>7.38</v>
      </c>
      <c r="E117" s="233"/>
      <c r="F117" s="226">
        <v>7.38</v>
      </c>
      <c r="G117" s="125"/>
      <c r="H117" s="125"/>
      <c r="I117" s="126"/>
      <c r="J117" s="36"/>
      <c r="K117" s="15"/>
      <c r="M117" s="115"/>
    </row>
    <row r="118" spans="1:13" ht="35.25" customHeight="1">
      <c r="A118" s="36"/>
      <c r="B118" s="269" t="s">
        <v>373</v>
      </c>
      <c r="C118" s="116" t="s">
        <v>140</v>
      </c>
      <c r="D118" s="234">
        <f t="shared" si="6"/>
        <v>9.68</v>
      </c>
      <c r="E118" s="233"/>
      <c r="F118" s="226">
        <v>9.68</v>
      </c>
      <c r="G118" s="125"/>
      <c r="H118" s="125"/>
      <c r="I118" s="126"/>
      <c r="J118" s="36"/>
      <c r="K118" s="15"/>
      <c r="M118" s="115"/>
    </row>
    <row r="119" spans="1:13" ht="53.25" customHeight="1">
      <c r="A119" s="36"/>
      <c r="B119" s="269" t="s">
        <v>374</v>
      </c>
      <c r="C119" s="116" t="s">
        <v>140</v>
      </c>
      <c r="D119" s="234">
        <f t="shared" si="6"/>
        <v>257.38</v>
      </c>
      <c r="E119" s="233"/>
      <c r="F119" s="226">
        <v>257.38</v>
      </c>
      <c r="G119" s="125"/>
      <c r="H119" s="125"/>
      <c r="I119" s="126"/>
      <c r="J119" s="36"/>
      <c r="K119" s="15"/>
      <c r="M119" s="115"/>
    </row>
    <row r="120" spans="1:13" ht="53.25" customHeight="1">
      <c r="A120" s="36"/>
      <c r="B120" s="269" t="s">
        <v>375</v>
      </c>
      <c r="C120" s="116" t="s">
        <v>140</v>
      </c>
      <c r="D120" s="234">
        <f t="shared" si="6"/>
        <v>79.86</v>
      </c>
      <c r="E120" s="233"/>
      <c r="F120" s="226">
        <v>79.86</v>
      </c>
      <c r="G120" s="125"/>
      <c r="H120" s="125"/>
      <c r="I120" s="126"/>
      <c r="J120" s="36"/>
      <c r="K120" s="15"/>
      <c r="M120" s="115"/>
    </row>
    <row r="121" spans="1:13" ht="56.25" customHeight="1">
      <c r="A121" s="36"/>
      <c r="B121" s="269" t="s">
        <v>376</v>
      </c>
      <c r="C121" s="116" t="s">
        <v>140</v>
      </c>
      <c r="D121" s="234">
        <f t="shared" si="6"/>
        <v>746.83</v>
      </c>
      <c r="E121" s="233"/>
      <c r="F121" s="226">
        <v>746.83</v>
      </c>
      <c r="G121" s="125"/>
      <c r="H121" s="125"/>
      <c r="I121" s="126"/>
      <c r="J121" s="36"/>
      <c r="K121" s="15"/>
      <c r="M121" s="115"/>
    </row>
    <row r="122" spans="1:13" ht="37.5" customHeight="1">
      <c r="A122" s="36"/>
      <c r="B122" s="269" t="s">
        <v>377</v>
      </c>
      <c r="C122" s="116" t="s">
        <v>140</v>
      </c>
      <c r="D122" s="234">
        <f t="shared" si="6"/>
        <v>35.75</v>
      </c>
      <c r="E122" s="233"/>
      <c r="F122" s="226">
        <v>35.75</v>
      </c>
      <c r="G122" s="125"/>
      <c r="H122" s="125"/>
      <c r="I122" s="126"/>
      <c r="J122" s="36"/>
      <c r="K122" s="15"/>
      <c r="M122" s="115"/>
    </row>
    <row r="123" spans="1:13" ht="36" customHeight="1">
      <c r="A123" s="36"/>
      <c r="B123" s="269" t="s">
        <v>378</v>
      </c>
      <c r="C123" s="116" t="s">
        <v>140</v>
      </c>
      <c r="D123" s="234">
        <f t="shared" si="6"/>
        <v>15.4</v>
      </c>
      <c r="E123" s="233"/>
      <c r="F123" s="226">
        <v>15.4</v>
      </c>
      <c r="G123" s="125"/>
      <c r="H123" s="125"/>
      <c r="I123" s="126"/>
      <c r="J123" s="36"/>
      <c r="K123" s="15"/>
      <c r="M123" s="115"/>
    </row>
    <row r="124" spans="1:13" ht="36" customHeight="1">
      <c r="A124" s="36"/>
      <c r="B124" s="269" t="s">
        <v>379</v>
      </c>
      <c r="C124" s="116" t="s">
        <v>140</v>
      </c>
      <c r="D124" s="234">
        <f t="shared" si="6"/>
        <v>310</v>
      </c>
      <c r="E124" s="233"/>
      <c r="F124" s="226">
        <v>310</v>
      </c>
      <c r="G124" s="125"/>
      <c r="H124" s="125"/>
      <c r="I124" s="126"/>
      <c r="J124" s="36"/>
      <c r="K124" s="15"/>
      <c r="M124" s="115"/>
    </row>
    <row r="125" spans="1:13" ht="36" customHeight="1">
      <c r="A125" s="36"/>
      <c r="B125" s="269" t="s">
        <v>380</v>
      </c>
      <c r="C125" s="116" t="s">
        <v>140</v>
      </c>
      <c r="D125" s="234">
        <f t="shared" si="6"/>
        <v>92</v>
      </c>
      <c r="E125" s="233"/>
      <c r="F125" s="226">
        <v>92</v>
      </c>
      <c r="G125" s="125"/>
      <c r="H125" s="125"/>
      <c r="I125" s="126"/>
      <c r="J125" s="36"/>
      <c r="K125" s="15"/>
      <c r="M125" s="115"/>
    </row>
    <row r="126" spans="1:13" ht="36" customHeight="1">
      <c r="A126" s="36"/>
      <c r="B126" s="269" t="s">
        <v>381</v>
      </c>
      <c r="C126" s="116" t="s">
        <v>140</v>
      </c>
      <c r="D126" s="234">
        <f t="shared" si="6"/>
        <v>1715</v>
      </c>
      <c r="E126" s="233"/>
      <c r="F126" s="226">
        <v>1715</v>
      </c>
      <c r="G126" s="125"/>
      <c r="H126" s="125"/>
      <c r="I126" s="126"/>
      <c r="J126" s="36"/>
      <c r="K126" s="15"/>
      <c r="M126" s="115"/>
    </row>
    <row r="127" spans="1:13" ht="36" customHeight="1">
      <c r="A127" s="36"/>
      <c r="B127" s="269" t="s">
        <v>382</v>
      </c>
      <c r="C127" s="116" t="s">
        <v>140</v>
      </c>
      <c r="D127" s="234">
        <f t="shared" si="6"/>
        <v>2836.5</v>
      </c>
      <c r="E127" s="233"/>
      <c r="F127" s="226">
        <v>2836.5</v>
      </c>
      <c r="G127" s="125"/>
      <c r="H127" s="125"/>
      <c r="I127" s="126"/>
      <c r="J127" s="36"/>
      <c r="K127" s="15"/>
      <c r="M127" s="115"/>
    </row>
    <row r="128" spans="1:13" ht="41.25" customHeight="1">
      <c r="A128" s="36"/>
      <c r="B128" s="269" t="s">
        <v>383</v>
      </c>
      <c r="C128" s="116" t="s">
        <v>140</v>
      </c>
      <c r="D128" s="234">
        <f t="shared" si="6"/>
        <v>625</v>
      </c>
      <c r="E128" s="233"/>
      <c r="F128" s="226">
        <v>625</v>
      </c>
      <c r="G128" s="125"/>
      <c r="H128" s="125"/>
      <c r="I128" s="126"/>
      <c r="J128" s="36"/>
      <c r="K128" s="15"/>
      <c r="M128" s="115"/>
    </row>
    <row r="129" spans="1:13" ht="35.25" customHeight="1">
      <c r="A129" s="36"/>
      <c r="B129" s="444" t="s">
        <v>517</v>
      </c>
      <c r="C129" s="116" t="s">
        <v>140</v>
      </c>
      <c r="D129" s="234">
        <f t="shared" si="6"/>
        <v>0</v>
      </c>
      <c r="E129" s="233"/>
      <c r="F129" s="226">
        <f>1000-1000</f>
        <v>0</v>
      </c>
      <c r="G129" s="125"/>
      <c r="H129" s="125"/>
      <c r="I129" s="126"/>
      <c r="J129" s="36"/>
      <c r="K129" s="15"/>
      <c r="M129" s="115"/>
    </row>
    <row r="130" spans="1:13" ht="94.5" customHeight="1">
      <c r="A130" s="36"/>
      <c r="B130" s="444" t="s">
        <v>634</v>
      </c>
      <c r="C130" s="116" t="s">
        <v>140</v>
      </c>
      <c r="D130" s="234">
        <f t="shared" si="6"/>
        <v>100</v>
      </c>
      <c r="E130" s="233"/>
      <c r="F130" s="226">
        <v>100</v>
      </c>
      <c r="G130" s="125"/>
      <c r="H130" s="125"/>
      <c r="I130" s="126"/>
      <c r="J130" s="36"/>
      <c r="K130" s="15"/>
      <c r="M130" s="115"/>
    </row>
    <row r="131" spans="1:13" ht="56.25">
      <c r="A131" s="36">
        <v>8</v>
      </c>
      <c r="B131" s="129" t="s">
        <v>156</v>
      </c>
      <c r="C131" s="116"/>
      <c r="D131" s="130">
        <f aca="true" t="shared" si="7" ref="D131:D148">E131+F131+I131</f>
        <v>2112.7</v>
      </c>
      <c r="E131" s="281">
        <f>E132+E133+E134+E135+E136</f>
        <v>2112.7</v>
      </c>
      <c r="F131" s="281">
        <f>F132+F133+F134+F135+F136</f>
        <v>0</v>
      </c>
      <c r="G131" s="281">
        <f>G132+G133+G134+G135+G136</f>
        <v>0</v>
      </c>
      <c r="H131" s="281">
        <f>H132+H133+H134+H135+H136</f>
        <v>0</v>
      </c>
      <c r="I131" s="281">
        <f>I132+I133+I134+I135+I136</f>
        <v>0</v>
      </c>
      <c r="J131" s="36" t="s">
        <v>159</v>
      </c>
      <c r="K131" s="15"/>
      <c r="M131" s="115"/>
    </row>
    <row r="132" spans="1:13" ht="75">
      <c r="A132" s="36"/>
      <c r="B132" s="263" t="s">
        <v>255</v>
      </c>
      <c r="C132" s="116" t="s">
        <v>140</v>
      </c>
      <c r="D132" s="130">
        <f t="shared" si="7"/>
        <v>1568.6</v>
      </c>
      <c r="E132" s="223">
        <v>1568.6</v>
      </c>
      <c r="F132" s="227"/>
      <c r="G132" s="127"/>
      <c r="H132" s="127"/>
      <c r="I132" s="130"/>
      <c r="J132" s="36"/>
      <c r="K132" s="15"/>
      <c r="M132" s="115"/>
    </row>
    <row r="133" spans="1:13" ht="37.5">
      <c r="A133" s="36"/>
      <c r="B133" s="263" t="s">
        <v>160</v>
      </c>
      <c r="C133" s="116" t="s">
        <v>140</v>
      </c>
      <c r="D133" s="130">
        <f t="shared" si="7"/>
        <v>171.5</v>
      </c>
      <c r="E133" s="230">
        <v>171.5</v>
      </c>
      <c r="F133" s="227"/>
      <c r="G133" s="127"/>
      <c r="H133" s="127"/>
      <c r="I133" s="130"/>
      <c r="J133" s="36"/>
      <c r="K133" s="15"/>
      <c r="M133" s="115"/>
    </row>
    <row r="134" spans="1:13" ht="56.25">
      <c r="A134" s="36"/>
      <c r="B134" s="263" t="s">
        <v>161</v>
      </c>
      <c r="C134" s="116" t="s">
        <v>140</v>
      </c>
      <c r="D134" s="130">
        <f t="shared" si="7"/>
        <v>107.7</v>
      </c>
      <c r="E134" s="223">
        <v>107.7</v>
      </c>
      <c r="F134" s="227"/>
      <c r="G134" s="127"/>
      <c r="H134" s="127"/>
      <c r="I134" s="130"/>
      <c r="J134" s="36"/>
      <c r="K134" s="15"/>
      <c r="M134" s="115"/>
    </row>
    <row r="135" spans="1:13" ht="56.25">
      <c r="A135" s="36"/>
      <c r="B135" s="263" t="s">
        <v>162</v>
      </c>
      <c r="C135" s="116" t="s">
        <v>140</v>
      </c>
      <c r="D135" s="130">
        <f t="shared" si="7"/>
        <v>182.8</v>
      </c>
      <c r="E135" s="223">
        <v>182.8</v>
      </c>
      <c r="F135" s="227"/>
      <c r="G135" s="127"/>
      <c r="H135" s="127"/>
      <c r="I135" s="130"/>
      <c r="J135" s="36"/>
      <c r="K135" s="15"/>
      <c r="M135" s="115"/>
    </row>
    <row r="136" spans="1:13" ht="56.25">
      <c r="A136" s="36"/>
      <c r="B136" s="263" t="s">
        <v>163</v>
      </c>
      <c r="C136" s="116" t="s">
        <v>140</v>
      </c>
      <c r="D136" s="130">
        <f t="shared" si="7"/>
        <v>82.1</v>
      </c>
      <c r="E136" s="223">
        <v>82.1</v>
      </c>
      <c r="F136" s="227"/>
      <c r="G136" s="127"/>
      <c r="H136" s="127"/>
      <c r="I136" s="130"/>
      <c r="J136" s="36"/>
      <c r="K136" s="15"/>
      <c r="M136" s="115"/>
    </row>
    <row r="137" spans="1:13" ht="56.25">
      <c r="A137" s="36">
        <v>9</v>
      </c>
      <c r="B137" s="131" t="s">
        <v>72</v>
      </c>
      <c r="C137" s="116"/>
      <c r="D137" s="228">
        <f>E137+F137+I137</f>
        <v>1162.4</v>
      </c>
      <c r="E137" s="229">
        <f>E138+E139+E141</f>
        <v>559.4</v>
      </c>
      <c r="F137" s="229">
        <f>F138+F139+F141+F140+F142+F143</f>
        <v>603</v>
      </c>
      <c r="G137" s="229">
        <f>G138+G139+G141+G140+G142+G143</f>
        <v>0</v>
      </c>
      <c r="H137" s="229">
        <f>H138+H139+H141+H140+H142+H143</f>
        <v>0</v>
      </c>
      <c r="I137" s="229">
        <f>I138+I139+I141+I140+I142+I143</f>
        <v>0</v>
      </c>
      <c r="J137" s="36" t="s">
        <v>73</v>
      </c>
      <c r="K137" s="15"/>
      <c r="M137" s="115"/>
    </row>
    <row r="138" spans="1:13" ht="84.75" customHeight="1">
      <c r="A138" s="36"/>
      <c r="B138" s="263" t="s">
        <v>157</v>
      </c>
      <c r="C138" s="116" t="s">
        <v>140</v>
      </c>
      <c r="D138" s="228">
        <f t="shared" si="7"/>
        <v>47</v>
      </c>
      <c r="E138" s="285">
        <v>47</v>
      </c>
      <c r="F138" s="227"/>
      <c r="G138" s="127"/>
      <c r="H138" s="127"/>
      <c r="I138" s="126"/>
      <c r="J138" s="36"/>
      <c r="K138" s="15"/>
      <c r="M138" s="115"/>
    </row>
    <row r="139" spans="1:13" ht="45" customHeight="1">
      <c r="A139" s="36"/>
      <c r="B139" s="263" t="s">
        <v>158</v>
      </c>
      <c r="C139" s="116" t="s">
        <v>140</v>
      </c>
      <c r="D139" s="228">
        <f t="shared" si="7"/>
        <v>12.4</v>
      </c>
      <c r="E139" s="285">
        <v>12.4</v>
      </c>
      <c r="F139" s="227"/>
      <c r="G139" s="127"/>
      <c r="H139" s="127"/>
      <c r="I139" s="126"/>
      <c r="J139" s="36"/>
      <c r="K139" s="15"/>
      <c r="M139" s="115"/>
    </row>
    <row r="140" spans="1:13" ht="45" customHeight="1">
      <c r="A140" s="36"/>
      <c r="B140" s="263" t="s">
        <v>363</v>
      </c>
      <c r="C140" s="116" t="s">
        <v>140</v>
      </c>
      <c r="D140" s="228">
        <f t="shared" si="7"/>
        <v>540</v>
      </c>
      <c r="E140" s="285"/>
      <c r="F140" s="227">
        <f>540-20.8-42.2+63</f>
        <v>540</v>
      </c>
      <c r="G140" s="127"/>
      <c r="H140" s="127"/>
      <c r="I140" s="126"/>
      <c r="J140" s="36"/>
      <c r="K140" s="15"/>
      <c r="M140" s="115"/>
    </row>
    <row r="141" spans="1:13" ht="45" customHeight="1">
      <c r="A141" s="36"/>
      <c r="B141" s="263" t="s">
        <v>271</v>
      </c>
      <c r="C141" s="116" t="s">
        <v>140</v>
      </c>
      <c r="D141" s="228">
        <f t="shared" si="7"/>
        <v>500</v>
      </c>
      <c r="E141" s="285">
        <v>500</v>
      </c>
      <c r="F141" s="227"/>
      <c r="G141" s="127"/>
      <c r="H141" s="127"/>
      <c r="I141" s="126"/>
      <c r="J141" s="36"/>
      <c r="K141" s="15"/>
      <c r="M141" s="115"/>
    </row>
    <row r="142" spans="1:13" ht="45" customHeight="1">
      <c r="A142" s="36"/>
      <c r="B142" s="263" t="s">
        <v>418</v>
      </c>
      <c r="C142" s="282"/>
      <c r="D142" s="228">
        <f t="shared" si="7"/>
        <v>20.8</v>
      </c>
      <c r="E142" s="285"/>
      <c r="F142" s="227">
        <v>20.8</v>
      </c>
      <c r="G142" s="127"/>
      <c r="H142" s="127"/>
      <c r="I142" s="126"/>
      <c r="J142" s="36"/>
      <c r="K142" s="15"/>
      <c r="M142" s="115"/>
    </row>
    <row r="143" spans="1:13" ht="45" customHeight="1">
      <c r="A143" s="36"/>
      <c r="B143" s="263" t="s">
        <v>419</v>
      </c>
      <c r="C143" s="282"/>
      <c r="D143" s="228">
        <f t="shared" si="7"/>
        <v>42.2</v>
      </c>
      <c r="E143" s="285"/>
      <c r="F143" s="227">
        <v>42.2</v>
      </c>
      <c r="G143" s="127"/>
      <c r="H143" s="127"/>
      <c r="I143" s="126"/>
      <c r="J143" s="36"/>
      <c r="K143" s="15"/>
      <c r="M143" s="115"/>
    </row>
    <row r="144" spans="1:13" ht="53.25" customHeight="1">
      <c r="A144" s="36"/>
      <c r="B144" s="131" t="s">
        <v>259</v>
      </c>
      <c r="C144" s="282"/>
      <c r="D144" s="228">
        <f t="shared" si="7"/>
        <v>30680</v>
      </c>
      <c r="E144" s="284">
        <f>E145+E146+E147+E148</f>
        <v>30680</v>
      </c>
      <c r="F144" s="284">
        <f>F145+F146+F147+F148</f>
        <v>0</v>
      </c>
      <c r="G144" s="284">
        <f>G145+G146+G147+G148</f>
        <v>0</v>
      </c>
      <c r="H144" s="284">
        <f>H145+H146+H147+H148</f>
        <v>0</v>
      </c>
      <c r="I144" s="284">
        <f>I145+I146+I147+I148</f>
        <v>0</v>
      </c>
      <c r="J144" s="36" t="s">
        <v>264</v>
      </c>
      <c r="K144" s="15"/>
      <c r="M144" s="115"/>
    </row>
    <row r="145" spans="1:13" ht="39.75" customHeight="1">
      <c r="A145" s="36"/>
      <c r="B145" s="283" t="s">
        <v>260</v>
      </c>
      <c r="C145" s="116" t="s">
        <v>140</v>
      </c>
      <c r="D145" s="228">
        <f t="shared" si="7"/>
        <v>15500</v>
      </c>
      <c r="E145" s="286">
        <v>15500</v>
      </c>
      <c r="F145" s="227"/>
      <c r="G145" s="127"/>
      <c r="H145" s="127"/>
      <c r="I145" s="126"/>
      <c r="J145" s="36"/>
      <c r="K145" s="15"/>
      <c r="M145" s="115"/>
    </row>
    <row r="146" spans="1:13" ht="42" customHeight="1">
      <c r="A146" s="36"/>
      <c r="B146" s="283" t="s">
        <v>261</v>
      </c>
      <c r="C146" s="116" t="s">
        <v>140</v>
      </c>
      <c r="D146" s="228">
        <f t="shared" si="7"/>
        <v>4700</v>
      </c>
      <c r="E146" s="286">
        <v>4700</v>
      </c>
      <c r="F146" s="227"/>
      <c r="G146" s="127"/>
      <c r="H146" s="127"/>
      <c r="I146" s="126"/>
      <c r="J146" s="36"/>
      <c r="K146" s="15"/>
      <c r="M146" s="115"/>
    </row>
    <row r="147" spans="1:13" ht="40.5" customHeight="1">
      <c r="A147" s="36"/>
      <c r="B147" s="283" t="s">
        <v>262</v>
      </c>
      <c r="C147" s="116" t="s">
        <v>140</v>
      </c>
      <c r="D147" s="228">
        <f t="shared" si="7"/>
        <v>4780</v>
      </c>
      <c r="E147" s="285">
        <v>4780</v>
      </c>
      <c r="F147" s="227"/>
      <c r="G147" s="127"/>
      <c r="H147" s="127"/>
      <c r="I147" s="126"/>
      <c r="J147" s="36"/>
      <c r="K147" s="15"/>
      <c r="M147" s="115"/>
    </row>
    <row r="148" spans="1:13" ht="37.5" customHeight="1">
      <c r="A148" s="36"/>
      <c r="B148" s="283" t="s">
        <v>263</v>
      </c>
      <c r="C148" s="116" t="s">
        <v>140</v>
      </c>
      <c r="D148" s="228">
        <f t="shared" si="7"/>
        <v>5700</v>
      </c>
      <c r="E148" s="285">
        <v>5700</v>
      </c>
      <c r="F148" s="227"/>
      <c r="G148" s="127"/>
      <c r="H148" s="127"/>
      <c r="I148" s="126"/>
      <c r="J148" s="36"/>
      <c r="K148" s="15"/>
      <c r="M148" s="115"/>
    </row>
    <row r="149" spans="1:11" ht="20.25">
      <c r="A149" s="70"/>
      <c r="B149" s="273" t="s">
        <v>5</v>
      </c>
      <c r="C149" s="132"/>
      <c r="D149" s="274">
        <f>D137+D131+D76+D69+D45+D40+D31+D23+D16+D144</f>
        <v>216036.67200000002</v>
      </c>
      <c r="E149" s="274">
        <f>E137+E131+E76+E69+E45+E40+E31+E23+E16+E144</f>
        <v>127913.40000000001</v>
      </c>
      <c r="F149" s="133">
        <f>F144+F137+F131+F76+F69+F45+F40+F31+F23+F16</f>
        <v>88123.272</v>
      </c>
      <c r="G149" s="133">
        <f>G144+G137+G131+G76+G69+G45+G40+G31+G23+G16</f>
        <v>0</v>
      </c>
      <c r="H149" s="133">
        <f>H144+H137+H131+H76+H69+H45+H40+H31+H23+H16</f>
        <v>0</v>
      </c>
      <c r="I149" s="133">
        <f>I144+I137+I131+I76+I69+I45+I40+I31+I23+I16+I46+I70</f>
        <v>7297.4</v>
      </c>
      <c r="J149" s="72"/>
      <c r="K149" s="15"/>
    </row>
    <row r="150" spans="1:11" ht="15.75">
      <c r="A150" s="134"/>
      <c r="B150" s="135"/>
      <c r="C150" s="135"/>
      <c r="D150" s="136"/>
      <c r="E150" s="136"/>
      <c r="F150" s="136"/>
      <c r="G150" s="136"/>
      <c r="H150" s="136"/>
      <c r="I150" s="136"/>
      <c r="J150" s="20"/>
      <c r="K150" s="15"/>
    </row>
    <row r="151" spans="1:11" ht="15.75">
      <c r="A151" s="134"/>
      <c r="B151" s="135"/>
      <c r="C151" s="18"/>
      <c r="D151" s="19"/>
      <c r="E151" s="19"/>
      <c r="F151" s="19"/>
      <c r="G151" s="19"/>
      <c r="H151" s="19"/>
      <c r="I151" s="19"/>
      <c r="J151" s="20"/>
      <c r="K151" s="15"/>
    </row>
    <row r="152" spans="2:11" ht="15.75">
      <c r="B152" s="135"/>
      <c r="C152" s="18"/>
      <c r="D152" s="19"/>
      <c r="E152" s="19"/>
      <c r="F152" s="19"/>
      <c r="G152" s="19"/>
      <c r="H152" s="19"/>
      <c r="I152" s="19"/>
      <c r="J152" s="20"/>
      <c r="K152" s="15"/>
    </row>
    <row r="153" spans="2:11" ht="30.75" customHeight="1">
      <c r="B153" s="554" t="s">
        <v>18</v>
      </c>
      <c r="C153" s="554"/>
      <c r="D153" s="375"/>
      <c r="E153" s="375"/>
      <c r="F153" s="22"/>
      <c r="I153" s="23"/>
      <c r="J153" s="23" t="s">
        <v>30</v>
      </c>
      <c r="K153" s="23"/>
    </row>
    <row r="154" spans="2:11" ht="16.5" customHeight="1">
      <c r="B154" s="249"/>
      <c r="C154" s="375"/>
      <c r="D154" s="375"/>
      <c r="E154" s="375"/>
      <c r="F154" s="22"/>
      <c r="I154" s="23"/>
      <c r="J154" s="23"/>
      <c r="K154" s="23"/>
    </row>
    <row r="155" spans="2:11" ht="18.75">
      <c r="B155" s="249"/>
      <c r="C155" s="375"/>
      <c r="D155" s="375"/>
      <c r="E155" s="375"/>
      <c r="F155" s="22"/>
      <c r="I155" s="23"/>
      <c r="J155" s="23"/>
      <c r="K155" s="23"/>
    </row>
    <row r="156" spans="2:10" ht="18.75">
      <c r="B156" s="587" t="s">
        <v>678</v>
      </c>
      <c r="C156" s="587"/>
      <c r="D156" s="25"/>
      <c r="E156" s="25"/>
      <c r="F156" s="26"/>
      <c r="G156" s="26"/>
      <c r="H156" s="26"/>
      <c r="I156" s="15"/>
      <c r="J156" s="15"/>
    </row>
    <row r="157" spans="2:12" ht="15.75" customHeight="1">
      <c r="B157" s="342" t="s">
        <v>10</v>
      </c>
      <c r="C157" s="17"/>
      <c r="D157" s="26"/>
      <c r="E157" s="26"/>
      <c r="F157" s="26"/>
      <c r="G157" s="26"/>
      <c r="H157" s="26"/>
      <c r="I157" s="15"/>
      <c r="J157" s="15"/>
      <c r="L157" s="12"/>
    </row>
    <row r="158" spans="2:10" ht="15.75">
      <c r="B158" s="138"/>
      <c r="C158" s="29"/>
      <c r="D158" s="30"/>
      <c r="E158" s="30"/>
      <c r="F158" s="26"/>
      <c r="G158" s="26"/>
      <c r="H158" s="26"/>
      <c r="I158" s="15"/>
      <c r="J158" s="15"/>
    </row>
    <row r="159" spans="3:9" ht="15.75">
      <c r="C159" s="30"/>
      <c r="D159" s="26"/>
      <c r="E159" s="26"/>
      <c r="F159" s="26"/>
      <c r="G159" s="26"/>
      <c r="H159" s="26"/>
      <c r="I159" s="26"/>
    </row>
    <row r="160" spans="3:9" ht="15.75">
      <c r="C160" s="31"/>
      <c r="D160" s="26"/>
      <c r="E160" s="26"/>
      <c r="F160" s="26"/>
      <c r="G160" s="26"/>
      <c r="H160" s="26"/>
      <c r="I160" s="26"/>
    </row>
    <row r="162" ht="12.75">
      <c r="H162" s="139"/>
    </row>
  </sheetData>
  <sheetProtection/>
  <mergeCells count="34">
    <mergeCell ref="A69:A70"/>
    <mergeCell ref="B69:B70"/>
    <mergeCell ref="J69:J70"/>
    <mergeCell ref="A74:A75"/>
    <mergeCell ref="B74:B75"/>
    <mergeCell ref="J74:J75"/>
    <mergeCell ref="A53:A54"/>
    <mergeCell ref="B53:B54"/>
    <mergeCell ref="A58:A59"/>
    <mergeCell ref="B58:B59"/>
    <mergeCell ref="J58:J59"/>
    <mergeCell ref="J53:J54"/>
    <mergeCell ref="A45:A46"/>
    <mergeCell ref="B45:B46"/>
    <mergeCell ref="J45:J46"/>
    <mergeCell ref="A47:A48"/>
    <mergeCell ref="B47:B48"/>
    <mergeCell ref="J47:J48"/>
    <mergeCell ref="A13:A15"/>
    <mergeCell ref="B13:B15"/>
    <mergeCell ref="C13:C15"/>
    <mergeCell ref="J13:J15"/>
    <mergeCell ref="I14:I15"/>
    <mergeCell ref="D13:D15"/>
    <mergeCell ref="B153:C153"/>
    <mergeCell ref="B156:C156"/>
    <mergeCell ref="E13:I13"/>
    <mergeCell ref="D12:H12"/>
    <mergeCell ref="I1:J1"/>
    <mergeCell ref="I2:J2"/>
    <mergeCell ref="E14:E15"/>
    <mergeCell ref="F14:H15"/>
    <mergeCell ref="I9:J9"/>
    <mergeCell ref="A11:J11"/>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N29"/>
  <sheetViews>
    <sheetView view="pageBreakPreview" zoomScaleSheetLayoutView="100" zoomScalePageLayoutView="0" workbookViewId="0" topLeftCell="A1">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91" t="s">
        <v>505</v>
      </c>
      <c r="K1" s="591"/>
      <c r="L1" s="13" t="s">
        <v>19</v>
      </c>
    </row>
    <row r="2" spans="2:12" ht="15.75">
      <c r="B2" s="15"/>
      <c r="C2" s="15"/>
      <c r="D2" s="15"/>
      <c r="E2" s="15"/>
      <c r="F2" s="15"/>
      <c r="G2" s="15"/>
      <c r="H2" s="15"/>
      <c r="I2" s="12" t="s">
        <v>11</v>
      </c>
      <c r="J2" s="591" t="s">
        <v>11</v>
      </c>
      <c r="K2" s="591"/>
      <c r="L2" s="12" t="s">
        <v>11</v>
      </c>
    </row>
    <row r="3" spans="2:12" ht="15.75">
      <c r="B3" s="15"/>
      <c r="C3" s="15"/>
      <c r="D3" s="15"/>
      <c r="E3" s="15"/>
      <c r="F3" s="15"/>
      <c r="G3" s="15"/>
      <c r="H3" s="15"/>
      <c r="I3" s="12"/>
      <c r="J3" s="12" t="s">
        <v>322</v>
      </c>
      <c r="K3" s="12"/>
      <c r="L3" s="12"/>
    </row>
    <row r="4" spans="2:12" ht="15.75">
      <c r="B4" s="15"/>
      <c r="C4" s="15"/>
      <c r="D4" s="15"/>
      <c r="E4" s="15"/>
      <c r="F4" s="15"/>
      <c r="G4" s="15"/>
      <c r="H4" s="15"/>
      <c r="I4" s="12" t="s">
        <v>21</v>
      </c>
      <c r="J4" s="12" t="s">
        <v>702</v>
      </c>
      <c r="K4" s="12"/>
      <c r="L4" s="12" t="s">
        <v>21</v>
      </c>
    </row>
    <row r="5" spans="2:12" ht="15.75">
      <c r="B5" s="15"/>
      <c r="C5" s="15"/>
      <c r="D5" s="15"/>
      <c r="E5" s="15"/>
      <c r="F5" s="15"/>
      <c r="G5" s="15"/>
      <c r="H5" s="15"/>
      <c r="I5" s="12" t="s">
        <v>23</v>
      </c>
      <c r="J5" s="12" t="s">
        <v>695</v>
      </c>
      <c r="K5" s="12"/>
      <c r="L5" s="12" t="s">
        <v>23</v>
      </c>
    </row>
    <row r="6" spans="2:12" ht="15.75">
      <c r="B6" s="15"/>
      <c r="C6" s="15"/>
      <c r="D6" s="15"/>
      <c r="E6" s="15"/>
      <c r="F6" s="15"/>
      <c r="G6" s="15"/>
      <c r="H6" s="15"/>
      <c r="I6" s="12"/>
      <c r="J6" s="12" t="s">
        <v>683</v>
      </c>
      <c r="K6" s="12"/>
      <c r="L6" s="12"/>
    </row>
    <row r="7" spans="2:12" ht="15.75">
      <c r="B7" s="15"/>
      <c r="C7" s="15"/>
      <c r="D7" s="15"/>
      <c r="E7" s="15"/>
      <c r="F7" s="15"/>
      <c r="G7" s="15"/>
      <c r="H7" s="15"/>
      <c r="I7" s="12"/>
      <c r="J7" s="12" t="s">
        <v>684</v>
      </c>
      <c r="K7" s="12"/>
      <c r="L7" s="12"/>
    </row>
    <row r="8" spans="2:12" ht="15.75">
      <c r="B8" s="15"/>
      <c r="C8" s="15"/>
      <c r="D8" s="15"/>
      <c r="E8" s="15"/>
      <c r="F8" s="15"/>
      <c r="G8" s="15"/>
      <c r="H8" s="15"/>
      <c r="I8" s="12"/>
      <c r="J8" s="12" t="s">
        <v>685</v>
      </c>
      <c r="K8" s="12"/>
      <c r="L8" s="12"/>
    </row>
    <row r="9" spans="2:12" ht="15.75">
      <c r="B9" s="15"/>
      <c r="C9" s="15"/>
      <c r="D9" s="15"/>
      <c r="E9" s="15"/>
      <c r="F9" s="15"/>
      <c r="G9" s="15"/>
      <c r="H9" s="15"/>
      <c r="I9" s="15"/>
      <c r="J9" s="15" t="s">
        <v>686</v>
      </c>
      <c r="K9" s="15"/>
      <c r="L9" s="15"/>
    </row>
    <row r="10" spans="1:12" ht="35.25" customHeight="1">
      <c r="A10" s="586" t="s">
        <v>441</v>
      </c>
      <c r="B10" s="586"/>
      <c r="C10" s="586"/>
      <c r="D10" s="586"/>
      <c r="E10" s="586"/>
      <c r="F10" s="586"/>
      <c r="G10" s="586"/>
      <c r="H10" s="586"/>
      <c r="I10" s="586"/>
      <c r="J10" s="586"/>
      <c r="K10" s="586"/>
      <c r="L10" s="15"/>
    </row>
    <row r="11" spans="2:12" ht="23.25" customHeight="1">
      <c r="B11" s="15"/>
      <c r="C11" s="15"/>
      <c r="D11" s="589"/>
      <c r="E11" s="589"/>
      <c r="F11" s="589"/>
      <c r="G11" s="589"/>
      <c r="H11" s="589"/>
      <c r="I11" s="15"/>
      <c r="J11" s="15"/>
      <c r="K11" s="35" t="s">
        <v>426</v>
      </c>
      <c r="L11" s="15"/>
    </row>
    <row r="12" spans="1:12" ht="15.75" customHeight="1">
      <c r="A12" s="639" t="s">
        <v>32</v>
      </c>
      <c r="B12" s="639" t="s">
        <v>12</v>
      </c>
      <c r="C12" s="639" t="s">
        <v>13</v>
      </c>
      <c r="D12" s="639" t="s">
        <v>442</v>
      </c>
      <c r="E12" s="646" t="s">
        <v>9</v>
      </c>
      <c r="F12" s="646"/>
      <c r="G12" s="646"/>
      <c r="H12" s="646"/>
      <c r="I12" s="646"/>
      <c r="J12" s="647"/>
      <c r="K12" s="642" t="s">
        <v>15</v>
      </c>
      <c r="L12" s="15"/>
    </row>
    <row r="13" spans="1:12" ht="15.75">
      <c r="A13" s="640"/>
      <c r="B13" s="640"/>
      <c r="C13" s="640"/>
      <c r="D13" s="640"/>
      <c r="E13" s="639" t="s">
        <v>443</v>
      </c>
      <c r="F13" s="639" t="s">
        <v>444</v>
      </c>
      <c r="G13" s="639" t="s">
        <v>27</v>
      </c>
      <c r="H13" s="639" t="s">
        <v>28</v>
      </c>
      <c r="I13" s="639" t="s">
        <v>29</v>
      </c>
      <c r="J13" s="642" t="s">
        <v>445</v>
      </c>
      <c r="K13" s="642"/>
      <c r="L13" s="15"/>
    </row>
    <row r="14" spans="1:12" ht="15.75">
      <c r="A14" s="641"/>
      <c r="B14" s="641"/>
      <c r="C14" s="641"/>
      <c r="D14" s="641"/>
      <c r="E14" s="641"/>
      <c r="F14" s="641"/>
      <c r="G14" s="641"/>
      <c r="H14" s="641"/>
      <c r="I14" s="641"/>
      <c r="J14" s="642"/>
      <c r="K14" s="642"/>
      <c r="L14" s="15"/>
    </row>
    <row r="15" spans="1:12" ht="25.5" customHeight="1">
      <c r="A15" s="578">
        <v>1</v>
      </c>
      <c r="B15" s="644" t="s">
        <v>446</v>
      </c>
      <c r="C15" s="84" t="s">
        <v>16</v>
      </c>
      <c r="D15" s="109">
        <f>E15+F15+J15</f>
        <v>9972.5</v>
      </c>
      <c r="E15" s="110">
        <v>1980</v>
      </c>
      <c r="F15" s="110">
        <f>7000+992.5</f>
        <v>7992.5</v>
      </c>
      <c r="G15" s="110">
        <v>1980</v>
      </c>
      <c r="H15" s="110">
        <v>1980</v>
      </c>
      <c r="I15" s="110">
        <v>1980</v>
      </c>
      <c r="J15" s="110"/>
      <c r="K15" s="644" t="s">
        <v>390</v>
      </c>
      <c r="L15" s="15"/>
    </row>
    <row r="16" spans="1:14" ht="21" customHeight="1">
      <c r="A16" s="579"/>
      <c r="B16" s="645"/>
      <c r="C16" s="84" t="s">
        <v>648</v>
      </c>
      <c r="D16" s="109">
        <f>E16+F16+J16</f>
        <v>8000</v>
      </c>
      <c r="E16" s="111"/>
      <c r="F16" s="110"/>
      <c r="G16" s="110"/>
      <c r="H16" s="110"/>
      <c r="I16" s="110"/>
      <c r="J16" s="110">
        <v>8000</v>
      </c>
      <c r="K16" s="645"/>
      <c r="L16" s="15"/>
      <c r="N16" s="55">
        <v>441</v>
      </c>
    </row>
    <row r="17" spans="1:12" ht="32.25" customHeight="1">
      <c r="A17" s="85"/>
      <c r="B17" s="83" t="s">
        <v>5</v>
      </c>
      <c r="C17" s="112"/>
      <c r="D17" s="109">
        <f>E17+F17+J17</f>
        <v>17972.5</v>
      </c>
      <c r="E17" s="109">
        <f aca="true" t="shared" si="0" ref="E17:J17">E15+E16</f>
        <v>1980</v>
      </c>
      <c r="F17" s="109">
        <f t="shared" si="0"/>
        <v>7992.5</v>
      </c>
      <c r="G17" s="109">
        <f t="shared" si="0"/>
        <v>1980</v>
      </c>
      <c r="H17" s="109">
        <f t="shared" si="0"/>
        <v>1980</v>
      </c>
      <c r="I17" s="109">
        <f t="shared" si="0"/>
        <v>1980</v>
      </c>
      <c r="J17" s="109">
        <f t="shared" si="0"/>
        <v>8000</v>
      </c>
      <c r="K17" s="113"/>
      <c r="L17" s="15"/>
    </row>
    <row r="18" spans="2:12" ht="11.25" customHeight="1">
      <c r="B18" s="18"/>
      <c r="C18" s="18"/>
      <c r="D18" s="170"/>
      <c r="E18" s="170"/>
      <c r="F18" s="170"/>
      <c r="G18" s="170"/>
      <c r="H18" s="170"/>
      <c r="I18" s="170"/>
      <c r="J18" s="170"/>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609" t="s">
        <v>18</v>
      </c>
      <c r="C21" s="609"/>
      <c r="D21" s="375"/>
      <c r="E21" s="22"/>
      <c r="F21" s="22"/>
      <c r="G21" s="16"/>
      <c r="H21" s="16"/>
      <c r="I21" s="16"/>
      <c r="J21" s="23"/>
      <c r="K21" s="23" t="s">
        <v>30</v>
      </c>
      <c r="L21" s="23"/>
    </row>
    <row r="22" spans="1:12" ht="10.5" customHeight="1">
      <c r="A22" s="16"/>
      <c r="B22" s="375"/>
      <c r="C22" s="375"/>
      <c r="D22" s="375"/>
      <c r="E22" s="22"/>
      <c r="F22" s="22"/>
      <c r="G22" s="16"/>
      <c r="H22" s="16"/>
      <c r="I22" s="16"/>
      <c r="J22" s="23"/>
      <c r="K22" s="23"/>
      <c r="L22" s="23"/>
    </row>
    <row r="23" spans="1:11" ht="18.75">
      <c r="A23" s="16"/>
      <c r="B23" s="587" t="s">
        <v>678</v>
      </c>
      <c r="C23" s="587"/>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1">
    <mergeCell ref="B21:C21"/>
    <mergeCell ref="E12:J12"/>
    <mergeCell ref="B23:C23"/>
    <mergeCell ref="K12:K14"/>
    <mergeCell ref="E13:E14"/>
    <mergeCell ref="F13:F14"/>
    <mergeCell ref="G13:G14"/>
    <mergeCell ref="C12:C14"/>
    <mergeCell ref="I13:I14"/>
    <mergeCell ref="J1:K1"/>
    <mergeCell ref="J2:K2"/>
    <mergeCell ref="D11:H11"/>
    <mergeCell ref="A12:A14"/>
    <mergeCell ref="B12:B14"/>
    <mergeCell ref="H13:H14"/>
    <mergeCell ref="A15:A16"/>
    <mergeCell ref="B15:B16"/>
    <mergeCell ref="K15:K16"/>
    <mergeCell ref="D12:D14"/>
    <mergeCell ref="A10:K10"/>
    <mergeCell ref="J13:J14"/>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2:L30"/>
  <sheetViews>
    <sheetView tabSelected="1" zoomScale="75" zoomScaleNormal="75" zoomScalePageLayoutView="0" workbookViewId="0" topLeftCell="A1">
      <selection activeCell="A2" sqref="A2:H21"/>
    </sheetView>
  </sheetViews>
  <sheetFormatPr defaultColWidth="9.140625" defaultRowHeight="12.75"/>
  <cols>
    <col min="1" max="1" width="11.00390625" style="343" customWidth="1"/>
    <col min="2" max="2" width="61.57421875" style="343" customWidth="1"/>
    <col min="3" max="3" width="13.421875" style="343" hidden="1" customWidth="1"/>
    <col min="4" max="4" width="16.421875" style="343" customWidth="1"/>
    <col min="5" max="6" width="15.7109375" style="343" customWidth="1"/>
    <col min="7" max="7" width="47.8515625" style="343" customWidth="1"/>
    <col min="8" max="8" width="65.57421875" style="343" customWidth="1"/>
    <col min="9" max="9" width="15.7109375" style="343" customWidth="1"/>
    <col min="10" max="10" width="16.00390625" style="343" customWidth="1"/>
    <col min="11" max="11" width="14.140625" style="343" customWidth="1"/>
    <col min="12" max="12" width="12.421875" style="343" hidden="1" customWidth="1"/>
    <col min="13" max="13" width="14.8515625" style="343" customWidth="1"/>
    <col min="14" max="14" width="14.28125" style="343" customWidth="1"/>
    <col min="15" max="15" width="27.7109375" style="343" customWidth="1"/>
    <col min="16" max="16" width="19.140625" style="343" customWidth="1"/>
    <col min="17" max="17" width="15.140625" style="343" customWidth="1"/>
    <col min="18" max="18" width="14.140625" style="343" customWidth="1"/>
    <col min="19" max="19" width="17.28125" style="343" customWidth="1"/>
    <col min="20" max="20" width="13.8515625" style="343" customWidth="1"/>
  </cols>
  <sheetData>
    <row r="1" ht="11.25" customHeight="1"/>
    <row r="2" spans="1:12" s="343" customFormat="1" ht="42" customHeight="1">
      <c r="A2" s="553" t="s">
        <v>447</v>
      </c>
      <c r="B2" s="553"/>
      <c r="C2" s="553"/>
      <c r="D2" s="553"/>
      <c r="E2" s="553"/>
      <c r="F2" s="553"/>
      <c r="G2" s="553"/>
      <c r="H2" s="553"/>
      <c r="I2" s="369"/>
      <c r="J2" s="369"/>
      <c r="K2" s="369"/>
      <c r="L2" s="369"/>
    </row>
    <row r="3" spans="1:12" s="343" customFormat="1" ht="12.75" customHeight="1">
      <c r="A3" s="331"/>
      <c r="B3" s="331"/>
      <c r="C3" s="331"/>
      <c r="D3" s="370"/>
      <c r="E3" s="331"/>
      <c r="F3" s="331"/>
      <c r="G3" s="369"/>
      <c r="H3" s="435" t="s">
        <v>426</v>
      </c>
      <c r="I3" s="369"/>
      <c r="J3" s="369"/>
      <c r="K3" s="369"/>
      <c r="L3" s="369"/>
    </row>
    <row r="4" spans="1:12" s="343" customFormat="1" ht="6" customHeight="1">
      <c r="A4" s="331"/>
      <c r="B4" s="331"/>
      <c r="C4" s="331"/>
      <c r="D4" s="370"/>
      <c r="E4" s="331"/>
      <c r="F4" s="331"/>
      <c r="G4" s="369"/>
      <c r="H4" s="369"/>
      <c r="I4" s="369"/>
      <c r="J4" s="369"/>
      <c r="K4" s="369"/>
      <c r="L4" s="369"/>
    </row>
    <row r="5" spans="1:12" s="343" customFormat="1" ht="37.5" customHeight="1">
      <c r="A5" s="572" t="s">
        <v>6</v>
      </c>
      <c r="B5" s="561" t="s">
        <v>136</v>
      </c>
      <c r="C5" s="561" t="s">
        <v>13</v>
      </c>
      <c r="D5" s="387" t="s">
        <v>346</v>
      </c>
      <c r="E5" s="415" t="s">
        <v>347</v>
      </c>
      <c r="F5" s="561" t="s">
        <v>421</v>
      </c>
      <c r="G5" s="561" t="s">
        <v>420</v>
      </c>
      <c r="H5" s="423" t="s">
        <v>348</v>
      </c>
      <c r="I5" s="369"/>
      <c r="J5" s="369"/>
      <c r="K5" s="369"/>
      <c r="L5" s="369"/>
    </row>
    <row r="6" spans="1:12" s="343" customFormat="1" ht="15" customHeight="1">
      <c r="A6" s="572"/>
      <c r="B6" s="562"/>
      <c r="C6" s="562"/>
      <c r="D6" s="561">
        <v>2020</v>
      </c>
      <c r="E6" s="561">
        <v>2020</v>
      </c>
      <c r="F6" s="562"/>
      <c r="G6" s="562"/>
      <c r="H6" s="416"/>
      <c r="I6" s="369"/>
      <c r="J6" s="369"/>
      <c r="K6" s="369"/>
      <c r="L6" s="369"/>
    </row>
    <row r="7" spans="1:12" s="343" customFormat="1" ht="15" customHeight="1">
      <c r="A7" s="572"/>
      <c r="B7" s="563"/>
      <c r="C7" s="563"/>
      <c r="D7" s="563"/>
      <c r="E7" s="563"/>
      <c r="F7" s="563"/>
      <c r="G7" s="563"/>
      <c r="H7" s="417"/>
      <c r="I7" s="369"/>
      <c r="J7" s="369"/>
      <c r="K7" s="369"/>
      <c r="L7" s="369"/>
    </row>
    <row r="8" spans="1:12" s="343" customFormat="1" ht="62.25" customHeight="1">
      <c r="A8" s="238">
        <v>1</v>
      </c>
      <c r="B8" s="163" t="s">
        <v>661</v>
      </c>
      <c r="C8" s="165" t="s">
        <v>16</v>
      </c>
      <c r="D8" s="346">
        <v>5313.29</v>
      </c>
      <c r="E8" s="346">
        <f>5313.29+190</f>
        <v>5503.29</v>
      </c>
      <c r="F8" s="346">
        <f>E8-D8</f>
        <v>190</v>
      </c>
      <c r="G8" s="547" t="s">
        <v>658</v>
      </c>
      <c r="H8" s="550" t="s">
        <v>659</v>
      </c>
      <c r="I8" s="369"/>
      <c r="J8" s="369"/>
      <c r="K8" s="369"/>
      <c r="L8" s="369"/>
    </row>
    <row r="9" spans="1:12" s="343" customFormat="1" ht="39.75" customHeight="1">
      <c r="A9" s="300" t="s">
        <v>276</v>
      </c>
      <c r="B9" s="163" t="s">
        <v>728</v>
      </c>
      <c r="C9" s="165"/>
      <c r="D9" s="346">
        <v>0</v>
      </c>
      <c r="E9" s="346">
        <v>190</v>
      </c>
      <c r="F9" s="346">
        <f aca="true" t="shared" si="0" ref="F9:F14">E9-D9</f>
        <v>190</v>
      </c>
      <c r="G9" s="549"/>
      <c r="H9" s="551"/>
      <c r="I9" s="369"/>
      <c r="J9" s="369"/>
      <c r="K9" s="369"/>
      <c r="L9" s="369"/>
    </row>
    <row r="10" spans="1:12" s="343" customFormat="1" ht="57.75" customHeight="1">
      <c r="A10" s="238">
        <v>2</v>
      </c>
      <c r="B10" s="163" t="s">
        <v>623</v>
      </c>
      <c r="C10" s="448"/>
      <c r="D10" s="346">
        <v>371415.5</v>
      </c>
      <c r="E10" s="346">
        <f>451415.5-2190+49290.2+40000</f>
        <v>538515.7</v>
      </c>
      <c r="F10" s="346">
        <f>E10-D10</f>
        <v>167100.19999999995</v>
      </c>
      <c r="G10" s="536" t="s">
        <v>674</v>
      </c>
      <c r="H10" s="550" t="s">
        <v>732</v>
      </c>
      <c r="I10" s="369"/>
      <c r="J10" s="369"/>
      <c r="K10" s="369"/>
      <c r="L10" s="369"/>
    </row>
    <row r="11" spans="1:12" s="343" customFormat="1" ht="48" customHeight="1">
      <c r="A11" s="300" t="s">
        <v>387</v>
      </c>
      <c r="B11" s="163" t="s">
        <v>461</v>
      </c>
      <c r="C11" s="448"/>
      <c r="D11" s="346">
        <v>0</v>
      </c>
      <c r="E11" s="346">
        <v>120000</v>
      </c>
      <c r="F11" s="346">
        <f t="shared" si="0"/>
        <v>120000</v>
      </c>
      <c r="G11" s="535" t="s">
        <v>733</v>
      </c>
      <c r="H11" s="551"/>
      <c r="I11" s="369"/>
      <c r="J11" s="369"/>
      <c r="K11" s="369"/>
      <c r="L11" s="369"/>
    </row>
    <row r="12" spans="1:12" s="343" customFormat="1" ht="48" customHeight="1">
      <c r="A12" s="300" t="s">
        <v>423</v>
      </c>
      <c r="B12" s="163" t="s">
        <v>90</v>
      </c>
      <c r="C12" s="448"/>
      <c r="D12" s="346">
        <v>91319.8</v>
      </c>
      <c r="E12" s="346">
        <f>89129.8+49290.2</f>
        <v>138420</v>
      </c>
      <c r="F12" s="346">
        <f t="shared" si="0"/>
        <v>47100.2</v>
      </c>
      <c r="G12" s="535" t="s">
        <v>535</v>
      </c>
      <c r="H12" s="539"/>
      <c r="I12" s="369"/>
      <c r="J12" s="369"/>
      <c r="K12" s="369"/>
      <c r="L12" s="369"/>
    </row>
    <row r="13" spans="1:12" s="343" customFormat="1" ht="49.5" customHeight="1">
      <c r="A13" s="300" t="s">
        <v>676</v>
      </c>
      <c r="B13" s="163" t="s">
        <v>734</v>
      </c>
      <c r="C13" s="165"/>
      <c r="D13" s="346">
        <v>3945.23</v>
      </c>
      <c r="E13" s="346">
        <v>5945.23</v>
      </c>
      <c r="F13" s="346">
        <f t="shared" si="0"/>
        <v>1999.9999999999995</v>
      </c>
      <c r="G13" s="534"/>
      <c r="H13" s="550" t="s">
        <v>737</v>
      </c>
      <c r="I13" s="369"/>
      <c r="J13" s="369"/>
      <c r="K13" s="369"/>
      <c r="L13" s="369"/>
    </row>
    <row r="14" spans="1:12" s="343" customFormat="1" ht="32.25" customHeight="1">
      <c r="A14" s="300" t="s">
        <v>511</v>
      </c>
      <c r="B14" s="163" t="s">
        <v>735</v>
      </c>
      <c r="C14" s="165"/>
      <c r="D14" s="346">
        <v>0</v>
      </c>
      <c r="E14" s="346">
        <v>2000</v>
      </c>
      <c r="F14" s="346">
        <f t="shared" si="0"/>
        <v>2000</v>
      </c>
      <c r="G14" s="532" t="s">
        <v>736</v>
      </c>
      <c r="H14" s="551"/>
      <c r="I14" s="369"/>
      <c r="J14" s="369"/>
      <c r="K14" s="369"/>
      <c r="L14" s="369"/>
    </row>
    <row r="15" spans="1:12" s="343" customFormat="1" ht="18.75">
      <c r="A15" s="572" t="s">
        <v>5</v>
      </c>
      <c r="B15" s="572"/>
      <c r="C15" s="387"/>
      <c r="D15" s="130">
        <f>D8+D10+D13</f>
        <v>380674.01999999996</v>
      </c>
      <c r="E15" s="130">
        <f>E8+E10+E13</f>
        <v>549964.22</v>
      </c>
      <c r="F15" s="130">
        <f>F8+F10+F13</f>
        <v>169290.19999999995</v>
      </c>
      <c r="G15" s="374"/>
      <c r="H15" s="374"/>
      <c r="I15" s="369"/>
      <c r="J15" s="369"/>
      <c r="K15" s="369"/>
      <c r="L15" s="369"/>
    </row>
    <row r="16" spans="1:12" s="343" customFormat="1" ht="15.75">
      <c r="A16" s="135"/>
      <c r="B16" s="135"/>
      <c r="C16" s="135"/>
      <c r="D16" s="135"/>
      <c r="E16" s="332"/>
      <c r="F16" s="332"/>
      <c r="G16" s="369"/>
      <c r="H16" s="369"/>
      <c r="I16" s="369"/>
      <c r="J16" s="369"/>
      <c r="K16" s="369"/>
      <c r="L16" s="369"/>
    </row>
    <row r="17" spans="1:12" s="343" customFormat="1" ht="15.75">
      <c r="A17" s="135"/>
      <c r="B17" s="135"/>
      <c r="C17" s="135"/>
      <c r="D17" s="135"/>
      <c r="E17" s="332"/>
      <c r="F17" s="332"/>
      <c r="G17" s="369"/>
      <c r="H17" s="369"/>
      <c r="I17" s="369"/>
      <c r="J17" s="369"/>
      <c r="K17" s="369"/>
      <c r="L17" s="369"/>
    </row>
    <row r="18" spans="1:12" s="343" customFormat="1" ht="15.75">
      <c r="A18" s="135"/>
      <c r="B18" s="135"/>
      <c r="C18" s="135"/>
      <c r="D18" s="135"/>
      <c r="E18" s="136"/>
      <c r="F18" s="136"/>
      <c r="G18" s="369"/>
      <c r="H18" s="369"/>
      <c r="I18" s="369"/>
      <c r="J18" s="369"/>
      <c r="K18" s="369"/>
      <c r="L18" s="369"/>
    </row>
    <row r="19" spans="1:12" s="343" customFormat="1" ht="33" customHeight="1">
      <c r="A19" s="554" t="s">
        <v>738</v>
      </c>
      <c r="B19" s="554"/>
      <c r="C19" s="554"/>
      <c r="D19" s="554"/>
      <c r="E19" s="185"/>
      <c r="F19" s="185"/>
      <c r="G19" s="68"/>
      <c r="H19" s="241" t="s">
        <v>739</v>
      </c>
      <c r="I19" s="369"/>
      <c r="J19" s="369"/>
      <c r="K19" s="369"/>
      <c r="L19" s="369"/>
    </row>
    <row r="20" spans="1:12" s="343" customFormat="1" ht="18.75">
      <c r="A20" s="376"/>
      <c r="B20" s="376"/>
      <c r="C20" s="376"/>
      <c r="D20" s="377"/>
      <c r="E20" s="136"/>
      <c r="F20" s="136"/>
      <c r="G20" s="339"/>
      <c r="H20" s="369"/>
      <c r="I20" s="369"/>
      <c r="J20" s="369"/>
      <c r="K20" s="369"/>
      <c r="L20" s="369"/>
    </row>
    <row r="21" spans="1:12" s="343" customFormat="1" ht="18.75">
      <c r="A21" s="560"/>
      <c r="B21" s="560"/>
      <c r="C21" s="386"/>
      <c r="D21" s="166"/>
      <c r="E21" s="378"/>
      <c r="F21" s="378"/>
      <c r="G21" s="369"/>
      <c r="H21" s="369"/>
      <c r="I21" s="369"/>
      <c r="J21" s="369"/>
      <c r="K21" s="369"/>
      <c r="L21" s="369"/>
    </row>
    <row r="22" s="343" customFormat="1" ht="15">
      <c r="A22" s="356"/>
    </row>
    <row r="23" s="343" customFormat="1" ht="15">
      <c r="A23" s="356"/>
    </row>
    <row r="24" s="343" customFormat="1" ht="15">
      <c r="A24" s="356"/>
    </row>
    <row r="25" s="343" customFormat="1" ht="15">
      <c r="A25" s="356"/>
    </row>
    <row r="26" s="343" customFormat="1" ht="15">
      <c r="A26" s="356"/>
    </row>
    <row r="27" s="343" customFormat="1" ht="15">
      <c r="A27" s="356"/>
    </row>
    <row r="28" s="343" customFormat="1" ht="15">
      <c r="A28" s="356"/>
    </row>
    <row r="29" s="343" customFormat="1" ht="15">
      <c r="A29" s="356"/>
    </row>
    <row r="30" s="343" customFormat="1" ht="15">
      <c r="A30" s="356"/>
    </row>
    <row r="31" s="343" customFormat="1" ht="15"/>
  </sheetData>
  <sheetProtection/>
  <mergeCells count="15">
    <mergeCell ref="A2:H2"/>
    <mergeCell ref="E6:E7"/>
    <mergeCell ref="F5:F7"/>
    <mergeCell ref="G8:G9"/>
    <mergeCell ref="H8:H9"/>
    <mergeCell ref="G5:G7"/>
    <mergeCell ref="A5:A7"/>
    <mergeCell ref="B5:B7"/>
    <mergeCell ref="C5:C7"/>
    <mergeCell ref="A19:D19"/>
    <mergeCell ref="A15:B15"/>
    <mergeCell ref="D6:D7"/>
    <mergeCell ref="A21:B21"/>
    <mergeCell ref="H13:H14"/>
    <mergeCell ref="H10:H11"/>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91" t="s">
        <v>506</v>
      </c>
      <c r="K1" s="591"/>
      <c r="L1" s="13" t="s">
        <v>19</v>
      </c>
    </row>
    <row r="2" spans="2:12" ht="15.75">
      <c r="B2" s="15"/>
      <c r="C2" s="15"/>
      <c r="D2" s="15"/>
      <c r="E2" s="15"/>
      <c r="F2" s="15"/>
      <c r="G2" s="15"/>
      <c r="H2" s="15"/>
      <c r="I2" s="12" t="s">
        <v>11</v>
      </c>
      <c r="J2" s="591" t="s">
        <v>11</v>
      </c>
      <c r="K2" s="591"/>
      <c r="L2" s="12" t="s">
        <v>11</v>
      </c>
    </row>
    <row r="3" spans="2:12" ht="15.75">
      <c r="B3" s="15"/>
      <c r="C3" s="15"/>
      <c r="D3" s="15"/>
      <c r="E3" s="15"/>
      <c r="F3" s="15"/>
      <c r="G3" s="15"/>
      <c r="H3" s="15"/>
      <c r="I3" s="12"/>
      <c r="J3" s="12" t="s">
        <v>322</v>
      </c>
      <c r="K3" s="12"/>
      <c r="L3" s="12"/>
    </row>
    <row r="4" spans="2:12" ht="15.75">
      <c r="B4" s="15"/>
      <c r="C4" s="15"/>
      <c r="D4" s="15"/>
      <c r="E4" s="15"/>
      <c r="F4" s="15"/>
      <c r="G4" s="15"/>
      <c r="H4" s="15"/>
      <c r="I4" s="12" t="s">
        <v>21</v>
      </c>
      <c r="J4" s="12" t="s">
        <v>717</v>
      </c>
      <c r="K4" s="12"/>
      <c r="L4" s="12" t="s">
        <v>21</v>
      </c>
    </row>
    <row r="5" spans="2:12" ht="15.75">
      <c r="B5" s="15"/>
      <c r="C5" s="15"/>
      <c r="D5" s="15"/>
      <c r="E5" s="15"/>
      <c r="F5" s="15"/>
      <c r="G5" s="15"/>
      <c r="H5" s="15"/>
      <c r="I5" s="12" t="s">
        <v>23</v>
      </c>
      <c r="J5" s="12" t="s">
        <v>718</v>
      </c>
      <c r="K5" s="12"/>
      <c r="L5" s="12" t="s">
        <v>23</v>
      </c>
    </row>
    <row r="6" spans="2:12" ht="15.75">
      <c r="B6" s="15"/>
      <c r="C6" s="15"/>
      <c r="D6" s="15"/>
      <c r="E6" s="15"/>
      <c r="F6" s="15"/>
      <c r="G6" s="15"/>
      <c r="H6" s="15"/>
      <c r="I6" s="12"/>
      <c r="J6" s="12" t="s">
        <v>683</v>
      </c>
      <c r="K6" s="12"/>
      <c r="L6" s="12"/>
    </row>
    <row r="7" spans="2:12" ht="15.75">
      <c r="B7" s="15"/>
      <c r="C7" s="15"/>
      <c r="D7" s="15"/>
      <c r="E7" s="15"/>
      <c r="F7" s="15"/>
      <c r="G7" s="15"/>
      <c r="H7" s="16"/>
      <c r="I7" s="12" t="s">
        <v>24</v>
      </c>
      <c r="J7" s="12" t="s">
        <v>684</v>
      </c>
      <c r="K7" s="12"/>
      <c r="L7" s="12" t="s">
        <v>24</v>
      </c>
    </row>
    <row r="8" spans="2:12" ht="15.75">
      <c r="B8" s="15"/>
      <c r="C8" s="15"/>
      <c r="D8" s="15"/>
      <c r="E8" s="15"/>
      <c r="F8" s="15"/>
      <c r="G8" s="15"/>
      <c r="H8" s="16"/>
      <c r="I8" s="12"/>
      <c r="J8" s="12" t="s">
        <v>685</v>
      </c>
      <c r="K8" s="12"/>
      <c r="L8" s="12"/>
    </row>
    <row r="9" spans="2:12" ht="15.75">
      <c r="B9" s="15"/>
      <c r="C9" s="15"/>
      <c r="D9" s="15"/>
      <c r="E9" s="15"/>
      <c r="F9" s="15"/>
      <c r="G9" s="15"/>
      <c r="H9" s="15"/>
      <c r="I9" s="15"/>
      <c r="J9" s="15" t="s">
        <v>699</v>
      </c>
      <c r="K9" s="15"/>
      <c r="L9" s="15"/>
    </row>
    <row r="10" spans="2:12" ht="38.25" customHeight="1">
      <c r="B10" s="586" t="s">
        <v>486</v>
      </c>
      <c r="C10" s="586"/>
      <c r="D10" s="586"/>
      <c r="E10" s="586"/>
      <c r="F10" s="586"/>
      <c r="G10" s="586"/>
      <c r="H10" s="586"/>
      <c r="I10" s="586"/>
      <c r="J10" s="586"/>
      <c r="K10" s="586"/>
      <c r="L10" s="15"/>
    </row>
    <row r="11" spans="2:12" ht="15.75">
      <c r="B11" s="15"/>
      <c r="C11" s="15"/>
      <c r="D11" s="589"/>
      <c r="E11" s="589"/>
      <c r="F11" s="589"/>
      <c r="G11" s="589"/>
      <c r="H11" s="589"/>
      <c r="I11" s="15"/>
      <c r="J11" s="15"/>
      <c r="K11" s="35" t="s">
        <v>467</v>
      </c>
      <c r="L11" s="15"/>
    </row>
    <row r="12" spans="1:12" ht="15.75" customHeight="1">
      <c r="A12" s="639" t="s">
        <v>32</v>
      </c>
      <c r="B12" s="639" t="s">
        <v>12</v>
      </c>
      <c r="C12" s="639" t="s">
        <v>13</v>
      </c>
      <c r="D12" s="639" t="s">
        <v>432</v>
      </c>
      <c r="E12" s="646" t="s">
        <v>9</v>
      </c>
      <c r="F12" s="646"/>
      <c r="G12" s="646"/>
      <c r="H12" s="646"/>
      <c r="I12" s="646"/>
      <c r="J12" s="647"/>
      <c r="K12" s="642" t="s">
        <v>15</v>
      </c>
      <c r="L12" s="15"/>
    </row>
    <row r="13" spans="1:12" ht="15.75">
      <c r="A13" s="640"/>
      <c r="B13" s="640"/>
      <c r="C13" s="640"/>
      <c r="D13" s="640"/>
      <c r="E13" s="639" t="s">
        <v>475</v>
      </c>
      <c r="F13" s="639" t="s">
        <v>470</v>
      </c>
      <c r="G13" s="639" t="s">
        <v>27</v>
      </c>
      <c r="H13" s="639" t="s">
        <v>28</v>
      </c>
      <c r="I13" s="639" t="s">
        <v>29</v>
      </c>
      <c r="J13" s="642" t="s">
        <v>476</v>
      </c>
      <c r="K13" s="642"/>
      <c r="L13" s="15"/>
    </row>
    <row r="14" spans="1:12" ht="15.75">
      <c r="A14" s="641"/>
      <c r="B14" s="641"/>
      <c r="C14" s="641"/>
      <c r="D14" s="641"/>
      <c r="E14" s="641"/>
      <c r="F14" s="641"/>
      <c r="G14" s="641"/>
      <c r="H14" s="641"/>
      <c r="I14" s="641"/>
      <c r="J14" s="642"/>
      <c r="K14" s="642"/>
      <c r="L14" s="15"/>
    </row>
    <row r="15" spans="1:12" ht="28.5" customHeight="1">
      <c r="A15" s="578">
        <v>1</v>
      </c>
      <c r="B15" s="644" t="s">
        <v>135</v>
      </c>
      <c r="C15" s="84" t="s">
        <v>16</v>
      </c>
      <c r="D15" s="109">
        <f>SUM(E15:J15)</f>
        <v>4715</v>
      </c>
      <c r="E15" s="110">
        <v>3000</v>
      </c>
      <c r="F15" s="111">
        <f>3000-1285</f>
        <v>1715</v>
      </c>
      <c r="G15" s="110"/>
      <c r="H15" s="110"/>
      <c r="I15" s="110"/>
      <c r="J15" s="110"/>
      <c r="K15" s="644" t="s">
        <v>31</v>
      </c>
      <c r="L15" s="15"/>
    </row>
    <row r="16" spans="1:14" ht="21" customHeight="1">
      <c r="A16" s="579"/>
      <c r="B16" s="645"/>
      <c r="C16" s="84" t="s">
        <v>648</v>
      </c>
      <c r="D16" s="109">
        <f>SUM(E16:J16)</f>
        <v>100</v>
      </c>
      <c r="E16" s="111"/>
      <c r="F16" s="110"/>
      <c r="G16" s="110"/>
      <c r="H16" s="110"/>
      <c r="I16" s="110"/>
      <c r="J16" s="110">
        <v>100</v>
      </c>
      <c r="K16" s="645"/>
      <c r="L16" s="15"/>
      <c r="N16" s="55">
        <v>441</v>
      </c>
    </row>
    <row r="17" spans="1:12" ht="23.25" customHeight="1">
      <c r="A17" s="85"/>
      <c r="B17" s="83" t="s">
        <v>5</v>
      </c>
      <c r="C17" s="112"/>
      <c r="D17" s="109">
        <f>D15+D16</f>
        <v>4815</v>
      </c>
      <c r="E17" s="109">
        <f aca="true" t="shared" si="0" ref="E17:J17">E15+E16</f>
        <v>3000</v>
      </c>
      <c r="F17" s="109">
        <f t="shared" si="0"/>
        <v>1715</v>
      </c>
      <c r="G17" s="109">
        <f t="shared" si="0"/>
        <v>0</v>
      </c>
      <c r="H17" s="109">
        <f t="shared" si="0"/>
        <v>0</v>
      </c>
      <c r="I17" s="109">
        <f t="shared" si="0"/>
        <v>0</v>
      </c>
      <c r="J17" s="109">
        <f t="shared" si="0"/>
        <v>100</v>
      </c>
      <c r="K17" s="113"/>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609" t="s">
        <v>18</v>
      </c>
      <c r="C23" s="609"/>
      <c r="D23" s="375"/>
      <c r="E23" s="22"/>
      <c r="F23" s="22"/>
      <c r="G23" s="16"/>
      <c r="H23" s="16"/>
      <c r="I23" s="16"/>
      <c r="J23" s="23"/>
      <c r="K23" s="23" t="s">
        <v>30</v>
      </c>
      <c r="L23" s="23"/>
    </row>
    <row r="24" spans="2:12" ht="13.5" customHeight="1">
      <c r="B24" s="375"/>
      <c r="C24" s="375"/>
      <c r="D24" s="375"/>
      <c r="E24" s="22"/>
      <c r="F24" s="22"/>
      <c r="G24" s="16"/>
      <c r="H24" s="16"/>
      <c r="I24" s="16"/>
      <c r="J24" s="23"/>
      <c r="K24" s="23"/>
      <c r="L24" s="23"/>
    </row>
    <row r="25" spans="2:11" ht="18.75">
      <c r="B25" s="587" t="s">
        <v>678</v>
      </c>
      <c r="C25" s="587"/>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1">
    <mergeCell ref="B23:C23"/>
    <mergeCell ref="B25:C25"/>
    <mergeCell ref="K12:K14"/>
    <mergeCell ref="E13:E14"/>
    <mergeCell ref="F13:F14"/>
    <mergeCell ref="G13:G14"/>
    <mergeCell ref="H13:H14"/>
    <mergeCell ref="D12:D14"/>
    <mergeCell ref="J1:K1"/>
    <mergeCell ref="J2:K2"/>
    <mergeCell ref="B10:K10"/>
    <mergeCell ref="D11:H11"/>
    <mergeCell ref="I13:I14"/>
    <mergeCell ref="C12:C14"/>
    <mergeCell ref="A15:A16"/>
    <mergeCell ref="B15:B16"/>
    <mergeCell ref="K15:K16"/>
    <mergeCell ref="A12:A14"/>
    <mergeCell ref="B12:B14"/>
    <mergeCell ref="E12:J12"/>
    <mergeCell ref="J13:J14"/>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I81"/>
  <sheetViews>
    <sheetView view="pageLayout" zoomScale="57" zoomScalePageLayoutView="57" workbookViewId="0" topLeftCell="A62">
      <selection activeCell="A2" sqref="A2:G78"/>
    </sheetView>
  </sheetViews>
  <sheetFormatPr defaultColWidth="9.140625" defaultRowHeight="12.75"/>
  <cols>
    <col min="1" max="1" width="63.8515625" style="14" customWidth="1"/>
    <col min="2" max="2" width="22.421875" style="14" customWidth="1"/>
    <col min="3" max="3" width="25.8515625" style="14" customWidth="1"/>
    <col min="4" max="4" width="23.28125" style="14" customWidth="1"/>
    <col min="5" max="5" width="19.140625" style="14" customWidth="1"/>
    <col min="6" max="6" width="17.7109375" style="14" customWidth="1"/>
    <col min="7" max="7" width="47.421875" style="14" customWidth="1"/>
    <col min="8" max="9" width="9.140625" style="14" hidden="1" customWidth="1"/>
    <col min="10" max="16384" width="9.140625" style="14" customWidth="1"/>
  </cols>
  <sheetData>
    <row r="1" spans="1:9" ht="18.75" hidden="1">
      <c r="A1" s="15"/>
      <c r="B1" s="15"/>
      <c r="C1" s="15"/>
      <c r="D1" s="15"/>
      <c r="E1" s="15"/>
      <c r="F1" s="582" t="s">
        <v>507</v>
      </c>
      <c r="G1" s="582"/>
      <c r="H1" s="13" t="s">
        <v>19</v>
      </c>
      <c r="I1" s="14">
        <f>I19+I20+I21</f>
        <v>0</v>
      </c>
    </row>
    <row r="2" spans="1:8" ht="18.75">
      <c r="A2" s="15"/>
      <c r="B2" s="15"/>
      <c r="C2" s="15"/>
      <c r="D2" s="15"/>
      <c r="E2" s="15"/>
      <c r="F2" s="582" t="s">
        <v>11</v>
      </c>
      <c r="G2" s="582"/>
      <c r="H2" s="12" t="s">
        <v>11</v>
      </c>
    </row>
    <row r="3" spans="1:8" ht="18.75">
      <c r="A3" s="15"/>
      <c r="B3" s="15"/>
      <c r="C3" s="15"/>
      <c r="D3" s="15"/>
      <c r="E3" s="15"/>
      <c r="F3" s="59" t="s">
        <v>649</v>
      </c>
      <c r="G3" s="59"/>
      <c r="H3" s="12"/>
    </row>
    <row r="4" spans="1:8" ht="18.75">
      <c r="A4" s="15"/>
      <c r="B4" s="15"/>
      <c r="C4" s="15"/>
      <c r="D4" s="15"/>
      <c r="E4" s="15"/>
      <c r="F4" s="59" t="s">
        <v>650</v>
      </c>
      <c r="G4" s="59"/>
      <c r="H4" s="12"/>
    </row>
    <row r="5" spans="1:8" ht="18.75">
      <c r="A5" s="15"/>
      <c r="B5" s="15"/>
      <c r="C5" s="15"/>
      <c r="D5" s="15"/>
      <c r="E5" s="15"/>
      <c r="F5" s="59" t="s">
        <v>154</v>
      </c>
      <c r="G5" s="59"/>
      <c r="H5" s="12" t="s">
        <v>20</v>
      </c>
    </row>
    <row r="6" spans="1:8" ht="18.75">
      <c r="A6" s="15"/>
      <c r="B6" s="15"/>
      <c r="C6" s="15"/>
      <c r="D6" s="15"/>
      <c r="E6" s="15"/>
      <c r="F6" s="59" t="s">
        <v>22</v>
      </c>
      <c r="G6" s="59"/>
      <c r="H6" s="12" t="s">
        <v>21</v>
      </c>
    </row>
    <row r="7" spans="1:8" ht="18.75">
      <c r="A7" s="15"/>
      <c r="B7" s="15"/>
      <c r="C7" s="15"/>
      <c r="D7" s="15"/>
      <c r="E7" s="15"/>
      <c r="F7" s="59" t="s">
        <v>38</v>
      </c>
      <c r="G7" s="59"/>
      <c r="H7" s="12" t="s">
        <v>23</v>
      </c>
    </row>
    <row r="8" spans="1:8" ht="18.75">
      <c r="A8" s="15"/>
      <c r="B8" s="15"/>
      <c r="C8" s="15"/>
      <c r="D8" s="15"/>
      <c r="E8" s="15"/>
      <c r="F8" s="59" t="s">
        <v>651</v>
      </c>
      <c r="G8" s="59"/>
      <c r="H8" s="12" t="s">
        <v>24</v>
      </c>
    </row>
    <row r="9" spans="1:8" ht="15.75" customHeight="1">
      <c r="A9" s="15"/>
      <c r="B9" s="15"/>
      <c r="C9" s="15"/>
      <c r="D9" s="15"/>
      <c r="E9" s="15"/>
      <c r="F9" s="15" t="s">
        <v>652</v>
      </c>
      <c r="G9" s="15"/>
      <c r="H9" s="15"/>
    </row>
    <row r="10" spans="1:8" ht="18" customHeight="1">
      <c r="A10" s="650" t="s">
        <v>488</v>
      </c>
      <c r="B10" s="650"/>
      <c r="C10" s="650"/>
      <c r="D10" s="650"/>
      <c r="E10" s="650"/>
      <c r="F10" s="650"/>
      <c r="G10" s="650"/>
      <c r="H10" s="15"/>
    </row>
    <row r="11" spans="1:8" ht="15.75" hidden="1">
      <c r="A11" s="15"/>
      <c r="B11" s="15"/>
      <c r="C11" s="589"/>
      <c r="D11" s="589"/>
      <c r="E11" s="589"/>
      <c r="F11" s="15"/>
      <c r="G11" s="15"/>
      <c r="H11" s="15"/>
    </row>
    <row r="12" spans="1:8" ht="15.75" customHeight="1">
      <c r="A12" s="583" t="s">
        <v>12</v>
      </c>
      <c r="B12" s="583" t="s">
        <v>13</v>
      </c>
      <c r="C12" s="583" t="s">
        <v>14</v>
      </c>
      <c r="D12" s="590" t="s">
        <v>9</v>
      </c>
      <c r="E12" s="590"/>
      <c r="F12" s="665"/>
      <c r="G12" s="588" t="s">
        <v>15</v>
      </c>
      <c r="H12" s="15"/>
    </row>
    <row r="13" spans="1:8" ht="15.75" customHeight="1">
      <c r="A13" s="584"/>
      <c r="B13" s="584"/>
      <c r="C13" s="584"/>
      <c r="D13" s="583">
        <v>2018</v>
      </c>
      <c r="E13" s="583">
        <v>2019</v>
      </c>
      <c r="F13" s="588">
        <v>2020</v>
      </c>
      <c r="G13" s="588"/>
      <c r="H13" s="15"/>
    </row>
    <row r="14" spans="1:8" ht="14.25" customHeight="1">
      <c r="A14" s="585"/>
      <c r="B14" s="585"/>
      <c r="C14" s="585"/>
      <c r="D14" s="585"/>
      <c r="E14" s="585"/>
      <c r="F14" s="588"/>
      <c r="G14" s="588"/>
      <c r="H14" s="15"/>
    </row>
    <row r="15" spans="1:8" ht="20.25" customHeight="1">
      <c r="A15" s="583" t="s">
        <v>312</v>
      </c>
      <c r="B15" s="84" t="s">
        <v>16</v>
      </c>
      <c r="C15" s="317">
        <f>SUM(D15:F16)</f>
        <v>181037.4</v>
      </c>
      <c r="D15" s="318">
        <v>89037.4</v>
      </c>
      <c r="E15" s="318">
        <v>92000</v>
      </c>
      <c r="F15" s="318">
        <f>95000-95000</f>
        <v>0</v>
      </c>
      <c r="G15" s="702" t="s">
        <v>31</v>
      </c>
      <c r="H15" s="15"/>
    </row>
    <row r="16" spans="1:8" ht="43.5" customHeight="1" hidden="1">
      <c r="A16" s="584"/>
      <c r="B16" s="84" t="s">
        <v>63</v>
      </c>
      <c r="C16" s="317">
        <f>SUM(D16:F17)</f>
        <v>95000</v>
      </c>
      <c r="D16" s="308"/>
      <c r="E16" s="309"/>
      <c r="F16" s="310"/>
      <c r="G16" s="704"/>
      <c r="H16" s="15"/>
    </row>
    <row r="17" spans="1:8" ht="22.5" customHeight="1">
      <c r="A17" s="584"/>
      <c r="B17" s="84" t="s">
        <v>648</v>
      </c>
      <c r="C17" s="317">
        <f>SUM(D17:F17)</f>
        <v>95000</v>
      </c>
      <c r="D17" s="308">
        <v>0</v>
      </c>
      <c r="E17" s="309">
        <v>0</v>
      </c>
      <c r="F17" s="486">
        <v>95000</v>
      </c>
      <c r="G17" s="704"/>
      <c r="H17" s="15"/>
    </row>
    <row r="18" spans="1:8" ht="24" customHeight="1">
      <c r="A18" s="584"/>
      <c r="B18" s="84" t="s">
        <v>78</v>
      </c>
      <c r="C18" s="317">
        <f aca="true" t="shared" si="0" ref="C18:C71">D18+E18+F18</f>
        <v>30</v>
      </c>
      <c r="D18" s="318">
        <f>D55</f>
        <v>30</v>
      </c>
      <c r="E18" s="309"/>
      <c r="F18" s="310"/>
      <c r="G18" s="704"/>
      <c r="H18" s="15"/>
    </row>
    <row r="19" spans="1:8" ht="24" customHeight="1">
      <c r="A19" s="585"/>
      <c r="B19" s="84" t="s">
        <v>63</v>
      </c>
      <c r="C19" s="319">
        <f t="shared" si="0"/>
        <v>5512.9220000000005</v>
      </c>
      <c r="D19" s="320">
        <f>D33+D36+D51+D53+D35</f>
        <v>5512.9220000000005</v>
      </c>
      <c r="E19" s="309"/>
      <c r="F19" s="311"/>
      <c r="G19" s="703"/>
      <c r="H19" s="15"/>
    </row>
    <row r="20" spans="1:8" ht="53.25" customHeight="1">
      <c r="A20" s="390" t="s">
        <v>288</v>
      </c>
      <c r="B20" s="66" t="s">
        <v>16</v>
      </c>
      <c r="C20" s="307">
        <f t="shared" si="0"/>
        <v>3979.4</v>
      </c>
      <c r="D20" s="308">
        <f>1200-946</f>
        <v>254</v>
      </c>
      <c r="E20" s="309">
        <v>3725.4</v>
      </c>
      <c r="F20" s="311"/>
      <c r="G20" s="398" t="s">
        <v>31</v>
      </c>
      <c r="H20" s="15"/>
    </row>
    <row r="21" spans="1:8" ht="24" customHeight="1">
      <c r="A21" s="700" t="s">
        <v>290</v>
      </c>
      <c r="B21" s="66" t="s">
        <v>16</v>
      </c>
      <c r="C21" s="307">
        <f t="shared" si="0"/>
        <v>5500</v>
      </c>
      <c r="D21" s="308">
        <v>2000</v>
      </c>
      <c r="E21" s="309">
        <v>3500</v>
      </c>
      <c r="F21" s="310">
        <v>0</v>
      </c>
      <c r="G21" s="702" t="s">
        <v>31</v>
      </c>
      <c r="H21" s="15"/>
    </row>
    <row r="22" spans="1:8" ht="28.5" customHeight="1">
      <c r="A22" s="701"/>
      <c r="B22" s="66" t="s">
        <v>648</v>
      </c>
      <c r="C22" s="307">
        <f>D22+E22+F22</f>
        <v>3000</v>
      </c>
      <c r="D22" s="308">
        <v>0</v>
      </c>
      <c r="E22" s="309">
        <v>0</v>
      </c>
      <c r="F22" s="310">
        <v>3000</v>
      </c>
      <c r="G22" s="703"/>
      <c r="H22" s="15"/>
    </row>
    <row r="23" spans="1:8" ht="84.75" customHeight="1">
      <c r="A23" s="390" t="s">
        <v>293</v>
      </c>
      <c r="B23" s="66" t="s">
        <v>16</v>
      </c>
      <c r="C23" s="307">
        <f t="shared" si="0"/>
        <v>250</v>
      </c>
      <c r="D23" s="308">
        <v>250</v>
      </c>
      <c r="E23" s="309"/>
      <c r="F23" s="311"/>
      <c r="G23" s="398" t="s">
        <v>31</v>
      </c>
      <c r="H23" s="15"/>
    </row>
    <row r="24" spans="1:8" ht="54.75" customHeight="1">
      <c r="A24" s="390" t="s">
        <v>295</v>
      </c>
      <c r="B24" s="66" t="s">
        <v>16</v>
      </c>
      <c r="C24" s="307">
        <f t="shared" si="0"/>
        <v>240</v>
      </c>
      <c r="D24" s="308">
        <v>240</v>
      </c>
      <c r="E24" s="309"/>
      <c r="F24" s="311"/>
      <c r="G24" s="398" t="s">
        <v>31</v>
      </c>
      <c r="H24" s="15"/>
    </row>
    <row r="25" spans="1:8" ht="75">
      <c r="A25" s="314" t="s">
        <v>297</v>
      </c>
      <c r="B25" s="321" t="s">
        <v>16</v>
      </c>
      <c r="C25" s="307">
        <f t="shared" si="0"/>
        <v>240</v>
      </c>
      <c r="D25" s="322">
        <v>240</v>
      </c>
      <c r="E25" s="323"/>
      <c r="F25" s="324"/>
      <c r="G25" s="396" t="s">
        <v>31</v>
      </c>
      <c r="H25" s="23"/>
    </row>
    <row r="26" spans="1:8" ht="18.75">
      <c r="A26" s="481"/>
      <c r="B26" s="480"/>
      <c r="C26" s="307"/>
      <c r="D26" s="322"/>
      <c r="E26" s="323"/>
      <c r="F26" s="324"/>
      <c r="G26" s="396"/>
      <c r="H26" s="23"/>
    </row>
    <row r="27" spans="1:8" ht="66.75" customHeight="1">
      <c r="A27" s="652" t="s">
        <v>298</v>
      </c>
      <c r="B27" s="305" t="s">
        <v>16</v>
      </c>
      <c r="C27" s="307">
        <f t="shared" si="0"/>
        <v>14920</v>
      </c>
      <c r="D27" s="312">
        <v>650</v>
      </c>
      <c r="E27" s="312">
        <v>14270</v>
      </c>
      <c r="F27" s="312"/>
      <c r="G27" s="707" t="s">
        <v>31</v>
      </c>
      <c r="H27" s="23"/>
    </row>
    <row r="28" spans="1:8" ht="66.75" customHeight="1">
      <c r="A28" s="653"/>
      <c r="B28" s="325" t="s">
        <v>648</v>
      </c>
      <c r="C28" s="307">
        <f t="shared" si="0"/>
        <v>1000</v>
      </c>
      <c r="D28" s="309"/>
      <c r="E28" s="309"/>
      <c r="F28" s="309">
        <v>1000</v>
      </c>
      <c r="G28" s="708"/>
      <c r="H28" s="23"/>
    </row>
    <row r="29" spans="1:8" ht="56.25">
      <c r="A29" s="315" t="s">
        <v>299</v>
      </c>
      <c r="B29" s="325" t="s">
        <v>16</v>
      </c>
      <c r="C29" s="307">
        <f t="shared" si="0"/>
        <v>1300</v>
      </c>
      <c r="D29" s="309">
        <v>1300</v>
      </c>
      <c r="E29" s="309"/>
      <c r="F29" s="313"/>
      <c r="G29" s="400" t="s">
        <v>31</v>
      </c>
      <c r="H29" s="23"/>
    </row>
    <row r="30" spans="1:7" ht="56.25">
      <c r="A30" s="272" t="s">
        <v>300</v>
      </c>
      <c r="B30" s="66" t="s">
        <v>16</v>
      </c>
      <c r="C30" s="307">
        <f t="shared" si="0"/>
        <v>2180</v>
      </c>
      <c r="D30" s="308">
        <f>1980-1780</f>
        <v>200</v>
      </c>
      <c r="E30" s="309">
        <v>1980</v>
      </c>
      <c r="F30" s="311"/>
      <c r="G30" s="398" t="s">
        <v>31</v>
      </c>
    </row>
    <row r="31" spans="1:9" ht="117" customHeight="1">
      <c r="A31" s="272" t="s">
        <v>301</v>
      </c>
      <c r="B31" s="66" t="s">
        <v>16</v>
      </c>
      <c r="C31" s="307">
        <f t="shared" si="0"/>
        <v>13570</v>
      </c>
      <c r="D31" s="395">
        <v>350</v>
      </c>
      <c r="E31" s="312">
        <v>12000</v>
      </c>
      <c r="F31" s="307">
        <v>1220</v>
      </c>
      <c r="G31" s="398" t="s">
        <v>31</v>
      </c>
      <c r="I31" s="12"/>
    </row>
    <row r="32" spans="1:7" ht="18.75">
      <c r="A32" s="705" t="s">
        <v>302</v>
      </c>
      <c r="B32" s="305" t="s">
        <v>16</v>
      </c>
      <c r="C32" s="307">
        <f t="shared" si="0"/>
        <v>426.74</v>
      </c>
      <c r="D32" s="309">
        <v>426.74</v>
      </c>
      <c r="E32" s="309"/>
      <c r="F32" s="309"/>
      <c r="G32" s="707" t="s">
        <v>31</v>
      </c>
    </row>
    <row r="33" spans="1:7" ht="114" customHeight="1">
      <c r="A33" s="706"/>
      <c r="B33" s="305" t="s">
        <v>63</v>
      </c>
      <c r="C33" s="307">
        <f t="shared" si="0"/>
        <v>1224.322</v>
      </c>
      <c r="D33" s="316">
        <v>1224.322</v>
      </c>
      <c r="E33" s="309"/>
      <c r="F33" s="309"/>
      <c r="G33" s="708"/>
    </row>
    <row r="34" spans="1:7" ht="18.75">
      <c r="A34" s="709" t="s">
        <v>303</v>
      </c>
      <c r="B34" s="305" t="s">
        <v>16</v>
      </c>
      <c r="C34" s="307">
        <f t="shared" si="0"/>
        <v>269</v>
      </c>
      <c r="D34" s="316">
        <v>269</v>
      </c>
      <c r="E34" s="309"/>
      <c r="F34" s="309"/>
      <c r="G34" s="702" t="s">
        <v>31</v>
      </c>
    </row>
    <row r="35" spans="1:7" ht="37.5">
      <c r="A35" s="710"/>
      <c r="B35" s="66" t="s">
        <v>63</v>
      </c>
      <c r="C35" s="307">
        <f t="shared" si="0"/>
        <v>2420</v>
      </c>
      <c r="D35" s="308">
        <v>2420</v>
      </c>
      <c r="E35" s="309"/>
      <c r="F35" s="310"/>
      <c r="G35" s="703"/>
    </row>
    <row r="36" spans="1:7" ht="56.25">
      <c r="A36" s="272" t="s">
        <v>304</v>
      </c>
      <c r="B36" s="305" t="s">
        <v>63</v>
      </c>
      <c r="C36" s="307">
        <f t="shared" si="0"/>
        <v>621.6</v>
      </c>
      <c r="D36" s="309">
        <v>621.6</v>
      </c>
      <c r="E36" s="309"/>
      <c r="F36" s="309"/>
      <c r="G36" s="399" t="s">
        <v>31</v>
      </c>
    </row>
    <row r="37" spans="1:7" ht="62.25" customHeight="1">
      <c r="A37" s="272" t="s">
        <v>305</v>
      </c>
      <c r="B37" s="66" t="s">
        <v>16</v>
      </c>
      <c r="C37" s="307">
        <f t="shared" si="0"/>
        <v>20</v>
      </c>
      <c r="D37" s="309">
        <v>20</v>
      </c>
      <c r="E37" s="309"/>
      <c r="F37" s="311"/>
      <c r="G37" s="398" t="s">
        <v>31</v>
      </c>
    </row>
    <row r="38" spans="1:7" ht="51" customHeight="1">
      <c r="A38" s="652" t="s">
        <v>306</v>
      </c>
      <c r="B38" s="238" t="s">
        <v>16</v>
      </c>
      <c r="C38" s="307">
        <f t="shared" si="0"/>
        <v>5250</v>
      </c>
      <c r="D38" s="308">
        <f>500+500</f>
        <v>1000</v>
      </c>
      <c r="E38" s="308">
        <v>3750</v>
      </c>
      <c r="F38" s="308">
        <v>500</v>
      </c>
      <c r="G38" s="401" t="s">
        <v>31</v>
      </c>
    </row>
    <row r="39" spans="1:7" ht="18.75" customHeight="1">
      <c r="A39" s="653"/>
      <c r="B39" s="304" t="s">
        <v>78</v>
      </c>
      <c r="C39" s="307"/>
      <c r="D39" s="308"/>
      <c r="E39" s="308"/>
      <c r="F39" s="308"/>
      <c r="G39" s="401"/>
    </row>
    <row r="40" spans="1:7" ht="103.5" customHeight="1">
      <c r="A40" s="272" t="s">
        <v>307</v>
      </c>
      <c r="B40" s="304" t="s">
        <v>16</v>
      </c>
      <c r="C40" s="307">
        <f t="shared" si="0"/>
        <v>1150</v>
      </c>
      <c r="D40" s="309">
        <v>700</v>
      </c>
      <c r="E40" s="309">
        <v>450</v>
      </c>
      <c r="F40" s="310"/>
      <c r="G40" s="398" t="s">
        <v>31</v>
      </c>
    </row>
    <row r="41" spans="1:7" ht="56.25">
      <c r="A41" s="314" t="s">
        <v>308</v>
      </c>
      <c r="B41" s="326" t="s">
        <v>16</v>
      </c>
      <c r="C41" s="307">
        <f t="shared" si="0"/>
        <v>295</v>
      </c>
      <c r="D41" s="322">
        <v>295</v>
      </c>
      <c r="E41" s="322"/>
      <c r="F41" s="322"/>
      <c r="G41" s="402" t="s">
        <v>31</v>
      </c>
    </row>
    <row r="42" spans="1:7" ht="42" customHeight="1">
      <c r="A42" s="239" t="s">
        <v>309</v>
      </c>
      <c r="B42" s="66" t="s">
        <v>16</v>
      </c>
      <c r="C42" s="307">
        <f t="shared" si="0"/>
        <v>1785</v>
      </c>
      <c r="D42" s="312">
        <f>1000-665</f>
        <v>335</v>
      </c>
      <c r="E42" s="312">
        <f>0+1450</f>
        <v>1450</v>
      </c>
      <c r="F42" s="307"/>
      <c r="G42" s="398" t="s">
        <v>31</v>
      </c>
    </row>
    <row r="43" spans="1:7" ht="40.5" customHeight="1">
      <c r="A43" s="315" t="s">
        <v>310</v>
      </c>
      <c r="B43" s="327" t="s">
        <v>16</v>
      </c>
      <c r="C43" s="307">
        <f t="shared" si="0"/>
        <v>3000</v>
      </c>
      <c r="D43" s="309">
        <v>3000</v>
      </c>
      <c r="E43" s="309"/>
      <c r="F43" s="310"/>
      <c r="G43" s="397" t="s">
        <v>31</v>
      </c>
    </row>
    <row r="44" spans="1:7" ht="33" customHeight="1">
      <c r="A44" s="272" t="s">
        <v>311</v>
      </c>
      <c r="B44" s="304" t="s">
        <v>16</v>
      </c>
      <c r="C44" s="307">
        <f t="shared" si="0"/>
        <v>376.8</v>
      </c>
      <c r="D44" s="309">
        <v>376.8</v>
      </c>
      <c r="E44" s="309"/>
      <c r="F44" s="310"/>
      <c r="G44" s="398" t="s">
        <v>31</v>
      </c>
    </row>
    <row r="45" spans="1:7" ht="56.25">
      <c r="A45" s="235" t="s">
        <v>313</v>
      </c>
      <c r="B45" s="304" t="s">
        <v>16</v>
      </c>
      <c r="C45" s="307">
        <f t="shared" si="0"/>
        <v>350</v>
      </c>
      <c r="D45" s="312">
        <v>350</v>
      </c>
      <c r="E45" s="312"/>
      <c r="F45" s="478"/>
      <c r="G45" s="398" t="s">
        <v>31</v>
      </c>
    </row>
    <row r="46" spans="1:7" ht="56.25">
      <c r="A46" s="235" t="s">
        <v>314</v>
      </c>
      <c r="B46" s="304" t="s">
        <v>16</v>
      </c>
      <c r="C46" s="307">
        <f t="shared" si="0"/>
        <v>250</v>
      </c>
      <c r="D46" s="312">
        <v>250</v>
      </c>
      <c r="E46" s="312"/>
      <c r="F46" s="307"/>
      <c r="G46" s="398" t="s">
        <v>31</v>
      </c>
    </row>
    <row r="47" spans="1:7" ht="76.5" customHeight="1">
      <c r="A47" s="235" t="s">
        <v>403</v>
      </c>
      <c r="B47" s="304" t="s">
        <v>16</v>
      </c>
      <c r="C47" s="307">
        <f t="shared" si="0"/>
        <v>2744</v>
      </c>
      <c r="D47" s="312">
        <f>1194</f>
        <v>1194</v>
      </c>
      <c r="E47" s="312">
        <f>1550</f>
        <v>1550</v>
      </c>
      <c r="F47" s="307"/>
      <c r="G47" s="398" t="s">
        <v>31</v>
      </c>
    </row>
    <row r="48" spans="1:7" ht="75">
      <c r="A48" s="235" t="s">
        <v>336</v>
      </c>
      <c r="B48" s="304" t="s">
        <v>16</v>
      </c>
      <c r="C48" s="307">
        <f t="shared" si="0"/>
        <v>1497</v>
      </c>
      <c r="D48" s="309">
        <v>1497</v>
      </c>
      <c r="E48" s="309"/>
      <c r="F48" s="310"/>
      <c r="G48" s="398" t="s">
        <v>31</v>
      </c>
    </row>
    <row r="49" spans="1:7" ht="56.25">
      <c r="A49" s="235" t="s">
        <v>315</v>
      </c>
      <c r="B49" s="304" t="s">
        <v>16</v>
      </c>
      <c r="C49" s="307">
        <f t="shared" si="0"/>
        <v>1200</v>
      </c>
      <c r="D49" s="309">
        <f>200+1000</f>
        <v>1200</v>
      </c>
      <c r="E49" s="309"/>
      <c r="F49" s="311"/>
      <c r="G49" s="398" t="s">
        <v>31</v>
      </c>
    </row>
    <row r="50" spans="1:7" ht="49.5">
      <c r="A50" s="235" t="s">
        <v>316</v>
      </c>
      <c r="B50" s="304" t="s">
        <v>16</v>
      </c>
      <c r="C50" s="307">
        <f t="shared" si="0"/>
        <v>3690</v>
      </c>
      <c r="D50" s="309">
        <v>250</v>
      </c>
      <c r="E50" s="309">
        <f>3640-200</f>
        <v>3440</v>
      </c>
      <c r="F50" s="310"/>
      <c r="G50" s="398" t="s">
        <v>31</v>
      </c>
    </row>
    <row r="51" spans="1:7" ht="54" customHeight="1">
      <c r="A51" s="652" t="s">
        <v>337</v>
      </c>
      <c r="B51" s="304" t="s">
        <v>63</v>
      </c>
      <c r="C51" s="307">
        <f t="shared" si="0"/>
        <v>950</v>
      </c>
      <c r="D51" s="309">
        <v>950</v>
      </c>
      <c r="E51" s="309"/>
      <c r="F51" s="310"/>
      <c r="G51" s="702" t="s">
        <v>31</v>
      </c>
    </row>
    <row r="52" spans="1:7" ht="18.75">
      <c r="A52" s="653"/>
      <c r="B52" s="304" t="s">
        <v>16</v>
      </c>
      <c r="C52" s="307">
        <f t="shared" si="0"/>
        <v>28.5</v>
      </c>
      <c r="D52" s="309">
        <v>28.5</v>
      </c>
      <c r="E52" s="309"/>
      <c r="F52" s="310"/>
      <c r="G52" s="703"/>
    </row>
    <row r="53" spans="1:7" ht="33.75" customHeight="1">
      <c r="A53" s="652" t="s">
        <v>338</v>
      </c>
      <c r="B53" s="304" t="s">
        <v>63</v>
      </c>
      <c r="C53" s="307">
        <f t="shared" si="0"/>
        <v>297</v>
      </c>
      <c r="D53" s="309">
        <v>297</v>
      </c>
      <c r="E53" s="309"/>
      <c r="F53" s="310"/>
      <c r="G53" s="702" t="s">
        <v>31</v>
      </c>
    </row>
    <row r="54" spans="1:7" ht="18.75">
      <c r="A54" s="653"/>
      <c r="B54" s="304" t="s">
        <v>16</v>
      </c>
      <c r="C54" s="307">
        <f t="shared" si="0"/>
        <v>8.9</v>
      </c>
      <c r="D54" s="309">
        <v>8.9</v>
      </c>
      <c r="E54" s="309"/>
      <c r="F54" s="310"/>
      <c r="G54" s="703"/>
    </row>
    <row r="55" spans="1:7" ht="49.5">
      <c r="A55" s="235" t="s">
        <v>339</v>
      </c>
      <c r="B55" s="304" t="s">
        <v>78</v>
      </c>
      <c r="C55" s="307">
        <f t="shared" si="0"/>
        <v>30</v>
      </c>
      <c r="D55" s="309">
        <v>30</v>
      </c>
      <c r="E55" s="309"/>
      <c r="F55" s="310"/>
      <c r="G55" s="398" t="s">
        <v>31</v>
      </c>
    </row>
    <row r="56" spans="1:7" ht="36" customHeight="1">
      <c r="A56" s="388" t="s">
        <v>385</v>
      </c>
      <c r="B56" s="304" t="s">
        <v>16</v>
      </c>
      <c r="C56" s="307">
        <f t="shared" si="0"/>
        <v>400</v>
      </c>
      <c r="D56" s="309"/>
      <c r="E56" s="309">
        <v>400</v>
      </c>
      <c r="F56" s="310"/>
      <c r="G56" s="398" t="s">
        <v>31</v>
      </c>
    </row>
    <row r="57" spans="1:7" ht="49.5" customHeight="1">
      <c r="A57" s="389" t="s">
        <v>386</v>
      </c>
      <c r="B57" s="304" t="s">
        <v>16</v>
      </c>
      <c r="C57" s="307">
        <f t="shared" si="0"/>
        <v>250</v>
      </c>
      <c r="D57" s="309"/>
      <c r="E57" s="309">
        <v>250</v>
      </c>
      <c r="F57" s="310"/>
      <c r="G57" s="398" t="s">
        <v>31</v>
      </c>
    </row>
    <row r="58" spans="1:7" ht="49.5">
      <c r="A58" s="235" t="s">
        <v>384</v>
      </c>
      <c r="B58" s="304" t="s">
        <v>16</v>
      </c>
      <c r="C58" s="307">
        <f t="shared" si="0"/>
        <v>1000</v>
      </c>
      <c r="D58" s="309"/>
      <c r="E58" s="309">
        <v>1000</v>
      </c>
      <c r="F58" s="310"/>
      <c r="G58" s="398" t="s">
        <v>31</v>
      </c>
    </row>
    <row r="59" spans="1:7" ht="88.5" customHeight="1">
      <c r="A59" s="447" t="s">
        <v>520</v>
      </c>
      <c r="B59" s="238" t="s">
        <v>16</v>
      </c>
      <c r="C59" s="307">
        <f t="shared" si="0"/>
        <v>0</v>
      </c>
      <c r="D59" s="309"/>
      <c r="E59" s="309">
        <f>0+200-200</f>
        <v>0</v>
      </c>
      <c r="F59" s="310"/>
      <c r="G59" s="398" t="s">
        <v>31</v>
      </c>
    </row>
    <row r="60" spans="1:7" ht="54" customHeight="1">
      <c r="A60" s="447" t="s">
        <v>530</v>
      </c>
      <c r="B60" s="304" t="s">
        <v>16</v>
      </c>
      <c r="C60" s="307">
        <f t="shared" si="0"/>
        <v>2116.5</v>
      </c>
      <c r="D60" s="309"/>
      <c r="E60" s="309">
        <f>0+316.5</f>
        <v>316.5</v>
      </c>
      <c r="F60" s="310">
        <v>1800</v>
      </c>
      <c r="G60" s="398" t="s">
        <v>31</v>
      </c>
    </row>
    <row r="61" spans="1:7" ht="51.75" customHeight="1">
      <c r="A61" s="477" t="s">
        <v>536</v>
      </c>
      <c r="B61" s="304" t="s">
        <v>16</v>
      </c>
      <c r="C61" s="307">
        <f t="shared" si="0"/>
        <v>50</v>
      </c>
      <c r="D61" s="309"/>
      <c r="E61" s="309">
        <f>0+50</f>
        <v>50</v>
      </c>
      <c r="F61" s="310"/>
      <c r="G61" s="398" t="s">
        <v>31</v>
      </c>
    </row>
    <row r="62" spans="1:7" ht="48" customHeight="1">
      <c r="A62" s="477" t="s">
        <v>551</v>
      </c>
      <c r="B62" s="304" t="s">
        <v>16</v>
      </c>
      <c r="C62" s="307">
        <f t="shared" si="0"/>
        <v>750</v>
      </c>
      <c r="D62" s="309"/>
      <c r="E62" s="309"/>
      <c r="F62" s="310">
        <v>750</v>
      </c>
      <c r="G62" s="398" t="s">
        <v>31</v>
      </c>
    </row>
    <row r="63" spans="1:7" ht="48" customHeight="1">
      <c r="A63" s="477" t="s">
        <v>552</v>
      </c>
      <c r="B63" s="304" t="s">
        <v>16</v>
      </c>
      <c r="C63" s="307">
        <f t="shared" si="0"/>
        <v>240</v>
      </c>
      <c r="D63" s="309"/>
      <c r="E63" s="309"/>
      <c r="F63" s="310">
        <v>240</v>
      </c>
      <c r="G63" s="398" t="s">
        <v>31</v>
      </c>
    </row>
    <row r="64" spans="1:7" ht="43.5" customHeight="1">
      <c r="A64" s="477" t="s">
        <v>553</v>
      </c>
      <c r="B64" s="304" t="s">
        <v>16</v>
      </c>
      <c r="C64" s="307">
        <f t="shared" si="0"/>
        <v>1200</v>
      </c>
      <c r="D64" s="309"/>
      <c r="E64" s="309"/>
      <c r="F64" s="310">
        <v>1200</v>
      </c>
      <c r="G64" s="398" t="s">
        <v>31</v>
      </c>
    </row>
    <row r="65" spans="1:7" ht="66.75" customHeight="1">
      <c r="A65" s="477" t="s">
        <v>554</v>
      </c>
      <c r="B65" s="304" t="s">
        <v>16</v>
      </c>
      <c r="C65" s="307">
        <f t="shared" si="0"/>
        <v>0</v>
      </c>
      <c r="D65" s="309"/>
      <c r="E65" s="309"/>
      <c r="F65" s="311"/>
      <c r="G65" s="398" t="s">
        <v>31</v>
      </c>
    </row>
    <row r="66" spans="1:7" ht="51" customHeight="1">
      <c r="A66" s="477" t="s">
        <v>555</v>
      </c>
      <c r="B66" s="304" t="s">
        <v>16</v>
      </c>
      <c r="C66" s="307">
        <f t="shared" si="0"/>
        <v>1950</v>
      </c>
      <c r="D66" s="309"/>
      <c r="E66" s="309"/>
      <c r="F66" s="310">
        <v>1950</v>
      </c>
      <c r="G66" s="398" t="s">
        <v>31</v>
      </c>
    </row>
    <row r="67" spans="1:7" ht="45.75" customHeight="1">
      <c r="A67" s="477" t="s">
        <v>556</v>
      </c>
      <c r="B67" s="304" t="s">
        <v>16</v>
      </c>
      <c r="C67" s="307">
        <f t="shared" si="0"/>
        <v>0</v>
      </c>
      <c r="D67" s="309"/>
      <c r="E67" s="309"/>
      <c r="F67" s="311"/>
      <c r="G67" s="398" t="s">
        <v>31</v>
      </c>
    </row>
    <row r="68" spans="1:7" ht="33.75" customHeight="1">
      <c r="A68" s="477" t="s">
        <v>557</v>
      </c>
      <c r="B68" s="304" t="s">
        <v>16</v>
      </c>
      <c r="C68" s="307">
        <f t="shared" si="0"/>
        <v>9700</v>
      </c>
      <c r="D68" s="309"/>
      <c r="E68" s="309"/>
      <c r="F68" s="310">
        <v>9700</v>
      </c>
      <c r="G68" s="398" t="s">
        <v>31</v>
      </c>
    </row>
    <row r="69" spans="1:7" ht="56.25" customHeight="1">
      <c r="A69" s="477" t="s">
        <v>558</v>
      </c>
      <c r="B69" s="304" t="s">
        <v>16</v>
      </c>
      <c r="C69" s="307">
        <f t="shared" si="0"/>
        <v>72</v>
      </c>
      <c r="D69" s="309"/>
      <c r="E69" s="309"/>
      <c r="F69" s="310">
        <v>72</v>
      </c>
      <c r="G69" s="398" t="s">
        <v>31</v>
      </c>
    </row>
    <row r="70" spans="1:7" ht="28.5" customHeight="1">
      <c r="A70" s="477" t="s">
        <v>639</v>
      </c>
      <c r="B70" s="304" t="s">
        <v>16</v>
      </c>
      <c r="C70" s="307">
        <f t="shared" si="0"/>
        <v>250</v>
      </c>
      <c r="D70" s="309"/>
      <c r="E70" s="309"/>
      <c r="F70" s="310">
        <v>250</v>
      </c>
      <c r="G70" s="398" t="s">
        <v>31</v>
      </c>
    </row>
    <row r="71" spans="1:7" ht="30" customHeight="1">
      <c r="A71" s="477" t="s">
        <v>640</v>
      </c>
      <c r="B71" s="304" t="s">
        <v>16</v>
      </c>
      <c r="C71" s="307">
        <f t="shared" si="0"/>
        <v>300</v>
      </c>
      <c r="D71" s="309"/>
      <c r="E71" s="309"/>
      <c r="F71" s="310">
        <v>300</v>
      </c>
      <c r="G71" s="398" t="s">
        <v>31</v>
      </c>
    </row>
    <row r="72" spans="1:7" ht="18.75">
      <c r="A72" s="60" t="s">
        <v>5</v>
      </c>
      <c r="B72" s="71"/>
      <c r="C72" s="366">
        <f>C15+C19+C18</f>
        <v>186580.322</v>
      </c>
      <c r="D72" s="366">
        <f>D15+D19+D18</f>
        <v>94580.322</v>
      </c>
      <c r="E72" s="366">
        <f>E15+E19+E18</f>
        <v>92000</v>
      </c>
      <c r="F72" s="366">
        <f>F15+F19+F18</f>
        <v>0</v>
      </c>
      <c r="G72" s="403"/>
    </row>
    <row r="73" spans="1:7" ht="16.5">
      <c r="A73" s="18"/>
      <c r="B73" s="18"/>
      <c r="C73" s="90"/>
      <c r="D73" s="19"/>
      <c r="E73" s="19"/>
      <c r="F73" s="19"/>
      <c r="G73" s="404"/>
    </row>
    <row r="74" spans="1:7" ht="18.75">
      <c r="A74" s="52"/>
      <c r="B74" s="53"/>
      <c r="D74" s="19"/>
      <c r="E74" s="19"/>
      <c r="F74" s="19"/>
      <c r="G74" s="405"/>
    </row>
    <row r="75" spans="1:7" ht="23.25" customHeight="1">
      <c r="A75" s="375" t="s">
        <v>622</v>
      </c>
      <c r="B75" s="375"/>
      <c r="C75" s="375"/>
      <c r="D75" s="22"/>
      <c r="E75" s="22"/>
      <c r="F75" s="23"/>
      <c r="G75" s="23" t="s">
        <v>30</v>
      </c>
    </row>
    <row r="76" spans="1:7" ht="18.75">
      <c r="A76" s="21"/>
      <c r="B76" s="21"/>
      <c r="C76" s="21"/>
      <c r="D76" s="22"/>
      <c r="E76" s="22"/>
      <c r="F76" s="23"/>
      <c r="G76" s="24"/>
    </row>
    <row r="77" spans="1:7" ht="18.75">
      <c r="A77" s="587" t="s">
        <v>540</v>
      </c>
      <c r="B77" s="587"/>
      <c r="C77" s="25"/>
      <c r="D77" s="26"/>
      <c r="E77" s="26"/>
      <c r="F77" s="15"/>
      <c r="G77" s="15"/>
    </row>
    <row r="78" spans="1:7" ht="15.75">
      <c r="A78" s="17" t="s">
        <v>10</v>
      </c>
      <c r="B78" s="17"/>
      <c r="C78" s="26"/>
      <c r="D78" s="26"/>
      <c r="E78" s="26"/>
      <c r="F78" s="15"/>
      <c r="G78" s="15"/>
    </row>
    <row r="79" spans="1:7" ht="15.75">
      <c r="A79" s="28"/>
      <c r="B79" s="29"/>
      <c r="C79" s="30"/>
      <c r="D79" s="26"/>
      <c r="E79" s="26"/>
      <c r="F79" s="15"/>
      <c r="G79" s="15"/>
    </row>
    <row r="80" spans="2:6" ht="15.75">
      <c r="B80" s="30"/>
      <c r="C80" s="26"/>
      <c r="D80" s="26"/>
      <c r="E80" s="26"/>
      <c r="F80" s="26"/>
    </row>
    <row r="81" spans="2:6" ht="15.75">
      <c r="B81" s="31"/>
      <c r="C81" s="26"/>
      <c r="D81" s="26"/>
      <c r="E81" s="26"/>
      <c r="F81" s="26"/>
    </row>
  </sheetData>
  <sheetProtection/>
  <mergeCells count="28">
    <mergeCell ref="G53:G54"/>
    <mergeCell ref="A51:A52"/>
    <mergeCell ref="G51:G52"/>
    <mergeCell ref="A12:A14"/>
    <mergeCell ref="E13:E14"/>
    <mergeCell ref="F13:F14"/>
    <mergeCell ref="A53:A54"/>
    <mergeCell ref="A34:A35"/>
    <mergeCell ref="B12:B14"/>
    <mergeCell ref="A38:A39"/>
    <mergeCell ref="A15:A19"/>
    <mergeCell ref="G34:G35"/>
    <mergeCell ref="G15:G19"/>
    <mergeCell ref="A32:A33"/>
    <mergeCell ref="G32:G33"/>
    <mergeCell ref="G21:G22"/>
    <mergeCell ref="A27:A28"/>
    <mergeCell ref="G27:G28"/>
    <mergeCell ref="A77:B77"/>
    <mergeCell ref="F1:G1"/>
    <mergeCell ref="F2:G2"/>
    <mergeCell ref="A10:G10"/>
    <mergeCell ref="C11:E11"/>
    <mergeCell ref="C12:C14"/>
    <mergeCell ref="D12:F12"/>
    <mergeCell ref="D13:D14"/>
    <mergeCell ref="G12:G14"/>
    <mergeCell ref="A21:A22"/>
  </mergeCells>
  <printOptions horizontalCentered="1"/>
  <pageMargins left="0" right="0" top="1.1811023622047245" bottom="0.7874015748031497" header="0" footer="0"/>
  <pageSetup fitToHeight="0" fitToWidth="1" horizontalDpi="600" verticalDpi="600" orientation="landscape" paperSize="9" scale="67" r:id="rId1"/>
  <headerFooter scaleWithDoc="0" alignWithMargins="0">
    <oddHeader>&amp;C&amp;N&amp;P</oddHead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G84"/>
  <sheetViews>
    <sheetView zoomScalePageLayoutView="0" workbookViewId="0" topLeftCell="A65">
      <selection activeCell="A1" sqref="A1:G80"/>
    </sheetView>
  </sheetViews>
  <sheetFormatPr defaultColWidth="9.140625" defaultRowHeight="12.75"/>
  <cols>
    <col min="1" max="1" width="56.28125" style="0" customWidth="1"/>
    <col min="2" max="2" width="29.57421875" style="0" customWidth="1"/>
    <col min="3" max="3" width="19.00390625" style="0" customWidth="1"/>
    <col min="4" max="4" width="15.8515625" style="0" customWidth="1"/>
    <col min="5" max="5" width="15.7109375" style="0" customWidth="1"/>
    <col min="6" max="6" width="18.140625" style="0" customWidth="1"/>
    <col min="7" max="7" width="39.7109375" style="0" customWidth="1"/>
  </cols>
  <sheetData>
    <row r="1" ht="18.75">
      <c r="F1" s="411" t="s">
        <v>507</v>
      </c>
    </row>
    <row r="2" spans="1:7" ht="18.75">
      <c r="A2" s="15"/>
      <c r="B2" s="15"/>
      <c r="C2" s="15"/>
      <c r="D2" s="15"/>
      <c r="E2" s="15"/>
      <c r="F2" s="582" t="s">
        <v>11</v>
      </c>
      <c r="G2" s="582"/>
    </row>
    <row r="3" spans="1:7" ht="18.75">
      <c r="A3" s="15"/>
      <c r="B3" s="15"/>
      <c r="C3" s="15"/>
      <c r="D3" s="15"/>
      <c r="E3" s="15"/>
      <c r="F3" s="59" t="s">
        <v>322</v>
      </c>
      <c r="G3" s="59"/>
    </row>
    <row r="4" spans="1:7" ht="18.75">
      <c r="A4" s="15"/>
      <c r="B4" s="15"/>
      <c r="C4" s="15"/>
      <c r="D4" s="15"/>
      <c r="E4" s="15"/>
      <c r="F4" s="59" t="s">
        <v>681</v>
      </c>
      <c r="G4" s="59"/>
    </row>
    <row r="5" spans="1:7" ht="18.75">
      <c r="A5" s="15"/>
      <c r="B5" s="15"/>
      <c r="C5" s="15"/>
      <c r="D5" s="15"/>
      <c r="E5" s="15"/>
      <c r="F5" s="59" t="s">
        <v>705</v>
      </c>
      <c r="G5" s="59"/>
    </row>
    <row r="6" spans="1:7" ht="18.75">
      <c r="A6" s="15"/>
      <c r="B6" s="15"/>
      <c r="C6" s="15"/>
      <c r="D6" s="15"/>
      <c r="E6" s="15"/>
      <c r="F6" s="59" t="s">
        <v>683</v>
      </c>
      <c r="G6" s="59"/>
    </row>
    <row r="7" spans="1:7" ht="18.75">
      <c r="A7" s="15"/>
      <c r="B7" s="15"/>
      <c r="C7" s="15"/>
      <c r="D7" s="15"/>
      <c r="E7" s="15"/>
      <c r="F7" s="59" t="s">
        <v>684</v>
      </c>
      <c r="G7" s="59"/>
    </row>
    <row r="8" spans="1:7" ht="18.75">
      <c r="A8" s="15"/>
      <c r="B8" s="15"/>
      <c r="C8" s="15"/>
      <c r="D8" s="15"/>
      <c r="E8" s="15"/>
      <c r="F8" s="59" t="s">
        <v>685</v>
      </c>
      <c r="G8" s="59"/>
    </row>
    <row r="9" spans="1:7" ht="17.25" customHeight="1">
      <c r="A9" s="15"/>
      <c r="B9" s="15"/>
      <c r="C9" s="15"/>
      <c r="D9" s="15"/>
      <c r="E9" s="15"/>
      <c r="F9" s="359" t="s">
        <v>711</v>
      </c>
      <c r="G9" s="15"/>
    </row>
    <row r="10" spans="1:7" ht="18.75">
      <c r="A10" s="650" t="s">
        <v>488</v>
      </c>
      <c r="B10" s="650"/>
      <c r="C10" s="650"/>
      <c r="D10" s="650"/>
      <c r="E10" s="650"/>
      <c r="F10" s="650"/>
      <c r="G10" s="650"/>
    </row>
    <row r="11" spans="1:7" ht="4.5" customHeight="1">
      <c r="A11" s="15"/>
      <c r="B11" s="15"/>
      <c r="C11" s="589"/>
      <c r="D11" s="589"/>
      <c r="E11" s="589"/>
      <c r="F11" s="15"/>
      <c r="G11" s="15"/>
    </row>
    <row r="12" spans="1:7" ht="15.75">
      <c r="A12" s="639" t="s">
        <v>12</v>
      </c>
      <c r="B12" s="639" t="s">
        <v>13</v>
      </c>
      <c r="C12" s="639" t="s">
        <v>14</v>
      </c>
      <c r="D12" s="646" t="s">
        <v>9</v>
      </c>
      <c r="E12" s="646"/>
      <c r="F12" s="647"/>
      <c r="G12" s="642" t="s">
        <v>15</v>
      </c>
    </row>
    <row r="13" spans="1:7" ht="12.75">
      <c r="A13" s="640"/>
      <c r="B13" s="640"/>
      <c r="C13" s="640"/>
      <c r="D13" s="639">
        <v>2018</v>
      </c>
      <c r="E13" s="639">
        <v>2019</v>
      </c>
      <c r="F13" s="642">
        <v>2020</v>
      </c>
      <c r="G13" s="642"/>
    </row>
    <row r="14" spans="1:7" ht="6" customHeight="1">
      <c r="A14" s="641"/>
      <c r="B14" s="641"/>
      <c r="C14" s="641"/>
      <c r="D14" s="641"/>
      <c r="E14" s="641"/>
      <c r="F14" s="642"/>
      <c r="G14" s="642"/>
    </row>
    <row r="15" spans="1:7" ht="17.25" customHeight="1">
      <c r="A15" s="583" t="s">
        <v>312</v>
      </c>
      <c r="B15" s="84" t="s">
        <v>16</v>
      </c>
      <c r="C15" s="317">
        <f>SUM(D15:F15)</f>
        <v>181037.4</v>
      </c>
      <c r="D15" s="318">
        <v>89037.4</v>
      </c>
      <c r="E15" s="318">
        <v>92000</v>
      </c>
      <c r="F15" s="318">
        <f>95000-95000</f>
        <v>0</v>
      </c>
      <c r="G15" s="644" t="s">
        <v>31</v>
      </c>
    </row>
    <row r="16" spans="1:7" ht="14.25" customHeight="1">
      <c r="A16" s="584"/>
      <c r="B16" s="84" t="s">
        <v>648</v>
      </c>
      <c r="C16" s="317">
        <f>SUM(D16:F16)</f>
        <v>95000</v>
      </c>
      <c r="D16" s="308">
        <v>0</v>
      </c>
      <c r="E16" s="309">
        <v>0</v>
      </c>
      <c r="F16" s="486">
        <v>95000</v>
      </c>
      <c r="G16" s="687"/>
    </row>
    <row r="17" spans="1:7" ht="14.25" customHeight="1">
      <c r="A17" s="584"/>
      <c r="B17" s="84" t="s">
        <v>78</v>
      </c>
      <c r="C17" s="317">
        <f>D17+E17+F17</f>
        <v>30</v>
      </c>
      <c r="D17" s="318">
        <f>D38+D54</f>
        <v>30</v>
      </c>
      <c r="E17" s="309"/>
      <c r="F17" s="310"/>
      <c r="G17" s="687"/>
    </row>
    <row r="18" spans="1:7" ht="18" customHeight="1">
      <c r="A18" s="585"/>
      <c r="B18" s="84" t="s">
        <v>63</v>
      </c>
      <c r="C18" s="319">
        <f>D18+E18+F18</f>
        <v>5512.9220000000005</v>
      </c>
      <c r="D18" s="320">
        <f>D34+D50+D52+D35+D32</f>
        <v>5512.9220000000005</v>
      </c>
      <c r="E18" s="309"/>
      <c r="F18" s="311"/>
      <c r="G18" s="645"/>
    </row>
    <row r="19" spans="1:7" ht="44.25" customHeight="1">
      <c r="A19" s="390" t="s">
        <v>288</v>
      </c>
      <c r="B19" s="490" t="s">
        <v>16</v>
      </c>
      <c r="C19" s="491">
        <f>D19+E19+F19</f>
        <v>3979.4</v>
      </c>
      <c r="D19" s="492">
        <f>1200-946</f>
        <v>254</v>
      </c>
      <c r="E19" s="493">
        <v>3725.4</v>
      </c>
      <c r="F19" s="494"/>
      <c r="G19" s="84" t="s">
        <v>31</v>
      </c>
    </row>
    <row r="20" spans="1:7" ht="16.5">
      <c r="A20" s="700" t="s">
        <v>290</v>
      </c>
      <c r="B20" s="490" t="s">
        <v>16</v>
      </c>
      <c r="C20" s="491">
        <f>D20+E20+F20</f>
        <v>5500</v>
      </c>
      <c r="D20" s="492">
        <v>2000</v>
      </c>
      <c r="E20" s="493">
        <v>3500</v>
      </c>
      <c r="F20" s="495">
        <v>0</v>
      </c>
      <c r="G20" s="644" t="s">
        <v>31</v>
      </c>
    </row>
    <row r="21" spans="1:7" ht="22.5" customHeight="1">
      <c r="A21" s="701"/>
      <c r="B21" s="490" t="s">
        <v>648</v>
      </c>
      <c r="C21" s="491">
        <f>D21+E21+F21</f>
        <v>3000</v>
      </c>
      <c r="D21" s="492">
        <v>0</v>
      </c>
      <c r="E21" s="493">
        <v>0</v>
      </c>
      <c r="F21" s="495">
        <v>3000</v>
      </c>
      <c r="G21" s="645"/>
    </row>
    <row r="22" spans="1:7" ht="82.5">
      <c r="A22" s="390" t="s">
        <v>293</v>
      </c>
      <c r="B22" s="490" t="s">
        <v>16</v>
      </c>
      <c r="C22" s="491">
        <f aca="true" t="shared" si="0" ref="C22:C73">D22+E22+F22</f>
        <v>250</v>
      </c>
      <c r="D22" s="492">
        <v>250</v>
      </c>
      <c r="E22" s="493"/>
      <c r="F22" s="494"/>
      <c r="G22" s="84" t="s">
        <v>31</v>
      </c>
    </row>
    <row r="23" spans="1:7" ht="48" customHeight="1">
      <c r="A23" s="390" t="s">
        <v>295</v>
      </c>
      <c r="B23" s="490" t="s">
        <v>16</v>
      </c>
      <c r="C23" s="491">
        <f t="shared" si="0"/>
        <v>240</v>
      </c>
      <c r="D23" s="492">
        <v>240</v>
      </c>
      <c r="E23" s="493"/>
      <c r="F23" s="494"/>
      <c r="G23" s="84" t="s">
        <v>31</v>
      </c>
    </row>
    <row r="24" spans="1:7" ht="66">
      <c r="A24" s="489" t="s">
        <v>297</v>
      </c>
      <c r="B24" s="496" t="s">
        <v>16</v>
      </c>
      <c r="C24" s="491">
        <f t="shared" si="0"/>
        <v>240</v>
      </c>
      <c r="D24" s="497">
        <v>240</v>
      </c>
      <c r="E24" s="498"/>
      <c r="F24" s="499"/>
      <c r="G24" s="483" t="s">
        <v>31</v>
      </c>
    </row>
    <row r="25" spans="1:7" ht="19.5" customHeight="1">
      <c r="A25" s="713" t="s">
        <v>298</v>
      </c>
      <c r="B25" s="500" t="s">
        <v>16</v>
      </c>
      <c r="C25" s="491">
        <f t="shared" si="0"/>
        <v>14920</v>
      </c>
      <c r="D25" s="501">
        <v>650</v>
      </c>
      <c r="E25" s="501">
        <v>14270</v>
      </c>
      <c r="F25" s="501"/>
      <c r="G25" s="648" t="s">
        <v>31</v>
      </c>
    </row>
    <row r="26" spans="1:7" ht="30.75" customHeight="1">
      <c r="A26" s="714"/>
      <c r="B26" s="502" t="s">
        <v>648</v>
      </c>
      <c r="C26" s="491">
        <f t="shared" si="0"/>
        <v>1000</v>
      </c>
      <c r="D26" s="493"/>
      <c r="E26" s="493"/>
      <c r="F26" s="493">
        <v>1000</v>
      </c>
      <c r="G26" s="649"/>
    </row>
    <row r="27" spans="1:7" ht="49.5">
      <c r="A27" s="503" t="s">
        <v>299</v>
      </c>
      <c r="B27" s="502" t="s">
        <v>16</v>
      </c>
      <c r="C27" s="491">
        <f t="shared" si="0"/>
        <v>1300</v>
      </c>
      <c r="D27" s="493">
        <v>1300</v>
      </c>
      <c r="E27" s="493"/>
      <c r="F27" s="504"/>
      <c r="G27" s="487" t="s">
        <v>31</v>
      </c>
    </row>
    <row r="28" spans="1:7" ht="49.5">
      <c r="A28" s="390" t="s">
        <v>300</v>
      </c>
      <c r="B28" s="490" t="s">
        <v>16</v>
      </c>
      <c r="C28" s="491">
        <f t="shared" si="0"/>
        <v>2180</v>
      </c>
      <c r="D28" s="492">
        <f>1980-1780</f>
        <v>200</v>
      </c>
      <c r="E28" s="493">
        <v>1980</v>
      </c>
      <c r="F28" s="494"/>
      <c r="G28" s="84" t="s">
        <v>31</v>
      </c>
    </row>
    <row r="29" spans="1:7" ht="50.25" customHeight="1">
      <c r="A29" s="719" t="s">
        <v>667</v>
      </c>
      <c r="B29" s="490" t="s">
        <v>16</v>
      </c>
      <c r="C29" s="491">
        <f t="shared" si="0"/>
        <v>12350</v>
      </c>
      <c r="D29" s="505">
        <v>350</v>
      </c>
      <c r="E29" s="501">
        <v>12000</v>
      </c>
      <c r="F29" s="491"/>
      <c r="G29" s="644" t="s">
        <v>31</v>
      </c>
    </row>
    <row r="30" spans="1:7" ht="28.5" customHeight="1">
      <c r="A30" s="720"/>
      <c r="B30" s="490" t="s">
        <v>648</v>
      </c>
      <c r="C30" s="491">
        <f t="shared" si="0"/>
        <v>1220</v>
      </c>
      <c r="D30" s="492"/>
      <c r="E30" s="493"/>
      <c r="F30" s="495">
        <v>1220</v>
      </c>
      <c r="G30" s="645"/>
    </row>
    <row r="31" spans="1:7" ht="31.5" customHeight="1">
      <c r="A31" s="711" t="s">
        <v>302</v>
      </c>
      <c r="B31" s="500" t="s">
        <v>16</v>
      </c>
      <c r="C31" s="491">
        <f t="shared" si="0"/>
        <v>426.74</v>
      </c>
      <c r="D31" s="493">
        <v>426.74</v>
      </c>
      <c r="E31" s="493"/>
      <c r="F31" s="493"/>
      <c r="G31" s="648" t="s">
        <v>31</v>
      </c>
    </row>
    <row r="32" spans="1:7" ht="47.25" customHeight="1">
      <c r="A32" s="712"/>
      <c r="B32" s="500" t="s">
        <v>63</v>
      </c>
      <c r="C32" s="491">
        <f t="shared" si="0"/>
        <v>1224.322</v>
      </c>
      <c r="D32" s="506">
        <v>1224.322</v>
      </c>
      <c r="E32" s="493"/>
      <c r="F32" s="493"/>
      <c r="G32" s="649"/>
    </row>
    <row r="33" spans="1:7" ht="24.75" customHeight="1">
      <c r="A33" s="713" t="s">
        <v>303</v>
      </c>
      <c r="B33" s="500" t="s">
        <v>16</v>
      </c>
      <c r="C33" s="491">
        <f t="shared" si="0"/>
        <v>269</v>
      </c>
      <c r="D33" s="506">
        <v>269</v>
      </c>
      <c r="E33" s="493"/>
      <c r="F33" s="493"/>
      <c r="G33" s="644" t="s">
        <v>31</v>
      </c>
    </row>
    <row r="34" spans="1:7" ht="24" customHeight="1">
      <c r="A34" s="714"/>
      <c r="B34" s="490" t="s">
        <v>63</v>
      </c>
      <c r="C34" s="491">
        <f t="shared" si="0"/>
        <v>2420</v>
      </c>
      <c r="D34" s="492">
        <v>2420</v>
      </c>
      <c r="E34" s="493"/>
      <c r="F34" s="495"/>
      <c r="G34" s="645"/>
    </row>
    <row r="35" spans="1:7" ht="49.5">
      <c r="A35" s="390" t="s">
        <v>304</v>
      </c>
      <c r="B35" s="500" t="s">
        <v>63</v>
      </c>
      <c r="C35" s="491">
        <f t="shared" si="0"/>
        <v>621.6</v>
      </c>
      <c r="D35" s="493">
        <v>621.6</v>
      </c>
      <c r="E35" s="493"/>
      <c r="F35" s="493"/>
      <c r="G35" s="488" t="s">
        <v>31</v>
      </c>
    </row>
    <row r="36" spans="1:7" ht="49.5">
      <c r="A36" s="390" t="s">
        <v>305</v>
      </c>
      <c r="B36" s="490" t="s">
        <v>16</v>
      </c>
      <c r="C36" s="491">
        <f t="shared" si="0"/>
        <v>20</v>
      </c>
      <c r="D36" s="493">
        <v>20</v>
      </c>
      <c r="E36" s="493"/>
      <c r="F36" s="494"/>
      <c r="G36" s="84" t="s">
        <v>31</v>
      </c>
    </row>
    <row r="37" spans="1:7" ht="20.25" customHeight="1">
      <c r="A37" s="700" t="s">
        <v>306</v>
      </c>
      <c r="B37" s="507" t="s">
        <v>16</v>
      </c>
      <c r="C37" s="491">
        <f t="shared" si="0"/>
        <v>4750</v>
      </c>
      <c r="D37" s="492">
        <f>500+500</f>
        <v>1000</v>
      </c>
      <c r="E37" s="492">
        <v>3750</v>
      </c>
      <c r="F37" s="492"/>
      <c r="G37" s="550" t="s">
        <v>31</v>
      </c>
    </row>
    <row r="38" spans="1:7" ht="19.5" customHeight="1">
      <c r="A38" s="701"/>
      <c r="B38" s="508" t="s">
        <v>648</v>
      </c>
      <c r="C38" s="491">
        <f t="shared" si="0"/>
        <v>500</v>
      </c>
      <c r="D38" s="492"/>
      <c r="E38" s="492"/>
      <c r="F38" s="492">
        <v>500</v>
      </c>
      <c r="G38" s="552"/>
    </row>
    <row r="39" spans="1:7" ht="82.5">
      <c r="A39" s="390" t="s">
        <v>307</v>
      </c>
      <c r="B39" s="508" t="s">
        <v>16</v>
      </c>
      <c r="C39" s="491">
        <f t="shared" si="0"/>
        <v>1150</v>
      </c>
      <c r="D39" s="493">
        <v>700</v>
      </c>
      <c r="E39" s="493">
        <v>450</v>
      </c>
      <c r="F39" s="495"/>
      <c r="G39" s="84" t="s">
        <v>31</v>
      </c>
    </row>
    <row r="40" spans="1:7" ht="47.25" customHeight="1">
      <c r="A40" s="489" t="s">
        <v>308</v>
      </c>
      <c r="B40" s="509" t="s">
        <v>16</v>
      </c>
      <c r="C40" s="491">
        <f t="shared" si="0"/>
        <v>295</v>
      </c>
      <c r="D40" s="497">
        <v>295</v>
      </c>
      <c r="E40" s="497"/>
      <c r="F40" s="497"/>
      <c r="G40" s="482" t="s">
        <v>31</v>
      </c>
    </row>
    <row r="41" spans="1:7" ht="45.75" customHeight="1">
      <c r="A41" s="510" t="s">
        <v>309</v>
      </c>
      <c r="B41" s="490" t="s">
        <v>16</v>
      </c>
      <c r="C41" s="491">
        <f t="shared" si="0"/>
        <v>2550.6</v>
      </c>
      <c r="D41" s="501">
        <f>1000-665</f>
        <v>335</v>
      </c>
      <c r="E41" s="501">
        <f>0+1450</f>
        <v>1450</v>
      </c>
      <c r="F41" s="491">
        <v>765.6</v>
      </c>
      <c r="G41" s="84" t="s">
        <v>31</v>
      </c>
    </row>
    <row r="42" spans="1:7" ht="48" customHeight="1">
      <c r="A42" s="503" t="s">
        <v>310</v>
      </c>
      <c r="B42" s="511" t="s">
        <v>16</v>
      </c>
      <c r="C42" s="491">
        <f t="shared" si="0"/>
        <v>3000</v>
      </c>
      <c r="D42" s="493">
        <v>3000</v>
      </c>
      <c r="E42" s="493"/>
      <c r="F42" s="495"/>
      <c r="G42" s="484" t="s">
        <v>31</v>
      </c>
    </row>
    <row r="43" spans="1:7" ht="47.25">
      <c r="A43" s="390" t="s">
        <v>311</v>
      </c>
      <c r="B43" s="508" t="s">
        <v>16</v>
      </c>
      <c r="C43" s="491">
        <f t="shared" si="0"/>
        <v>376.8</v>
      </c>
      <c r="D43" s="493">
        <v>376.8</v>
      </c>
      <c r="E43" s="493"/>
      <c r="F43" s="495"/>
      <c r="G43" s="84" t="s">
        <v>31</v>
      </c>
    </row>
    <row r="44" spans="1:7" ht="49.5">
      <c r="A44" s="512" t="s">
        <v>313</v>
      </c>
      <c r="B44" s="508" t="s">
        <v>16</v>
      </c>
      <c r="C44" s="491">
        <f t="shared" si="0"/>
        <v>350</v>
      </c>
      <c r="D44" s="501">
        <v>350</v>
      </c>
      <c r="E44" s="501"/>
      <c r="F44" s="513"/>
      <c r="G44" s="84" t="s">
        <v>31</v>
      </c>
    </row>
    <row r="45" spans="1:7" ht="49.5">
      <c r="A45" s="512" t="s">
        <v>314</v>
      </c>
      <c r="B45" s="508" t="s">
        <v>16</v>
      </c>
      <c r="C45" s="491">
        <f t="shared" si="0"/>
        <v>250</v>
      </c>
      <c r="D45" s="501">
        <v>250</v>
      </c>
      <c r="E45" s="501"/>
      <c r="F45" s="491"/>
      <c r="G45" s="84" t="s">
        <v>31</v>
      </c>
    </row>
    <row r="46" spans="1:7" ht="47.25" customHeight="1">
      <c r="A46" s="512" t="s">
        <v>403</v>
      </c>
      <c r="B46" s="508" t="s">
        <v>16</v>
      </c>
      <c r="C46" s="491">
        <f t="shared" si="0"/>
        <v>2744</v>
      </c>
      <c r="D46" s="501">
        <f>1194</f>
        <v>1194</v>
      </c>
      <c r="E46" s="501">
        <f>1550</f>
        <v>1550</v>
      </c>
      <c r="F46" s="491"/>
      <c r="G46" s="84" t="s">
        <v>31</v>
      </c>
    </row>
    <row r="47" spans="1:7" ht="61.5" customHeight="1">
      <c r="A47" s="512" t="s">
        <v>336</v>
      </c>
      <c r="B47" s="508" t="s">
        <v>16</v>
      </c>
      <c r="C47" s="491">
        <f t="shared" si="0"/>
        <v>1497</v>
      </c>
      <c r="D47" s="493">
        <v>1497</v>
      </c>
      <c r="E47" s="493"/>
      <c r="F47" s="495"/>
      <c r="G47" s="84" t="s">
        <v>31</v>
      </c>
    </row>
    <row r="48" spans="1:7" ht="49.5" customHeight="1">
      <c r="A48" s="512" t="s">
        <v>315</v>
      </c>
      <c r="B48" s="508" t="s">
        <v>16</v>
      </c>
      <c r="C48" s="491">
        <f t="shared" si="0"/>
        <v>1200</v>
      </c>
      <c r="D48" s="493">
        <f>200+1000</f>
        <v>1200</v>
      </c>
      <c r="E48" s="493"/>
      <c r="F48" s="495"/>
      <c r="G48" s="84" t="s">
        <v>31</v>
      </c>
    </row>
    <row r="49" spans="1:7" ht="43.5" customHeight="1">
      <c r="A49" s="512" t="s">
        <v>316</v>
      </c>
      <c r="B49" s="508" t="s">
        <v>16</v>
      </c>
      <c r="C49" s="491">
        <f t="shared" si="0"/>
        <v>3690</v>
      </c>
      <c r="D49" s="493">
        <v>250</v>
      </c>
      <c r="E49" s="493">
        <f>3640-200</f>
        <v>3440</v>
      </c>
      <c r="F49" s="495"/>
      <c r="G49" s="84" t="s">
        <v>31</v>
      </c>
    </row>
    <row r="50" spans="1:7" ht="24.75" customHeight="1">
      <c r="A50" s="700" t="s">
        <v>337</v>
      </c>
      <c r="B50" s="508" t="s">
        <v>63</v>
      </c>
      <c r="C50" s="491">
        <f t="shared" si="0"/>
        <v>950</v>
      </c>
      <c r="D50" s="493">
        <v>950</v>
      </c>
      <c r="E50" s="493"/>
      <c r="F50" s="495"/>
      <c r="G50" s="644" t="s">
        <v>31</v>
      </c>
    </row>
    <row r="51" spans="1:7" ht="22.5" customHeight="1">
      <c r="A51" s="701"/>
      <c r="B51" s="508" t="s">
        <v>16</v>
      </c>
      <c r="C51" s="491">
        <f t="shared" si="0"/>
        <v>28.5</v>
      </c>
      <c r="D51" s="493">
        <v>28.5</v>
      </c>
      <c r="E51" s="493"/>
      <c r="F51" s="495"/>
      <c r="G51" s="645"/>
    </row>
    <row r="52" spans="1:7" ht="24.75" customHeight="1">
      <c r="A52" s="700" t="s">
        <v>338</v>
      </c>
      <c r="B52" s="508" t="s">
        <v>63</v>
      </c>
      <c r="C52" s="491">
        <f t="shared" si="0"/>
        <v>297</v>
      </c>
      <c r="D52" s="493">
        <v>297</v>
      </c>
      <c r="E52" s="493"/>
      <c r="F52" s="495"/>
      <c r="G52" s="644" t="s">
        <v>31</v>
      </c>
    </row>
    <row r="53" spans="1:7" ht="16.5">
      <c r="A53" s="701"/>
      <c r="B53" s="508" t="s">
        <v>16</v>
      </c>
      <c r="C53" s="491">
        <f t="shared" si="0"/>
        <v>8.9</v>
      </c>
      <c r="D53" s="493">
        <v>8.9</v>
      </c>
      <c r="E53" s="493"/>
      <c r="F53" s="495"/>
      <c r="G53" s="645"/>
    </row>
    <row r="54" spans="1:7" ht="47.25">
      <c r="A54" s="512" t="s">
        <v>339</v>
      </c>
      <c r="B54" s="508" t="s">
        <v>78</v>
      </c>
      <c r="C54" s="491">
        <f t="shared" si="0"/>
        <v>30</v>
      </c>
      <c r="D54" s="493">
        <v>30</v>
      </c>
      <c r="E54" s="493"/>
      <c r="F54" s="495"/>
      <c r="G54" s="84" t="s">
        <v>31</v>
      </c>
    </row>
    <row r="55" spans="1:7" ht="47.25">
      <c r="A55" s="390" t="s">
        <v>385</v>
      </c>
      <c r="B55" s="508" t="s">
        <v>16</v>
      </c>
      <c r="C55" s="491">
        <f t="shared" si="0"/>
        <v>400</v>
      </c>
      <c r="D55" s="493"/>
      <c r="E55" s="493">
        <v>400</v>
      </c>
      <c r="F55" s="495"/>
      <c r="G55" s="84" t="s">
        <v>31</v>
      </c>
    </row>
    <row r="56" spans="1:7" ht="66.75" customHeight="1">
      <c r="A56" s="510" t="s">
        <v>386</v>
      </c>
      <c r="B56" s="508" t="s">
        <v>16</v>
      </c>
      <c r="C56" s="491">
        <f t="shared" si="0"/>
        <v>250</v>
      </c>
      <c r="D56" s="493"/>
      <c r="E56" s="493">
        <v>250</v>
      </c>
      <c r="F56" s="495"/>
      <c r="G56" s="84" t="s">
        <v>31</v>
      </c>
    </row>
    <row r="57" spans="1:7" ht="45" customHeight="1">
      <c r="A57" s="512" t="s">
        <v>384</v>
      </c>
      <c r="B57" s="508" t="s">
        <v>16</v>
      </c>
      <c r="C57" s="491">
        <f t="shared" si="0"/>
        <v>1000</v>
      </c>
      <c r="D57" s="493"/>
      <c r="E57" s="493">
        <v>1000</v>
      </c>
      <c r="F57" s="495"/>
      <c r="G57" s="84" t="s">
        <v>31</v>
      </c>
    </row>
    <row r="58" spans="1:7" ht="30.75" customHeight="1">
      <c r="A58" s="715" t="s">
        <v>677</v>
      </c>
      <c r="B58" s="508" t="s">
        <v>16</v>
      </c>
      <c r="C58" s="491">
        <f t="shared" si="0"/>
        <v>316.5</v>
      </c>
      <c r="D58" s="493"/>
      <c r="E58" s="493">
        <f>0+316.5</f>
        <v>316.5</v>
      </c>
      <c r="F58" s="495"/>
      <c r="G58" s="644" t="s">
        <v>31</v>
      </c>
    </row>
    <row r="59" spans="1:7" ht="16.5">
      <c r="A59" s="716"/>
      <c r="B59" s="508" t="s">
        <v>648</v>
      </c>
      <c r="C59" s="491">
        <f t="shared" si="0"/>
        <v>2900</v>
      </c>
      <c r="D59" s="493"/>
      <c r="E59" s="493"/>
      <c r="F59" s="495">
        <f>1800+1100</f>
        <v>2900</v>
      </c>
      <c r="G59" s="645"/>
    </row>
    <row r="60" spans="1:7" ht="49.5">
      <c r="A60" s="514" t="s">
        <v>536</v>
      </c>
      <c r="B60" s="508" t="s">
        <v>16</v>
      </c>
      <c r="C60" s="491">
        <f t="shared" si="0"/>
        <v>535.4</v>
      </c>
      <c r="D60" s="493"/>
      <c r="E60" s="493">
        <f>0+50</f>
        <v>50</v>
      </c>
      <c r="F60" s="495">
        <v>485.4</v>
      </c>
      <c r="G60" s="84" t="s">
        <v>31</v>
      </c>
    </row>
    <row r="61" spans="1:7" ht="30" customHeight="1">
      <c r="A61" s="717" t="s">
        <v>660</v>
      </c>
      <c r="B61" s="508" t="s">
        <v>16</v>
      </c>
      <c r="C61" s="491">
        <f t="shared" si="0"/>
        <v>0</v>
      </c>
      <c r="D61" s="493"/>
      <c r="E61" s="493"/>
      <c r="F61" s="495"/>
      <c r="G61" s="644" t="s">
        <v>31</v>
      </c>
    </row>
    <row r="62" spans="1:7" ht="32.25" customHeight="1">
      <c r="A62" s="718"/>
      <c r="B62" s="508" t="s">
        <v>648</v>
      </c>
      <c r="C62" s="491">
        <f t="shared" si="0"/>
        <v>750</v>
      </c>
      <c r="D62" s="493"/>
      <c r="E62" s="493"/>
      <c r="F62" s="495">
        <v>750</v>
      </c>
      <c r="G62" s="645"/>
    </row>
    <row r="63" spans="1:7" ht="24.75" customHeight="1">
      <c r="A63" s="721" t="s">
        <v>552</v>
      </c>
      <c r="B63" s="508" t="s">
        <v>16</v>
      </c>
      <c r="C63" s="491">
        <f t="shared" si="0"/>
        <v>0</v>
      </c>
      <c r="D63" s="493"/>
      <c r="E63" s="493"/>
      <c r="F63" s="495"/>
      <c r="G63" s="644" t="s">
        <v>31</v>
      </c>
    </row>
    <row r="64" spans="1:7" ht="23.25" customHeight="1">
      <c r="A64" s="722"/>
      <c r="B64" s="508" t="s">
        <v>648</v>
      </c>
      <c r="C64" s="491">
        <f t="shared" si="0"/>
        <v>240</v>
      </c>
      <c r="D64" s="493"/>
      <c r="E64" s="493"/>
      <c r="F64" s="495">
        <v>240</v>
      </c>
      <c r="G64" s="645"/>
    </row>
    <row r="65" spans="1:7" ht="21.75" customHeight="1">
      <c r="A65" s="721" t="s">
        <v>553</v>
      </c>
      <c r="B65" s="508" t="s">
        <v>16</v>
      </c>
      <c r="C65" s="491">
        <f t="shared" si="0"/>
        <v>0</v>
      </c>
      <c r="D65" s="493"/>
      <c r="E65" s="493"/>
      <c r="F65" s="495"/>
      <c r="G65" s="644" t="s">
        <v>31</v>
      </c>
    </row>
    <row r="66" spans="1:7" ht="24.75" customHeight="1">
      <c r="A66" s="722"/>
      <c r="B66" s="508" t="s">
        <v>648</v>
      </c>
      <c r="C66" s="491">
        <f t="shared" si="0"/>
        <v>0</v>
      </c>
      <c r="D66" s="493"/>
      <c r="E66" s="493"/>
      <c r="F66" s="495">
        <f>1200-1200</f>
        <v>0</v>
      </c>
      <c r="G66" s="645"/>
    </row>
    <row r="67" spans="1:7" ht="47.25">
      <c r="A67" s="514" t="s">
        <v>555</v>
      </c>
      <c r="B67" s="508" t="s">
        <v>648</v>
      </c>
      <c r="C67" s="491">
        <f t="shared" si="0"/>
        <v>890</v>
      </c>
      <c r="D67" s="493"/>
      <c r="E67" s="493"/>
      <c r="F67" s="495">
        <f>1950-1060</f>
        <v>890</v>
      </c>
      <c r="G67" s="84" t="s">
        <v>31</v>
      </c>
    </row>
    <row r="68" spans="1:7" ht="47.25">
      <c r="A68" s="514" t="s">
        <v>557</v>
      </c>
      <c r="B68" s="508" t="s">
        <v>648</v>
      </c>
      <c r="C68" s="491">
        <f t="shared" si="0"/>
        <v>9700</v>
      </c>
      <c r="D68" s="493"/>
      <c r="E68" s="493"/>
      <c r="F68" s="495">
        <v>9700</v>
      </c>
      <c r="G68" s="84" t="s">
        <v>31</v>
      </c>
    </row>
    <row r="69" spans="1:7" ht="49.5">
      <c r="A69" s="514" t="s">
        <v>666</v>
      </c>
      <c r="B69" s="508" t="s">
        <v>648</v>
      </c>
      <c r="C69" s="491">
        <f t="shared" si="0"/>
        <v>72</v>
      </c>
      <c r="D69" s="493"/>
      <c r="E69" s="493"/>
      <c r="F69" s="495">
        <v>72</v>
      </c>
      <c r="G69" s="84" t="s">
        <v>31</v>
      </c>
    </row>
    <row r="70" spans="1:7" ht="47.25">
      <c r="A70" s="514" t="s">
        <v>639</v>
      </c>
      <c r="B70" s="508" t="s">
        <v>648</v>
      </c>
      <c r="C70" s="491">
        <f t="shared" si="0"/>
        <v>290</v>
      </c>
      <c r="D70" s="493"/>
      <c r="E70" s="493"/>
      <c r="F70" s="495">
        <f>250+40</f>
        <v>290</v>
      </c>
      <c r="G70" s="84" t="s">
        <v>31</v>
      </c>
    </row>
    <row r="71" spans="1:7" ht="47.25">
      <c r="A71" s="514" t="s">
        <v>640</v>
      </c>
      <c r="B71" s="508" t="s">
        <v>648</v>
      </c>
      <c r="C71" s="491">
        <f t="shared" si="0"/>
        <v>470</v>
      </c>
      <c r="D71" s="493"/>
      <c r="E71" s="493"/>
      <c r="F71" s="495">
        <f>300+170</f>
        <v>470</v>
      </c>
      <c r="G71" s="84" t="s">
        <v>31</v>
      </c>
    </row>
    <row r="72" spans="1:7" ht="42.75" customHeight="1">
      <c r="A72" s="514" t="s">
        <v>668</v>
      </c>
      <c r="B72" s="508" t="s">
        <v>648</v>
      </c>
      <c r="C72" s="491">
        <f t="shared" si="0"/>
        <v>799</v>
      </c>
      <c r="D72" s="493"/>
      <c r="E72" s="493"/>
      <c r="F72" s="495">
        <v>799</v>
      </c>
      <c r="G72" s="84" t="s">
        <v>31</v>
      </c>
    </row>
    <row r="73" spans="1:7" ht="48.75" customHeight="1">
      <c r="A73" s="514" t="s">
        <v>675</v>
      </c>
      <c r="B73" s="508" t="s">
        <v>648</v>
      </c>
      <c r="C73" s="491">
        <f t="shared" si="0"/>
        <v>350</v>
      </c>
      <c r="D73" s="493"/>
      <c r="E73" s="493"/>
      <c r="F73" s="495">
        <v>350</v>
      </c>
      <c r="G73" s="84" t="s">
        <v>31</v>
      </c>
    </row>
    <row r="74" spans="1:7" ht="18.75">
      <c r="A74" s="60" t="s">
        <v>5</v>
      </c>
      <c r="B74" s="71"/>
      <c r="C74" s="366">
        <f>C15+C16+C17+C18</f>
        <v>281580.32200000004</v>
      </c>
      <c r="D74" s="366">
        <f>D15+D16+D17+D18</f>
        <v>94580.322</v>
      </c>
      <c r="E74" s="366">
        <f>E15+E16+E17+E18</f>
        <v>92000</v>
      </c>
      <c r="F74" s="366">
        <f>F15+F16+F17+F18</f>
        <v>95000</v>
      </c>
      <c r="G74" s="113"/>
    </row>
    <row r="75" spans="1:7" ht="16.5">
      <c r="A75" s="18"/>
      <c r="B75" s="18"/>
      <c r="C75" s="90"/>
      <c r="D75" s="19"/>
      <c r="E75" s="19"/>
      <c r="F75" s="19"/>
      <c r="G75" s="404"/>
    </row>
    <row r="76" spans="1:7" ht="18.75">
      <c r="A76" s="52"/>
      <c r="B76" s="53"/>
      <c r="C76" s="14"/>
      <c r="D76" s="19"/>
      <c r="E76" s="19"/>
      <c r="F76" s="19"/>
      <c r="G76" s="405"/>
    </row>
    <row r="77" spans="1:7" ht="18.75">
      <c r="A77" s="375" t="s">
        <v>622</v>
      </c>
      <c r="B77" s="375"/>
      <c r="C77" s="375"/>
      <c r="D77" s="22"/>
      <c r="E77" s="22"/>
      <c r="F77" s="23"/>
      <c r="G77" s="23" t="s">
        <v>30</v>
      </c>
    </row>
    <row r="78" spans="1:7" ht="18.75">
      <c r="A78" s="21"/>
      <c r="B78" s="21"/>
      <c r="C78" s="21"/>
      <c r="D78" s="22"/>
      <c r="E78" s="22"/>
      <c r="F78" s="23"/>
      <c r="G78" s="24"/>
    </row>
    <row r="79" spans="1:7" ht="18.75">
      <c r="A79" s="587" t="s">
        <v>678</v>
      </c>
      <c r="B79" s="587"/>
      <c r="C79" s="25"/>
      <c r="D79" s="26"/>
      <c r="E79" s="26"/>
      <c r="F79" s="15"/>
      <c r="G79" s="15"/>
    </row>
    <row r="80" spans="1:7" ht="15.75">
      <c r="A80" s="17" t="s">
        <v>10</v>
      </c>
      <c r="B80" s="17"/>
      <c r="C80" s="26"/>
      <c r="D80" s="26"/>
      <c r="E80" s="26"/>
      <c r="F80" s="15"/>
      <c r="G80" s="15"/>
    </row>
    <row r="81" spans="1:7" ht="15.75">
      <c r="A81" s="28"/>
      <c r="B81" s="29"/>
      <c r="C81" s="30"/>
      <c r="D81" s="26"/>
      <c r="E81" s="26"/>
      <c r="F81" s="15"/>
      <c r="G81" s="15"/>
    </row>
    <row r="82" spans="1:7" ht="15.75">
      <c r="A82" s="14"/>
      <c r="B82" s="30"/>
      <c r="C82" s="26"/>
      <c r="D82" s="26"/>
      <c r="E82" s="26"/>
      <c r="F82" s="26"/>
      <c r="G82" s="14"/>
    </row>
    <row r="83" spans="1:7" ht="15.75">
      <c r="A83" s="14"/>
      <c r="B83" s="31"/>
      <c r="C83" s="26"/>
      <c r="D83" s="26"/>
      <c r="E83" s="26"/>
      <c r="F83" s="26"/>
      <c r="G83" s="14"/>
    </row>
    <row r="84" spans="1:7" ht="12.75">
      <c r="A84" s="14"/>
      <c r="B84" s="14"/>
      <c r="C84" s="14"/>
      <c r="D84" s="14"/>
      <c r="E84" s="14"/>
      <c r="F84" s="14"/>
      <c r="G84" s="14"/>
    </row>
  </sheetData>
  <sheetProtection/>
  <mergeCells count="38">
    <mergeCell ref="A63:A64"/>
    <mergeCell ref="G63:G64"/>
    <mergeCell ref="A65:A66"/>
    <mergeCell ref="G65:G66"/>
    <mergeCell ref="C12:C14"/>
    <mergeCell ref="D12:F12"/>
    <mergeCell ref="G12:G14"/>
    <mergeCell ref="D13:D14"/>
    <mergeCell ref="E13:E14"/>
    <mergeCell ref="G37:G38"/>
    <mergeCell ref="G25:G26"/>
    <mergeCell ref="G29:G30"/>
    <mergeCell ref="F13:F14"/>
    <mergeCell ref="A15:A18"/>
    <mergeCell ref="G15:G18"/>
    <mergeCell ref="A20:A21"/>
    <mergeCell ref="G20:G21"/>
    <mergeCell ref="A29:A30"/>
    <mergeCell ref="A61:A62"/>
    <mergeCell ref="G61:G62"/>
    <mergeCell ref="A52:A53"/>
    <mergeCell ref="G52:G53"/>
    <mergeCell ref="F2:G2"/>
    <mergeCell ref="A10:G10"/>
    <mergeCell ref="C11:E11"/>
    <mergeCell ref="A12:A14"/>
    <mergeCell ref="B12:B14"/>
    <mergeCell ref="A25:A26"/>
    <mergeCell ref="A79:B79"/>
    <mergeCell ref="A31:A32"/>
    <mergeCell ref="G31:G32"/>
    <mergeCell ref="A33:A34"/>
    <mergeCell ref="G33:G34"/>
    <mergeCell ref="A37:A38"/>
    <mergeCell ref="A50:A51"/>
    <mergeCell ref="G50:G51"/>
    <mergeCell ref="A58:A59"/>
    <mergeCell ref="G58:G59"/>
  </mergeCells>
  <printOptions/>
  <pageMargins left="0.7" right="0.7" top="0.75" bottom="0.75" header="0.3" footer="0.3"/>
  <pageSetup fitToHeight="0" fitToWidth="1" horizontalDpi="600" verticalDpi="600" orientation="landscape" paperSize="9" scale="69"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K33"/>
  <sheetViews>
    <sheetView view="pageBreakPreview" zoomScaleSheetLayoutView="100" zoomScalePageLayoutView="0" workbookViewId="0" topLeftCell="A1">
      <selection activeCell="A1" sqref="A1:K28"/>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s>
  <sheetData>
    <row r="1" spans="2:11" ht="15.75">
      <c r="B1" s="1"/>
      <c r="C1" s="1"/>
      <c r="D1" s="1"/>
      <c r="E1" s="1"/>
      <c r="F1" s="1"/>
      <c r="G1" s="1"/>
      <c r="H1" s="1"/>
      <c r="I1" s="2" t="s">
        <v>19</v>
      </c>
      <c r="J1" s="684" t="s">
        <v>508</v>
      </c>
      <c r="K1" s="684"/>
    </row>
    <row r="2" spans="2:11" ht="15.75">
      <c r="B2" s="1"/>
      <c r="C2" s="1"/>
      <c r="D2" s="1"/>
      <c r="E2" s="1"/>
      <c r="F2" s="1"/>
      <c r="G2" s="1"/>
      <c r="H2" s="1"/>
      <c r="I2" s="3" t="s">
        <v>11</v>
      </c>
      <c r="J2" s="662" t="s">
        <v>11</v>
      </c>
      <c r="K2" s="662"/>
    </row>
    <row r="3" spans="2:11" ht="15.75">
      <c r="B3" s="1"/>
      <c r="C3" s="1"/>
      <c r="D3" s="1"/>
      <c r="E3" s="1"/>
      <c r="F3" s="1"/>
      <c r="G3" s="1"/>
      <c r="H3" s="1"/>
      <c r="I3" s="3"/>
      <c r="J3" s="3" t="s">
        <v>719</v>
      </c>
      <c r="K3" s="3"/>
    </row>
    <row r="4" spans="2:11" ht="15.75">
      <c r="B4" s="1"/>
      <c r="C4" s="1"/>
      <c r="D4" s="1"/>
      <c r="E4" s="1"/>
      <c r="F4" s="1"/>
      <c r="G4" s="1"/>
      <c r="H4" s="1"/>
      <c r="I4" s="3" t="s">
        <v>21</v>
      </c>
      <c r="J4" s="3" t="s">
        <v>702</v>
      </c>
      <c r="K4" s="3"/>
    </row>
    <row r="5" spans="2:11" ht="15.75">
      <c r="B5" s="1"/>
      <c r="C5" s="1"/>
      <c r="D5" s="1"/>
      <c r="E5" s="1"/>
      <c r="F5" s="1"/>
      <c r="G5" s="1"/>
      <c r="H5" s="1"/>
      <c r="I5" s="3" t="s">
        <v>23</v>
      </c>
      <c r="J5" s="3" t="s">
        <v>705</v>
      </c>
      <c r="K5" s="3"/>
    </row>
    <row r="6" spans="2:11" ht="15.75">
      <c r="B6" s="1"/>
      <c r="C6" s="1"/>
      <c r="D6" s="1"/>
      <c r="E6" s="1"/>
      <c r="F6" s="1"/>
      <c r="G6" s="1"/>
      <c r="H6" s="9"/>
      <c r="I6" s="3" t="s">
        <v>24</v>
      </c>
      <c r="J6" s="3" t="s">
        <v>683</v>
      </c>
      <c r="K6" s="3"/>
    </row>
    <row r="7" spans="2:11" ht="15.75">
      <c r="B7" s="1"/>
      <c r="C7" s="1"/>
      <c r="D7" s="1"/>
      <c r="E7" s="1"/>
      <c r="F7" s="1"/>
      <c r="G7" s="1"/>
      <c r="H7" s="9"/>
      <c r="I7" s="3"/>
      <c r="J7" s="3" t="s">
        <v>684</v>
      </c>
      <c r="K7" s="3"/>
    </row>
    <row r="8" spans="2:11" ht="15.75">
      <c r="B8" s="1"/>
      <c r="C8" s="1"/>
      <c r="D8" s="1"/>
      <c r="E8" s="1"/>
      <c r="F8" s="1"/>
      <c r="G8" s="1"/>
      <c r="H8" s="9"/>
      <c r="I8" s="3"/>
      <c r="J8" s="3" t="s">
        <v>685</v>
      </c>
      <c r="K8" s="3"/>
    </row>
    <row r="9" spans="2:11" ht="15.75" customHeight="1">
      <c r="B9" s="1"/>
      <c r="C9" s="1"/>
      <c r="D9" s="1"/>
      <c r="E9" s="1"/>
      <c r="F9" s="1"/>
      <c r="G9" s="1"/>
      <c r="H9" s="9"/>
      <c r="I9" s="3" t="s">
        <v>25</v>
      </c>
      <c r="J9" s="592" t="s">
        <v>720</v>
      </c>
      <c r="K9" s="662"/>
    </row>
    <row r="10" spans="2:11" ht="15.75">
      <c r="B10" s="1"/>
      <c r="C10" s="1"/>
      <c r="D10" s="1"/>
      <c r="E10" s="1"/>
      <c r="F10" s="1"/>
      <c r="G10" s="1"/>
      <c r="H10" s="1"/>
      <c r="I10" s="1"/>
      <c r="J10" s="1"/>
      <c r="K10" s="1"/>
    </row>
    <row r="11" spans="2:11" ht="18.75">
      <c r="B11" s="594" t="s">
        <v>489</v>
      </c>
      <c r="C11" s="594"/>
      <c r="D11" s="594"/>
      <c r="E11" s="594"/>
      <c r="F11" s="594"/>
      <c r="G11" s="594"/>
      <c r="H11" s="594"/>
      <c r="I11" s="594"/>
      <c r="J11" s="594"/>
      <c r="K11" s="594"/>
    </row>
    <row r="12" spans="2:11" ht="15.75">
      <c r="B12" s="1"/>
      <c r="C12" s="1"/>
      <c r="D12" s="663"/>
      <c r="E12" s="663"/>
      <c r="F12" s="663"/>
      <c r="G12" s="663"/>
      <c r="H12" s="663"/>
      <c r="I12" s="1"/>
      <c r="J12" s="1"/>
      <c r="K12" s="46" t="s">
        <v>467</v>
      </c>
    </row>
    <row r="13" spans="1:11" ht="18.75">
      <c r="A13" s="595" t="s">
        <v>6</v>
      </c>
      <c r="B13" s="605" t="s">
        <v>12</v>
      </c>
      <c r="C13" s="605" t="s">
        <v>13</v>
      </c>
      <c r="D13" s="605" t="s">
        <v>481</v>
      </c>
      <c r="E13" s="724" t="s">
        <v>9</v>
      </c>
      <c r="F13" s="724"/>
      <c r="G13" s="724"/>
      <c r="H13" s="724"/>
      <c r="I13" s="724"/>
      <c r="J13" s="725"/>
      <c r="K13" s="600" t="s">
        <v>15</v>
      </c>
    </row>
    <row r="14" spans="1:11" ht="17.25" customHeight="1">
      <c r="A14" s="596"/>
      <c r="B14" s="723"/>
      <c r="C14" s="723"/>
      <c r="D14" s="723"/>
      <c r="E14" s="605" t="s">
        <v>490</v>
      </c>
      <c r="F14" s="605" t="s">
        <v>491</v>
      </c>
      <c r="G14" s="605" t="s">
        <v>27</v>
      </c>
      <c r="H14" s="605" t="s">
        <v>28</v>
      </c>
      <c r="I14" s="605" t="s">
        <v>29</v>
      </c>
      <c r="J14" s="600" t="s">
        <v>492</v>
      </c>
      <c r="K14" s="600"/>
    </row>
    <row r="15" spans="1:11" ht="12.75">
      <c r="A15" s="597"/>
      <c r="B15" s="606"/>
      <c r="C15" s="606"/>
      <c r="D15" s="606"/>
      <c r="E15" s="606"/>
      <c r="F15" s="606"/>
      <c r="G15" s="606"/>
      <c r="H15" s="606"/>
      <c r="I15" s="606"/>
      <c r="J15" s="600"/>
      <c r="K15" s="600"/>
    </row>
    <row r="16" spans="1:11" ht="24.75" customHeight="1">
      <c r="A16" s="595">
        <v>1</v>
      </c>
      <c r="B16" s="595" t="s">
        <v>153</v>
      </c>
      <c r="C16" s="47" t="s">
        <v>16</v>
      </c>
      <c r="D16" s="146">
        <f>E16+F16+J16</f>
        <v>-20</v>
      </c>
      <c r="E16" s="79">
        <f>-2079.09+5+2054.09</f>
        <v>-20</v>
      </c>
      <c r="F16" s="79">
        <f>-2054.09+2054.09</f>
        <v>0</v>
      </c>
      <c r="G16" s="79"/>
      <c r="H16" s="79"/>
      <c r="I16" s="79"/>
      <c r="J16" s="79">
        <v>0</v>
      </c>
      <c r="K16" s="654" t="s">
        <v>155</v>
      </c>
    </row>
    <row r="17" spans="1:11" ht="21" customHeight="1">
      <c r="A17" s="597"/>
      <c r="B17" s="597"/>
      <c r="C17" s="47" t="s">
        <v>648</v>
      </c>
      <c r="D17" s="146">
        <f>E17+F17+J17</f>
        <v>-2054.09</v>
      </c>
      <c r="E17" s="79"/>
      <c r="F17" s="79"/>
      <c r="G17" s="79"/>
      <c r="H17" s="79"/>
      <c r="I17" s="79"/>
      <c r="J17" s="79">
        <v>-2054.09</v>
      </c>
      <c r="K17" s="655"/>
    </row>
    <row r="18" spans="1:11" ht="32.25" customHeight="1">
      <c r="A18" s="595">
        <v>2</v>
      </c>
      <c r="B18" s="595" t="s">
        <v>153</v>
      </c>
      <c r="C18" s="47" t="s">
        <v>396</v>
      </c>
      <c r="D18" s="146">
        <f>E18+F18+J18</f>
        <v>0</v>
      </c>
      <c r="E18" s="79">
        <v>0</v>
      </c>
      <c r="F18" s="79">
        <f>-740+740</f>
        <v>0</v>
      </c>
      <c r="G18" s="79"/>
      <c r="H18" s="79"/>
      <c r="I18" s="79"/>
      <c r="J18" s="79">
        <v>0</v>
      </c>
      <c r="K18" s="654" t="s">
        <v>397</v>
      </c>
    </row>
    <row r="19" spans="1:11" ht="24.75" customHeight="1">
      <c r="A19" s="597"/>
      <c r="B19" s="597"/>
      <c r="C19" s="485" t="s">
        <v>648</v>
      </c>
      <c r="D19" s="146">
        <f>E19+F19+J19</f>
        <v>-740</v>
      </c>
      <c r="E19" s="79"/>
      <c r="F19" s="79"/>
      <c r="G19" s="79"/>
      <c r="H19" s="79"/>
      <c r="I19" s="79"/>
      <c r="J19" s="79">
        <v>-740</v>
      </c>
      <c r="K19" s="655"/>
    </row>
    <row r="20" spans="1:11" ht="18.75">
      <c r="A20" s="147"/>
      <c r="B20" s="57" t="s">
        <v>5</v>
      </c>
      <c r="C20" s="58"/>
      <c r="D20" s="80">
        <f>D16+D18+D17+D19</f>
        <v>-2814.09</v>
      </c>
      <c r="E20" s="80">
        <f aca="true" t="shared" si="0" ref="E20:J20">E16+E18+E17+E19</f>
        <v>-20</v>
      </c>
      <c r="F20" s="80">
        <f t="shared" si="0"/>
        <v>0</v>
      </c>
      <c r="G20" s="80">
        <f t="shared" si="0"/>
        <v>0</v>
      </c>
      <c r="H20" s="80">
        <f t="shared" si="0"/>
        <v>0</v>
      </c>
      <c r="I20" s="80">
        <f t="shared" si="0"/>
        <v>0</v>
      </c>
      <c r="J20" s="80">
        <f t="shared" si="0"/>
        <v>-2794.09</v>
      </c>
      <c r="K20" s="81"/>
    </row>
    <row r="21" spans="2:11" ht="18.75">
      <c r="B21" s="148"/>
      <c r="C21" s="4"/>
      <c r="D21" s="6"/>
      <c r="E21" s="6"/>
      <c r="F21" s="6"/>
      <c r="G21" s="6"/>
      <c r="H21" s="6"/>
      <c r="I21" s="6"/>
      <c r="J21" s="6"/>
      <c r="K21" s="42"/>
    </row>
    <row r="22" spans="2:11" ht="15.75">
      <c r="B22" s="4"/>
      <c r="C22" s="4"/>
      <c r="D22" s="6"/>
      <c r="E22" s="6"/>
      <c r="F22" s="6"/>
      <c r="G22" s="6"/>
      <c r="H22" s="6"/>
      <c r="I22" s="6"/>
      <c r="J22" s="6"/>
      <c r="K22" s="42"/>
    </row>
    <row r="23" spans="2:11" ht="15.75">
      <c r="B23" s="4"/>
      <c r="C23" s="4"/>
      <c r="D23" s="6"/>
      <c r="E23" s="6"/>
      <c r="F23" s="6"/>
      <c r="G23" s="6"/>
      <c r="H23" s="6"/>
      <c r="I23" s="6"/>
      <c r="J23" s="6"/>
      <c r="K23" s="42"/>
    </row>
    <row r="24" spans="2:11" ht="18.75">
      <c r="B24" s="149"/>
      <c r="C24" s="150"/>
      <c r="E24" s="6"/>
      <c r="F24" s="6"/>
      <c r="G24" s="6"/>
      <c r="H24" s="6"/>
      <c r="I24" s="6"/>
      <c r="J24" s="6"/>
      <c r="K24" s="150"/>
    </row>
    <row r="25" spans="1:11" ht="18.75">
      <c r="A25" s="151"/>
      <c r="B25" s="406" t="s">
        <v>18</v>
      </c>
      <c r="C25" s="406"/>
      <c r="D25" s="151"/>
      <c r="E25" s="406"/>
      <c r="F25" s="726" t="s">
        <v>30</v>
      </c>
      <c r="G25" s="726"/>
      <c r="H25" s="726"/>
      <c r="I25" s="726"/>
      <c r="J25" s="726"/>
      <c r="K25" s="154"/>
    </row>
    <row r="26" spans="1:11" ht="30.75" customHeight="1">
      <c r="A26" s="151"/>
      <c r="B26" s="406"/>
      <c r="C26" s="406"/>
      <c r="D26" s="151"/>
      <c r="E26" s="406"/>
      <c r="F26" s="217"/>
      <c r="G26" s="217"/>
      <c r="H26" s="217"/>
      <c r="I26" s="217"/>
      <c r="J26" s="217"/>
      <c r="K26" s="154"/>
    </row>
    <row r="27" spans="1:11" ht="18.75">
      <c r="A27" s="151"/>
      <c r="B27" s="155" t="s">
        <v>678</v>
      </c>
      <c r="C27" s="155"/>
      <c r="D27" s="151"/>
      <c r="E27" s="156"/>
      <c r="F27" s="157"/>
      <c r="G27" s="157"/>
      <c r="H27" s="157"/>
      <c r="I27" s="157"/>
      <c r="J27" s="157"/>
      <c r="K27" s="158"/>
    </row>
    <row r="28" spans="1:11" ht="30.75" customHeight="1">
      <c r="A28" s="151"/>
      <c r="B28" s="159" t="s">
        <v>10</v>
      </c>
      <c r="C28" s="151"/>
      <c r="D28" s="159"/>
      <c r="E28" s="157"/>
      <c r="F28" s="157"/>
      <c r="G28" s="157"/>
      <c r="H28" s="157"/>
      <c r="I28" s="157"/>
      <c r="J28" s="157"/>
      <c r="K28" s="158"/>
    </row>
    <row r="29" spans="2:11" ht="15.75">
      <c r="B29" s="43"/>
      <c r="C29" s="10"/>
      <c r="D29" s="44"/>
      <c r="E29" s="7"/>
      <c r="F29" s="7"/>
      <c r="G29" s="7"/>
      <c r="H29" s="7"/>
      <c r="I29" s="7"/>
      <c r="J29" s="1"/>
      <c r="K29" s="1"/>
    </row>
    <row r="30" spans="3:10" ht="15.75">
      <c r="C30" s="44"/>
      <c r="D30" s="7"/>
      <c r="E30" s="7"/>
      <c r="F30" s="7"/>
      <c r="G30" s="7"/>
      <c r="H30" s="7"/>
      <c r="I30" s="7"/>
      <c r="J30" s="7"/>
    </row>
    <row r="31" spans="3:10" ht="15.75">
      <c r="C31" s="45"/>
      <c r="D31" s="7"/>
      <c r="E31" s="7"/>
      <c r="F31" s="7"/>
      <c r="G31" s="7"/>
      <c r="H31" s="7"/>
      <c r="I31" s="7"/>
      <c r="J31" s="7"/>
    </row>
    <row r="33" ht="12.75">
      <c r="H33" s="5"/>
    </row>
  </sheetData>
  <sheetProtection/>
  <mergeCells count="24">
    <mergeCell ref="F25:J25"/>
    <mergeCell ref="K13:K15"/>
    <mergeCell ref="E14:E15"/>
    <mergeCell ref="F14:F15"/>
    <mergeCell ref="G14:G15"/>
    <mergeCell ref="H14:H15"/>
    <mergeCell ref="I14:I15"/>
    <mergeCell ref="J14:J15"/>
    <mergeCell ref="J1:K1"/>
    <mergeCell ref="J2:K2"/>
    <mergeCell ref="J9:K9"/>
    <mergeCell ref="B11:K11"/>
    <mergeCell ref="D12:H12"/>
    <mergeCell ref="A13:A15"/>
    <mergeCell ref="B13:B15"/>
    <mergeCell ref="C13:C15"/>
    <mergeCell ref="D13:D15"/>
    <mergeCell ref="E13:J13"/>
    <mergeCell ref="A16:A17"/>
    <mergeCell ref="B16:B17"/>
    <mergeCell ref="K16:K17"/>
    <mergeCell ref="A18:A19"/>
    <mergeCell ref="B18:B19"/>
    <mergeCell ref="K18:K19"/>
  </mergeCells>
  <printOptions horizontalCentered="1"/>
  <pageMargins left="0" right="0" top="1.1811023622047245" bottom="0" header="0" footer="0"/>
  <pageSetup fitToHeight="1" fitToWidth="1" horizontalDpi="600" verticalDpi="600" orientation="landscape" paperSize="9" scale="82"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K31"/>
  <sheetViews>
    <sheetView view="pageBreakPreview" zoomScaleSheetLayoutView="100" zoomScalePageLayoutView="0" workbookViewId="0" topLeftCell="A1">
      <selection activeCell="A1" sqref="A1:K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22" t="s">
        <v>509</v>
      </c>
      <c r="K1" s="622"/>
    </row>
    <row r="2" spans="2:11" ht="18.75">
      <c r="B2" s="1"/>
      <c r="C2" s="1"/>
      <c r="D2" s="1"/>
      <c r="E2" s="1"/>
      <c r="F2" s="1"/>
      <c r="G2" s="1"/>
      <c r="H2" s="1"/>
      <c r="I2" s="3" t="s">
        <v>11</v>
      </c>
      <c r="J2" s="593" t="s">
        <v>11</v>
      </c>
      <c r="K2" s="593"/>
    </row>
    <row r="3" spans="2:11" ht="18.75">
      <c r="B3" s="1"/>
      <c r="C3" s="1"/>
      <c r="D3" s="1"/>
      <c r="E3" s="1"/>
      <c r="F3" s="1"/>
      <c r="G3" s="1"/>
      <c r="H3" s="1"/>
      <c r="I3" s="3"/>
      <c r="J3" s="56" t="s">
        <v>322</v>
      </c>
      <c r="K3" s="56"/>
    </row>
    <row r="4" spans="2:11" ht="18.75">
      <c r="B4" s="1"/>
      <c r="C4" s="1"/>
      <c r="D4" s="1"/>
      <c r="E4" s="1"/>
      <c r="F4" s="1"/>
      <c r="G4" s="1"/>
      <c r="H4" s="1"/>
      <c r="I4" s="3" t="s">
        <v>21</v>
      </c>
      <c r="J4" s="56" t="s">
        <v>702</v>
      </c>
      <c r="K4" s="56"/>
    </row>
    <row r="5" spans="2:11" ht="18.75">
      <c r="B5" s="1"/>
      <c r="C5" s="1"/>
      <c r="D5" s="1"/>
      <c r="E5" s="1"/>
      <c r="F5" s="1"/>
      <c r="G5" s="1"/>
      <c r="H5" s="1"/>
      <c r="I5" s="3" t="s">
        <v>23</v>
      </c>
      <c r="J5" s="56" t="s">
        <v>705</v>
      </c>
      <c r="K5" s="56"/>
    </row>
    <row r="6" spans="2:11" ht="18.75">
      <c r="B6" s="1"/>
      <c r="C6" s="1"/>
      <c r="D6" s="1"/>
      <c r="E6" s="1"/>
      <c r="F6" s="1"/>
      <c r="G6" s="1"/>
      <c r="H6" s="9"/>
      <c r="I6" s="3" t="s">
        <v>24</v>
      </c>
      <c r="J6" s="56" t="s">
        <v>683</v>
      </c>
      <c r="K6" s="56"/>
    </row>
    <row r="7" spans="2:11" ht="18.75">
      <c r="B7" s="1"/>
      <c r="C7" s="1"/>
      <c r="D7" s="1"/>
      <c r="E7" s="1"/>
      <c r="F7" s="1"/>
      <c r="G7" s="1"/>
      <c r="H7" s="9"/>
      <c r="I7" s="3"/>
      <c r="J7" s="56" t="s">
        <v>684</v>
      </c>
      <c r="K7" s="56"/>
    </row>
    <row r="8" spans="2:11" ht="18.75">
      <c r="B8" s="1"/>
      <c r="C8" s="1"/>
      <c r="D8" s="1"/>
      <c r="E8" s="1"/>
      <c r="F8" s="1"/>
      <c r="G8" s="1"/>
      <c r="H8" s="9"/>
      <c r="I8" s="3"/>
      <c r="J8" s="56" t="s">
        <v>685</v>
      </c>
      <c r="K8" s="56"/>
    </row>
    <row r="9" spans="2:11" ht="15.75" customHeight="1">
      <c r="B9" s="1"/>
      <c r="C9" s="1"/>
      <c r="D9" s="1"/>
      <c r="E9" s="1"/>
      <c r="F9" s="1"/>
      <c r="G9" s="1"/>
      <c r="H9" s="9"/>
      <c r="I9" s="3" t="s">
        <v>25</v>
      </c>
      <c r="J9" s="727" t="s">
        <v>721</v>
      </c>
      <c r="K9" s="593"/>
    </row>
    <row r="10" spans="2:11" ht="15.75">
      <c r="B10" s="1"/>
      <c r="C10" s="1"/>
      <c r="D10" s="1"/>
      <c r="E10" s="1"/>
      <c r="F10" s="1"/>
      <c r="G10" s="1"/>
      <c r="H10" s="1"/>
      <c r="I10" s="1"/>
      <c r="J10" s="1"/>
      <c r="K10" s="1"/>
    </row>
    <row r="11" spans="2:11" ht="18.75">
      <c r="B11" s="594" t="s">
        <v>493</v>
      </c>
      <c r="C11" s="594"/>
      <c r="D11" s="594"/>
      <c r="E11" s="594"/>
      <c r="F11" s="594"/>
      <c r="G11" s="594"/>
      <c r="H11" s="594"/>
      <c r="I11" s="594"/>
      <c r="J11" s="594"/>
      <c r="K11" s="594"/>
    </row>
    <row r="12" spans="2:11" ht="15.75">
      <c r="B12" s="1"/>
      <c r="C12" s="1"/>
      <c r="D12" s="663"/>
      <c r="E12" s="663"/>
      <c r="F12" s="663"/>
      <c r="G12" s="663"/>
      <c r="H12" s="663"/>
      <c r="I12" s="1"/>
      <c r="J12" s="1"/>
      <c r="K12" s="46" t="s">
        <v>467</v>
      </c>
    </row>
    <row r="13" spans="1:11" ht="18.75">
      <c r="A13" s="595" t="s">
        <v>6</v>
      </c>
      <c r="B13" s="605" t="s">
        <v>12</v>
      </c>
      <c r="C13" s="605" t="s">
        <v>13</v>
      </c>
      <c r="D13" s="605" t="s">
        <v>481</v>
      </c>
      <c r="E13" s="724" t="s">
        <v>9</v>
      </c>
      <c r="F13" s="724"/>
      <c r="G13" s="724"/>
      <c r="H13" s="724"/>
      <c r="I13" s="724"/>
      <c r="J13" s="725"/>
      <c r="K13" s="600" t="s">
        <v>15</v>
      </c>
    </row>
    <row r="14" spans="1:11" ht="17.25" customHeight="1">
      <c r="A14" s="596"/>
      <c r="B14" s="723"/>
      <c r="C14" s="723"/>
      <c r="D14" s="723"/>
      <c r="E14" s="605">
        <v>2018</v>
      </c>
      <c r="F14" s="605">
        <v>2019</v>
      </c>
      <c r="G14" s="605" t="s">
        <v>27</v>
      </c>
      <c r="H14" s="605" t="s">
        <v>28</v>
      </c>
      <c r="I14" s="605" t="s">
        <v>29</v>
      </c>
      <c r="J14" s="600">
        <v>2020</v>
      </c>
      <c r="K14" s="600"/>
    </row>
    <row r="15" spans="1:11" ht="12.75">
      <c r="A15" s="597"/>
      <c r="B15" s="606"/>
      <c r="C15" s="606"/>
      <c r="D15" s="606"/>
      <c r="E15" s="606"/>
      <c r="F15" s="606"/>
      <c r="G15" s="606"/>
      <c r="H15" s="606"/>
      <c r="I15" s="606"/>
      <c r="J15" s="600"/>
      <c r="K15" s="600"/>
    </row>
    <row r="16" spans="1:11" ht="28.5" customHeight="1">
      <c r="A16" s="595">
        <v>1</v>
      </c>
      <c r="B16" s="595" t="s">
        <v>269</v>
      </c>
      <c r="C16" s="47" t="s">
        <v>16</v>
      </c>
      <c r="D16" s="146">
        <f>E16+F16+J16</f>
        <v>74070.2</v>
      </c>
      <c r="E16" s="79">
        <v>74070.2</v>
      </c>
      <c r="F16" s="79">
        <v>0</v>
      </c>
      <c r="G16" s="79"/>
      <c r="H16" s="79"/>
      <c r="I16" s="79"/>
      <c r="J16" s="79">
        <v>0</v>
      </c>
      <c r="K16" s="654" t="s">
        <v>270</v>
      </c>
    </row>
    <row r="17" spans="1:11" ht="18.75">
      <c r="A17" s="597"/>
      <c r="B17" s="597"/>
      <c r="C17" s="485" t="s">
        <v>648</v>
      </c>
      <c r="D17" s="146">
        <f>E17+F17+J17</f>
        <v>0</v>
      </c>
      <c r="E17" s="79">
        <v>0</v>
      </c>
      <c r="F17" s="79">
        <v>0</v>
      </c>
      <c r="G17" s="79"/>
      <c r="H17" s="79"/>
      <c r="I17" s="79"/>
      <c r="J17" s="79">
        <v>0</v>
      </c>
      <c r="K17" s="655"/>
    </row>
    <row r="18" spans="1:11" ht="18.75">
      <c r="A18" s="147"/>
      <c r="B18" s="57" t="s">
        <v>5</v>
      </c>
      <c r="C18" s="58"/>
      <c r="D18" s="80">
        <f>D16</f>
        <v>74070.2</v>
      </c>
      <c r="E18" s="80">
        <f aca="true" t="shared" si="0" ref="E18:J18">SUM(E16)</f>
        <v>74070.2</v>
      </c>
      <c r="F18" s="80">
        <f t="shared" si="0"/>
        <v>0</v>
      </c>
      <c r="G18" s="80">
        <f t="shared" si="0"/>
        <v>0</v>
      </c>
      <c r="H18" s="80">
        <f t="shared" si="0"/>
        <v>0</v>
      </c>
      <c r="I18" s="80">
        <f t="shared" si="0"/>
        <v>0</v>
      </c>
      <c r="J18" s="80">
        <f t="shared" si="0"/>
        <v>0</v>
      </c>
      <c r="K18" s="81"/>
    </row>
    <row r="19" spans="2:11" ht="18.75">
      <c r="B19" s="148"/>
      <c r="C19" s="4"/>
      <c r="D19" s="6"/>
      <c r="E19" s="6"/>
      <c r="F19" s="6"/>
      <c r="G19" s="6"/>
      <c r="H19" s="6"/>
      <c r="I19" s="6"/>
      <c r="J19" s="6"/>
      <c r="K19" s="42"/>
    </row>
    <row r="20" spans="2:11" ht="15.75">
      <c r="B20" s="4"/>
      <c r="C20" s="4"/>
      <c r="D20" s="6"/>
      <c r="E20" s="6"/>
      <c r="F20" s="6"/>
      <c r="G20" s="6"/>
      <c r="H20" s="6"/>
      <c r="I20" s="6"/>
      <c r="J20" s="6"/>
      <c r="K20" s="42"/>
    </row>
    <row r="21" spans="2:11" ht="15.75">
      <c r="B21" s="4"/>
      <c r="C21" s="4"/>
      <c r="D21" s="6"/>
      <c r="E21" s="6"/>
      <c r="F21" s="6"/>
      <c r="G21" s="6"/>
      <c r="H21" s="6"/>
      <c r="I21" s="6"/>
      <c r="J21" s="6"/>
      <c r="K21" s="42"/>
    </row>
    <row r="22" spans="2:11" ht="18.75">
      <c r="B22" s="149"/>
      <c r="C22" s="150"/>
      <c r="E22" s="6"/>
      <c r="F22" s="6"/>
      <c r="G22" s="6"/>
      <c r="H22" s="6"/>
      <c r="I22" s="6"/>
      <c r="J22" s="6"/>
      <c r="K22" s="150"/>
    </row>
    <row r="23" spans="1:11" ht="18.75">
      <c r="A23" s="151"/>
      <c r="B23" s="406" t="s">
        <v>622</v>
      </c>
      <c r="C23" s="406"/>
      <c r="D23" s="151"/>
      <c r="E23" s="406"/>
      <c r="F23" s="726" t="s">
        <v>30</v>
      </c>
      <c r="G23" s="726"/>
      <c r="H23" s="726"/>
      <c r="I23" s="726"/>
      <c r="J23" s="726"/>
      <c r="K23" s="154"/>
    </row>
    <row r="24" spans="1:11" ht="30.75" customHeight="1">
      <c r="A24" s="151"/>
      <c r="B24" s="152"/>
      <c r="C24" s="152"/>
      <c r="D24" s="151"/>
      <c r="E24" s="152"/>
      <c r="F24" s="153"/>
      <c r="G24" s="153"/>
      <c r="H24" s="153"/>
      <c r="I24" s="153"/>
      <c r="J24" s="153"/>
      <c r="K24" s="154"/>
    </row>
    <row r="25" spans="1:11" ht="18.75">
      <c r="A25" s="151"/>
      <c r="B25" s="155" t="s">
        <v>680</v>
      </c>
      <c r="C25" s="155"/>
      <c r="D25" s="151"/>
      <c r="E25" s="156"/>
      <c r="F25" s="157"/>
      <c r="G25" s="157"/>
      <c r="H25" s="157"/>
      <c r="I25" s="157"/>
      <c r="J25" s="157"/>
      <c r="K25" s="158"/>
    </row>
    <row r="26" spans="1:11" ht="30.75" customHeight="1">
      <c r="A26" s="151"/>
      <c r="B26" s="159" t="s">
        <v>10</v>
      </c>
      <c r="C26" s="151"/>
      <c r="D26" s="159"/>
      <c r="E26" s="157"/>
      <c r="F26" s="157"/>
      <c r="G26" s="157"/>
      <c r="H26" s="157"/>
      <c r="I26" s="157"/>
      <c r="J26" s="157"/>
      <c r="K26" s="158"/>
    </row>
    <row r="27" spans="2:11" ht="15.75">
      <c r="B27" s="43"/>
      <c r="C27" s="10"/>
      <c r="D27" s="44"/>
      <c r="E27" s="7"/>
      <c r="F27" s="7"/>
      <c r="G27" s="7"/>
      <c r="H27" s="7"/>
      <c r="I27" s="7"/>
      <c r="J27" s="1"/>
      <c r="K27" s="1"/>
    </row>
    <row r="28" spans="3:10" ht="15.75">
      <c r="C28" s="44"/>
      <c r="D28" s="7"/>
      <c r="E28" s="7"/>
      <c r="F28" s="7"/>
      <c r="G28" s="7"/>
      <c r="H28" s="7"/>
      <c r="I28" s="7"/>
      <c r="J28" s="7"/>
    </row>
    <row r="29" spans="3:10" ht="15.75">
      <c r="C29" s="45"/>
      <c r="D29" s="7"/>
      <c r="E29" s="7"/>
      <c r="F29" s="7"/>
      <c r="G29" s="7"/>
      <c r="H29" s="7"/>
      <c r="I29" s="7"/>
      <c r="J29" s="7"/>
    </row>
    <row r="31" ht="12.75">
      <c r="H31" s="5"/>
    </row>
  </sheetData>
  <sheetProtection/>
  <mergeCells count="21">
    <mergeCell ref="A16:A17"/>
    <mergeCell ref="B16:B17"/>
    <mergeCell ref="K16:K17"/>
    <mergeCell ref="A13:A15"/>
    <mergeCell ref="B13:B15"/>
    <mergeCell ref="H14:H15"/>
    <mergeCell ref="C13:C15"/>
    <mergeCell ref="D13:D15"/>
    <mergeCell ref="E13:J13"/>
    <mergeCell ref="F23:J23"/>
    <mergeCell ref="K13:K15"/>
    <mergeCell ref="E14:E15"/>
    <mergeCell ref="F14:F15"/>
    <mergeCell ref="G14:G15"/>
    <mergeCell ref="I14:I15"/>
    <mergeCell ref="J1:K1"/>
    <mergeCell ref="J2:K2"/>
    <mergeCell ref="J9:K9"/>
    <mergeCell ref="B11:K11"/>
    <mergeCell ref="D12:H12"/>
    <mergeCell ref="J14:J15"/>
  </mergeCells>
  <printOptions horizontalCentered="1"/>
  <pageMargins left="0" right="0" top="1.1811023622047245" bottom="0" header="0" footer="0"/>
  <pageSetup fitToHeight="1" fitToWidth="1" horizontalDpi="600" verticalDpi="600" orientation="landscape" paperSize="9" scale="80" r:id="rId1"/>
</worksheet>
</file>

<file path=xl/worksheets/sheet25.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59"/>
      <c r="B1" s="359"/>
      <c r="C1" s="359"/>
      <c r="D1" s="359"/>
      <c r="E1" s="359"/>
      <c r="F1" s="359"/>
      <c r="G1" s="359"/>
      <c r="H1" s="359"/>
      <c r="I1" s="728" t="s">
        <v>349</v>
      </c>
      <c r="J1" s="728"/>
      <c r="K1" s="728"/>
    </row>
    <row r="2" spans="1:11" ht="18.75">
      <c r="A2" s="359"/>
      <c r="B2" s="359"/>
      <c r="C2" s="359"/>
      <c r="D2" s="359"/>
      <c r="E2" s="359"/>
      <c r="F2" s="359"/>
      <c r="G2" s="359"/>
      <c r="H2" s="359"/>
      <c r="I2" s="667" t="s">
        <v>11</v>
      </c>
      <c r="J2" s="667"/>
      <c r="K2" s="667"/>
    </row>
    <row r="3" spans="1:11" ht="18.75">
      <c r="A3" s="359"/>
      <c r="B3" s="359"/>
      <c r="C3" s="359"/>
      <c r="D3" s="359"/>
      <c r="E3" s="359"/>
      <c r="F3" s="359"/>
      <c r="G3" s="359"/>
      <c r="H3" s="359"/>
      <c r="I3" s="729" t="s">
        <v>322</v>
      </c>
      <c r="J3" s="729"/>
      <c r="K3" s="729"/>
    </row>
    <row r="4" spans="1:11" ht="18.75">
      <c r="A4" s="359"/>
      <c r="B4" s="359"/>
      <c r="C4" s="359"/>
      <c r="D4" s="359"/>
      <c r="E4" s="359"/>
      <c r="F4" s="359"/>
      <c r="G4" s="359"/>
      <c r="H4" s="359"/>
      <c r="I4" s="729" t="s">
        <v>33</v>
      </c>
      <c r="J4" s="729"/>
      <c r="K4" s="729"/>
    </row>
    <row r="5" spans="1:11" ht="18.75">
      <c r="A5" s="359"/>
      <c r="B5" s="359"/>
      <c r="C5" s="359"/>
      <c r="D5" s="359"/>
      <c r="E5" s="359"/>
      <c r="F5" s="359"/>
      <c r="G5" s="359"/>
      <c r="H5" s="359"/>
      <c r="I5" s="729" t="s">
        <v>8</v>
      </c>
      <c r="J5" s="729"/>
      <c r="K5" s="729"/>
    </row>
    <row r="6" spans="1:11" ht="18.75">
      <c r="A6" s="359"/>
      <c r="B6" s="359"/>
      <c r="C6" s="359"/>
      <c r="D6" s="359"/>
      <c r="E6" s="359"/>
      <c r="F6" s="359"/>
      <c r="G6" s="359"/>
      <c r="H6" s="359"/>
      <c r="I6" s="729" t="s">
        <v>323</v>
      </c>
      <c r="J6" s="729"/>
      <c r="K6" s="729"/>
    </row>
    <row r="7" spans="1:11" ht="18.75" customHeight="1">
      <c r="A7" s="359"/>
      <c r="B7" s="359"/>
      <c r="C7" s="359"/>
      <c r="D7" s="359"/>
      <c r="E7" s="359"/>
      <c r="F7" s="359"/>
      <c r="G7" s="359"/>
      <c r="H7" s="359"/>
      <c r="I7" s="731" t="s">
        <v>324</v>
      </c>
      <c r="J7" s="731"/>
      <c r="K7" s="731"/>
    </row>
    <row r="8" spans="1:11" ht="18.75">
      <c r="A8" s="359"/>
      <c r="B8" s="359"/>
      <c r="C8" s="359"/>
      <c r="D8" s="359"/>
      <c r="E8" s="359"/>
      <c r="F8" s="359"/>
      <c r="G8" s="359"/>
      <c r="H8" s="359"/>
      <c r="I8" s="73" t="s">
        <v>352</v>
      </c>
      <c r="J8" s="73"/>
      <c r="K8" s="73"/>
    </row>
    <row r="9" spans="1:11" ht="18.75">
      <c r="A9" s="359"/>
      <c r="B9" s="359"/>
      <c r="C9" s="359"/>
      <c r="D9" s="359"/>
      <c r="E9" s="359"/>
      <c r="F9" s="359"/>
      <c r="G9" s="359"/>
      <c r="H9" s="359"/>
      <c r="I9" s="359"/>
      <c r="J9" s="359"/>
      <c r="K9" s="359"/>
    </row>
    <row r="10" spans="1:11" ht="18.75">
      <c r="A10" s="359"/>
      <c r="B10" s="586" t="s">
        <v>326</v>
      </c>
      <c r="C10" s="586"/>
      <c r="D10" s="586"/>
      <c r="E10" s="586"/>
      <c r="F10" s="586"/>
      <c r="G10" s="586"/>
      <c r="H10" s="586"/>
      <c r="I10" s="586"/>
      <c r="J10" s="586"/>
      <c r="K10" s="586"/>
    </row>
    <row r="11" spans="1:11" ht="18.75">
      <c r="A11" s="359"/>
      <c r="B11" s="359"/>
      <c r="C11" s="359"/>
      <c r="D11" s="730"/>
      <c r="E11" s="730"/>
      <c r="F11" s="730"/>
      <c r="G11" s="730"/>
      <c r="H11" s="730"/>
      <c r="I11" s="359"/>
      <c r="J11" s="359"/>
      <c r="K11" s="359"/>
    </row>
    <row r="12" spans="1:11" ht="18.75">
      <c r="A12" s="583" t="s">
        <v>32</v>
      </c>
      <c r="B12" s="583" t="s">
        <v>12</v>
      </c>
      <c r="C12" s="583" t="s">
        <v>13</v>
      </c>
      <c r="D12" s="583" t="s">
        <v>14</v>
      </c>
      <c r="E12" s="590" t="s">
        <v>9</v>
      </c>
      <c r="F12" s="590"/>
      <c r="G12" s="590"/>
      <c r="H12" s="590"/>
      <c r="I12" s="590"/>
      <c r="J12" s="665"/>
      <c r="K12" s="588" t="s">
        <v>15</v>
      </c>
    </row>
    <row r="13" spans="1:11" ht="12.75">
      <c r="A13" s="584"/>
      <c r="B13" s="584"/>
      <c r="C13" s="584"/>
      <c r="D13" s="584"/>
      <c r="E13" s="583" t="s">
        <v>327</v>
      </c>
      <c r="F13" s="583" t="s">
        <v>328</v>
      </c>
      <c r="G13" s="583" t="s">
        <v>27</v>
      </c>
      <c r="H13" s="583" t="s">
        <v>28</v>
      </c>
      <c r="I13" s="583" t="s">
        <v>29</v>
      </c>
      <c r="J13" s="588" t="s">
        <v>329</v>
      </c>
      <c r="K13" s="588"/>
    </row>
    <row r="14" spans="1:11" ht="39" customHeight="1">
      <c r="A14" s="585"/>
      <c r="B14" s="585"/>
      <c r="C14" s="585"/>
      <c r="D14" s="585"/>
      <c r="E14" s="585"/>
      <c r="F14" s="585"/>
      <c r="G14" s="585"/>
      <c r="H14" s="585"/>
      <c r="I14" s="585"/>
      <c r="J14" s="588"/>
      <c r="K14" s="588"/>
    </row>
    <row r="15" spans="1:11" ht="70.5" customHeight="1">
      <c r="A15" s="36">
        <v>1</v>
      </c>
      <c r="B15" s="61" t="s">
        <v>330</v>
      </c>
      <c r="C15" s="36" t="s">
        <v>16</v>
      </c>
      <c r="D15" s="62">
        <f>SUM(E15:J15)</f>
        <v>0</v>
      </c>
      <c r="E15" s="63">
        <f>490.67-490.67</f>
        <v>0</v>
      </c>
      <c r="F15" s="104"/>
      <c r="G15" s="103"/>
      <c r="H15" s="103"/>
      <c r="I15" s="103"/>
      <c r="J15" s="103"/>
      <c r="K15" s="36" t="s">
        <v>331</v>
      </c>
    </row>
    <row r="16" spans="1:11" ht="69.75" customHeight="1" hidden="1">
      <c r="A16" s="36">
        <v>2</v>
      </c>
      <c r="B16" s="61" t="s">
        <v>50</v>
      </c>
      <c r="C16" s="36" t="s">
        <v>16</v>
      </c>
      <c r="D16" s="102">
        <f>SUM(E16:J16)</f>
        <v>0</v>
      </c>
      <c r="E16" s="104">
        <v>0</v>
      </c>
      <c r="F16" s="103"/>
      <c r="G16" s="103"/>
      <c r="H16" s="103"/>
      <c r="I16" s="103"/>
      <c r="J16" s="103"/>
      <c r="K16" s="36" t="s">
        <v>43</v>
      </c>
    </row>
    <row r="17" spans="1:11" ht="74.25" customHeight="1" hidden="1">
      <c r="A17" s="36">
        <v>3</v>
      </c>
      <c r="B17" s="105" t="s">
        <v>51</v>
      </c>
      <c r="C17" s="106" t="s">
        <v>16</v>
      </c>
      <c r="D17" s="102">
        <f>SUM(E17:J17)</f>
        <v>0</v>
      </c>
      <c r="E17" s="107">
        <v>0</v>
      </c>
      <c r="F17" s="103"/>
      <c r="G17" s="103"/>
      <c r="H17" s="103"/>
      <c r="I17" s="103"/>
      <c r="J17" s="103"/>
      <c r="K17" s="36" t="s">
        <v>332</v>
      </c>
    </row>
    <row r="18" spans="1:11" ht="18.75">
      <c r="A18" s="360"/>
      <c r="B18" s="60" t="s">
        <v>5</v>
      </c>
      <c r="C18" s="71"/>
      <c r="D18" s="102">
        <f>D15</f>
        <v>0</v>
      </c>
      <c r="E18" s="144">
        <f aca="true" t="shared" si="0" ref="E18:J18">E15</f>
        <v>0</v>
      </c>
      <c r="F18" s="102">
        <f t="shared" si="0"/>
        <v>0</v>
      </c>
      <c r="G18" s="102">
        <f t="shared" si="0"/>
        <v>0</v>
      </c>
      <c r="H18" s="102">
        <f t="shared" si="0"/>
        <v>0</v>
      </c>
      <c r="I18" s="102">
        <f t="shared" si="0"/>
        <v>0</v>
      </c>
      <c r="J18" s="102">
        <f t="shared" si="0"/>
        <v>0</v>
      </c>
      <c r="K18" s="72"/>
    </row>
    <row r="19" spans="1:11" ht="18.75">
      <c r="A19" s="359"/>
      <c r="B19" s="52"/>
      <c r="C19" s="52"/>
      <c r="D19" s="361"/>
      <c r="E19" s="361"/>
      <c r="F19" s="361"/>
      <c r="G19" s="361"/>
      <c r="H19" s="361"/>
      <c r="I19" s="361"/>
      <c r="J19" s="361"/>
      <c r="K19" s="362"/>
    </row>
    <row r="20" spans="2:11" ht="18.75">
      <c r="B20" s="609" t="s">
        <v>18</v>
      </c>
      <c r="C20" s="609"/>
      <c r="D20" s="385"/>
      <c r="E20" s="8"/>
      <c r="F20" s="8"/>
      <c r="G20" s="9"/>
      <c r="H20" s="9"/>
      <c r="I20" s="9"/>
      <c r="J20" s="48"/>
      <c r="K20" s="48" t="s">
        <v>30</v>
      </c>
    </row>
    <row r="21" spans="2:11" ht="12.75" customHeight="1">
      <c r="B21" s="385"/>
      <c r="C21" s="385"/>
      <c r="D21" s="385"/>
      <c r="E21" s="8"/>
      <c r="F21" s="8"/>
      <c r="G21" s="9"/>
      <c r="H21" s="9"/>
      <c r="I21" s="9"/>
      <c r="J21" s="48"/>
      <c r="K21" s="48"/>
    </row>
    <row r="22" spans="2:11" ht="18.75" customHeight="1" hidden="1">
      <c r="B22" s="385"/>
      <c r="C22" s="385"/>
      <c r="D22" s="385"/>
      <c r="E22" s="8"/>
      <c r="F22" s="8"/>
      <c r="G22" s="9"/>
      <c r="H22" s="9"/>
      <c r="I22" s="9"/>
      <c r="J22" s="48"/>
      <c r="K22" s="48"/>
    </row>
    <row r="23" spans="2:11" ht="18.75" customHeight="1" hidden="1">
      <c r="B23" s="385"/>
      <c r="C23" s="385"/>
      <c r="D23" s="385"/>
      <c r="E23" s="8"/>
      <c r="F23" s="8"/>
      <c r="G23" s="9"/>
      <c r="H23" s="9"/>
      <c r="I23" s="9"/>
      <c r="J23" s="48"/>
      <c r="K23" s="48"/>
    </row>
    <row r="24" spans="2:11" ht="23.25" customHeight="1" hidden="1">
      <c r="B24" s="385"/>
      <c r="C24" s="385"/>
      <c r="D24" s="385"/>
      <c r="E24" s="8"/>
      <c r="F24" s="8"/>
      <c r="G24" s="9"/>
      <c r="H24" s="9"/>
      <c r="I24" s="9"/>
      <c r="J24" s="48"/>
      <c r="K24" s="48"/>
    </row>
    <row r="25" spans="2:11" ht="18.75">
      <c r="B25" s="385"/>
      <c r="C25" s="385"/>
      <c r="D25" s="385"/>
      <c r="E25" s="8"/>
      <c r="F25" s="8"/>
      <c r="G25" s="9"/>
      <c r="H25" s="9"/>
      <c r="I25" s="9"/>
      <c r="J25" s="48"/>
      <c r="K25" s="48"/>
    </row>
    <row r="26" spans="2:11" ht="18.75">
      <c r="B26" s="664" t="s">
        <v>17</v>
      </c>
      <c r="C26" s="664"/>
      <c r="D26" s="49"/>
      <c r="E26" s="7"/>
      <c r="F26" s="7"/>
      <c r="G26" s="7"/>
      <c r="H26" s="7"/>
      <c r="I26" s="7"/>
      <c r="J26" s="1"/>
      <c r="K26" s="1"/>
    </row>
    <row r="27" spans="2:11" ht="15.75">
      <c r="B27" s="171" t="s">
        <v>10</v>
      </c>
      <c r="C27" s="171"/>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B20:C20"/>
    <mergeCell ref="B26:C26"/>
    <mergeCell ref="A12:A14"/>
    <mergeCell ref="B12:B14"/>
    <mergeCell ref="C12:C14"/>
    <mergeCell ref="D12:D14"/>
    <mergeCell ref="J13:J14"/>
    <mergeCell ref="I13:I14"/>
    <mergeCell ref="K12:K14"/>
    <mergeCell ref="I4:K4"/>
    <mergeCell ref="I5:K5"/>
    <mergeCell ref="I6:K6"/>
    <mergeCell ref="I7:K7"/>
    <mergeCell ref="I1:K1"/>
    <mergeCell ref="I2:K2"/>
    <mergeCell ref="I3:K3"/>
    <mergeCell ref="F13:F14"/>
    <mergeCell ref="B10:K10"/>
    <mergeCell ref="D11:H11"/>
    <mergeCell ref="E13:E14"/>
    <mergeCell ref="G13:G14"/>
    <mergeCell ref="H13:H14"/>
    <mergeCell ref="E12:J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6.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59"/>
      <c r="B1" s="359"/>
      <c r="C1" s="359"/>
      <c r="D1" s="359"/>
      <c r="E1" s="359"/>
      <c r="F1" s="359"/>
      <c r="G1" s="359"/>
      <c r="H1" s="359"/>
      <c r="I1" s="241" t="s">
        <v>19</v>
      </c>
      <c r="J1" s="728" t="s">
        <v>333</v>
      </c>
      <c r="K1" s="728"/>
    </row>
    <row r="2" spans="1:11" ht="18.75">
      <c r="A2" s="359"/>
      <c r="B2" s="359"/>
      <c r="C2" s="359"/>
      <c r="D2" s="359"/>
      <c r="E2" s="359"/>
      <c r="F2" s="359"/>
      <c r="G2" s="359"/>
      <c r="H2" s="359"/>
      <c r="I2" s="241"/>
      <c r="J2" s="183" t="s">
        <v>11</v>
      </c>
      <c r="K2" s="330"/>
    </row>
    <row r="3" spans="1:11" ht="18.75">
      <c r="A3" s="359"/>
      <c r="B3" s="359"/>
      <c r="C3" s="359"/>
      <c r="D3" s="359"/>
      <c r="E3" s="359"/>
      <c r="F3" s="359"/>
      <c r="G3" s="359"/>
      <c r="H3" s="359"/>
      <c r="I3" s="59" t="s">
        <v>11</v>
      </c>
      <c r="J3" s="729" t="s">
        <v>322</v>
      </c>
      <c r="K3" s="729"/>
    </row>
    <row r="4" spans="1:11" ht="18.75">
      <c r="A4" s="359"/>
      <c r="B4" s="359"/>
      <c r="C4" s="359"/>
      <c r="D4" s="359"/>
      <c r="E4" s="359"/>
      <c r="F4" s="359"/>
      <c r="G4" s="359"/>
      <c r="H4" s="359"/>
      <c r="I4" s="59" t="s">
        <v>20</v>
      </c>
      <c r="J4" s="729" t="s">
        <v>33</v>
      </c>
      <c r="K4" s="729"/>
    </row>
    <row r="5" spans="1:11" ht="18.75">
      <c r="A5" s="359"/>
      <c r="B5" s="359"/>
      <c r="C5" s="359"/>
      <c r="D5" s="359"/>
      <c r="E5" s="359"/>
      <c r="F5" s="359"/>
      <c r="G5" s="359"/>
      <c r="H5" s="359"/>
      <c r="I5" s="59" t="s">
        <v>21</v>
      </c>
      <c r="J5" s="729" t="s">
        <v>8</v>
      </c>
      <c r="K5" s="729"/>
    </row>
    <row r="6" spans="1:11" ht="18.75">
      <c r="A6" s="359"/>
      <c r="B6" s="359"/>
      <c r="C6" s="359"/>
      <c r="D6" s="359"/>
      <c r="E6" s="359"/>
      <c r="F6" s="359"/>
      <c r="G6" s="359"/>
      <c r="H6" s="359"/>
      <c r="I6" s="59" t="s">
        <v>23</v>
      </c>
      <c r="J6" s="729" t="s">
        <v>323</v>
      </c>
      <c r="K6" s="729"/>
    </row>
    <row r="7" spans="1:11" ht="18.75">
      <c r="A7" s="359"/>
      <c r="B7" s="359"/>
      <c r="C7" s="359"/>
      <c r="D7" s="359"/>
      <c r="E7" s="359"/>
      <c r="F7" s="359"/>
      <c r="G7" s="359"/>
      <c r="H7" s="359"/>
      <c r="I7" s="59" t="s">
        <v>24</v>
      </c>
      <c r="J7" s="731" t="s">
        <v>324</v>
      </c>
      <c r="K7" s="729"/>
    </row>
    <row r="8" spans="1:11" ht="18.75">
      <c r="A8" s="359"/>
      <c r="B8" s="359"/>
      <c r="C8" s="359"/>
      <c r="D8" s="359"/>
      <c r="E8" s="359"/>
      <c r="F8" s="359"/>
      <c r="G8" s="359"/>
      <c r="H8" s="359"/>
      <c r="I8" s="59" t="s">
        <v>25</v>
      </c>
      <c r="J8" s="359" t="s">
        <v>325</v>
      </c>
      <c r="K8" s="59"/>
    </row>
    <row r="9" spans="1:11" ht="18.75">
      <c r="A9" s="359"/>
      <c r="B9" s="359"/>
      <c r="C9" s="359"/>
      <c r="D9" s="359"/>
      <c r="E9" s="359"/>
      <c r="F9" s="359"/>
      <c r="G9" s="359"/>
      <c r="H9" s="359"/>
      <c r="I9" s="359"/>
      <c r="J9" s="359"/>
      <c r="K9" s="359"/>
    </row>
    <row r="10" spans="1:11" ht="18.75">
      <c r="A10" s="359"/>
      <c r="B10" s="586" t="s">
        <v>334</v>
      </c>
      <c r="C10" s="586"/>
      <c r="D10" s="586"/>
      <c r="E10" s="586"/>
      <c r="F10" s="586"/>
      <c r="G10" s="586"/>
      <c r="H10" s="586"/>
      <c r="I10" s="586"/>
      <c r="J10" s="586"/>
      <c r="K10" s="586"/>
    </row>
    <row r="11" spans="1:11" ht="18.75">
      <c r="A11" s="359"/>
      <c r="B11" s="359"/>
      <c r="C11" s="359"/>
      <c r="D11" s="730"/>
      <c r="E11" s="730"/>
      <c r="F11" s="730"/>
      <c r="G11" s="730"/>
      <c r="H11" s="730"/>
      <c r="I11" s="359"/>
      <c r="J11" s="359"/>
      <c r="K11" s="359"/>
    </row>
    <row r="12" spans="1:11" ht="18.75">
      <c r="A12" s="583" t="s">
        <v>32</v>
      </c>
      <c r="B12" s="583" t="s">
        <v>12</v>
      </c>
      <c r="C12" s="583" t="s">
        <v>13</v>
      </c>
      <c r="D12" s="583" t="s">
        <v>14</v>
      </c>
      <c r="E12" s="590" t="s">
        <v>9</v>
      </c>
      <c r="F12" s="590"/>
      <c r="G12" s="590"/>
      <c r="H12" s="590"/>
      <c r="I12" s="590"/>
      <c r="J12" s="665"/>
      <c r="K12" s="588" t="s">
        <v>15</v>
      </c>
    </row>
    <row r="13" spans="1:11" ht="12.75">
      <c r="A13" s="584"/>
      <c r="B13" s="584"/>
      <c r="C13" s="584"/>
      <c r="D13" s="584"/>
      <c r="E13" s="583" t="s">
        <v>327</v>
      </c>
      <c r="F13" s="583" t="s">
        <v>328</v>
      </c>
      <c r="G13" s="583" t="s">
        <v>27</v>
      </c>
      <c r="H13" s="583" t="s">
        <v>28</v>
      </c>
      <c r="I13" s="583" t="s">
        <v>29</v>
      </c>
      <c r="J13" s="588" t="s">
        <v>329</v>
      </c>
      <c r="K13" s="588"/>
    </row>
    <row r="14" spans="1:11" ht="37.5" customHeight="1">
      <c r="A14" s="585"/>
      <c r="B14" s="585"/>
      <c r="C14" s="585"/>
      <c r="D14" s="585"/>
      <c r="E14" s="585"/>
      <c r="F14" s="585"/>
      <c r="G14" s="585"/>
      <c r="H14" s="585"/>
      <c r="I14" s="585"/>
      <c r="J14" s="588"/>
      <c r="K14" s="588"/>
    </row>
    <row r="15" spans="1:11" ht="66.75" customHeight="1">
      <c r="A15" s="36">
        <v>1</v>
      </c>
      <c r="B15" s="61" t="s">
        <v>335</v>
      </c>
      <c r="C15" s="36" t="s">
        <v>16</v>
      </c>
      <c r="D15" s="62">
        <f>SUM(E15:J15)</f>
        <v>2178</v>
      </c>
      <c r="E15" s="63">
        <v>2178</v>
      </c>
      <c r="F15" s="104"/>
      <c r="G15" s="103"/>
      <c r="H15" s="103"/>
      <c r="I15" s="103"/>
      <c r="J15" s="103"/>
      <c r="K15" s="36" t="s">
        <v>331</v>
      </c>
    </row>
    <row r="16" spans="1:11" ht="66.75" customHeight="1" hidden="1">
      <c r="A16" s="36">
        <v>2</v>
      </c>
      <c r="B16" s="61" t="s">
        <v>50</v>
      </c>
      <c r="C16" s="36" t="s">
        <v>16</v>
      </c>
      <c r="D16" s="102">
        <f>SUM(E16:J16)</f>
        <v>0</v>
      </c>
      <c r="E16" s="104">
        <v>0</v>
      </c>
      <c r="F16" s="103"/>
      <c r="G16" s="103"/>
      <c r="H16" s="103"/>
      <c r="I16" s="103"/>
      <c r="J16" s="103"/>
      <c r="K16" s="36" t="s">
        <v>43</v>
      </c>
    </row>
    <row r="17" spans="1:11" ht="66.75" customHeight="1" hidden="1">
      <c r="A17" s="36">
        <v>3</v>
      </c>
      <c r="B17" s="105" t="s">
        <v>51</v>
      </c>
      <c r="C17" s="106" t="s">
        <v>16</v>
      </c>
      <c r="D17" s="102">
        <f>SUM(E17:J17)</f>
        <v>0</v>
      </c>
      <c r="E17" s="107">
        <v>0</v>
      </c>
      <c r="F17" s="103"/>
      <c r="G17" s="103"/>
      <c r="H17" s="103"/>
      <c r="I17" s="103"/>
      <c r="J17" s="103"/>
      <c r="K17" s="36" t="s">
        <v>332</v>
      </c>
    </row>
    <row r="18" spans="1:11" ht="66.75" customHeight="1">
      <c r="A18" s="360"/>
      <c r="B18" s="60" t="s">
        <v>5</v>
      </c>
      <c r="C18" s="71"/>
      <c r="D18" s="102">
        <f>D15</f>
        <v>2178</v>
      </c>
      <c r="E18" s="144">
        <f aca="true" t="shared" si="0" ref="E18:J18">E15</f>
        <v>2178</v>
      </c>
      <c r="F18" s="102">
        <f t="shared" si="0"/>
        <v>0</v>
      </c>
      <c r="G18" s="102">
        <f t="shared" si="0"/>
        <v>0</v>
      </c>
      <c r="H18" s="102">
        <f t="shared" si="0"/>
        <v>0</v>
      </c>
      <c r="I18" s="102">
        <f t="shared" si="0"/>
        <v>0</v>
      </c>
      <c r="J18" s="102">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732" t="s">
        <v>18</v>
      </c>
      <c r="C24" s="732"/>
      <c r="D24" s="336"/>
      <c r="E24" s="337"/>
      <c r="F24" s="337"/>
      <c r="G24" s="338"/>
      <c r="H24" s="338"/>
      <c r="I24" s="338"/>
      <c r="J24" s="363"/>
      <c r="K24" s="363" t="s">
        <v>7</v>
      </c>
    </row>
  </sheetData>
  <sheetProtection/>
  <mergeCells count="21">
    <mergeCell ref="A12:A14"/>
    <mergeCell ref="B12:B14"/>
    <mergeCell ref="C12:C14"/>
    <mergeCell ref="D12:D14"/>
    <mergeCell ref="E12:J12"/>
    <mergeCell ref="J13:J14"/>
    <mergeCell ref="F13:F14"/>
    <mergeCell ref="B24:C24"/>
    <mergeCell ref="B10:K10"/>
    <mergeCell ref="D11:H11"/>
    <mergeCell ref="J7:K7"/>
    <mergeCell ref="E13:E14"/>
    <mergeCell ref="G13:G14"/>
    <mergeCell ref="H13:H14"/>
    <mergeCell ref="J1:K1"/>
    <mergeCell ref="J3:K3"/>
    <mergeCell ref="J4:K4"/>
    <mergeCell ref="J5:K5"/>
    <mergeCell ref="J6:K6"/>
    <mergeCell ref="I13:I14"/>
    <mergeCell ref="K12:K1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K27"/>
  <sheetViews>
    <sheetView zoomScalePageLayoutView="0" workbookViewId="0" topLeftCell="A1">
      <selection activeCell="A1" sqref="A1:K27"/>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359"/>
      <c r="B1" s="359"/>
      <c r="C1" s="359"/>
      <c r="D1" s="359"/>
      <c r="E1" s="359"/>
      <c r="F1" s="359"/>
      <c r="G1" s="359"/>
      <c r="H1" s="359"/>
      <c r="I1" s="241" t="s">
        <v>19</v>
      </c>
      <c r="J1" s="728" t="s">
        <v>510</v>
      </c>
      <c r="K1" s="728"/>
    </row>
    <row r="2" spans="1:11" ht="17.25" customHeight="1">
      <c r="A2" s="359"/>
      <c r="B2" s="359"/>
      <c r="C2" s="359"/>
      <c r="D2" s="359"/>
      <c r="E2" s="359"/>
      <c r="F2" s="359"/>
      <c r="G2" s="359"/>
      <c r="H2" s="359"/>
      <c r="I2" s="241"/>
      <c r="J2" s="183" t="s">
        <v>11</v>
      </c>
      <c r="K2" s="330"/>
    </row>
    <row r="3" spans="1:11" ht="15.75" customHeight="1">
      <c r="A3" s="359"/>
      <c r="B3" s="359"/>
      <c r="C3" s="359"/>
      <c r="D3" s="359"/>
      <c r="E3" s="359"/>
      <c r="F3" s="359"/>
      <c r="G3" s="359"/>
      <c r="H3" s="359"/>
      <c r="I3" s="241"/>
      <c r="J3" s="733" t="s">
        <v>722</v>
      </c>
      <c r="K3" s="733"/>
    </row>
    <row r="4" spans="1:11" ht="18.75">
      <c r="A4" s="359"/>
      <c r="B4" s="359"/>
      <c r="C4" s="359"/>
      <c r="D4" s="359"/>
      <c r="E4" s="359"/>
      <c r="F4" s="359"/>
      <c r="G4" s="359"/>
      <c r="H4" s="359"/>
      <c r="I4" s="59" t="s">
        <v>20</v>
      </c>
      <c r="J4" s="729" t="s">
        <v>681</v>
      </c>
      <c r="K4" s="729"/>
    </row>
    <row r="5" spans="1:11" ht="18.75">
      <c r="A5" s="359"/>
      <c r="B5" s="359"/>
      <c r="C5" s="359"/>
      <c r="D5" s="359"/>
      <c r="E5" s="359"/>
      <c r="F5" s="359"/>
      <c r="G5" s="359"/>
      <c r="H5" s="359"/>
      <c r="I5" s="59" t="s">
        <v>21</v>
      </c>
      <c r="J5" s="729" t="s">
        <v>695</v>
      </c>
      <c r="K5" s="729"/>
    </row>
    <row r="6" spans="1:11" ht="18.75">
      <c r="A6" s="359"/>
      <c r="B6" s="359"/>
      <c r="C6" s="359"/>
      <c r="D6" s="359"/>
      <c r="E6" s="359"/>
      <c r="F6" s="359"/>
      <c r="G6" s="359"/>
      <c r="H6" s="359"/>
      <c r="I6" s="59" t="s">
        <v>23</v>
      </c>
      <c r="J6" s="729" t="s">
        <v>683</v>
      </c>
      <c r="K6" s="729"/>
    </row>
    <row r="7" spans="1:11" ht="18.75">
      <c r="A7" s="359"/>
      <c r="B7" s="359"/>
      <c r="C7" s="359"/>
      <c r="D7" s="359"/>
      <c r="E7" s="359"/>
      <c r="F7" s="359"/>
      <c r="G7" s="359"/>
      <c r="H7" s="359"/>
      <c r="I7" s="59"/>
      <c r="J7" s="541" t="s">
        <v>684</v>
      </c>
      <c r="K7" s="541"/>
    </row>
    <row r="8" spans="1:11" ht="18.75">
      <c r="A8" s="359"/>
      <c r="B8" s="359"/>
      <c r="C8" s="359"/>
      <c r="D8" s="359"/>
      <c r="E8" s="359"/>
      <c r="F8" s="359"/>
      <c r="G8" s="359"/>
      <c r="H8" s="359"/>
      <c r="I8" s="59"/>
      <c r="J8" s="541" t="s">
        <v>685</v>
      </c>
      <c r="K8" s="541"/>
    </row>
    <row r="9" spans="1:11" ht="18.75">
      <c r="A9" s="359"/>
      <c r="B9" s="359"/>
      <c r="C9" s="359"/>
      <c r="D9" s="359"/>
      <c r="E9" s="359"/>
      <c r="F9" s="359"/>
      <c r="G9" s="359"/>
      <c r="H9" s="359"/>
      <c r="I9" s="59" t="s">
        <v>25</v>
      </c>
      <c r="J9" s="359" t="s">
        <v>709</v>
      </c>
      <c r="K9" s="59"/>
    </row>
    <row r="10" spans="1:11" ht="18.75">
      <c r="A10" s="359"/>
      <c r="B10" s="359"/>
      <c r="C10" s="359"/>
      <c r="D10" s="359"/>
      <c r="E10" s="359"/>
      <c r="F10" s="359"/>
      <c r="G10" s="359"/>
      <c r="H10" s="359"/>
      <c r="I10" s="359"/>
      <c r="J10" s="359"/>
      <c r="K10" s="359"/>
    </row>
    <row r="11" spans="1:11" ht="18.75">
      <c r="A11" s="359"/>
      <c r="B11" s="586" t="s">
        <v>487</v>
      </c>
      <c r="C11" s="586"/>
      <c r="D11" s="586"/>
      <c r="E11" s="586"/>
      <c r="F11" s="586"/>
      <c r="G11" s="586"/>
      <c r="H11" s="586"/>
      <c r="I11" s="586"/>
      <c r="J11" s="586"/>
      <c r="K11" s="586"/>
    </row>
    <row r="12" spans="1:11" ht="18.75">
      <c r="A12" s="359"/>
      <c r="B12" s="359"/>
      <c r="C12" s="359"/>
      <c r="D12" s="730"/>
      <c r="E12" s="730"/>
      <c r="F12" s="730"/>
      <c r="G12" s="730"/>
      <c r="H12" s="730"/>
      <c r="I12" s="359"/>
      <c r="J12" s="359"/>
      <c r="K12" s="359"/>
    </row>
    <row r="13" spans="1:11" ht="18.75">
      <c r="A13" s="583" t="s">
        <v>32</v>
      </c>
      <c r="B13" s="583" t="s">
        <v>12</v>
      </c>
      <c r="C13" s="583" t="s">
        <v>13</v>
      </c>
      <c r="D13" s="583" t="s">
        <v>442</v>
      </c>
      <c r="E13" s="590" t="s">
        <v>9</v>
      </c>
      <c r="F13" s="590"/>
      <c r="G13" s="590"/>
      <c r="H13" s="590"/>
      <c r="I13" s="590"/>
      <c r="J13" s="665"/>
      <c r="K13" s="588" t="s">
        <v>15</v>
      </c>
    </row>
    <row r="14" spans="1:11" ht="12.75">
      <c r="A14" s="584"/>
      <c r="B14" s="584"/>
      <c r="C14" s="584"/>
      <c r="D14" s="584"/>
      <c r="E14" s="639" t="s">
        <v>468</v>
      </c>
      <c r="F14" s="639" t="s">
        <v>473</v>
      </c>
      <c r="G14" s="639" t="s">
        <v>27</v>
      </c>
      <c r="H14" s="639" t="s">
        <v>28</v>
      </c>
      <c r="I14" s="639" t="s">
        <v>29</v>
      </c>
      <c r="J14" s="642" t="s">
        <v>445</v>
      </c>
      <c r="K14" s="588"/>
    </row>
    <row r="15" spans="1:11" ht="18.75" customHeight="1">
      <c r="A15" s="585"/>
      <c r="B15" s="585"/>
      <c r="C15" s="585"/>
      <c r="D15" s="585"/>
      <c r="E15" s="641"/>
      <c r="F15" s="641"/>
      <c r="G15" s="641"/>
      <c r="H15" s="641"/>
      <c r="I15" s="641"/>
      <c r="J15" s="642"/>
      <c r="K15" s="588"/>
    </row>
    <row r="16" spans="1:11" ht="39" customHeight="1">
      <c r="A16" s="578">
        <v>1</v>
      </c>
      <c r="B16" s="578" t="s">
        <v>335</v>
      </c>
      <c r="C16" s="36" t="s">
        <v>16</v>
      </c>
      <c r="D16" s="407">
        <f>SUM(E16:J16)</f>
        <v>3384.58</v>
      </c>
      <c r="E16" s="408">
        <f>2178+70+27.98</f>
        <v>2275.98</v>
      </c>
      <c r="F16" s="104">
        <v>1108.6</v>
      </c>
      <c r="G16" s="103"/>
      <c r="H16" s="103"/>
      <c r="I16" s="103"/>
      <c r="J16" s="103"/>
      <c r="K16" s="578" t="s">
        <v>331</v>
      </c>
    </row>
    <row r="17" spans="1:11" ht="36.75" customHeight="1">
      <c r="A17" s="579"/>
      <c r="B17" s="579"/>
      <c r="C17" s="244" t="s">
        <v>648</v>
      </c>
      <c r="D17" s="407">
        <f>SUM(E17:J17)</f>
        <v>0</v>
      </c>
      <c r="E17" s="408"/>
      <c r="F17" s="104"/>
      <c r="G17" s="103"/>
      <c r="H17" s="103"/>
      <c r="I17" s="103"/>
      <c r="J17" s="103">
        <v>0</v>
      </c>
      <c r="K17" s="579"/>
    </row>
    <row r="18" spans="1:11" ht="18.75">
      <c r="A18" s="360"/>
      <c r="B18" s="60" t="s">
        <v>5</v>
      </c>
      <c r="C18" s="71"/>
      <c r="D18" s="407">
        <f>D16+D17</f>
        <v>3384.58</v>
      </c>
      <c r="E18" s="407">
        <f aca="true" t="shared" si="0" ref="E18:J18">E16+E17</f>
        <v>2275.98</v>
      </c>
      <c r="F18" s="407">
        <f t="shared" si="0"/>
        <v>1108.6</v>
      </c>
      <c r="G18" s="407">
        <f t="shared" si="0"/>
        <v>0</v>
      </c>
      <c r="H18" s="407">
        <f t="shared" si="0"/>
        <v>0</v>
      </c>
      <c r="I18" s="407">
        <f t="shared" si="0"/>
        <v>0</v>
      </c>
      <c r="J18" s="4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18.75">
      <c r="A24" s="14"/>
      <c r="B24" s="554" t="s">
        <v>622</v>
      </c>
      <c r="C24" s="554"/>
      <c r="D24" s="375"/>
      <c r="E24" s="22"/>
      <c r="F24" s="22"/>
      <c r="G24" s="68"/>
      <c r="H24" s="68"/>
      <c r="I24" s="68"/>
      <c r="J24" s="23"/>
      <c r="K24" s="23" t="s">
        <v>30</v>
      </c>
    </row>
    <row r="25" spans="1:11" ht="18.75">
      <c r="A25" s="14"/>
      <c r="B25" s="375"/>
      <c r="C25" s="375"/>
      <c r="D25" s="375"/>
      <c r="E25" s="22"/>
      <c r="F25" s="22"/>
      <c r="G25" s="16"/>
      <c r="H25" s="16"/>
      <c r="I25" s="16"/>
      <c r="J25" s="23"/>
      <c r="K25" s="23"/>
    </row>
    <row r="26" spans="1:11" ht="18.75">
      <c r="A26" s="14"/>
      <c r="B26" s="587" t="s">
        <v>678</v>
      </c>
      <c r="C26" s="587"/>
      <c r="D26" s="25"/>
      <c r="E26" s="26"/>
      <c r="F26" s="26"/>
      <c r="G26" s="26"/>
      <c r="H26" s="26"/>
      <c r="I26" s="26"/>
      <c r="J26" s="15"/>
      <c r="K26" s="15"/>
    </row>
    <row r="27" spans="1:11" ht="15.75">
      <c r="A27" s="14"/>
      <c r="B27" s="27" t="s">
        <v>10</v>
      </c>
      <c r="C27" s="27"/>
      <c r="D27" s="26"/>
      <c r="E27" s="26"/>
      <c r="F27" s="26"/>
      <c r="G27" s="26"/>
      <c r="H27" s="26"/>
      <c r="I27" s="26"/>
      <c r="J27" s="15"/>
      <c r="K27" s="15"/>
    </row>
  </sheetData>
  <sheetProtection/>
  <mergeCells count="24">
    <mergeCell ref="D12:H12"/>
    <mergeCell ref="J1:K1"/>
    <mergeCell ref="J4:K4"/>
    <mergeCell ref="J5:K5"/>
    <mergeCell ref="J6:K6"/>
    <mergeCell ref="J3:K3"/>
    <mergeCell ref="B11:K11"/>
    <mergeCell ref="A13:A15"/>
    <mergeCell ref="B13:B15"/>
    <mergeCell ref="C13:C15"/>
    <mergeCell ref="D13:D15"/>
    <mergeCell ref="E13:J13"/>
    <mergeCell ref="B24:C24"/>
    <mergeCell ref="A16:A17"/>
    <mergeCell ref="B16:B17"/>
    <mergeCell ref="B26:C26"/>
    <mergeCell ref="K13:K15"/>
    <mergeCell ref="E14:E15"/>
    <mergeCell ref="F14:F15"/>
    <mergeCell ref="G14:G15"/>
    <mergeCell ref="H14:H15"/>
    <mergeCell ref="I14:I15"/>
    <mergeCell ref="J14:J15"/>
    <mergeCell ref="K16:K17"/>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43" customWidth="1"/>
    <col min="2" max="2" width="46.00390625" style="343" customWidth="1"/>
    <col min="3" max="3" width="13.421875" style="343" hidden="1" customWidth="1"/>
    <col min="4" max="4" width="16.421875" style="343" customWidth="1"/>
    <col min="5" max="6" width="15.7109375" style="343" customWidth="1"/>
    <col min="7" max="7" width="28.28125" style="343" customWidth="1"/>
    <col min="8" max="8" width="63.28125" style="343" customWidth="1"/>
    <col min="9" max="9" width="15.7109375" style="343" customWidth="1"/>
    <col min="10" max="10" width="16.00390625" style="343" customWidth="1"/>
    <col min="11" max="11" width="14.140625" style="343" customWidth="1"/>
    <col min="12" max="12" width="12.421875" style="343" hidden="1" customWidth="1"/>
    <col min="13" max="13" width="14.8515625" style="343" customWidth="1"/>
    <col min="14" max="14" width="14.28125" style="343" customWidth="1"/>
    <col min="15" max="15" width="27.7109375" style="343" customWidth="1"/>
    <col min="16" max="16" width="19.140625" style="343" customWidth="1"/>
    <col min="17" max="17" width="15.140625" style="343" customWidth="1"/>
    <col min="18" max="18" width="14.140625" style="343" customWidth="1"/>
    <col min="19" max="19" width="17.28125" style="343" customWidth="1"/>
    <col min="20" max="20" width="13.8515625" style="343" customWidth="1"/>
  </cols>
  <sheetData>
    <row r="1" spans="1:12" s="343" customFormat="1" ht="20.25" customHeight="1">
      <c r="A1" s="331"/>
      <c r="B1" s="331"/>
      <c r="C1" s="331"/>
      <c r="D1" s="370"/>
      <c r="E1" s="345"/>
      <c r="F1" s="345"/>
      <c r="G1" s="369"/>
      <c r="H1" s="369"/>
      <c r="I1" s="369"/>
      <c r="J1" s="369"/>
      <c r="K1" s="369"/>
      <c r="L1" s="369"/>
    </row>
    <row r="2" spans="1:12" s="343" customFormat="1" ht="38.25" customHeight="1">
      <c r="A2" s="553" t="s">
        <v>345</v>
      </c>
      <c r="B2" s="553"/>
      <c r="C2" s="553"/>
      <c r="D2" s="553"/>
      <c r="E2" s="553"/>
      <c r="F2" s="553"/>
      <c r="G2" s="553"/>
      <c r="H2" s="553"/>
      <c r="I2" s="369"/>
      <c r="J2" s="369"/>
      <c r="K2" s="369"/>
      <c r="L2" s="369"/>
    </row>
    <row r="3" spans="1:12" s="343" customFormat="1" ht="20.25" customHeight="1">
      <c r="A3" s="331"/>
      <c r="B3" s="331"/>
      <c r="C3" s="331"/>
      <c r="D3" s="370"/>
      <c r="E3" s="331"/>
      <c r="F3" s="331"/>
      <c r="G3" s="369"/>
      <c r="H3" s="369"/>
      <c r="I3" s="369"/>
      <c r="J3" s="369"/>
      <c r="K3" s="369"/>
      <c r="L3" s="369"/>
    </row>
    <row r="4" spans="1:12" s="343" customFormat="1" ht="20.25" customHeight="1">
      <c r="A4" s="331"/>
      <c r="B4" s="331"/>
      <c r="C4" s="331"/>
      <c r="D4" s="370"/>
      <c r="E4" s="331"/>
      <c r="F4" s="331"/>
      <c r="G4" s="369"/>
      <c r="H4" s="424" t="s">
        <v>427</v>
      </c>
      <c r="I4" s="369"/>
      <c r="J4" s="369"/>
      <c r="K4" s="369"/>
      <c r="L4" s="369"/>
    </row>
    <row r="5" spans="1:12" s="343" customFormat="1" ht="40.5" customHeight="1">
      <c r="A5" s="572" t="s">
        <v>6</v>
      </c>
      <c r="B5" s="561" t="s">
        <v>136</v>
      </c>
      <c r="C5" s="561" t="s">
        <v>13</v>
      </c>
      <c r="D5" s="365" t="s">
        <v>346</v>
      </c>
      <c r="E5" s="373" t="s">
        <v>347</v>
      </c>
      <c r="F5" s="561" t="s">
        <v>421</v>
      </c>
      <c r="G5" s="572" t="s">
        <v>424</v>
      </c>
      <c r="H5" s="561" t="s">
        <v>348</v>
      </c>
      <c r="I5" s="369"/>
      <c r="J5" s="369"/>
      <c r="K5" s="369"/>
      <c r="L5" s="369"/>
    </row>
    <row r="6" spans="1:12" s="343" customFormat="1" ht="20.25" customHeight="1">
      <c r="A6" s="572"/>
      <c r="B6" s="562"/>
      <c r="C6" s="562"/>
      <c r="D6" s="561">
        <v>2018</v>
      </c>
      <c r="E6" s="570">
        <v>2018</v>
      </c>
      <c r="F6" s="562"/>
      <c r="G6" s="572"/>
      <c r="H6" s="562"/>
      <c r="I6" s="369"/>
      <c r="J6" s="369"/>
      <c r="K6" s="369"/>
      <c r="L6" s="369"/>
    </row>
    <row r="7" spans="1:12" s="343" customFormat="1" ht="20.25" customHeight="1">
      <c r="A7" s="572"/>
      <c r="B7" s="563"/>
      <c r="C7" s="563"/>
      <c r="D7" s="563"/>
      <c r="E7" s="571"/>
      <c r="F7" s="563"/>
      <c r="G7" s="572"/>
      <c r="H7" s="563"/>
      <c r="I7" s="369"/>
      <c r="J7" s="369"/>
      <c r="K7" s="369"/>
      <c r="L7" s="369"/>
    </row>
    <row r="8" spans="1:12" s="343" customFormat="1" ht="51" customHeight="1">
      <c r="A8" s="238">
        <v>1</v>
      </c>
      <c r="B8" s="163" t="s">
        <v>422</v>
      </c>
      <c r="C8" s="165" t="s">
        <v>16</v>
      </c>
      <c r="D8" s="346">
        <v>368473.4</v>
      </c>
      <c r="E8" s="346">
        <v>368400</v>
      </c>
      <c r="F8" s="346">
        <f>E8-D8</f>
        <v>-73.40000000002328</v>
      </c>
      <c r="G8" s="547" t="s">
        <v>425</v>
      </c>
      <c r="H8" s="550" t="s">
        <v>405</v>
      </c>
      <c r="I8" s="369"/>
      <c r="J8" s="369"/>
      <c r="K8" s="369"/>
      <c r="L8" s="369"/>
    </row>
    <row r="9" spans="1:12" s="343" customFormat="1" ht="49.5" customHeight="1">
      <c r="A9" s="300" t="s">
        <v>276</v>
      </c>
      <c r="B9" s="163" t="s">
        <v>88</v>
      </c>
      <c r="C9" s="165"/>
      <c r="D9" s="346">
        <v>50073.4</v>
      </c>
      <c r="E9" s="346">
        <v>50000</v>
      </c>
      <c r="F9" s="346">
        <f>E9-D9</f>
        <v>-73.40000000000146</v>
      </c>
      <c r="G9" s="548"/>
      <c r="H9" s="552"/>
      <c r="I9" s="369"/>
      <c r="J9" s="369"/>
      <c r="K9" s="369"/>
      <c r="L9" s="369"/>
    </row>
    <row r="10" spans="1:12" s="343" customFormat="1" ht="18.75">
      <c r="A10" s="572" t="s">
        <v>5</v>
      </c>
      <c r="B10" s="572"/>
      <c r="C10" s="365"/>
      <c r="D10" s="130">
        <f>SUM(D8:D8)</f>
        <v>368473.4</v>
      </c>
      <c r="E10" s="130">
        <f>SUM(E8:E8)</f>
        <v>368400</v>
      </c>
      <c r="F10" s="130"/>
      <c r="G10" s="374"/>
      <c r="H10" s="374"/>
      <c r="I10" s="369"/>
      <c r="J10" s="369"/>
      <c r="K10" s="369"/>
      <c r="L10" s="369"/>
    </row>
    <row r="11" spans="1:12" s="343" customFormat="1" ht="15.75">
      <c r="A11" s="135"/>
      <c r="B11" s="135"/>
      <c r="C11" s="135"/>
      <c r="D11" s="135"/>
      <c r="E11" s="332"/>
      <c r="F11" s="332"/>
      <c r="G11" s="369"/>
      <c r="H11" s="369"/>
      <c r="I11" s="369"/>
      <c r="J11" s="369"/>
      <c r="K11" s="369"/>
      <c r="L11" s="369"/>
    </row>
    <row r="12" spans="1:12" s="343" customFormat="1" ht="15.75">
      <c r="A12" s="135"/>
      <c r="B12" s="135"/>
      <c r="C12" s="135"/>
      <c r="D12" s="135"/>
      <c r="E12" s="332"/>
      <c r="F12" s="332"/>
      <c r="G12" s="369"/>
      <c r="H12" s="369"/>
      <c r="I12" s="369"/>
      <c r="J12" s="369"/>
      <c r="K12" s="369"/>
      <c r="L12" s="369"/>
    </row>
    <row r="13" spans="1:12" s="343" customFormat="1" ht="15.75">
      <c r="A13" s="135"/>
      <c r="B13" s="135"/>
      <c r="C13" s="135"/>
      <c r="D13" s="135"/>
      <c r="E13" s="136"/>
      <c r="F13" s="136"/>
      <c r="G13" s="369"/>
      <c r="H13" s="369"/>
      <c r="I13" s="369"/>
      <c r="J13" s="369"/>
      <c r="K13" s="369"/>
      <c r="L13" s="369"/>
    </row>
    <row r="14" spans="1:12" s="343" customFormat="1" ht="18.75">
      <c r="A14" s="554" t="s">
        <v>456</v>
      </c>
      <c r="B14" s="554"/>
      <c r="C14" s="375"/>
      <c r="D14" s="22"/>
      <c r="E14" s="185"/>
      <c r="F14" s="185"/>
      <c r="G14" s="68"/>
      <c r="H14" s="241" t="s">
        <v>457</v>
      </c>
      <c r="I14" s="369"/>
      <c r="J14" s="369"/>
      <c r="K14" s="369"/>
      <c r="L14" s="369"/>
    </row>
    <row r="15" spans="1:12" s="343" customFormat="1" ht="18.75">
      <c r="A15" s="376"/>
      <c r="B15" s="376"/>
      <c r="C15" s="376"/>
      <c r="D15" s="377"/>
      <c r="E15" s="136"/>
      <c r="F15" s="136"/>
      <c r="G15" s="339"/>
      <c r="H15" s="369"/>
      <c r="I15" s="369"/>
      <c r="J15" s="369"/>
      <c r="K15" s="369"/>
      <c r="L15" s="369"/>
    </row>
    <row r="16" spans="1:12" s="343" customFormat="1" ht="18.75">
      <c r="A16" s="560"/>
      <c r="B16" s="560"/>
      <c r="C16" s="364"/>
      <c r="D16" s="166"/>
      <c r="E16" s="378"/>
      <c r="F16" s="378"/>
      <c r="G16" s="369"/>
      <c r="H16" s="369"/>
      <c r="I16" s="369"/>
      <c r="J16" s="369"/>
      <c r="K16" s="369"/>
      <c r="L16" s="369"/>
    </row>
    <row r="17" s="343" customFormat="1" ht="15">
      <c r="A17" s="356"/>
    </row>
    <row r="18" s="343" customFormat="1" ht="15">
      <c r="A18" s="356"/>
    </row>
    <row r="19" s="343" customFormat="1" ht="15">
      <c r="A19" s="356"/>
    </row>
    <row r="20" s="343" customFormat="1" ht="15">
      <c r="A20" s="356"/>
    </row>
    <row r="21" s="343" customFormat="1" ht="15">
      <c r="A21" s="356"/>
    </row>
    <row r="22" s="343" customFormat="1" ht="15">
      <c r="A22" s="356"/>
    </row>
    <row r="23" s="343" customFormat="1" ht="15">
      <c r="A23" s="356"/>
    </row>
    <row r="24" s="343" customFormat="1" ht="15">
      <c r="A24" s="356"/>
    </row>
    <row r="25" s="343" customFormat="1" ht="15">
      <c r="A25" s="356"/>
    </row>
    <row r="26" s="343" customFormat="1" ht="15"/>
  </sheetData>
  <sheetProtection/>
  <mergeCells count="14">
    <mergeCell ref="H5:H7"/>
    <mergeCell ref="G8:G9"/>
    <mergeCell ref="H8:H9"/>
    <mergeCell ref="A5:A7"/>
    <mergeCell ref="A2:H2"/>
    <mergeCell ref="A14:B14"/>
    <mergeCell ref="F5:F7"/>
    <mergeCell ref="G5:G7"/>
    <mergeCell ref="A16:B16"/>
    <mergeCell ref="B5:B7"/>
    <mergeCell ref="C5:C7"/>
    <mergeCell ref="D6:D7"/>
    <mergeCell ref="E6:E7"/>
    <mergeCell ref="A10:B10"/>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V83"/>
  <sheetViews>
    <sheetView zoomScale="75" zoomScaleNormal="75" zoomScalePageLayoutView="0" workbookViewId="0" topLeftCell="A29">
      <selection activeCell="A1" sqref="A1:V43"/>
    </sheetView>
  </sheetViews>
  <sheetFormatPr defaultColWidth="9.140625" defaultRowHeight="12.75"/>
  <cols>
    <col min="1" max="1" width="5.00390625" style="343" customWidth="1"/>
    <col min="2" max="2" width="64.140625" style="343" customWidth="1"/>
    <col min="3" max="3" width="21.57421875" style="343" customWidth="1"/>
    <col min="4" max="4" width="13.421875" style="343" hidden="1" customWidth="1"/>
    <col min="5" max="5" width="14.7109375" style="343" customWidth="1"/>
    <col min="6" max="6" width="12.8515625" style="343" customWidth="1"/>
    <col min="7" max="7" width="20.7109375" style="343" customWidth="1"/>
    <col min="8" max="8" width="16.140625" style="343" customWidth="1"/>
    <col min="9" max="9" width="13.7109375" style="343" customWidth="1"/>
    <col min="10" max="10" width="15.28125" style="343" customWidth="1"/>
    <col min="11" max="11" width="12.8515625" style="343" customWidth="1"/>
    <col min="12" max="12" width="16.00390625" style="343" customWidth="1"/>
    <col min="13" max="13" width="14.140625" style="343" customWidth="1"/>
    <col min="14" max="14" width="12.421875" style="343" hidden="1" customWidth="1"/>
    <col min="15" max="15" width="14.8515625" style="343" customWidth="1"/>
    <col min="16" max="16" width="13.140625" style="343" customWidth="1"/>
    <col min="17" max="17" width="21.00390625" style="343" customWidth="1"/>
    <col min="18" max="18" width="14.57421875" style="343" customWidth="1"/>
    <col min="19" max="19" width="14.8515625" style="343" customWidth="1"/>
    <col min="20" max="20" width="13.57421875" style="343" customWidth="1"/>
    <col min="21" max="21" width="17.28125" style="343" customWidth="1"/>
    <col min="22" max="22" width="12.28125" style="343" customWidth="1"/>
  </cols>
  <sheetData>
    <row r="1" spans="1:22" ht="15.75">
      <c r="A1" s="331"/>
      <c r="B1" s="331"/>
      <c r="C1" s="331"/>
      <c r="D1" s="331"/>
      <c r="E1" s="331"/>
      <c r="F1" s="331"/>
      <c r="G1" s="331"/>
      <c r="H1" s="331"/>
      <c r="I1" s="331"/>
      <c r="J1" s="421"/>
      <c r="K1" s="421"/>
      <c r="L1" s="421"/>
      <c r="M1" s="421"/>
      <c r="N1" s="421"/>
      <c r="O1" s="421"/>
      <c r="P1" s="331" t="s">
        <v>81</v>
      </c>
      <c r="Q1" s="342"/>
      <c r="R1" s="421"/>
      <c r="S1" s="421"/>
      <c r="T1" s="421"/>
      <c r="U1" s="421"/>
      <c r="V1" s="421"/>
    </row>
    <row r="2" spans="1:22" ht="9" customHeight="1">
      <c r="A2" s="331"/>
      <c r="B2" s="331"/>
      <c r="C2" s="331"/>
      <c r="D2" s="331"/>
      <c r="E2" s="331"/>
      <c r="F2" s="331"/>
      <c r="G2" s="331"/>
      <c r="H2" s="331"/>
      <c r="I2" s="331"/>
      <c r="J2" s="421"/>
      <c r="K2" s="421"/>
      <c r="L2" s="421"/>
      <c r="M2" s="421"/>
      <c r="N2" s="421"/>
      <c r="O2" s="421"/>
      <c r="P2" s="573" t="s">
        <v>723</v>
      </c>
      <c r="Q2" s="573"/>
      <c r="R2" s="573"/>
      <c r="S2" s="573"/>
      <c r="T2" s="422"/>
      <c r="U2" s="422"/>
      <c r="V2" s="422"/>
    </row>
    <row r="3" spans="1:22" ht="9" customHeight="1">
      <c r="A3" s="331"/>
      <c r="B3" s="331"/>
      <c r="C3" s="331"/>
      <c r="D3" s="331"/>
      <c r="E3" s="331"/>
      <c r="F3" s="331"/>
      <c r="G3" s="331"/>
      <c r="H3" s="331"/>
      <c r="I3" s="331"/>
      <c r="J3" s="421"/>
      <c r="K3" s="421"/>
      <c r="L3" s="421"/>
      <c r="M3" s="421"/>
      <c r="N3" s="421"/>
      <c r="O3" s="421"/>
      <c r="P3" s="573"/>
      <c r="Q3" s="573"/>
      <c r="R3" s="573"/>
      <c r="S3" s="573"/>
      <c r="T3" s="527"/>
      <c r="U3" s="527"/>
      <c r="V3" s="527"/>
    </row>
    <row r="4" spans="1:21" ht="15.75">
      <c r="A4" s="331"/>
      <c r="B4" s="331"/>
      <c r="C4" s="331"/>
      <c r="D4" s="331"/>
      <c r="E4" s="331"/>
      <c r="F4" s="331"/>
      <c r="G4" s="331"/>
      <c r="H4" s="331"/>
      <c r="I4" s="331"/>
      <c r="J4" s="421"/>
      <c r="K4" s="421"/>
      <c r="L4" s="421"/>
      <c r="M4" s="421"/>
      <c r="N4" s="421"/>
      <c r="O4" s="421"/>
      <c r="P4" s="573"/>
      <c r="Q4" s="573"/>
      <c r="R4" s="573"/>
      <c r="S4" s="573"/>
      <c r="T4" s="345"/>
      <c r="U4" s="345"/>
    </row>
    <row r="5" spans="1:21" ht="15.75">
      <c r="A5" s="331"/>
      <c r="B5" s="331"/>
      <c r="C5" s="331"/>
      <c r="D5" s="331"/>
      <c r="E5" s="331"/>
      <c r="F5" s="331"/>
      <c r="G5" s="331"/>
      <c r="H5" s="331"/>
      <c r="I5" s="331"/>
      <c r="J5" s="421"/>
      <c r="K5" s="421"/>
      <c r="L5" s="421"/>
      <c r="M5" s="421"/>
      <c r="N5" s="421"/>
      <c r="O5" s="421"/>
      <c r="P5" s="573"/>
      <c r="Q5" s="573"/>
      <c r="R5" s="573"/>
      <c r="S5" s="573"/>
      <c r="T5" s="345"/>
      <c r="U5" s="345"/>
    </row>
    <row r="6" spans="1:21" ht="15.75">
      <c r="A6" s="331"/>
      <c r="B6" s="331"/>
      <c r="C6" s="331"/>
      <c r="D6" s="331"/>
      <c r="E6" s="331"/>
      <c r="F6" s="331"/>
      <c r="G6" s="331"/>
      <c r="H6" s="331"/>
      <c r="I6" s="331"/>
      <c r="J6" s="421"/>
      <c r="K6" s="421"/>
      <c r="L6" s="421"/>
      <c r="M6" s="421"/>
      <c r="N6" s="421"/>
      <c r="O6" s="421"/>
      <c r="P6" s="573"/>
      <c r="Q6" s="573"/>
      <c r="R6" s="573"/>
      <c r="S6" s="573"/>
      <c r="T6" s="345"/>
      <c r="U6" s="345"/>
    </row>
    <row r="7" spans="1:21" ht="15.75">
      <c r="A7" s="331"/>
      <c r="B7" s="331"/>
      <c r="C7" s="331"/>
      <c r="D7" s="331"/>
      <c r="E7" s="331"/>
      <c r="F7" s="331"/>
      <c r="G7" s="331"/>
      <c r="H7" s="331"/>
      <c r="I7" s="331"/>
      <c r="J7" s="421"/>
      <c r="K7" s="421"/>
      <c r="L7" s="421"/>
      <c r="M7" s="421"/>
      <c r="N7" s="421"/>
      <c r="O7" s="421"/>
      <c r="P7" s="573"/>
      <c r="Q7" s="573"/>
      <c r="R7" s="573"/>
      <c r="S7" s="573"/>
      <c r="T7" s="345"/>
      <c r="U7" s="345"/>
    </row>
    <row r="8" spans="1:21" ht="30" customHeight="1">
      <c r="A8" s="331"/>
      <c r="B8" s="331"/>
      <c r="C8" s="331"/>
      <c r="D8" s="331"/>
      <c r="E8" s="331"/>
      <c r="F8" s="331"/>
      <c r="G8" s="331"/>
      <c r="H8" s="331"/>
      <c r="I8" s="331"/>
      <c r="J8" s="421"/>
      <c r="K8" s="421"/>
      <c r="L8" s="421"/>
      <c r="M8" s="421"/>
      <c r="N8" s="421"/>
      <c r="O8" s="421"/>
      <c r="P8" s="573"/>
      <c r="Q8" s="573"/>
      <c r="R8" s="573"/>
      <c r="S8" s="573"/>
      <c r="T8" s="345"/>
      <c r="U8" s="345"/>
    </row>
    <row r="9" spans="1:21" ht="15.75">
      <c r="A9" s="331"/>
      <c r="B9" s="331"/>
      <c r="C9" s="331"/>
      <c r="D9" s="331"/>
      <c r="E9" s="331"/>
      <c r="F9" s="331"/>
      <c r="G9" s="331"/>
      <c r="H9" s="331"/>
      <c r="I9" s="331"/>
      <c r="J9" s="421"/>
      <c r="K9" s="421"/>
      <c r="L9" s="421"/>
      <c r="M9" s="421"/>
      <c r="N9" s="421"/>
      <c r="O9" s="421"/>
      <c r="P9" s="344"/>
      <c r="Q9" s="422"/>
      <c r="R9" s="422"/>
      <c r="S9" s="422"/>
      <c r="T9" s="345"/>
      <c r="U9" s="345"/>
    </row>
    <row r="10" spans="1:21" ht="15.75" customHeight="1">
      <c r="A10" s="575" t="s">
        <v>621</v>
      </c>
      <c r="B10" s="575"/>
      <c r="C10" s="575"/>
      <c r="D10" s="575"/>
      <c r="E10" s="575"/>
      <c r="F10" s="575"/>
      <c r="G10" s="575"/>
      <c r="H10" s="575"/>
      <c r="I10" s="575"/>
      <c r="J10" s="575"/>
      <c r="K10" s="575"/>
      <c r="L10" s="575"/>
      <c r="M10" s="575"/>
      <c r="N10" s="575"/>
      <c r="O10" s="575"/>
      <c r="P10" s="575"/>
      <c r="Q10" s="575"/>
      <c r="R10" s="575"/>
      <c r="S10" s="575"/>
      <c r="T10" s="575"/>
      <c r="U10" s="575"/>
    </row>
    <row r="11" spans="1:22" ht="15.75">
      <c r="A11" s="331"/>
      <c r="B11" s="331"/>
      <c r="C11" s="331"/>
      <c r="D11" s="331"/>
      <c r="E11" s="331"/>
      <c r="F11" s="331"/>
      <c r="G11" s="331"/>
      <c r="H11" s="331"/>
      <c r="I11" s="331"/>
      <c r="J11" s="331"/>
      <c r="K11" s="331"/>
      <c r="L11" s="331"/>
      <c r="M11" s="331"/>
      <c r="N11" s="576"/>
      <c r="O11" s="576"/>
      <c r="P11" s="576"/>
      <c r="Q11" s="576"/>
      <c r="R11" s="576"/>
      <c r="S11" s="576"/>
      <c r="T11" s="576"/>
      <c r="U11" s="576"/>
      <c r="V11" s="343" t="s">
        <v>426</v>
      </c>
    </row>
    <row r="12" spans="1:22" ht="15.75" customHeight="1">
      <c r="A12" s="561" t="s">
        <v>6</v>
      </c>
      <c r="B12" s="561" t="s">
        <v>136</v>
      </c>
      <c r="C12" s="561" t="s">
        <v>428</v>
      </c>
      <c r="D12" s="425"/>
      <c r="E12" s="555" t="s">
        <v>137</v>
      </c>
      <c r="F12" s="574"/>
      <c r="G12" s="574"/>
      <c r="H12" s="574"/>
      <c r="I12" s="556"/>
      <c r="J12" s="555" t="s">
        <v>9</v>
      </c>
      <c r="K12" s="574"/>
      <c r="L12" s="574"/>
      <c r="M12" s="574"/>
      <c r="N12" s="574"/>
      <c r="O12" s="574"/>
      <c r="P12" s="574"/>
      <c r="Q12" s="574"/>
      <c r="R12" s="574"/>
      <c r="S12" s="574"/>
      <c r="T12" s="574"/>
      <c r="U12" s="574"/>
      <c r="V12" s="556"/>
    </row>
    <row r="13" spans="1:22" ht="15.75" customHeight="1">
      <c r="A13" s="562"/>
      <c r="B13" s="562"/>
      <c r="C13" s="562"/>
      <c r="D13" s="419"/>
      <c r="E13" s="561" t="s">
        <v>138</v>
      </c>
      <c r="F13" s="561" t="s">
        <v>139</v>
      </c>
      <c r="G13" s="561" t="s">
        <v>140</v>
      </c>
      <c r="H13" s="525"/>
      <c r="I13" s="561" t="s">
        <v>267</v>
      </c>
      <c r="J13" s="555" t="s">
        <v>429</v>
      </c>
      <c r="K13" s="574"/>
      <c r="L13" s="574"/>
      <c r="M13" s="556"/>
      <c r="N13" s="561" t="s">
        <v>141</v>
      </c>
      <c r="O13" s="555" t="s">
        <v>430</v>
      </c>
      <c r="P13" s="574"/>
      <c r="Q13" s="574"/>
      <c r="R13" s="556"/>
      <c r="S13" s="555" t="s">
        <v>431</v>
      </c>
      <c r="T13" s="574"/>
      <c r="U13" s="574"/>
      <c r="V13" s="556"/>
    </row>
    <row r="14" spans="1:22" ht="56.25">
      <c r="A14" s="563"/>
      <c r="B14" s="563"/>
      <c r="C14" s="563"/>
      <c r="D14" s="420"/>
      <c r="E14" s="563"/>
      <c r="F14" s="563"/>
      <c r="G14" s="563"/>
      <c r="H14" s="526" t="s">
        <v>657</v>
      </c>
      <c r="I14" s="563"/>
      <c r="J14" s="418" t="s">
        <v>138</v>
      </c>
      <c r="K14" s="418" t="s">
        <v>139</v>
      </c>
      <c r="L14" s="418" t="s">
        <v>140</v>
      </c>
      <c r="M14" s="418" t="s">
        <v>267</v>
      </c>
      <c r="N14" s="563"/>
      <c r="O14" s="418" t="s">
        <v>138</v>
      </c>
      <c r="P14" s="418" t="s">
        <v>139</v>
      </c>
      <c r="Q14" s="418" t="s">
        <v>140</v>
      </c>
      <c r="R14" s="418" t="s">
        <v>267</v>
      </c>
      <c r="S14" s="418" t="s">
        <v>138</v>
      </c>
      <c r="T14" s="418" t="s">
        <v>139</v>
      </c>
      <c r="U14" s="418" t="s">
        <v>657</v>
      </c>
      <c r="V14" s="418" t="s">
        <v>267</v>
      </c>
    </row>
    <row r="15" spans="1:22" ht="37.5">
      <c r="A15" s="238">
        <v>1</v>
      </c>
      <c r="B15" s="169" t="s">
        <v>318</v>
      </c>
      <c r="C15" s="126">
        <f>E15+F15+G15+I15+H15</f>
        <v>1312628.18</v>
      </c>
      <c r="D15" s="126">
        <f>E15+F15+G15</f>
        <v>894112.48</v>
      </c>
      <c r="E15" s="126">
        <f>J15+O15+S15</f>
        <v>202900</v>
      </c>
      <c r="F15" s="126"/>
      <c r="G15" s="126">
        <f>L15+Q15</f>
        <v>691212.48</v>
      </c>
      <c r="H15" s="126">
        <f>U15</f>
        <v>418515.7</v>
      </c>
      <c r="I15" s="130"/>
      <c r="J15" s="126">
        <v>41900</v>
      </c>
      <c r="K15" s="126"/>
      <c r="L15" s="126">
        <f>324400+2000+73.4+100-73.4</f>
        <v>326500</v>
      </c>
      <c r="M15" s="426"/>
      <c r="N15" s="126" t="e">
        <f>#REF!</f>
        <v>#REF!</v>
      </c>
      <c r="O15" s="126">
        <v>41000</v>
      </c>
      <c r="P15" s="126"/>
      <c r="Q15" s="126">
        <f>359992+3650+1000+70.48</f>
        <v>364712.48</v>
      </c>
      <c r="R15" s="126"/>
      <c r="S15" s="126">
        <f>0+120000</f>
        <v>120000</v>
      </c>
      <c r="T15" s="126"/>
      <c r="U15" s="126">
        <f>382915.5-11500-2190+49290.2</f>
        <v>418515.7</v>
      </c>
      <c r="V15" s="427"/>
    </row>
    <row r="16" spans="1:22" ht="37.5">
      <c r="A16" s="238">
        <f>A15+1</f>
        <v>2</v>
      </c>
      <c r="B16" s="169" t="s">
        <v>142</v>
      </c>
      <c r="C16" s="126">
        <f aca="true" t="shared" si="0" ref="C16:C35">E16+F16+G16+I16+H16</f>
        <v>181093.2</v>
      </c>
      <c r="D16" s="126">
        <f aca="true" t="shared" si="1" ref="D16:D26">E16+F16+G16</f>
        <v>105715.9</v>
      </c>
      <c r="E16" s="126">
        <f>J16+O16+S16</f>
        <v>0</v>
      </c>
      <c r="F16" s="126"/>
      <c r="G16" s="126">
        <f aca="true" t="shared" si="2" ref="G16:G35">L16+Q16</f>
        <v>105715.9</v>
      </c>
      <c r="H16" s="126">
        <f aca="true" t="shared" si="3" ref="H16:H35">U16</f>
        <v>75377.3</v>
      </c>
      <c r="I16" s="130"/>
      <c r="J16" s="126"/>
      <c r="K16" s="126"/>
      <c r="L16" s="126">
        <f>55000+750+190</f>
        <v>55940</v>
      </c>
      <c r="M16" s="427"/>
      <c r="N16" s="126">
        <v>4760</v>
      </c>
      <c r="O16" s="126">
        <v>0</v>
      </c>
      <c r="P16" s="126">
        <v>0</v>
      </c>
      <c r="Q16" s="126">
        <f>62000-1000-427-232+1500-1500-4384.6-5.4-96-50-120-5000-130-316.1-367-96</f>
        <v>49775.9</v>
      </c>
      <c r="R16" s="126"/>
      <c r="S16" s="126"/>
      <c r="T16" s="126">
        <v>0</v>
      </c>
      <c r="U16" s="126">
        <f>69000+6377.3</f>
        <v>75377.3</v>
      </c>
      <c r="V16" s="427"/>
    </row>
    <row r="17" spans="1:22" ht="56.25">
      <c r="A17" s="238">
        <f aca="true" t="shared" si="4" ref="A17:A24">A16+1</f>
        <v>3</v>
      </c>
      <c r="B17" s="169" t="s">
        <v>143</v>
      </c>
      <c r="C17" s="126">
        <f t="shared" si="0"/>
        <v>135445.33299999998</v>
      </c>
      <c r="D17" s="126">
        <f t="shared" si="1"/>
        <v>88989.333</v>
      </c>
      <c r="E17" s="126">
        <f aca="true" t="shared" si="5" ref="E17:E23">J17+O17+S17</f>
        <v>0</v>
      </c>
      <c r="F17" s="126">
        <f>K17+P17+T17</f>
        <v>0</v>
      </c>
      <c r="G17" s="126">
        <f t="shared" si="2"/>
        <v>88989.333</v>
      </c>
      <c r="H17" s="126">
        <f t="shared" si="3"/>
        <v>44715</v>
      </c>
      <c r="I17" s="126">
        <f>M17+R17+V17</f>
        <v>1741</v>
      </c>
      <c r="J17" s="126"/>
      <c r="K17" s="126"/>
      <c r="L17" s="37">
        <f>42867+500+138.333-540</f>
        <v>42965.333</v>
      </c>
      <c r="M17" s="428">
        <v>540</v>
      </c>
      <c r="N17" s="126">
        <v>13299.9</v>
      </c>
      <c r="O17" s="126"/>
      <c r="P17" s="126">
        <v>0</v>
      </c>
      <c r="Q17" s="126">
        <f>43416+700+17+350+41+900+600</f>
        <v>46024</v>
      </c>
      <c r="R17" s="126">
        <f>560+41</f>
        <v>601</v>
      </c>
      <c r="S17" s="126"/>
      <c r="T17" s="126"/>
      <c r="U17" s="126">
        <f>44715</f>
        <v>44715</v>
      </c>
      <c r="V17" s="428">
        <v>600</v>
      </c>
    </row>
    <row r="18" spans="1:22" ht="61.5" customHeight="1">
      <c r="A18" s="238">
        <f t="shared" si="4"/>
        <v>4</v>
      </c>
      <c r="B18" s="169" t="s">
        <v>144</v>
      </c>
      <c r="C18" s="126">
        <f t="shared" si="0"/>
        <v>69707.6</v>
      </c>
      <c r="D18" s="126">
        <f t="shared" si="1"/>
        <v>44413.600000000006</v>
      </c>
      <c r="E18" s="126">
        <f t="shared" si="5"/>
        <v>0</v>
      </c>
      <c r="F18" s="126"/>
      <c r="G18" s="126">
        <f t="shared" si="2"/>
        <v>44413.600000000006</v>
      </c>
      <c r="H18" s="126">
        <f t="shared" si="3"/>
        <v>24835</v>
      </c>
      <c r="I18" s="126">
        <f>M18+R18+V18</f>
        <v>459</v>
      </c>
      <c r="J18" s="126"/>
      <c r="K18" s="126"/>
      <c r="L18" s="37">
        <f>21696.7</f>
        <v>21696.7</v>
      </c>
      <c r="M18" s="428">
        <v>116</v>
      </c>
      <c r="N18" s="126">
        <v>117795.5</v>
      </c>
      <c r="O18" s="126"/>
      <c r="P18" s="126"/>
      <c r="Q18" s="126">
        <f>22613.5+98+5.4</f>
        <v>22716.9</v>
      </c>
      <c r="R18" s="126">
        <f>120+98</f>
        <v>218</v>
      </c>
      <c r="S18" s="126"/>
      <c r="T18" s="126"/>
      <c r="U18" s="126">
        <f>23329+1506</f>
        <v>24835</v>
      </c>
      <c r="V18" s="428">
        <v>125</v>
      </c>
    </row>
    <row r="19" spans="1:22" ht="18.75">
      <c r="A19" s="238">
        <f t="shared" si="4"/>
        <v>5</v>
      </c>
      <c r="B19" s="169" t="s">
        <v>145</v>
      </c>
      <c r="C19" s="126">
        <f t="shared" si="0"/>
        <v>23442.4</v>
      </c>
      <c r="D19" s="126">
        <f t="shared" si="1"/>
        <v>14032.4</v>
      </c>
      <c r="E19" s="126">
        <f t="shared" si="5"/>
        <v>0</v>
      </c>
      <c r="F19" s="126"/>
      <c r="G19" s="126">
        <f t="shared" si="2"/>
        <v>14032.4</v>
      </c>
      <c r="H19" s="126">
        <f t="shared" si="3"/>
        <v>9410</v>
      </c>
      <c r="I19" s="130"/>
      <c r="J19" s="126"/>
      <c r="K19" s="126"/>
      <c r="L19" s="37">
        <v>5421.4</v>
      </c>
      <c r="M19" s="427"/>
      <c r="N19" s="126">
        <v>7405.3</v>
      </c>
      <c r="O19" s="126"/>
      <c r="P19" s="126"/>
      <c r="Q19" s="126">
        <f>5500+3000+15+96</f>
        <v>8611</v>
      </c>
      <c r="R19" s="126"/>
      <c r="S19" s="126"/>
      <c r="T19" s="126"/>
      <c r="U19" s="126">
        <f>5660+3750</f>
        <v>9410</v>
      </c>
      <c r="V19" s="427"/>
    </row>
    <row r="20" spans="1:22" ht="37.5">
      <c r="A20" s="238">
        <f t="shared" si="4"/>
        <v>6</v>
      </c>
      <c r="B20" s="169" t="s">
        <v>146</v>
      </c>
      <c r="C20" s="126">
        <f t="shared" si="0"/>
        <v>62103.7</v>
      </c>
      <c r="D20" s="126">
        <f t="shared" si="1"/>
        <v>40283.7</v>
      </c>
      <c r="E20" s="126">
        <f t="shared" si="5"/>
        <v>0</v>
      </c>
      <c r="F20" s="126"/>
      <c r="G20" s="126">
        <f t="shared" si="2"/>
        <v>40283.7</v>
      </c>
      <c r="H20" s="126">
        <f t="shared" si="3"/>
        <v>21820</v>
      </c>
      <c r="I20" s="130"/>
      <c r="J20" s="126"/>
      <c r="K20" s="126"/>
      <c r="L20" s="37">
        <f>20075+25</f>
        <v>20100</v>
      </c>
      <c r="M20" s="427"/>
      <c r="N20" s="126">
        <v>22035.5</v>
      </c>
      <c r="O20" s="126"/>
      <c r="P20" s="126"/>
      <c r="Q20" s="126">
        <f>20255+2928.7-3000</f>
        <v>20183.7</v>
      </c>
      <c r="R20" s="126"/>
      <c r="S20" s="126"/>
      <c r="T20" s="126"/>
      <c r="U20" s="126">
        <f>21575+245</f>
        <v>21820</v>
      </c>
      <c r="V20" s="427"/>
    </row>
    <row r="21" spans="1:22" ht="37.5">
      <c r="A21" s="238">
        <f t="shared" si="4"/>
        <v>7</v>
      </c>
      <c r="B21" s="169" t="s">
        <v>147</v>
      </c>
      <c r="C21" s="126">
        <f t="shared" si="0"/>
        <v>3600</v>
      </c>
      <c r="D21" s="126">
        <f t="shared" si="1"/>
        <v>2200</v>
      </c>
      <c r="E21" s="126">
        <f t="shared" si="5"/>
        <v>0</v>
      </c>
      <c r="F21" s="126"/>
      <c r="G21" s="126">
        <f t="shared" si="2"/>
        <v>2200</v>
      </c>
      <c r="H21" s="126">
        <f t="shared" si="3"/>
        <v>1400</v>
      </c>
      <c r="I21" s="130"/>
      <c r="J21" s="126"/>
      <c r="K21" s="126"/>
      <c r="L21" s="37">
        <v>1000</v>
      </c>
      <c r="M21" s="427"/>
      <c r="N21" s="126">
        <v>13568.2</v>
      </c>
      <c r="O21" s="126"/>
      <c r="P21" s="126"/>
      <c r="Q21" s="126">
        <v>1200</v>
      </c>
      <c r="R21" s="126"/>
      <c r="S21" s="126"/>
      <c r="T21" s="126"/>
      <c r="U21" s="126">
        <v>1400</v>
      </c>
      <c r="V21" s="427"/>
    </row>
    <row r="22" spans="1:22" ht="37.5">
      <c r="A22" s="238">
        <f t="shared" si="4"/>
        <v>8</v>
      </c>
      <c r="B22" s="169" t="s">
        <v>257</v>
      </c>
      <c r="C22" s="126">
        <f t="shared" si="0"/>
        <v>67901</v>
      </c>
      <c r="D22" s="126">
        <f t="shared" si="1"/>
        <v>44301</v>
      </c>
      <c r="E22" s="126">
        <f t="shared" si="5"/>
        <v>20183.8</v>
      </c>
      <c r="F22" s="126"/>
      <c r="G22" s="126">
        <f t="shared" si="2"/>
        <v>24117.2</v>
      </c>
      <c r="H22" s="126">
        <f t="shared" si="3"/>
        <v>23600</v>
      </c>
      <c r="I22" s="130"/>
      <c r="J22" s="126">
        <f>0+5075</f>
        <v>5075</v>
      </c>
      <c r="K22" s="126"/>
      <c r="L22" s="37">
        <f>11780+152.2</f>
        <v>11932.2</v>
      </c>
      <c r="M22" s="427"/>
      <c r="N22" s="126">
        <v>2008.9</v>
      </c>
      <c r="O22" s="126">
        <f>0+6097+6401+20+500+636+670</f>
        <v>14324</v>
      </c>
      <c r="P22" s="126"/>
      <c r="Q22" s="126">
        <f>12000+185</f>
        <v>12185</v>
      </c>
      <c r="R22" s="126"/>
      <c r="S22" s="126">
        <f>575-575+784.8</f>
        <v>784.8</v>
      </c>
      <c r="T22" s="126"/>
      <c r="U22" s="126">
        <f>12100+11500</f>
        <v>23600</v>
      </c>
      <c r="V22" s="427"/>
    </row>
    <row r="23" spans="1:22" ht="37.5">
      <c r="A23" s="238">
        <f t="shared" si="4"/>
        <v>9</v>
      </c>
      <c r="B23" s="169" t="s">
        <v>148</v>
      </c>
      <c r="C23" s="126">
        <f t="shared" si="0"/>
        <v>229972.10000000003</v>
      </c>
      <c r="D23" s="126">
        <f t="shared" si="1"/>
        <v>159972.10000000003</v>
      </c>
      <c r="E23" s="126">
        <f t="shared" si="5"/>
        <v>25963.199999999997</v>
      </c>
      <c r="F23" s="126">
        <f>K23+P23+T23</f>
        <v>0</v>
      </c>
      <c r="G23" s="126">
        <f t="shared" si="2"/>
        <v>134008.90000000002</v>
      </c>
      <c r="H23" s="126">
        <f t="shared" si="3"/>
        <v>70000</v>
      </c>
      <c r="I23" s="130"/>
      <c r="J23" s="126">
        <f>160+1522+8354</f>
        <v>10036</v>
      </c>
      <c r="K23" s="126"/>
      <c r="L23" s="37">
        <f>66045.7+675.6</f>
        <v>66721.3</v>
      </c>
      <c r="M23" s="427"/>
      <c r="N23" s="126">
        <v>882.7</v>
      </c>
      <c r="O23" s="126">
        <f>5339.3+4663.3+4487+990+295</f>
        <v>15774.6</v>
      </c>
      <c r="P23" s="126"/>
      <c r="Q23" s="126">
        <f>68000+742.6-170-1285</f>
        <v>67287.6</v>
      </c>
      <c r="R23" s="126"/>
      <c r="S23" s="126">
        <f>0+152.6</f>
        <v>152.6</v>
      </c>
      <c r="T23" s="126"/>
      <c r="U23" s="126">
        <v>70000</v>
      </c>
      <c r="V23" s="427"/>
    </row>
    <row r="24" spans="1:22" ht="56.25">
      <c r="A24" s="238">
        <f t="shared" si="4"/>
        <v>10</v>
      </c>
      <c r="B24" s="169" t="s">
        <v>149</v>
      </c>
      <c r="C24" s="126">
        <f t="shared" si="0"/>
        <v>15260.891999999998</v>
      </c>
      <c r="D24" s="382">
        <f t="shared" si="1"/>
        <v>9757.599999999999</v>
      </c>
      <c r="E24" s="382"/>
      <c r="F24" s="382"/>
      <c r="G24" s="126">
        <f t="shared" si="2"/>
        <v>9757.599999999999</v>
      </c>
      <c r="H24" s="126">
        <f t="shared" si="3"/>
        <v>5503.2919999999995</v>
      </c>
      <c r="I24" s="133"/>
      <c r="J24" s="382"/>
      <c r="K24" s="382"/>
      <c r="L24" s="429">
        <f>4152.22+1+150+34+150</f>
        <v>4487.22</v>
      </c>
      <c r="M24" s="430"/>
      <c r="N24" s="382">
        <v>1969.3</v>
      </c>
      <c r="O24" s="382"/>
      <c r="P24" s="382"/>
      <c r="Q24" s="382">
        <f>4304.855+100+51+250+30+29.82+12+16.2+13.5+84+283.005+96</f>
        <v>5270.379999999999</v>
      </c>
      <c r="R24" s="382"/>
      <c r="S24" s="382"/>
      <c r="T24" s="382"/>
      <c r="U24" s="382">
        <f>4530.052+723.24+60+190</f>
        <v>5503.2919999999995</v>
      </c>
      <c r="V24" s="427"/>
    </row>
    <row r="25" spans="1:22" ht="37.5">
      <c r="A25" s="238">
        <v>11</v>
      </c>
      <c r="B25" s="169" t="s">
        <v>150</v>
      </c>
      <c r="C25" s="126">
        <f t="shared" si="0"/>
        <v>124583.4</v>
      </c>
      <c r="D25" s="126">
        <f t="shared" si="1"/>
        <v>87508.4</v>
      </c>
      <c r="E25" s="126"/>
      <c r="F25" s="126"/>
      <c r="G25" s="126">
        <f t="shared" si="2"/>
        <v>87508.4</v>
      </c>
      <c r="H25" s="126">
        <f t="shared" si="3"/>
        <v>37075</v>
      </c>
      <c r="I25" s="130"/>
      <c r="J25" s="126"/>
      <c r="K25" s="126"/>
      <c r="L25" s="37">
        <f>7720.4+2240+3000-1400+700+35+2000+60+3000+1000+90+3000+10+2000+38</f>
        <v>23493.4</v>
      </c>
      <c r="M25" s="427"/>
      <c r="N25" s="126"/>
      <c r="O25" s="126"/>
      <c r="P25" s="126"/>
      <c r="Q25" s="126">
        <f>8580+2300+200+4000+4000+20000+3200+1000+2725+1000+140+3200+4000+1000+3500+50+120+5000</f>
        <v>64015</v>
      </c>
      <c r="R25" s="126"/>
      <c r="S25" s="126"/>
      <c r="T25" s="126"/>
      <c r="U25" s="126">
        <f>9650+29125-1700</f>
        <v>37075</v>
      </c>
      <c r="V25" s="427"/>
    </row>
    <row r="26" spans="1:22" ht="37.5">
      <c r="A26" s="238">
        <v>12</v>
      </c>
      <c r="B26" s="169" t="s">
        <v>151</v>
      </c>
      <c r="C26" s="126">
        <f t="shared" si="0"/>
        <v>34257.630000000005</v>
      </c>
      <c r="D26" s="126">
        <f t="shared" si="1"/>
        <v>28312.4</v>
      </c>
      <c r="E26" s="126">
        <f>SUM(J26)</f>
        <v>13705</v>
      </c>
      <c r="F26" s="126"/>
      <c r="G26" s="126">
        <f t="shared" si="2"/>
        <v>14607.400000000001</v>
      </c>
      <c r="H26" s="126">
        <f t="shared" si="3"/>
        <v>5945.23</v>
      </c>
      <c r="I26" s="130"/>
      <c r="J26" s="126">
        <v>13705</v>
      </c>
      <c r="K26" s="126"/>
      <c r="L26" s="37">
        <f>8124.7+500</f>
        <v>8624.7</v>
      </c>
      <c r="M26" s="427"/>
      <c r="N26" s="126"/>
      <c r="O26" s="126"/>
      <c r="P26" s="126"/>
      <c r="Q26" s="126">
        <f>1600+877-63+2209+427+232+384.6+316.1</f>
        <v>5982.700000000001</v>
      </c>
      <c r="R26" s="126"/>
      <c r="S26" s="126"/>
      <c r="T26" s="126"/>
      <c r="U26" s="126">
        <f>1650+2295.23+2000</f>
        <v>5945.23</v>
      </c>
      <c r="V26" s="427"/>
    </row>
    <row r="27" spans="1:22" ht="18.75">
      <c r="A27" s="238">
        <v>13</v>
      </c>
      <c r="B27" s="169" t="s">
        <v>152</v>
      </c>
      <c r="C27" s="126">
        <f t="shared" si="0"/>
        <v>6070</v>
      </c>
      <c r="D27" s="126"/>
      <c r="E27" s="126"/>
      <c r="F27" s="126"/>
      <c r="G27" s="126">
        <f t="shared" si="2"/>
        <v>4020</v>
      </c>
      <c r="H27" s="126">
        <f t="shared" si="3"/>
        <v>2050</v>
      </c>
      <c r="I27" s="130"/>
      <c r="J27" s="126"/>
      <c r="K27" s="126"/>
      <c r="L27" s="37">
        <f>1500+190</f>
        <v>1690</v>
      </c>
      <c r="M27" s="427"/>
      <c r="N27" s="126"/>
      <c r="O27" s="126"/>
      <c r="P27" s="126"/>
      <c r="Q27" s="126">
        <f>1500+300+100+130+170+130</f>
        <v>2330</v>
      </c>
      <c r="R27" s="126"/>
      <c r="S27" s="126"/>
      <c r="T27" s="126"/>
      <c r="U27" s="126">
        <f>1500+550</f>
        <v>2050</v>
      </c>
      <c r="V27" s="427"/>
    </row>
    <row r="28" spans="1:22" ht="56.25">
      <c r="A28" s="238">
        <v>14</v>
      </c>
      <c r="B28" s="169" t="s">
        <v>248</v>
      </c>
      <c r="C28" s="126">
        <f t="shared" si="0"/>
        <v>223334.074</v>
      </c>
      <c r="D28" s="126"/>
      <c r="E28" s="126"/>
      <c r="F28" s="126"/>
      <c r="G28" s="126">
        <f t="shared" si="2"/>
        <v>216036.674</v>
      </c>
      <c r="H28" s="126">
        <f t="shared" si="3"/>
        <v>7297.4</v>
      </c>
      <c r="I28" s="130"/>
      <c r="J28" s="126"/>
      <c r="K28" s="126"/>
      <c r="L28" s="37">
        <f>127284.3+500+85+44.1</f>
        <v>127913.40000000001</v>
      </c>
      <c r="M28" s="427"/>
      <c r="N28" s="126"/>
      <c r="O28" s="126"/>
      <c r="P28" s="126"/>
      <c r="Q28" s="126">
        <f>68207.872+3500+16252.402+63+1000-1000+100</f>
        <v>88123.274</v>
      </c>
      <c r="R28" s="126"/>
      <c r="S28" s="126"/>
      <c r="T28" s="126"/>
      <c r="U28" s="126">
        <f>0+7297.4</f>
        <v>7297.4</v>
      </c>
      <c r="V28" s="427"/>
    </row>
    <row r="29" spans="1:22" ht="56.25">
      <c r="A29" s="238">
        <v>15</v>
      </c>
      <c r="B29" s="169" t="s">
        <v>87</v>
      </c>
      <c r="C29" s="126">
        <f t="shared" si="0"/>
        <v>17972.5</v>
      </c>
      <c r="D29" s="126"/>
      <c r="E29" s="126"/>
      <c r="F29" s="126"/>
      <c r="G29" s="126">
        <f t="shared" si="2"/>
        <v>9972.5</v>
      </c>
      <c r="H29" s="126">
        <f t="shared" si="3"/>
        <v>8000</v>
      </c>
      <c r="I29" s="130"/>
      <c r="J29" s="126"/>
      <c r="K29" s="126"/>
      <c r="L29" s="37">
        <v>1980</v>
      </c>
      <c r="M29" s="427"/>
      <c r="N29" s="126"/>
      <c r="O29" s="126"/>
      <c r="P29" s="126"/>
      <c r="Q29" s="126">
        <f>10000-3000+992.5</f>
        <v>7992.5</v>
      </c>
      <c r="R29" s="126"/>
      <c r="S29" s="126"/>
      <c r="T29" s="126"/>
      <c r="U29" s="126">
        <v>8000</v>
      </c>
      <c r="V29" s="427"/>
    </row>
    <row r="30" spans="1:22" ht="37.5">
      <c r="A30" s="238">
        <v>16</v>
      </c>
      <c r="B30" s="169" t="s">
        <v>319</v>
      </c>
      <c r="C30" s="126">
        <f t="shared" si="0"/>
        <v>8199.58</v>
      </c>
      <c r="D30" s="126"/>
      <c r="E30" s="126"/>
      <c r="F30" s="126"/>
      <c r="G30" s="126">
        <f t="shared" si="2"/>
        <v>8099.58</v>
      </c>
      <c r="H30" s="126">
        <f t="shared" si="3"/>
        <v>100</v>
      </c>
      <c r="I30" s="130"/>
      <c r="J30" s="126"/>
      <c r="K30" s="126"/>
      <c r="L30" s="37">
        <f>3000+2178+70+27.98</f>
        <v>5275.98</v>
      </c>
      <c r="M30" s="427"/>
      <c r="N30" s="126"/>
      <c r="O30" s="126"/>
      <c r="P30" s="126"/>
      <c r="Q30" s="126">
        <f>0+3000+1108.6-1285</f>
        <v>2823.6000000000004</v>
      </c>
      <c r="R30" s="126"/>
      <c r="S30" s="126"/>
      <c r="T30" s="126"/>
      <c r="U30" s="126">
        <f>0+100</f>
        <v>100</v>
      </c>
      <c r="V30" s="427"/>
    </row>
    <row r="31" spans="1:22" ht="18.75">
      <c r="A31" s="238">
        <v>17</v>
      </c>
      <c r="B31" s="169" t="s">
        <v>320</v>
      </c>
      <c r="C31" s="126">
        <f t="shared" si="0"/>
        <v>281580.322</v>
      </c>
      <c r="D31" s="126"/>
      <c r="E31" s="126">
        <f>J31</f>
        <v>5512.9220000000005</v>
      </c>
      <c r="F31" s="126">
        <f>K31</f>
        <v>30</v>
      </c>
      <c r="G31" s="126">
        <f t="shared" si="2"/>
        <v>181037.4</v>
      </c>
      <c r="H31" s="126">
        <f t="shared" si="3"/>
        <v>95000</v>
      </c>
      <c r="I31" s="130"/>
      <c r="J31" s="126">
        <f>1845.922+1247+2420</f>
        <v>5512.9220000000005</v>
      </c>
      <c r="K31" s="126">
        <f>30</f>
        <v>30</v>
      </c>
      <c r="L31" s="126">
        <f>88000+37.4+1000</f>
        <v>89037.4</v>
      </c>
      <c r="M31" s="427"/>
      <c r="N31" s="126"/>
      <c r="O31" s="126"/>
      <c r="P31" s="126"/>
      <c r="Q31" s="126">
        <v>92000</v>
      </c>
      <c r="R31" s="126"/>
      <c r="S31" s="126"/>
      <c r="T31" s="126"/>
      <c r="U31" s="126">
        <v>95000</v>
      </c>
      <c r="V31" s="427"/>
    </row>
    <row r="32" spans="1:22" ht="37.5">
      <c r="A32" s="238">
        <v>18</v>
      </c>
      <c r="B32" s="169" t="s">
        <v>153</v>
      </c>
      <c r="C32" s="126">
        <f t="shared" si="0"/>
        <v>-2814</v>
      </c>
      <c r="D32" s="126"/>
      <c r="E32" s="126"/>
      <c r="F32" s="126"/>
      <c r="G32" s="126">
        <f t="shared" si="2"/>
        <v>-20</v>
      </c>
      <c r="H32" s="126">
        <f t="shared" si="3"/>
        <v>-2794</v>
      </c>
      <c r="I32" s="130"/>
      <c r="J32" s="126"/>
      <c r="K32" s="126"/>
      <c r="L32" s="126">
        <f>-2079.09+5+2054.09</f>
        <v>-20</v>
      </c>
      <c r="M32" s="427"/>
      <c r="N32" s="126"/>
      <c r="O32" s="126"/>
      <c r="P32" s="126"/>
      <c r="Q32" s="126">
        <f>-2794.09+2794.09</f>
        <v>0</v>
      </c>
      <c r="R32" s="126"/>
      <c r="S32" s="126"/>
      <c r="T32" s="126"/>
      <c r="U32" s="126">
        <f>0-2794</f>
        <v>-2794</v>
      </c>
      <c r="V32" s="427"/>
    </row>
    <row r="33" spans="1:22" ht="18.75">
      <c r="A33" s="238">
        <v>19</v>
      </c>
      <c r="B33" s="169" t="s">
        <v>269</v>
      </c>
      <c r="C33" s="126">
        <f t="shared" si="0"/>
        <v>74070.2</v>
      </c>
      <c r="D33" s="126"/>
      <c r="E33" s="126"/>
      <c r="F33" s="126"/>
      <c r="G33" s="126">
        <f t="shared" si="2"/>
        <v>74070.2</v>
      </c>
      <c r="H33" s="126">
        <f t="shared" si="3"/>
        <v>0</v>
      </c>
      <c r="I33" s="130"/>
      <c r="J33" s="126"/>
      <c r="K33" s="126"/>
      <c r="L33" s="126">
        <v>74070.2</v>
      </c>
      <c r="M33" s="126"/>
      <c r="N33" s="126"/>
      <c r="O33" s="126"/>
      <c r="P33" s="126"/>
      <c r="Q33" s="126">
        <v>0</v>
      </c>
      <c r="R33" s="126"/>
      <c r="S33" s="126"/>
      <c r="T33" s="126"/>
      <c r="U33" s="126">
        <v>0</v>
      </c>
      <c r="V33" s="427"/>
    </row>
    <row r="34" spans="1:22" ht="18.75">
      <c r="A34" s="238">
        <v>20</v>
      </c>
      <c r="B34" s="169" t="s">
        <v>321</v>
      </c>
      <c r="C34" s="126">
        <f t="shared" si="0"/>
        <v>0</v>
      </c>
      <c r="D34" s="126"/>
      <c r="E34" s="126"/>
      <c r="F34" s="126"/>
      <c r="G34" s="126">
        <f t="shared" si="2"/>
        <v>0</v>
      </c>
      <c r="H34" s="126">
        <f t="shared" si="3"/>
        <v>0</v>
      </c>
      <c r="I34" s="130"/>
      <c r="J34" s="126"/>
      <c r="K34" s="126"/>
      <c r="L34" s="126">
        <v>0</v>
      </c>
      <c r="M34" s="126"/>
      <c r="N34" s="126"/>
      <c r="O34" s="126"/>
      <c r="P34" s="126"/>
      <c r="Q34" s="126">
        <v>0</v>
      </c>
      <c r="R34" s="126"/>
      <c r="S34" s="126"/>
      <c r="T34" s="126"/>
      <c r="U34" s="126">
        <v>0</v>
      </c>
      <c r="V34" s="427"/>
    </row>
    <row r="35" spans="1:22" ht="15.75" customHeight="1">
      <c r="A35" s="555" t="s">
        <v>5</v>
      </c>
      <c r="B35" s="556"/>
      <c r="C35" s="130">
        <f t="shared" si="0"/>
        <v>2868408.111</v>
      </c>
      <c r="D35" s="130">
        <f>D15+D16+D17+D18+D19+D20+D21+D22+D23+D24+D25+D26+D27+D28+D29+D30+D31+D32</f>
        <v>1519598.913</v>
      </c>
      <c r="E35" s="130">
        <f>E15+E16+E17+E18+E19+E20+E21+E22+E23+E24+E25+E26+E27+E28+E29+E30+E31+E32</f>
        <v>268264.922</v>
      </c>
      <c r="F35" s="130">
        <f>F15+F16+F17+F18+F19+F20+F21+F22+F23+F24+F25+F26+F27+F28+F29+F30+F31+F32</f>
        <v>30</v>
      </c>
      <c r="G35" s="130">
        <f t="shared" si="2"/>
        <v>1750063.267</v>
      </c>
      <c r="H35" s="130">
        <f t="shared" si="3"/>
        <v>847849.922</v>
      </c>
      <c r="I35" s="130">
        <f>I15+I16+I17+I18+I19+I20+I21+I22+I23+I24+I25+I26+I27+I28+I29+I30+I31+I32+I33</f>
        <v>2200</v>
      </c>
      <c r="J35" s="130">
        <f>J15+J16+J17+J18+J19+J20+J21+J22+J23+J24+J25+J26+J27+J28+J29+J30+J31+J32+J33</f>
        <v>76228.922</v>
      </c>
      <c r="K35" s="130">
        <f>K15+K16+K17+K18+K19+K20+K21+K22+K23+K24+K25+K26+K27+K28+K29+K30+K31+K32+K33</f>
        <v>30</v>
      </c>
      <c r="L35" s="130">
        <f>L15+L16+L17+L18+L19+L20+L21+L22+L23+L24+L25+L26+L27+L28+L29+L30+L31+L32+L33+L34</f>
        <v>888829.233</v>
      </c>
      <c r="M35" s="130">
        <f aca="true" t="shared" si="6" ref="M35:V35">M15+M16+M17+M18+M19+M20+M21+M22+M23+M24+M25+M26+M27+M28+M29+M30+M31+M32+M33+M34</f>
        <v>656</v>
      </c>
      <c r="N35" s="130" t="e">
        <f t="shared" si="6"/>
        <v>#REF!</v>
      </c>
      <c r="O35" s="130">
        <f t="shared" si="6"/>
        <v>71098.6</v>
      </c>
      <c r="P35" s="130">
        <f t="shared" si="6"/>
        <v>0</v>
      </c>
      <c r="Q35" s="130">
        <f>Q15+Q16+Q17+Q18+Q19+Q20+Q21+Q22+Q23+Q24+Q25+Q26+Q27+Q28+Q29+Q30+Q31+Q32+Q33+Q34</f>
        <v>861234.0339999999</v>
      </c>
      <c r="R35" s="130">
        <f t="shared" si="6"/>
        <v>819</v>
      </c>
      <c r="S35" s="130">
        <f t="shared" si="6"/>
        <v>120937.40000000001</v>
      </c>
      <c r="T35" s="130">
        <f t="shared" si="6"/>
        <v>0</v>
      </c>
      <c r="U35" s="130">
        <f>U15+U16+U17+U18+U19+U20+U21+U22+U23+U24+U25+U26+U27+U28+U29+U30+U31+U32+U33+U34</f>
        <v>847849.922</v>
      </c>
      <c r="V35" s="130">
        <f t="shared" si="6"/>
        <v>725</v>
      </c>
    </row>
    <row r="36" spans="1:21" ht="15.75">
      <c r="A36" s="135"/>
      <c r="B36" s="135"/>
      <c r="C36" s="332"/>
      <c r="D36" s="332"/>
      <c r="E36" s="332"/>
      <c r="F36" s="332"/>
      <c r="G36" s="332"/>
      <c r="H36" s="332"/>
      <c r="I36" s="332"/>
      <c r="J36" s="332"/>
      <c r="K36" s="332"/>
      <c r="L36" s="332"/>
      <c r="M36" s="332"/>
      <c r="N36" s="332"/>
      <c r="O36" s="332"/>
      <c r="P36" s="332"/>
      <c r="Q36" s="332"/>
      <c r="R36" s="332"/>
      <c r="S36" s="332"/>
      <c r="T36" s="332"/>
      <c r="U36" s="332"/>
    </row>
    <row r="37" spans="1:21" ht="15.75">
      <c r="A37" s="135"/>
      <c r="B37" s="135"/>
      <c r="C37" s="332"/>
      <c r="D37" s="332"/>
      <c r="E37" s="332"/>
      <c r="F37" s="332"/>
      <c r="G37" s="332"/>
      <c r="H37" s="332"/>
      <c r="I37" s="332"/>
      <c r="J37" s="332"/>
      <c r="K37" s="332"/>
      <c r="L37" s="332"/>
      <c r="M37" s="332"/>
      <c r="N37" s="332"/>
      <c r="O37" s="332"/>
      <c r="P37" s="332"/>
      <c r="Q37" s="332"/>
      <c r="R37" s="332"/>
      <c r="S37" s="332"/>
      <c r="T37" s="332"/>
      <c r="U37" s="332"/>
    </row>
    <row r="38" spans="1:21" ht="15.75">
      <c r="A38" s="135"/>
      <c r="B38" s="135"/>
      <c r="C38" s="332"/>
      <c r="D38" s="332"/>
      <c r="E38" s="332"/>
      <c r="F38" s="332"/>
      <c r="G38" s="332"/>
      <c r="H38" s="332"/>
      <c r="I38" s="332"/>
      <c r="J38" s="332"/>
      <c r="K38" s="332"/>
      <c r="L38" s="332"/>
      <c r="M38" s="332"/>
      <c r="N38" s="332"/>
      <c r="O38" s="332"/>
      <c r="P38" s="332"/>
      <c r="Q38" s="332"/>
      <c r="R38" s="332"/>
      <c r="S38" s="332"/>
      <c r="T38" s="332"/>
      <c r="U38" s="332"/>
    </row>
    <row r="39" spans="1:21" ht="15.75">
      <c r="A39" s="135"/>
      <c r="B39" s="135"/>
      <c r="C39" s="136"/>
      <c r="D39" s="136"/>
      <c r="E39" s="136"/>
      <c r="F39" s="136"/>
      <c r="G39" s="136"/>
      <c r="H39" s="136"/>
      <c r="I39" s="136"/>
      <c r="J39" s="136"/>
      <c r="K39" s="136"/>
      <c r="L39" s="136"/>
      <c r="M39" s="136"/>
      <c r="N39" s="136"/>
      <c r="O39" s="136"/>
      <c r="P39" s="136"/>
      <c r="Q39" s="332"/>
      <c r="R39" s="333"/>
      <c r="S39" s="334"/>
      <c r="U39" s="335"/>
    </row>
    <row r="40" spans="1:22" ht="15.75" customHeight="1">
      <c r="A40" s="554" t="s">
        <v>18</v>
      </c>
      <c r="B40" s="554"/>
      <c r="C40" s="54"/>
      <c r="D40" s="26"/>
      <c r="E40" s="347"/>
      <c r="F40" s="348"/>
      <c r="G40" s="349"/>
      <c r="H40" s="349"/>
      <c r="I40" s="341"/>
      <c r="J40" s="350"/>
      <c r="K40" s="350"/>
      <c r="L40" s="350"/>
      <c r="M40" s="350"/>
      <c r="Q40" s="351"/>
      <c r="R40" s="351"/>
      <c r="S40" s="577" t="s">
        <v>30</v>
      </c>
      <c r="T40" s="577"/>
      <c r="U40" s="224"/>
      <c r="V40" s="339"/>
    </row>
    <row r="41" spans="1:22" ht="15.75">
      <c r="A41" s="352"/>
      <c r="B41" s="352"/>
      <c r="C41" s="353"/>
      <c r="D41" s="341"/>
      <c r="F41" s="341"/>
      <c r="G41" s="341"/>
      <c r="H41" s="341"/>
      <c r="I41" s="341"/>
      <c r="J41" s="136"/>
      <c r="K41" s="136"/>
      <c r="L41" s="136"/>
      <c r="M41" s="136"/>
      <c r="Q41" s="351"/>
      <c r="S41" s="354"/>
      <c r="T41" s="354"/>
      <c r="U41" s="225"/>
      <c r="V41" s="339"/>
    </row>
    <row r="42" spans="1:22" ht="15.75" customHeight="1">
      <c r="A42" s="560" t="s">
        <v>678</v>
      </c>
      <c r="B42" s="560"/>
      <c r="C42" s="340"/>
      <c r="D42" s="341"/>
      <c r="E42" s="341"/>
      <c r="F42" s="331"/>
      <c r="G42" s="331"/>
      <c r="H42" s="331"/>
      <c r="I42" s="331"/>
      <c r="J42" s="573"/>
      <c r="K42" s="573"/>
      <c r="L42" s="573"/>
      <c r="M42" s="573"/>
      <c r="N42" s="573"/>
      <c r="O42" s="573"/>
      <c r="P42" s="573"/>
      <c r="Q42" s="573"/>
      <c r="R42" s="422"/>
      <c r="S42" s="422"/>
      <c r="V42" s="422"/>
    </row>
    <row r="43" spans="1:21" ht="15.75">
      <c r="A43" s="342" t="s">
        <v>10</v>
      </c>
      <c r="B43" s="342"/>
      <c r="C43" s="351"/>
      <c r="D43" s="351"/>
      <c r="E43" s="351"/>
      <c r="F43" s="351"/>
      <c r="G43" s="351"/>
      <c r="H43" s="351"/>
      <c r="I43" s="351"/>
      <c r="U43" s="355"/>
    </row>
    <row r="44" spans="1:19" ht="15.75">
      <c r="A44" s="356"/>
      <c r="B44" s="357"/>
      <c r="R44" s="351"/>
      <c r="S44" s="351"/>
    </row>
    <row r="45" spans="1:2" ht="15">
      <c r="A45" s="356"/>
      <c r="B45" s="356"/>
    </row>
    <row r="46" spans="1:21" ht="15">
      <c r="A46" s="356"/>
      <c r="B46" s="356"/>
      <c r="E46" s="358"/>
      <c r="F46" s="358"/>
      <c r="G46" s="358"/>
      <c r="H46" s="358"/>
      <c r="I46" s="358"/>
      <c r="J46" s="358"/>
      <c r="K46" s="358"/>
      <c r="L46" s="358"/>
      <c r="M46" s="358"/>
      <c r="N46" s="358"/>
      <c r="O46" s="358"/>
      <c r="P46" s="358"/>
      <c r="Q46" s="358"/>
      <c r="R46" s="358"/>
      <c r="S46" s="358"/>
      <c r="T46" s="358"/>
      <c r="U46" s="358"/>
    </row>
    <row r="47" spans="1:2" ht="15">
      <c r="A47" s="356"/>
      <c r="B47" s="356"/>
    </row>
    <row r="48" spans="1:2" ht="15">
      <c r="A48" s="356"/>
      <c r="B48" s="356"/>
    </row>
    <row r="49" spans="1:19" ht="15">
      <c r="A49" s="356"/>
      <c r="B49" s="356"/>
      <c r="R49" s="351"/>
      <c r="S49" s="351"/>
    </row>
    <row r="50" spans="1:19" ht="15">
      <c r="A50" s="356"/>
      <c r="B50" s="356"/>
      <c r="C50" s="351"/>
      <c r="D50" s="351"/>
      <c r="E50" s="351"/>
      <c r="F50" s="351"/>
      <c r="G50" s="351"/>
      <c r="H50" s="351"/>
      <c r="I50" s="351"/>
      <c r="J50" s="351"/>
      <c r="K50" s="351"/>
      <c r="L50" s="351"/>
      <c r="M50" s="351"/>
      <c r="N50" s="351"/>
      <c r="O50" s="351"/>
      <c r="P50" s="351"/>
      <c r="Q50" s="351"/>
      <c r="R50" s="351"/>
      <c r="S50" s="351"/>
    </row>
    <row r="51" spans="1:19" ht="15">
      <c r="A51" s="356"/>
      <c r="B51" s="356"/>
      <c r="C51" s="351"/>
      <c r="D51" s="351"/>
      <c r="E51" s="351"/>
      <c r="F51" s="351"/>
      <c r="G51" s="351"/>
      <c r="H51" s="351"/>
      <c r="I51" s="351"/>
      <c r="R51" s="351"/>
      <c r="S51" s="351"/>
    </row>
    <row r="52" spans="1:2" ht="15">
      <c r="A52" s="356"/>
      <c r="B52" s="356"/>
    </row>
    <row r="53" spans="1:2" ht="15">
      <c r="A53" s="356"/>
      <c r="B53" s="356"/>
    </row>
    <row r="54" spans="1:19" ht="15">
      <c r="A54" s="356"/>
      <c r="B54" s="356"/>
      <c r="R54" s="351"/>
      <c r="S54" s="351"/>
    </row>
    <row r="55" spans="1:2" ht="15">
      <c r="A55" s="356"/>
      <c r="B55" s="356"/>
    </row>
    <row r="56" spans="1:19" ht="15">
      <c r="A56" s="356"/>
      <c r="B56" s="356"/>
      <c r="R56" s="351"/>
      <c r="S56" s="351"/>
    </row>
    <row r="57" spans="1:2" ht="15">
      <c r="A57" s="356"/>
      <c r="B57" s="356"/>
    </row>
    <row r="58" spans="1:2" ht="15">
      <c r="A58" s="356"/>
      <c r="B58" s="356"/>
    </row>
    <row r="59" spans="1:2" ht="15">
      <c r="A59" s="356"/>
      <c r="B59" s="356"/>
    </row>
    <row r="60" spans="1:2" ht="15">
      <c r="A60" s="356"/>
      <c r="B60" s="356"/>
    </row>
    <row r="61" spans="1:2" ht="15">
      <c r="A61" s="356"/>
      <c r="B61" s="356"/>
    </row>
    <row r="62" spans="1:2" ht="15">
      <c r="A62" s="356"/>
      <c r="B62" s="356"/>
    </row>
    <row r="63" spans="1:2" ht="15">
      <c r="A63" s="356"/>
      <c r="B63" s="356"/>
    </row>
    <row r="64" spans="1:2" ht="15">
      <c r="A64" s="356"/>
      <c r="B64" s="356"/>
    </row>
    <row r="65" spans="1:2" ht="15">
      <c r="A65" s="356"/>
      <c r="B65" s="356"/>
    </row>
    <row r="66" spans="1:2" ht="15">
      <c r="A66" s="356"/>
      <c r="B66" s="356"/>
    </row>
    <row r="67" spans="1:2" ht="15">
      <c r="A67" s="356"/>
      <c r="B67" s="356"/>
    </row>
    <row r="68" spans="1:2" ht="15">
      <c r="A68" s="356"/>
      <c r="B68" s="356"/>
    </row>
    <row r="69" spans="1:2" ht="15">
      <c r="A69" s="356"/>
      <c r="B69" s="356"/>
    </row>
    <row r="70" spans="1:2" ht="15">
      <c r="A70" s="356"/>
      <c r="B70" s="356"/>
    </row>
    <row r="71" spans="1:2" ht="15">
      <c r="A71" s="356"/>
      <c r="B71" s="356"/>
    </row>
    <row r="72" spans="1:2" ht="15">
      <c r="A72" s="356"/>
      <c r="B72" s="356"/>
    </row>
    <row r="73" spans="1:2" ht="15">
      <c r="A73" s="356"/>
      <c r="B73" s="356"/>
    </row>
    <row r="74" spans="1:2" ht="15">
      <c r="A74" s="356"/>
      <c r="B74" s="356"/>
    </row>
    <row r="75" spans="1:2" ht="15">
      <c r="A75" s="356"/>
      <c r="B75" s="356"/>
    </row>
    <row r="76" spans="1:2" ht="15">
      <c r="A76" s="356"/>
      <c r="B76" s="356"/>
    </row>
    <row r="77" spans="1:2" ht="15">
      <c r="A77" s="356"/>
      <c r="B77" s="356"/>
    </row>
    <row r="78" spans="1:2" ht="15">
      <c r="A78" s="356"/>
      <c r="B78" s="356"/>
    </row>
    <row r="79" spans="1:2" ht="15">
      <c r="A79" s="356"/>
      <c r="B79" s="356"/>
    </row>
    <row r="80" spans="1:2" ht="15">
      <c r="A80" s="356"/>
      <c r="B80" s="356"/>
    </row>
    <row r="81" spans="1:2" ht="15">
      <c r="A81" s="356"/>
      <c r="B81" s="356"/>
    </row>
    <row r="82" spans="1:2" ht="15">
      <c r="A82" s="356"/>
      <c r="B82" s="356"/>
    </row>
    <row r="83" ht="15">
      <c r="A83" s="356"/>
    </row>
  </sheetData>
  <sheetProtection/>
  <mergeCells count="21">
    <mergeCell ref="S40:T40"/>
    <mergeCell ref="C12:C14"/>
    <mergeCell ref="A40:B40"/>
    <mergeCell ref="N13:N14"/>
    <mergeCell ref="E12:I12"/>
    <mergeCell ref="A12:A14"/>
    <mergeCell ref="A42:B42"/>
    <mergeCell ref="J42:Q42"/>
    <mergeCell ref="G13:G14"/>
    <mergeCell ref="I13:I14"/>
    <mergeCell ref="J13:M13"/>
    <mergeCell ref="B12:B14"/>
    <mergeCell ref="E13:E14"/>
    <mergeCell ref="A35:B35"/>
    <mergeCell ref="P2:S8"/>
    <mergeCell ref="J12:V12"/>
    <mergeCell ref="O13:R13"/>
    <mergeCell ref="F13:F14"/>
    <mergeCell ref="S13:V13"/>
    <mergeCell ref="A10:U10"/>
    <mergeCell ref="N11:U11"/>
  </mergeCells>
  <printOptions/>
  <pageMargins left="1.1811023622047245" right="0.5905511811023623" top="1.1811023622047245" bottom="0.7874015748031497" header="0.31496062992125984" footer="0.31496062992125984"/>
  <pageSetup fitToHeight="0" fitToWidth="1"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sheetPr>
    <tabColor rgb="FFFFFF00"/>
  </sheetPr>
  <dimension ref="A1:M141"/>
  <sheetViews>
    <sheetView view="pageBreakPreview" zoomScale="78" zoomScaleSheetLayoutView="78" zoomScalePageLayoutView="0" workbookViewId="0" topLeftCell="A32">
      <selection activeCell="A1" sqref="A1:I46"/>
    </sheetView>
  </sheetViews>
  <sheetFormatPr defaultColWidth="9.140625" defaultRowHeight="12.75"/>
  <cols>
    <col min="1" max="1" width="6.574218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183" t="s">
        <v>494</v>
      </c>
      <c r="I1" s="59"/>
      <c r="J1" s="12"/>
      <c r="K1" s="12"/>
    </row>
    <row r="2" spans="8:11" ht="18.75">
      <c r="H2" s="59" t="s">
        <v>11</v>
      </c>
      <c r="I2" s="59"/>
      <c r="J2" s="12"/>
      <c r="K2" s="12"/>
    </row>
    <row r="3" spans="8:11" ht="18.75">
      <c r="H3" s="59" t="s">
        <v>322</v>
      </c>
      <c r="I3" s="59"/>
      <c r="J3" s="12"/>
      <c r="K3" s="12"/>
    </row>
    <row r="4" spans="8:11" ht="18.75">
      <c r="H4" s="582" t="s">
        <v>681</v>
      </c>
      <c r="I4" s="582"/>
      <c r="J4" s="12"/>
      <c r="K4" s="12"/>
    </row>
    <row r="5" spans="8:13" ht="18.75">
      <c r="H5" s="73" t="s">
        <v>682</v>
      </c>
      <c r="I5" s="73"/>
      <c r="J5" s="17"/>
      <c r="K5" s="17"/>
      <c r="L5" s="17"/>
      <c r="M5" s="17"/>
    </row>
    <row r="6" spans="8:13" ht="18.75">
      <c r="H6" s="73" t="s">
        <v>683</v>
      </c>
      <c r="I6" s="73"/>
      <c r="J6" s="17"/>
      <c r="K6" s="17"/>
      <c r="L6" s="17"/>
      <c r="M6" s="17"/>
    </row>
    <row r="7" spans="2:11" ht="18.75">
      <c r="B7" s="15"/>
      <c r="C7" s="15"/>
      <c r="D7" s="15"/>
      <c r="H7" s="582" t="s">
        <v>684</v>
      </c>
      <c r="I7" s="582"/>
      <c r="J7" s="12"/>
      <c r="K7" s="12"/>
    </row>
    <row r="8" spans="2:11" ht="18.75">
      <c r="B8" s="15"/>
      <c r="C8" s="15"/>
      <c r="D8" s="15"/>
      <c r="H8" s="59" t="s">
        <v>685</v>
      </c>
      <c r="I8" s="59"/>
      <c r="J8" s="12"/>
      <c r="K8" s="12"/>
    </row>
    <row r="9" spans="2:13" ht="15.75" customHeight="1">
      <c r="B9" s="15"/>
      <c r="C9" s="15"/>
      <c r="D9" s="15"/>
      <c r="H9" s="367" t="s">
        <v>687</v>
      </c>
      <c r="I9" s="56"/>
      <c r="J9" s="17"/>
      <c r="K9" s="17"/>
      <c r="L9" s="17"/>
      <c r="M9" s="17"/>
    </row>
    <row r="10" spans="2:9" ht="12" customHeight="1">
      <c r="B10" s="15"/>
      <c r="C10" s="15"/>
      <c r="D10" s="15"/>
      <c r="E10" s="15"/>
      <c r="F10" s="15"/>
      <c r="G10" s="15"/>
      <c r="H10" s="12" t="s">
        <v>539</v>
      </c>
      <c r="I10" s="12"/>
    </row>
    <row r="11" spans="1:9" ht="17.25" customHeight="1">
      <c r="A11" s="586" t="s">
        <v>623</v>
      </c>
      <c r="B11" s="586"/>
      <c r="C11" s="586"/>
      <c r="D11" s="586"/>
      <c r="E11" s="586"/>
      <c r="F11" s="586"/>
      <c r="G11" s="586"/>
      <c r="H11" s="586"/>
      <c r="I11" s="15"/>
    </row>
    <row r="12" spans="2:9" ht="13.5" customHeight="1">
      <c r="B12" s="34"/>
      <c r="C12" s="34"/>
      <c r="D12" s="34"/>
      <c r="E12" s="34"/>
      <c r="F12" s="34"/>
      <c r="G12" s="34"/>
      <c r="H12" s="431" t="s">
        <v>426</v>
      </c>
      <c r="I12" s="15"/>
    </row>
    <row r="13" spans="1:9" ht="19.5" customHeight="1">
      <c r="A13" s="583" t="s">
        <v>32</v>
      </c>
      <c r="B13" s="583" t="s">
        <v>12</v>
      </c>
      <c r="C13" s="583" t="s">
        <v>13</v>
      </c>
      <c r="D13" s="583" t="s">
        <v>432</v>
      </c>
      <c r="E13" s="588" t="s">
        <v>9</v>
      </c>
      <c r="F13" s="588"/>
      <c r="G13" s="588"/>
      <c r="H13" s="588" t="s">
        <v>15</v>
      </c>
      <c r="I13" s="15"/>
    </row>
    <row r="14" spans="1:9" ht="15.75" customHeight="1">
      <c r="A14" s="584"/>
      <c r="B14" s="584"/>
      <c r="C14" s="584"/>
      <c r="D14" s="584"/>
      <c r="E14" s="583" t="s">
        <v>429</v>
      </c>
      <c r="F14" s="583" t="s">
        <v>430</v>
      </c>
      <c r="G14" s="583" t="s">
        <v>431</v>
      </c>
      <c r="H14" s="588"/>
      <c r="I14" s="15"/>
    </row>
    <row r="15" spans="1:9" ht="21" customHeight="1">
      <c r="A15" s="585"/>
      <c r="B15" s="585"/>
      <c r="C15" s="585"/>
      <c r="D15" s="585"/>
      <c r="E15" s="585"/>
      <c r="F15" s="585"/>
      <c r="G15" s="585"/>
      <c r="H15" s="588"/>
      <c r="I15" s="15"/>
    </row>
    <row r="16" spans="1:9" ht="33.75" customHeight="1" hidden="1">
      <c r="A16" s="66">
        <v>1</v>
      </c>
      <c r="B16" s="61" t="s">
        <v>34</v>
      </c>
      <c r="C16" s="36" t="s">
        <v>16</v>
      </c>
      <c r="D16" s="74" t="e">
        <f>#REF!+E16+F16+G16</f>
        <v>#REF!</v>
      </c>
      <c r="E16" s="74"/>
      <c r="F16" s="74"/>
      <c r="G16" s="74"/>
      <c r="H16" s="36" t="s">
        <v>35</v>
      </c>
      <c r="I16" s="15"/>
    </row>
    <row r="17" spans="1:9" ht="33" customHeight="1">
      <c r="A17" s="557">
        <v>1</v>
      </c>
      <c r="B17" s="578" t="s">
        <v>88</v>
      </c>
      <c r="C17" s="36" t="s">
        <v>16</v>
      </c>
      <c r="D17" s="75">
        <f aca="true" t="shared" si="0" ref="D17:D22">E17+F17+G17</f>
        <v>105814.48000000001</v>
      </c>
      <c r="E17" s="75">
        <f>50073.4-73.4</f>
        <v>50000</v>
      </c>
      <c r="F17" s="537">
        <f>55744+70.48</f>
        <v>55814.48</v>
      </c>
      <c r="G17" s="75"/>
      <c r="H17" s="578" t="s">
        <v>531</v>
      </c>
      <c r="I17" s="15"/>
    </row>
    <row r="18" spans="1:9" ht="25.5" customHeight="1">
      <c r="A18" s="558"/>
      <c r="B18" s="579"/>
      <c r="C18" s="36" t="s">
        <v>648</v>
      </c>
      <c r="D18" s="75">
        <f t="shared" si="0"/>
        <v>58621</v>
      </c>
      <c r="E18" s="75"/>
      <c r="F18" s="537"/>
      <c r="G18" s="75">
        <v>58621</v>
      </c>
      <c r="H18" s="579"/>
      <c r="I18" s="15"/>
    </row>
    <row r="19" spans="1:9" ht="33" customHeight="1">
      <c r="A19" s="557">
        <v>2</v>
      </c>
      <c r="B19" s="578" t="s">
        <v>90</v>
      </c>
      <c r="C19" s="36" t="s">
        <v>16</v>
      </c>
      <c r="D19" s="75">
        <f t="shared" si="0"/>
        <v>164728</v>
      </c>
      <c r="E19" s="75">
        <f>77890</f>
        <v>77890</v>
      </c>
      <c r="F19" s="75">
        <f>86838</f>
        <v>86838</v>
      </c>
      <c r="G19" s="38"/>
      <c r="H19" s="578" t="s">
        <v>404</v>
      </c>
      <c r="I19" s="15"/>
    </row>
    <row r="20" spans="1:9" ht="26.25" customHeight="1">
      <c r="A20" s="558"/>
      <c r="B20" s="579"/>
      <c r="C20" s="36" t="s">
        <v>648</v>
      </c>
      <c r="D20" s="75">
        <f t="shared" si="0"/>
        <v>138420</v>
      </c>
      <c r="E20" s="75"/>
      <c r="F20" s="537"/>
      <c r="G20" s="38">
        <f>91319.8-2190+49290.2</f>
        <v>138420</v>
      </c>
      <c r="H20" s="579"/>
      <c r="I20" s="15"/>
    </row>
    <row r="21" spans="1:9" ht="77.25" customHeight="1">
      <c r="A21" s="300" t="s">
        <v>387</v>
      </c>
      <c r="B21" s="61" t="s">
        <v>741</v>
      </c>
      <c r="C21" s="36" t="s">
        <v>63</v>
      </c>
      <c r="D21" s="75">
        <f t="shared" si="0"/>
        <v>202900</v>
      </c>
      <c r="E21" s="75">
        <v>41900</v>
      </c>
      <c r="F21" s="537">
        <v>41000</v>
      </c>
      <c r="G21" s="38">
        <v>120000</v>
      </c>
      <c r="H21" s="578" t="s">
        <v>89</v>
      </c>
      <c r="I21" s="15"/>
    </row>
    <row r="22" spans="1:9" ht="39.75" customHeight="1">
      <c r="A22" s="542" t="s">
        <v>740</v>
      </c>
      <c r="B22" s="543" t="s">
        <v>742</v>
      </c>
      <c r="C22" s="438" t="s">
        <v>63</v>
      </c>
      <c r="D22" s="75">
        <f t="shared" si="0"/>
        <v>120000</v>
      </c>
      <c r="E22" s="544"/>
      <c r="F22" s="545"/>
      <c r="G22" s="546">
        <v>120000</v>
      </c>
      <c r="H22" s="579"/>
      <c r="I22" s="15"/>
    </row>
    <row r="23" spans="1:9" ht="33.75" customHeight="1">
      <c r="A23" s="557">
        <v>3</v>
      </c>
      <c r="B23" s="578" t="s">
        <v>91</v>
      </c>
      <c r="C23" s="36" t="s">
        <v>16</v>
      </c>
      <c r="D23" s="75">
        <f aca="true" t="shared" si="1" ref="D23:D36">E23+F23+G23</f>
        <v>86680.3</v>
      </c>
      <c r="E23" s="75">
        <f>41000</f>
        <v>41000</v>
      </c>
      <c r="F23" s="37">
        <f>43480.3+2200</f>
        <v>45680.3</v>
      </c>
      <c r="G23" s="38"/>
      <c r="H23" s="578" t="s">
        <v>404</v>
      </c>
      <c r="I23" s="15"/>
    </row>
    <row r="24" spans="1:9" ht="21" customHeight="1">
      <c r="A24" s="558"/>
      <c r="B24" s="579"/>
      <c r="C24" s="36" t="s">
        <v>648</v>
      </c>
      <c r="D24" s="75">
        <f t="shared" si="1"/>
        <v>45724.4</v>
      </c>
      <c r="E24" s="75"/>
      <c r="F24" s="538"/>
      <c r="G24" s="38">
        <v>45724.4</v>
      </c>
      <c r="H24" s="579"/>
      <c r="I24" s="15"/>
    </row>
    <row r="25" spans="1:9" ht="36" customHeight="1">
      <c r="A25" s="557">
        <v>4</v>
      </c>
      <c r="B25" s="557" t="s">
        <v>209</v>
      </c>
      <c r="C25" s="238" t="s">
        <v>16</v>
      </c>
      <c r="D25" s="126">
        <f>E25+F25+G25</f>
        <v>1350</v>
      </c>
      <c r="E25" s="126">
        <v>400</v>
      </c>
      <c r="F25" s="126">
        <f>400+550</f>
        <v>950</v>
      </c>
      <c r="G25" s="126"/>
      <c r="H25" s="578" t="s">
        <v>92</v>
      </c>
      <c r="I25" s="15"/>
    </row>
    <row r="26" spans="1:9" ht="18.75">
      <c r="A26" s="558"/>
      <c r="B26" s="558"/>
      <c r="C26" s="238" t="s">
        <v>648</v>
      </c>
      <c r="D26" s="126">
        <f>E26+F26+G26</f>
        <v>500</v>
      </c>
      <c r="E26" s="126"/>
      <c r="F26" s="445"/>
      <c r="G26" s="126">
        <v>500</v>
      </c>
      <c r="H26" s="579"/>
      <c r="I26" s="15"/>
    </row>
    <row r="27" spans="1:9" ht="34.5" customHeight="1">
      <c r="A27" s="578">
        <v>5</v>
      </c>
      <c r="B27" s="557" t="s">
        <v>250</v>
      </c>
      <c r="C27" s="238" t="s">
        <v>16</v>
      </c>
      <c r="D27" s="126">
        <f t="shared" si="1"/>
        <v>11800</v>
      </c>
      <c r="E27" s="126">
        <v>6000</v>
      </c>
      <c r="F27" s="126">
        <f>8000-2200</f>
        <v>5800</v>
      </c>
      <c r="G27" s="126"/>
      <c r="H27" s="578" t="s">
        <v>93</v>
      </c>
      <c r="I27" s="15"/>
    </row>
    <row r="28" spans="1:9" ht="36" customHeight="1">
      <c r="A28" s="579"/>
      <c r="B28" s="558"/>
      <c r="C28" s="238" t="s">
        <v>648</v>
      </c>
      <c r="D28" s="126">
        <f t="shared" si="1"/>
        <v>10000</v>
      </c>
      <c r="E28" s="126"/>
      <c r="F28" s="445"/>
      <c r="G28" s="126">
        <v>10000</v>
      </c>
      <c r="H28" s="579"/>
      <c r="I28" s="15"/>
    </row>
    <row r="29" spans="1:9" ht="36" customHeight="1">
      <c r="A29" s="578">
        <v>6</v>
      </c>
      <c r="B29" s="580" t="s">
        <v>664</v>
      </c>
      <c r="C29" s="238" t="s">
        <v>16</v>
      </c>
      <c r="D29" s="126">
        <f t="shared" si="1"/>
        <v>266488</v>
      </c>
      <c r="E29" s="126">
        <f>25000+100000</f>
        <v>125000</v>
      </c>
      <c r="F29" s="445">
        <f>30000+111488</f>
        <v>141488</v>
      </c>
      <c r="G29" s="126"/>
      <c r="H29" s="578" t="s">
        <v>94</v>
      </c>
      <c r="I29" s="15"/>
    </row>
    <row r="30" spans="1:9" ht="53.25" customHeight="1">
      <c r="A30" s="579"/>
      <c r="B30" s="581"/>
      <c r="C30" s="76" t="s">
        <v>648</v>
      </c>
      <c r="D30" s="75">
        <f t="shared" si="1"/>
        <v>137742</v>
      </c>
      <c r="E30" s="75"/>
      <c r="F30" s="538"/>
      <c r="G30" s="75">
        <f>152242-11500-3000</f>
        <v>137742</v>
      </c>
      <c r="H30" s="579"/>
      <c r="I30" s="15"/>
    </row>
    <row r="31" spans="1:9" ht="40.5" customHeight="1">
      <c r="A31" s="578">
        <v>7</v>
      </c>
      <c r="B31" s="578" t="s">
        <v>96</v>
      </c>
      <c r="C31" s="36" t="s">
        <v>16</v>
      </c>
      <c r="D31" s="75">
        <f t="shared" si="1"/>
        <v>17151.7</v>
      </c>
      <c r="E31" s="75">
        <v>8110</v>
      </c>
      <c r="F31" s="537">
        <v>9041.7</v>
      </c>
      <c r="G31" s="75"/>
      <c r="H31" s="578" t="s">
        <v>95</v>
      </c>
      <c r="I31" s="15"/>
    </row>
    <row r="32" spans="1:9" ht="28.5" customHeight="1">
      <c r="A32" s="579"/>
      <c r="B32" s="579"/>
      <c r="C32" s="36" t="s">
        <v>648</v>
      </c>
      <c r="D32" s="75">
        <f t="shared" si="1"/>
        <v>9508.3</v>
      </c>
      <c r="E32" s="75"/>
      <c r="F32" s="537"/>
      <c r="G32" s="75">
        <v>9508.3</v>
      </c>
      <c r="H32" s="579"/>
      <c r="I32" s="15"/>
    </row>
    <row r="33" spans="1:9" ht="42.75" customHeight="1">
      <c r="A33" s="578">
        <v>8</v>
      </c>
      <c r="B33" s="557" t="s">
        <v>97</v>
      </c>
      <c r="C33" s="238" t="s">
        <v>16</v>
      </c>
      <c r="D33" s="126">
        <f t="shared" si="1"/>
        <v>36200</v>
      </c>
      <c r="E33" s="126">
        <v>18100</v>
      </c>
      <c r="F33" s="126">
        <f>15000+3100</f>
        <v>18100</v>
      </c>
      <c r="G33" s="126"/>
      <c r="H33" s="578" t="s">
        <v>98</v>
      </c>
      <c r="I33" s="15"/>
    </row>
    <row r="34" spans="1:9" ht="29.25" customHeight="1">
      <c r="A34" s="579"/>
      <c r="B34" s="558"/>
      <c r="C34" s="238" t="s">
        <v>648</v>
      </c>
      <c r="D34" s="126">
        <f t="shared" si="1"/>
        <v>15000</v>
      </c>
      <c r="E34" s="126"/>
      <c r="F34" s="445"/>
      <c r="G34" s="126">
        <v>15000</v>
      </c>
      <c r="H34" s="579"/>
      <c r="I34" s="15"/>
    </row>
    <row r="35" spans="1:9" ht="75" customHeight="1">
      <c r="A35" s="36">
        <v>9</v>
      </c>
      <c r="B35" s="169" t="s">
        <v>409</v>
      </c>
      <c r="C35" s="238" t="s">
        <v>16</v>
      </c>
      <c r="D35" s="126">
        <f t="shared" si="1"/>
        <v>1000</v>
      </c>
      <c r="E35" s="126"/>
      <c r="F35" s="445">
        <f>0+1000</f>
        <v>1000</v>
      </c>
      <c r="G35" s="126"/>
      <c r="H35" s="36" t="s">
        <v>98</v>
      </c>
      <c r="I35" s="15"/>
    </row>
    <row r="36" spans="1:9" ht="76.5" customHeight="1">
      <c r="A36" s="36">
        <v>10</v>
      </c>
      <c r="B36" s="169" t="s">
        <v>665</v>
      </c>
      <c r="C36" s="238" t="s">
        <v>648</v>
      </c>
      <c r="D36" s="126">
        <f t="shared" si="1"/>
        <v>3000</v>
      </c>
      <c r="E36" s="126"/>
      <c r="F36" s="126"/>
      <c r="G36" s="126">
        <v>3000</v>
      </c>
      <c r="H36" s="36" t="s">
        <v>98</v>
      </c>
      <c r="I36" s="15"/>
    </row>
    <row r="37" spans="1:9" ht="18.75">
      <c r="A37" s="77"/>
      <c r="B37" s="78" t="s">
        <v>5</v>
      </c>
      <c r="C37" s="78"/>
      <c r="D37" s="62">
        <f>D17+D19+D23+D25+D27+D29+D31+D33+D21+D35+D18+D20+D24+D26+D28+D30+D32+D34+D36</f>
        <v>1312628.18</v>
      </c>
      <c r="E37" s="62">
        <f>E17+E19+E23+E25+E27+E29+E31+E33+E21</f>
        <v>368400</v>
      </c>
      <c r="F37" s="62">
        <f>F17+F19+F23+F25+F27+F29+F31+F33+F21+F35</f>
        <v>405712.48000000004</v>
      </c>
      <c r="G37" s="62">
        <f>G17+G19+G23+G25+G27+G29+G31+G33+G21+G18+G20+G24+G26+G28+G30+G32+G34+G36</f>
        <v>538515.7</v>
      </c>
      <c r="H37" s="72"/>
      <c r="I37" s="15"/>
    </row>
    <row r="38" spans="1:9" ht="15.75">
      <c r="A38" s="41"/>
      <c r="B38" s="184"/>
      <c r="C38" s="184"/>
      <c r="D38" s="19"/>
      <c r="E38" s="19"/>
      <c r="F38" s="19"/>
      <c r="G38" s="19"/>
      <c r="H38" s="20"/>
      <c r="I38" s="15"/>
    </row>
    <row r="39" spans="1:9" ht="11.25" customHeight="1">
      <c r="A39" s="41"/>
      <c r="B39" s="280"/>
      <c r="C39" s="184"/>
      <c r="D39" s="19"/>
      <c r="E39" s="19"/>
      <c r="F39" s="19"/>
      <c r="G39" s="19"/>
      <c r="H39" s="20"/>
      <c r="I39" s="15"/>
    </row>
    <row r="40" spans="1:9" ht="15.75">
      <c r="A40" s="41"/>
      <c r="B40" s="184"/>
      <c r="C40" s="184"/>
      <c r="D40" s="19"/>
      <c r="E40" s="19"/>
      <c r="F40" s="19"/>
      <c r="G40" s="19"/>
      <c r="H40" s="20"/>
      <c r="I40" s="15"/>
    </row>
    <row r="41" spans="2:9" ht="15.75">
      <c r="B41" s="15"/>
      <c r="C41" s="15"/>
      <c r="D41" s="15"/>
      <c r="E41" s="15"/>
      <c r="F41" s="15"/>
      <c r="G41" s="15"/>
      <c r="H41" s="15"/>
      <c r="I41" s="15"/>
    </row>
    <row r="42" spans="2:11" ht="20.25" customHeight="1">
      <c r="B42" s="554" t="s">
        <v>622</v>
      </c>
      <c r="C42" s="554"/>
      <c r="D42" s="375"/>
      <c r="E42" s="22"/>
      <c r="F42" s="185"/>
      <c r="G42" s="16"/>
      <c r="H42" s="241" t="s">
        <v>30</v>
      </c>
      <c r="J42" s="23"/>
      <c r="K42" s="24"/>
    </row>
    <row r="43" spans="2:11" ht="18.75">
      <c r="B43" s="375"/>
      <c r="C43" s="375"/>
      <c r="D43" s="375"/>
      <c r="E43" s="22"/>
      <c r="F43" s="185"/>
      <c r="G43" s="16"/>
      <c r="H43" s="241"/>
      <c r="J43" s="23"/>
      <c r="K43" s="24"/>
    </row>
    <row r="44" spans="2:11" ht="18.75">
      <c r="B44" s="587" t="s">
        <v>678</v>
      </c>
      <c r="C44" s="587"/>
      <c r="D44" s="25"/>
      <c r="E44" s="26"/>
      <c r="F44" s="26"/>
      <c r="G44" s="26"/>
      <c r="H44" s="26"/>
      <c r="I44" s="26"/>
      <c r="J44" s="15"/>
      <c r="K44" s="15"/>
    </row>
    <row r="45" spans="2:11" ht="15.75" customHeight="1">
      <c r="B45" s="27" t="s">
        <v>37</v>
      </c>
      <c r="C45" s="27"/>
      <c r="D45" s="26"/>
      <c r="E45" s="26"/>
      <c r="F45" s="26"/>
      <c r="G45" s="26"/>
      <c r="H45" s="26"/>
      <c r="I45" s="26"/>
      <c r="J45" s="15"/>
      <c r="K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sheetData>
  <sheetProtection/>
  <mergeCells count="39">
    <mergeCell ref="B44:C44"/>
    <mergeCell ref="H13:H15"/>
    <mergeCell ref="E14:E15"/>
    <mergeCell ref="F14:F15"/>
    <mergeCell ref="G14:G15"/>
    <mergeCell ref="C13:C15"/>
    <mergeCell ref="D13:D15"/>
    <mergeCell ref="E13:G13"/>
    <mergeCell ref="B19:B20"/>
    <mergeCell ref="H19:H20"/>
    <mergeCell ref="H4:I4"/>
    <mergeCell ref="H7:I7"/>
    <mergeCell ref="A13:A15"/>
    <mergeCell ref="B13:B15"/>
    <mergeCell ref="A11:H11"/>
    <mergeCell ref="B42:C42"/>
    <mergeCell ref="A17:A18"/>
    <mergeCell ref="B17:B18"/>
    <mergeCell ref="H17:H18"/>
    <mergeCell ref="A19:A20"/>
    <mergeCell ref="A29:A30"/>
    <mergeCell ref="B29:B30"/>
    <mergeCell ref="H29:H30"/>
    <mergeCell ref="A23:A24"/>
    <mergeCell ref="B23:B24"/>
    <mergeCell ref="H23:H24"/>
    <mergeCell ref="A25:A26"/>
    <mergeCell ref="B25:B26"/>
    <mergeCell ref="H25:H26"/>
    <mergeCell ref="H21:H22"/>
    <mergeCell ref="A31:A32"/>
    <mergeCell ref="B31:B32"/>
    <mergeCell ref="H31:H32"/>
    <mergeCell ref="A33:A34"/>
    <mergeCell ref="B33:B34"/>
    <mergeCell ref="H33:H34"/>
    <mergeCell ref="A27:A28"/>
    <mergeCell ref="B27:B28"/>
    <mergeCell ref="H27:H28"/>
  </mergeCells>
  <printOptions horizontalCentered="1"/>
  <pageMargins left="1.1811023622047245" right="0.5905511811023623" top="1.1811023622047245" bottom="0.7874015748031497" header="0" footer="0"/>
  <pageSetup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8">
      <selection activeCell="A1" sqref="A1:K30"/>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591" t="s">
        <v>495</v>
      </c>
      <c r="G1" s="591"/>
      <c r="H1" s="591"/>
      <c r="I1" s="591"/>
      <c r="J1" s="591"/>
      <c r="K1" s="17"/>
      <c r="L1" s="13" t="s">
        <v>19</v>
      </c>
    </row>
    <row r="2" spans="2:12" ht="15" customHeight="1">
      <c r="B2" s="15"/>
      <c r="C2" s="15"/>
      <c r="D2" s="15"/>
      <c r="E2" s="15"/>
      <c r="F2" s="12" t="s">
        <v>11</v>
      </c>
      <c r="G2" s="12"/>
      <c r="H2" s="15"/>
      <c r="I2" s="12" t="s">
        <v>11</v>
      </c>
      <c r="J2" s="12"/>
      <c r="K2" s="12"/>
      <c r="L2" s="12" t="s">
        <v>11</v>
      </c>
    </row>
    <row r="3" spans="2:12" ht="15" customHeight="1">
      <c r="B3" s="15"/>
      <c r="C3" s="15"/>
      <c r="D3" s="15"/>
      <c r="E3" s="15"/>
      <c r="F3" s="12" t="s">
        <v>688</v>
      </c>
      <c r="G3" s="12"/>
      <c r="H3" s="15"/>
      <c r="I3" s="12"/>
      <c r="J3" s="12"/>
      <c r="K3" s="12"/>
      <c r="L3" s="12"/>
    </row>
    <row r="4" spans="2:12" ht="16.5" customHeight="1">
      <c r="B4" s="15"/>
      <c r="C4" s="15"/>
      <c r="D4" s="15"/>
      <c r="E4" s="15"/>
      <c r="F4" s="17" t="s">
        <v>689</v>
      </c>
      <c r="G4" s="17"/>
      <c r="H4" s="15"/>
      <c r="I4" s="12" t="s">
        <v>21</v>
      </c>
      <c r="J4" s="12"/>
      <c r="K4" s="12"/>
      <c r="L4" s="12" t="s">
        <v>21</v>
      </c>
    </row>
    <row r="5" spans="2:12" ht="15" customHeight="1">
      <c r="B5" s="15"/>
      <c r="C5" s="15"/>
      <c r="D5" s="15"/>
      <c r="E5" s="15"/>
      <c r="F5" s="17" t="s">
        <v>700</v>
      </c>
      <c r="G5" s="17"/>
      <c r="H5" s="15"/>
      <c r="I5" s="12" t="s">
        <v>23</v>
      </c>
      <c r="J5" s="12"/>
      <c r="K5" s="12"/>
      <c r="L5" s="12" t="s">
        <v>23</v>
      </c>
    </row>
    <row r="6" spans="2:12" ht="16.5" customHeight="1">
      <c r="B6" s="15"/>
      <c r="C6" s="15"/>
      <c r="D6" s="15"/>
      <c r="E6" s="15"/>
      <c r="F6" s="17" t="s">
        <v>690</v>
      </c>
      <c r="G6" s="17"/>
      <c r="H6" s="348"/>
      <c r="I6" s="12" t="s">
        <v>24</v>
      </c>
      <c r="J6" s="12"/>
      <c r="K6" s="12"/>
      <c r="L6" s="12" t="s">
        <v>24</v>
      </c>
    </row>
    <row r="7" spans="2:12" ht="16.5" customHeight="1">
      <c r="B7" s="15"/>
      <c r="C7" s="15"/>
      <c r="D7" s="15"/>
      <c r="E7" s="15"/>
      <c r="F7" s="17" t="s">
        <v>691</v>
      </c>
      <c r="G7" s="17"/>
      <c r="H7" s="348"/>
      <c r="I7" s="12"/>
      <c r="J7" s="12"/>
      <c r="K7" s="12"/>
      <c r="L7" s="12"/>
    </row>
    <row r="8" spans="2:15" ht="15.75" customHeight="1">
      <c r="B8" s="15"/>
      <c r="C8" s="15"/>
      <c r="D8" s="15"/>
      <c r="E8" s="15"/>
      <c r="F8" s="592" t="s">
        <v>692</v>
      </c>
      <c r="G8" s="592"/>
      <c r="H8" s="592"/>
      <c r="I8" s="592"/>
      <c r="J8" s="592"/>
      <c r="K8" s="592"/>
      <c r="L8" s="17"/>
      <c r="M8" s="17"/>
      <c r="N8" s="17"/>
      <c r="O8" s="17"/>
    </row>
    <row r="9" spans="2:12" ht="15.75">
      <c r="B9" s="15"/>
      <c r="C9" s="15"/>
      <c r="D9" s="15"/>
      <c r="E9" s="15"/>
      <c r="F9" s="15"/>
      <c r="G9" s="15"/>
      <c r="H9" s="15"/>
      <c r="I9" s="15"/>
      <c r="J9" s="15"/>
      <c r="K9" s="15"/>
      <c r="L9" s="15"/>
    </row>
    <row r="10" spans="2:12" ht="18.75" customHeight="1">
      <c r="B10" s="586" t="s">
        <v>624</v>
      </c>
      <c r="C10" s="586"/>
      <c r="D10" s="586"/>
      <c r="E10" s="586"/>
      <c r="F10" s="586"/>
      <c r="G10" s="586"/>
      <c r="H10" s="586"/>
      <c r="I10" s="586"/>
      <c r="J10" s="586"/>
      <c r="K10" s="586"/>
      <c r="L10" s="15"/>
    </row>
    <row r="11" spans="2:12" ht="15.75">
      <c r="B11" s="15"/>
      <c r="C11" s="15"/>
      <c r="D11" s="589"/>
      <c r="E11" s="589"/>
      <c r="F11" s="589"/>
      <c r="G11" s="589"/>
      <c r="H11" s="589"/>
      <c r="I11" s="15"/>
      <c r="J11" s="15"/>
      <c r="K11" s="35" t="s">
        <v>26</v>
      </c>
      <c r="L11" s="15"/>
    </row>
    <row r="12" spans="1:12" ht="15.75" customHeight="1">
      <c r="A12" s="583" t="s">
        <v>6</v>
      </c>
      <c r="B12" s="583" t="s">
        <v>12</v>
      </c>
      <c r="C12" s="583" t="s">
        <v>13</v>
      </c>
      <c r="D12" s="583" t="s">
        <v>432</v>
      </c>
      <c r="E12" s="590" t="s">
        <v>9</v>
      </c>
      <c r="F12" s="590"/>
      <c r="G12" s="590"/>
      <c r="H12" s="590"/>
      <c r="I12" s="590"/>
      <c r="J12" s="590"/>
      <c r="K12" s="588" t="s">
        <v>15</v>
      </c>
      <c r="L12" s="15"/>
    </row>
    <row r="13" spans="1:12" ht="15.75" customHeight="1">
      <c r="A13" s="584"/>
      <c r="B13" s="584"/>
      <c r="C13" s="584"/>
      <c r="D13" s="584"/>
      <c r="E13" s="583" t="s">
        <v>462</v>
      </c>
      <c r="F13" s="583" t="s">
        <v>444</v>
      </c>
      <c r="G13" s="583" t="s">
        <v>27</v>
      </c>
      <c r="H13" s="583" t="s">
        <v>28</v>
      </c>
      <c r="I13" s="583" t="s">
        <v>29</v>
      </c>
      <c r="J13" s="588" t="s">
        <v>463</v>
      </c>
      <c r="K13" s="588"/>
      <c r="L13" s="15"/>
    </row>
    <row r="14" spans="1:12" ht="21" customHeight="1">
      <c r="A14" s="585"/>
      <c r="B14" s="585"/>
      <c r="C14" s="585"/>
      <c r="D14" s="585"/>
      <c r="E14" s="585"/>
      <c r="F14" s="585"/>
      <c r="G14" s="585"/>
      <c r="H14" s="585"/>
      <c r="I14" s="585"/>
      <c r="J14" s="588"/>
      <c r="K14" s="588"/>
      <c r="L14" s="15"/>
    </row>
    <row r="15" spans="1:12" ht="46.5" customHeight="1">
      <c r="A15" s="578">
        <v>1</v>
      </c>
      <c r="B15" s="578" t="s">
        <v>256</v>
      </c>
      <c r="C15" s="36" t="s">
        <v>16</v>
      </c>
      <c r="D15" s="102">
        <f>SUM(E15:J15)</f>
        <v>34338.8</v>
      </c>
      <c r="E15" s="103">
        <f>20000+190</f>
        <v>20190</v>
      </c>
      <c r="F15" s="104">
        <f>22000-4384.6-3286.6-84-96</f>
        <v>14148.800000000001</v>
      </c>
      <c r="G15" s="103"/>
      <c r="H15" s="103"/>
      <c r="I15" s="103"/>
      <c r="J15" s="103"/>
      <c r="K15" s="578" t="s">
        <v>55</v>
      </c>
      <c r="L15" s="15"/>
    </row>
    <row r="16" spans="1:12" ht="21.75" customHeight="1">
      <c r="A16" s="579"/>
      <c r="B16" s="579"/>
      <c r="C16" s="36" t="s">
        <v>648</v>
      </c>
      <c r="D16" s="102">
        <f>E16+F16+J16</f>
        <v>24000</v>
      </c>
      <c r="E16" s="103"/>
      <c r="F16" s="104"/>
      <c r="G16" s="103"/>
      <c r="H16" s="103"/>
      <c r="I16" s="103"/>
      <c r="J16" s="103">
        <v>24000</v>
      </c>
      <c r="K16" s="579"/>
      <c r="L16" s="15"/>
    </row>
    <row r="17" spans="1:14" ht="51" customHeight="1">
      <c r="A17" s="578">
        <v>2</v>
      </c>
      <c r="B17" s="578" t="s">
        <v>79</v>
      </c>
      <c r="C17" s="36" t="s">
        <v>16</v>
      </c>
      <c r="D17" s="102">
        <f>SUM(E17:J17)</f>
        <v>25840.5</v>
      </c>
      <c r="E17" s="104">
        <v>15000</v>
      </c>
      <c r="F17" s="103">
        <f>20000-1427-232-1500-5.4-96-50-120-5000-316.1-130-200-80-3</f>
        <v>10840.499999999998</v>
      </c>
      <c r="G17" s="103"/>
      <c r="H17" s="103"/>
      <c r="I17" s="103"/>
      <c r="J17" s="103"/>
      <c r="K17" s="578" t="s">
        <v>55</v>
      </c>
      <c r="L17" s="15"/>
      <c r="N17" s="33">
        <v>441</v>
      </c>
    </row>
    <row r="18" spans="1:14" ht="18.75">
      <c r="A18" s="579"/>
      <c r="B18" s="579"/>
      <c r="C18" s="36" t="s">
        <v>648</v>
      </c>
      <c r="D18" s="102">
        <f>E18+F18+J18</f>
        <v>25000</v>
      </c>
      <c r="E18" s="104"/>
      <c r="F18" s="103"/>
      <c r="G18" s="103"/>
      <c r="H18" s="103"/>
      <c r="I18" s="103"/>
      <c r="J18" s="103">
        <v>25000</v>
      </c>
      <c r="K18" s="579"/>
      <c r="L18" s="15"/>
      <c r="N18" s="33"/>
    </row>
    <row r="19" spans="1:14" ht="39.75" customHeight="1">
      <c r="A19" s="578">
        <v>3</v>
      </c>
      <c r="B19" s="578" t="s">
        <v>80</v>
      </c>
      <c r="C19" s="36" t="s">
        <v>16</v>
      </c>
      <c r="D19" s="102">
        <f>60750-26377.3</f>
        <v>34372.7</v>
      </c>
      <c r="E19" s="104">
        <v>20750</v>
      </c>
      <c r="F19" s="103">
        <f>20000+1500+3286.6</f>
        <v>24786.6</v>
      </c>
      <c r="G19" s="103"/>
      <c r="H19" s="103"/>
      <c r="I19" s="103"/>
      <c r="J19" s="103"/>
      <c r="K19" s="578" t="s">
        <v>31</v>
      </c>
      <c r="L19" s="15"/>
      <c r="N19" s="33"/>
    </row>
    <row r="20" spans="1:14" ht="13.5" customHeight="1">
      <c r="A20" s="579"/>
      <c r="B20" s="579"/>
      <c r="C20" s="36" t="s">
        <v>648</v>
      </c>
      <c r="D20" s="102">
        <f>E20+F20+J20</f>
        <v>26377.3</v>
      </c>
      <c r="E20" s="104"/>
      <c r="F20" s="103"/>
      <c r="G20" s="103"/>
      <c r="H20" s="103"/>
      <c r="I20" s="103"/>
      <c r="J20" s="103">
        <v>26377.3</v>
      </c>
      <c r="K20" s="579"/>
      <c r="L20" s="15"/>
      <c r="N20" s="33"/>
    </row>
    <row r="21" spans="1:14" ht="14.25" customHeight="1" hidden="1">
      <c r="A21" s="36">
        <v>5</v>
      </c>
      <c r="B21" s="105" t="s">
        <v>49</v>
      </c>
      <c r="C21" s="106" t="s">
        <v>16</v>
      </c>
      <c r="D21" s="143">
        <f>SUM(E21:J21)</f>
        <v>0</v>
      </c>
      <c r="E21" s="107"/>
      <c r="F21" s="103"/>
      <c r="G21" s="103"/>
      <c r="H21" s="103"/>
      <c r="I21" s="103"/>
      <c r="J21" s="103"/>
      <c r="K21" s="36" t="s">
        <v>48</v>
      </c>
      <c r="L21" s="15"/>
      <c r="N21" s="33"/>
    </row>
    <row r="22" spans="1:12" ht="32.25" customHeight="1">
      <c r="A22" s="70"/>
      <c r="B22" s="60" t="s">
        <v>5</v>
      </c>
      <c r="C22" s="71"/>
      <c r="D22" s="102">
        <f>D15+D17+D19+D20+D21+D18+D16</f>
        <v>169929.3</v>
      </c>
      <c r="E22" s="144">
        <f>E15+E17+E19+E20+E21</f>
        <v>55940</v>
      </c>
      <c r="F22" s="144">
        <f>F15+F17+F19+F18+F16</f>
        <v>49775.899999999994</v>
      </c>
      <c r="G22" s="144">
        <f>G15+G17+G19+G20+G21</f>
        <v>0</v>
      </c>
      <c r="H22" s="144">
        <f>H15+H17+H19+H20+H21</f>
        <v>0</v>
      </c>
      <c r="I22" s="144">
        <f>I15+I17+I19+I20+I21</f>
        <v>0</v>
      </c>
      <c r="J22" s="144">
        <f>J15+J17+J19+J20+J21+J16+J18</f>
        <v>75377.3</v>
      </c>
      <c r="K22" s="72"/>
      <c r="L22" s="15"/>
    </row>
    <row r="23" spans="1:12" ht="15.75" customHeight="1">
      <c r="A23" s="39"/>
      <c r="B23" s="18"/>
      <c r="C23" s="18"/>
      <c r="D23" s="19"/>
      <c r="E23" s="137"/>
      <c r="F23" s="137"/>
      <c r="G23" s="137"/>
      <c r="H23" s="137"/>
      <c r="I23" s="137"/>
      <c r="J23" s="137"/>
      <c r="K23" s="20"/>
      <c r="L23" s="15"/>
    </row>
    <row r="24" spans="1:12" ht="15" customHeight="1">
      <c r="A24" s="39"/>
      <c r="B24" s="18"/>
      <c r="C24" s="18"/>
      <c r="D24" s="19"/>
      <c r="E24" s="137"/>
      <c r="F24" s="137"/>
      <c r="G24" s="137"/>
      <c r="H24" s="137"/>
      <c r="I24" s="137"/>
      <c r="J24" s="137"/>
      <c r="K24" s="20"/>
      <c r="L24" s="15"/>
    </row>
    <row r="25" spans="1:12" ht="15.75" customHeight="1">
      <c r="A25" s="39"/>
      <c r="B25" s="18"/>
      <c r="C25" s="18"/>
      <c r="D25" s="19"/>
      <c r="E25" s="137"/>
      <c r="F25" s="137"/>
      <c r="G25" s="137"/>
      <c r="H25" s="137"/>
      <c r="I25" s="137"/>
      <c r="J25" s="137"/>
      <c r="K25" s="20"/>
      <c r="L25" s="15"/>
    </row>
    <row r="26" spans="2:12" ht="15.75">
      <c r="B26" s="18"/>
      <c r="C26" s="18"/>
      <c r="D26" s="19"/>
      <c r="E26" s="19"/>
      <c r="F26" s="19"/>
      <c r="G26" s="19"/>
      <c r="H26" s="19"/>
      <c r="I26" s="19"/>
      <c r="J26" s="19"/>
      <c r="K26" s="20"/>
      <c r="L26" s="15"/>
    </row>
    <row r="27" spans="2:12" ht="18.75" customHeight="1">
      <c r="B27" s="554" t="s">
        <v>622</v>
      </c>
      <c r="C27" s="554"/>
      <c r="D27" s="375"/>
      <c r="E27" s="22"/>
      <c r="F27" s="22"/>
      <c r="G27" s="16"/>
      <c r="H27" s="16"/>
      <c r="I27" s="16"/>
      <c r="J27" s="16"/>
      <c r="K27" s="23" t="s">
        <v>30</v>
      </c>
      <c r="L27" s="23"/>
    </row>
    <row r="28" spans="2:12" ht="15.75" customHeight="1">
      <c r="B28" s="375"/>
      <c r="C28" s="375"/>
      <c r="D28" s="375"/>
      <c r="E28" s="22"/>
      <c r="F28" s="22"/>
      <c r="G28" s="16"/>
      <c r="H28" s="16"/>
      <c r="I28" s="16"/>
      <c r="J28" s="16"/>
      <c r="K28" s="23"/>
      <c r="L28" s="23"/>
    </row>
    <row r="29" spans="2:11" ht="18.75">
      <c r="B29" s="587" t="s">
        <v>678</v>
      </c>
      <c r="C29" s="587"/>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7">
    <mergeCell ref="F1:J1"/>
    <mergeCell ref="F8:K8"/>
    <mergeCell ref="B27:C27"/>
    <mergeCell ref="B29:C29"/>
    <mergeCell ref="A15:A16"/>
    <mergeCell ref="B15:B16"/>
    <mergeCell ref="K15:K16"/>
    <mergeCell ref="A17:A18"/>
    <mergeCell ref="B17:B18"/>
    <mergeCell ref="K17:K18"/>
    <mergeCell ref="K12:K14"/>
    <mergeCell ref="E13:E14"/>
    <mergeCell ref="F13:F14"/>
    <mergeCell ref="G13:G14"/>
    <mergeCell ref="H13:H14"/>
    <mergeCell ref="I13:I14"/>
    <mergeCell ref="J13:J14"/>
    <mergeCell ref="A19:A20"/>
    <mergeCell ref="B19:B20"/>
    <mergeCell ref="K19:K20"/>
    <mergeCell ref="B10:K10"/>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137"/>
  <sheetViews>
    <sheetView view="pageBreakPreview" zoomScale="75" zoomScaleSheetLayoutView="75" zoomScalePageLayoutView="0" workbookViewId="0" topLeftCell="A64">
      <selection activeCell="A1" sqref="A1:L81"/>
    </sheetView>
  </sheetViews>
  <sheetFormatPr defaultColWidth="9.140625" defaultRowHeight="12.75"/>
  <cols>
    <col min="1" max="1" width="6.140625" style="186" bestFit="1" customWidth="1"/>
    <col min="2" max="2" width="73.7109375" style="0" customWidth="1"/>
    <col min="3" max="3" width="17.7109375" style="0" customWidth="1"/>
    <col min="4" max="4" width="14.421875" style="0" customWidth="1"/>
    <col min="5" max="5" width="12.28125" style="275"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496</v>
      </c>
      <c r="L1" s="187"/>
      <c r="M1" s="2"/>
    </row>
    <row r="2" spans="11:13" ht="18.75">
      <c r="K2" s="593" t="s">
        <v>11</v>
      </c>
      <c r="L2" s="593"/>
      <c r="M2" s="1"/>
    </row>
    <row r="3" spans="11:13" ht="18.75">
      <c r="K3" s="56" t="s">
        <v>693</v>
      </c>
      <c r="L3" s="56"/>
      <c r="M3" s="1"/>
    </row>
    <row r="4" spans="11:13" ht="18.75">
      <c r="K4" s="56" t="s">
        <v>694</v>
      </c>
      <c r="L4" s="56"/>
      <c r="M4" s="1"/>
    </row>
    <row r="5" spans="2:14" ht="18.75">
      <c r="B5" s="1"/>
      <c r="C5" s="1"/>
      <c r="D5" s="1"/>
      <c r="E5" s="276"/>
      <c r="F5" s="1"/>
      <c r="G5" s="1"/>
      <c r="H5" s="1"/>
      <c r="I5" s="1"/>
      <c r="J5" s="2" t="s">
        <v>81</v>
      </c>
      <c r="K5" s="56" t="s">
        <v>695</v>
      </c>
      <c r="L5" s="56"/>
      <c r="M5" s="3"/>
      <c r="N5" s="2"/>
    </row>
    <row r="6" spans="2:14" ht="18.75">
      <c r="B6" s="1"/>
      <c r="C6" s="1"/>
      <c r="D6" s="1"/>
      <c r="E6" s="276"/>
      <c r="F6" s="1"/>
      <c r="G6" s="1"/>
      <c r="H6" s="1"/>
      <c r="I6" s="1"/>
      <c r="J6" s="2"/>
      <c r="K6" s="56" t="s">
        <v>683</v>
      </c>
      <c r="L6" s="56"/>
      <c r="M6" s="3"/>
      <c r="N6" s="2"/>
    </row>
    <row r="7" spans="2:14" ht="18.75">
      <c r="B7" s="1"/>
      <c r="C7" s="1"/>
      <c r="D7" s="1"/>
      <c r="E7" s="276"/>
      <c r="F7" s="1"/>
      <c r="G7" s="1"/>
      <c r="H7" s="1"/>
      <c r="I7" s="9"/>
      <c r="J7" s="3" t="s">
        <v>99</v>
      </c>
      <c r="K7" s="56" t="s">
        <v>684</v>
      </c>
      <c r="L7" s="56"/>
      <c r="M7" s="3"/>
      <c r="N7" s="3"/>
    </row>
    <row r="8" spans="2:14" ht="18.75">
      <c r="B8" s="1"/>
      <c r="C8" s="1"/>
      <c r="D8" s="1"/>
      <c r="E8" s="276"/>
      <c r="F8" s="1"/>
      <c r="G8" s="1"/>
      <c r="H8" s="1"/>
      <c r="I8" s="9"/>
      <c r="J8" s="3"/>
      <c r="K8" s="56" t="s">
        <v>685</v>
      </c>
      <c r="L8" s="56"/>
      <c r="M8" s="3"/>
      <c r="N8" s="3"/>
    </row>
    <row r="9" spans="2:14" ht="18.75">
      <c r="B9" s="1"/>
      <c r="C9" s="1"/>
      <c r="D9" s="1"/>
      <c r="E9" s="276"/>
      <c r="F9" s="1"/>
      <c r="G9" s="1"/>
      <c r="H9" s="1"/>
      <c r="I9" s="9"/>
      <c r="J9" s="3"/>
      <c r="K9" s="367" t="s">
        <v>686</v>
      </c>
      <c r="L9" s="56"/>
      <c r="M9" s="3"/>
      <c r="N9" s="3"/>
    </row>
    <row r="10" spans="2:11" ht="15.75">
      <c r="B10" s="1"/>
      <c r="C10" s="1"/>
      <c r="D10" s="1"/>
      <c r="E10" s="276"/>
      <c r="F10" s="1"/>
      <c r="G10" s="1"/>
      <c r="H10" s="1"/>
      <c r="I10" s="1"/>
      <c r="J10" s="1"/>
      <c r="K10" s="1"/>
    </row>
    <row r="11" spans="2:11" ht="40.5" customHeight="1">
      <c r="B11" s="594" t="s">
        <v>625</v>
      </c>
      <c r="C11" s="594"/>
      <c r="D11" s="594"/>
      <c r="E11" s="594"/>
      <c r="F11" s="594"/>
      <c r="G11" s="594"/>
      <c r="H11" s="594"/>
      <c r="I11" s="594"/>
      <c r="J11" s="594"/>
      <c r="K11" s="594"/>
    </row>
    <row r="12" spans="2:11" ht="15.75">
      <c r="B12" s="1"/>
      <c r="C12" s="1"/>
      <c r="D12" s="1"/>
      <c r="E12" s="276"/>
      <c r="F12" s="1"/>
      <c r="G12" s="1"/>
      <c r="H12" s="1"/>
      <c r="I12" s="1"/>
      <c r="J12" s="1"/>
      <c r="K12" s="46" t="s">
        <v>467</v>
      </c>
    </row>
    <row r="13" spans="1:11" ht="18.75">
      <c r="A13" s="598" t="s">
        <v>100</v>
      </c>
      <c r="B13" s="600" t="s">
        <v>12</v>
      </c>
      <c r="C13" s="600" t="s">
        <v>13</v>
      </c>
      <c r="D13" s="600" t="s">
        <v>432</v>
      </c>
      <c r="E13" s="601" t="s">
        <v>9</v>
      </c>
      <c r="F13" s="601"/>
      <c r="G13" s="601"/>
      <c r="H13" s="601"/>
      <c r="I13" s="601"/>
      <c r="J13" s="601"/>
      <c r="K13" s="600" t="s">
        <v>15</v>
      </c>
    </row>
    <row r="14" spans="1:11" ht="40.5" customHeight="1">
      <c r="A14" s="599"/>
      <c r="B14" s="600"/>
      <c r="C14" s="600"/>
      <c r="D14" s="600"/>
      <c r="E14" s="252" t="s">
        <v>469</v>
      </c>
      <c r="F14" s="57" t="s">
        <v>470</v>
      </c>
      <c r="G14" s="57" t="s">
        <v>445</v>
      </c>
      <c r="H14" s="188" t="s">
        <v>27</v>
      </c>
      <c r="I14" s="188" t="s">
        <v>28</v>
      </c>
      <c r="J14" s="188" t="s">
        <v>29</v>
      </c>
      <c r="K14" s="600"/>
    </row>
    <row r="15" spans="1:11" ht="19.5" customHeight="1">
      <c r="A15" s="598">
        <v>1</v>
      </c>
      <c r="B15" s="189" t="s">
        <v>101</v>
      </c>
      <c r="C15" s="595" t="s">
        <v>655</v>
      </c>
      <c r="D15" s="190">
        <f>E15+F15+G15</f>
        <v>11601</v>
      </c>
      <c r="E15" s="256">
        <f>E16+E17+E20+E18+E19</f>
        <v>2630</v>
      </c>
      <c r="F15" s="191">
        <f>F16+F17+F20+F18+F19</f>
        <v>5225</v>
      </c>
      <c r="G15" s="191">
        <f>G16+G17+G20+G18+G19</f>
        <v>3746</v>
      </c>
      <c r="H15" s="192">
        <f>H16+H17</f>
        <v>0</v>
      </c>
      <c r="I15" s="192">
        <f>I16+I17</f>
        <v>0</v>
      </c>
      <c r="J15" s="192">
        <f>J16+J17</f>
        <v>0</v>
      </c>
      <c r="K15" s="595" t="s">
        <v>102</v>
      </c>
    </row>
    <row r="16" spans="1:12" ht="32.25" customHeight="1">
      <c r="A16" s="602"/>
      <c r="B16" s="69" t="s">
        <v>579</v>
      </c>
      <c r="C16" s="596"/>
      <c r="D16" s="190">
        <f aca="true" t="shared" si="0" ref="D16:D55">E16+F16+G16</f>
        <v>8670</v>
      </c>
      <c r="E16" s="256">
        <f>2700-1000</f>
        <v>1700</v>
      </c>
      <c r="F16" s="193">
        <f>2700+1820-250</f>
        <v>4270</v>
      </c>
      <c r="G16" s="191">
        <v>2700</v>
      </c>
      <c r="H16" s="192"/>
      <c r="I16" s="192"/>
      <c r="J16" s="192"/>
      <c r="K16" s="596"/>
      <c r="L16" s="5"/>
    </row>
    <row r="17" spans="1:11" ht="41.25" customHeight="1">
      <c r="A17" s="602"/>
      <c r="B17" s="69" t="s">
        <v>214</v>
      </c>
      <c r="C17" s="596"/>
      <c r="D17" s="190">
        <f t="shared" si="0"/>
        <v>1840</v>
      </c>
      <c r="E17" s="256">
        <v>590</v>
      </c>
      <c r="F17" s="193">
        <v>610</v>
      </c>
      <c r="G17" s="191">
        <v>640</v>
      </c>
      <c r="H17" s="192"/>
      <c r="I17" s="192"/>
      <c r="J17" s="192"/>
      <c r="K17" s="596"/>
    </row>
    <row r="18" spans="1:11" ht="19.5" customHeight="1">
      <c r="A18" s="602"/>
      <c r="B18" s="69" t="s">
        <v>247</v>
      </c>
      <c r="C18" s="596"/>
      <c r="D18" s="190">
        <f>E18+F18+G18</f>
        <v>225</v>
      </c>
      <c r="E18" s="256">
        <v>65</v>
      </c>
      <c r="F18" s="193">
        <v>70</v>
      </c>
      <c r="G18" s="191">
        <f>75+15</f>
        <v>90</v>
      </c>
      <c r="H18" s="192"/>
      <c r="I18" s="192"/>
      <c r="J18" s="192"/>
      <c r="K18" s="596"/>
    </row>
    <row r="19" spans="1:11" ht="37.5">
      <c r="A19" s="602"/>
      <c r="B19" s="69" t="s">
        <v>105</v>
      </c>
      <c r="C19" s="596"/>
      <c r="D19" s="190">
        <f>E19+F19+G19</f>
        <v>570</v>
      </c>
      <c r="E19" s="256">
        <v>190</v>
      </c>
      <c r="F19" s="193">
        <v>190</v>
      </c>
      <c r="G19" s="191">
        <v>190</v>
      </c>
      <c r="H19" s="192"/>
      <c r="I19" s="192"/>
      <c r="J19" s="192"/>
      <c r="K19" s="596"/>
    </row>
    <row r="20" spans="1:11" ht="19.5" customHeight="1">
      <c r="A20" s="599"/>
      <c r="B20" s="69" t="s">
        <v>106</v>
      </c>
      <c r="C20" s="597"/>
      <c r="D20" s="190">
        <f t="shared" si="0"/>
        <v>296</v>
      </c>
      <c r="E20" s="256">
        <v>85</v>
      </c>
      <c r="F20" s="193">
        <v>85</v>
      </c>
      <c r="G20" s="191">
        <f>85+41</f>
        <v>126</v>
      </c>
      <c r="H20" s="192"/>
      <c r="I20" s="192"/>
      <c r="J20" s="192"/>
      <c r="K20" s="597"/>
    </row>
    <row r="21" spans="1:11" ht="19.5" customHeight="1">
      <c r="A21" s="598">
        <v>2</v>
      </c>
      <c r="B21" s="189" t="s">
        <v>107</v>
      </c>
      <c r="C21" s="595" t="s">
        <v>656</v>
      </c>
      <c r="D21" s="190">
        <f>D22+D23+D24</f>
        <v>12220</v>
      </c>
      <c r="E21" s="256">
        <f>E22+E23+E24</f>
        <v>3560</v>
      </c>
      <c r="F21" s="193">
        <f>F22+F23+F24</f>
        <v>3820</v>
      </c>
      <c r="G21" s="191">
        <f>G22+G23+G24</f>
        <v>4840</v>
      </c>
      <c r="H21" s="192" t="e">
        <f>H22+H23+#REF!+H24</f>
        <v>#REF!</v>
      </c>
      <c r="I21" s="192" t="e">
        <f>I22+I23+#REF!+I24</f>
        <v>#REF!</v>
      </c>
      <c r="J21" s="192" t="e">
        <f>J22+J23+#REF!+J24</f>
        <v>#REF!</v>
      </c>
      <c r="K21" s="595" t="s">
        <v>102</v>
      </c>
    </row>
    <row r="22" spans="1:11" ht="33.75" customHeight="1">
      <c r="A22" s="602"/>
      <c r="B22" s="194" t="s">
        <v>574</v>
      </c>
      <c r="C22" s="596"/>
      <c r="D22" s="190">
        <f t="shared" si="0"/>
        <v>5650</v>
      </c>
      <c r="E22" s="256">
        <f>2100-500</f>
        <v>1600</v>
      </c>
      <c r="F22" s="193">
        <f>2200-450</f>
        <v>1750</v>
      </c>
      <c r="G22" s="191">
        <v>2300</v>
      </c>
      <c r="H22" s="192"/>
      <c r="I22" s="192"/>
      <c r="J22" s="192"/>
      <c r="K22" s="596"/>
    </row>
    <row r="23" spans="1:11" ht="19.5" customHeight="1">
      <c r="A23" s="602"/>
      <c r="B23" s="69" t="s">
        <v>108</v>
      </c>
      <c r="C23" s="596"/>
      <c r="D23" s="190">
        <f t="shared" si="0"/>
        <v>4800</v>
      </c>
      <c r="E23" s="256">
        <v>1500</v>
      </c>
      <c r="F23" s="193">
        <v>1600</v>
      </c>
      <c r="G23" s="191">
        <v>1700</v>
      </c>
      <c r="H23" s="192"/>
      <c r="I23" s="192"/>
      <c r="J23" s="192"/>
      <c r="K23" s="596"/>
    </row>
    <row r="24" spans="1:11" ht="20.25" customHeight="1">
      <c r="A24" s="599"/>
      <c r="B24" s="69" t="s">
        <v>109</v>
      </c>
      <c r="C24" s="597"/>
      <c r="D24" s="190">
        <f t="shared" si="0"/>
        <v>1770</v>
      </c>
      <c r="E24" s="256">
        <v>460</v>
      </c>
      <c r="F24" s="193">
        <v>470</v>
      </c>
      <c r="G24" s="191">
        <f>480+360</f>
        <v>840</v>
      </c>
      <c r="H24" s="192"/>
      <c r="I24" s="192"/>
      <c r="J24" s="192"/>
      <c r="K24" s="597"/>
    </row>
    <row r="25" spans="1:11" ht="15" customHeight="1" hidden="1">
      <c r="A25" s="195"/>
      <c r="B25" s="69" t="s">
        <v>110</v>
      </c>
      <c r="C25" s="47" t="s">
        <v>16</v>
      </c>
      <c r="D25" s="190">
        <f t="shared" si="0"/>
        <v>0</v>
      </c>
      <c r="E25" s="256"/>
      <c r="F25" s="193"/>
      <c r="G25" s="467"/>
      <c r="H25" s="196"/>
      <c r="I25" s="192"/>
      <c r="J25" s="192"/>
      <c r="K25" s="47" t="s">
        <v>111</v>
      </c>
    </row>
    <row r="26" spans="1:11" ht="15" customHeight="1" hidden="1">
      <c r="A26" s="195"/>
      <c r="B26" s="69" t="s">
        <v>112</v>
      </c>
      <c r="C26" s="47" t="s">
        <v>16</v>
      </c>
      <c r="D26" s="190">
        <f t="shared" si="0"/>
        <v>0</v>
      </c>
      <c r="E26" s="256">
        <v>0</v>
      </c>
      <c r="F26" s="193">
        <v>0</v>
      </c>
      <c r="G26" s="467">
        <v>0</v>
      </c>
      <c r="H26" s="197"/>
      <c r="I26" s="197"/>
      <c r="J26" s="197"/>
      <c r="K26" s="47" t="s">
        <v>111</v>
      </c>
    </row>
    <row r="27" spans="1:11" ht="19.5" customHeight="1">
      <c r="A27" s="598">
        <v>3</v>
      </c>
      <c r="B27" s="189" t="s">
        <v>113</v>
      </c>
      <c r="C27" s="595" t="s">
        <v>656</v>
      </c>
      <c r="D27" s="190">
        <f>D28+D29+D30+D33+D31+D32+D34</f>
        <v>6202.4</v>
      </c>
      <c r="E27" s="256">
        <f>E28+E29+E30+E33+E31+E32</f>
        <v>1607</v>
      </c>
      <c r="F27" s="193">
        <f>F28+F29+F30+F33+F31+F32</f>
        <v>1738</v>
      </c>
      <c r="G27" s="191">
        <f>G28+G29+G30+G33+G31+G32+G34</f>
        <v>2857.4</v>
      </c>
      <c r="H27" s="192">
        <f>H28+H29+H30</f>
        <v>0</v>
      </c>
      <c r="I27" s="192">
        <f>I28+I29+I30</f>
        <v>0</v>
      </c>
      <c r="J27" s="192">
        <f>J28+J29+J30</f>
        <v>0</v>
      </c>
      <c r="K27" s="595" t="s">
        <v>102</v>
      </c>
    </row>
    <row r="28" spans="1:11" ht="30.75" customHeight="1">
      <c r="A28" s="602"/>
      <c r="B28" s="69" t="s">
        <v>578</v>
      </c>
      <c r="C28" s="596"/>
      <c r="D28" s="190">
        <f t="shared" si="0"/>
        <v>4400</v>
      </c>
      <c r="E28" s="256">
        <v>1300</v>
      </c>
      <c r="F28" s="193">
        <v>1400</v>
      </c>
      <c r="G28" s="191">
        <f>1500+200</f>
        <v>1700</v>
      </c>
      <c r="H28" s="192"/>
      <c r="I28" s="192"/>
      <c r="J28" s="192"/>
      <c r="K28" s="596"/>
    </row>
    <row r="29" spans="1:11" ht="19.5" customHeight="1">
      <c r="A29" s="602"/>
      <c r="B29" s="69" t="s">
        <v>114</v>
      </c>
      <c r="C29" s="596"/>
      <c r="D29" s="190">
        <f t="shared" si="0"/>
        <v>720</v>
      </c>
      <c r="E29" s="256">
        <v>230</v>
      </c>
      <c r="F29" s="193">
        <v>240</v>
      </c>
      <c r="G29" s="191">
        <v>250</v>
      </c>
      <c r="H29" s="192"/>
      <c r="I29" s="192"/>
      <c r="J29" s="192"/>
      <c r="K29" s="596"/>
    </row>
    <row r="30" spans="1:11" ht="19.5" customHeight="1">
      <c r="A30" s="602"/>
      <c r="B30" s="69" t="s">
        <v>115</v>
      </c>
      <c r="C30" s="596"/>
      <c r="D30" s="190">
        <f t="shared" si="0"/>
        <v>47</v>
      </c>
      <c r="E30" s="256">
        <v>2</v>
      </c>
      <c r="F30" s="193">
        <f>3+17</f>
        <v>20</v>
      </c>
      <c r="G30" s="191">
        <f>4+21</f>
        <v>25</v>
      </c>
      <c r="H30" s="192"/>
      <c r="I30" s="192"/>
      <c r="J30" s="192"/>
      <c r="K30" s="596"/>
    </row>
    <row r="31" spans="1:11" ht="19.5" customHeight="1">
      <c r="A31" s="602"/>
      <c r="B31" s="69" t="s">
        <v>116</v>
      </c>
      <c r="C31" s="596"/>
      <c r="D31" s="190">
        <f t="shared" si="0"/>
        <v>15</v>
      </c>
      <c r="E31" s="256">
        <v>4</v>
      </c>
      <c r="F31" s="193">
        <v>5</v>
      </c>
      <c r="G31" s="191">
        <v>6</v>
      </c>
      <c r="H31" s="192"/>
      <c r="I31" s="192"/>
      <c r="J31" s="192"/>
      <c r="K31" s="596"/>
    </row>
    <row r="32" spans="1:11" ht="19.5" customHeight="1">
      <c r="A32" s="602"/>
      <c r="B32" s="69" t="s">
        <v>117</v>
      </c>
      <c r="C32" s="596"/>
      <c r="D32" s="190">
        <f t="shared" si="0"/>
        <v>15</v>
      </c>
      <c r="E32" s="256">
        <v>4</v>
      </c>
      <c r="F32" s="193">
        <v>5</v>
      </c>
      <c r="G32" s="191">
        <v>6</v>
      </c>
      <c r="H32" s="192"/>
      <c r="I32" s="192"/>
      <c r="J32" s="192"/>
      <c r="K32" s="596"/>
    </row>
    <row r="33" spans="1:11" ht="19.5" customHeight="1">
      <c r="A33" s="599"/>
      <c r="B33" s="69" t="s">
        <v>575</v>
      </c>
      <c r="C33" s="596"/>
      <c r="D33" s="190">
        <f t="shared" si="0"/>
        <v>215</v>
      </c>
      <c r="E33" s="256">
        <v>67</v>
      </c>
      <c r="F33" s="193">
        <v>68</v>
      </c>
      <c r="G33" s="191">
        <f>69+11</f>
        <v>80</v>
      </c>
      <c r="H33" s="192"/>
      <c r="I33" s="192"/>
      <c r="J33" s="192"/>
      <c r="K33" s="596"/>
    </row>
    <row r="34" spans="1:11" ht="30" customHeight="1">
      <c r="A34" s="242"/>
      <c r="B34" s="69" t="s">
        <v>577</v>
      </c>
      <c r="C34" s="597"/>
      <c r="D34" s="190">
        <f t="shared" si="0"/>
        <v>790.4</v>
      </c>
      <c r="E34" s="256">
        <v>0</v>
      </c>
      <c r="F34" s="193">
        <v>0</v>
      </c>
      <c r="G34" s="191">
        <v>790.4</v>
      </c>
      <c r="H34" s="192"/>
      <c r="I34" s="192"/>
      <c r="J34" s="192"/>
      <c r="K34" s="597"/>
    </row>
    <row r="35" spans="1:11" ht="30.75" customHeight="1">
      <c r="A35" s="607">
        <v>4</v>
      </c>
      <c r="B35" s="612" t="s">
        <v>581</v>
      </c>
      <c r="C35" s="47" t="s">
        <v>16</v>
      </c>
      <c r="D35" s="198">
        <f>E35+F35+G35</f>
        <v>2700</v>
      </c>
      <c r="E35" s="256">
        <v>1300</v>
      </c>
      <c r="F35" s="193">
        <v>1400</v>
      </c>
      <c r="G35" s="199"/>
      <c r="H35" s="192"/>
      <c r="I35" s="192"/>
      <c r="J35" s="192"/>
      <c r="K35" s="595" t="s">
        <v>102</v>
      </c>
    </row>
    <row r="36" spans="1:11" ht="25.5" customHeight="1">
      <c r="A36" s="608"/>
      <c r="B36" s="613"/>
      <c r="C36" s="521" t="s">
        <v>648</v>
      </c>
      <c r="D36" s="198">
        <f>E36+F36+G36</f>
        <v>1500</v>
      </c>
      <c r="E36" s="256"/>
      <c r="F36" s="193"/>
      <c r="G36" s="199">
        <v>1500</v>
      </c>
      <c r="H36" s="192"/>
      <c r="I36" s="192"/>
      <c r="J36" s="192"/>
      <c r="K36" s="597"/>
    </row>
    <row r="37" spans="1:11" ht="24" customHeight="1">
      <c r="A37" s="598">
        <v>5</v>
      </c>
      <c r="B37" s="189" t="s">
        <v>119</v>
      </c>
      <c r="C37" s="595" t="s">
        <v>656</v>
      </c>
      <c r="D37" s="198">
        <f>D38+D39+D40+D41+D42+D43</f>
        <v>7776.6</v>
      </c>
      <c r="E37" s="256">
        <f>E38+E39+E40+E41+E42+E43</f>
        <v>3100</v>
      </c>
      <c r="F37" s="193">
        <f>F38+F39+F40+F41+F42+F43</f>
        <v>3270</v>
      </c>
      <c r="G37" s="199">
        <f>G38+G39+G40+G41+G42+G43</f>
        <v>1406.6</v>
      </c>
      <c r="H37" s="200" t="e">
        <f>H38+H39+H40+H41+H42+#REF!+H43+#REF!+#REF!+#REF!</f>
        <v>#REF!</v>
      </c>
      <c r="I37" s="200" t="e">
        <f>I38+I39+I40+I41+I42+#REF!+I43+#REF!+#REF!+#REF!</f>
        <v>#REF!</v>
      </c>
      <c r="J37" s="200" t="e">
        <f>J38+J39+J40+J41+J42+#REF!+J43+#REF!+#REF!+#REF!</f>
        <v>#REF!</v>
      </c>
      <c r="K37" s="595" t="s">
        <v>102</v>
      </c>
    </row>
    <row r="38" spans="1:11" ht="33.75" customHeight="1">
      <c r="A38" s="602"/>
      <c r="B38" s="69" t="s">
        <v>120</v>
      </c>
      <c r="C38" s="596"/>
      <c r="D38" s="198">
        <f t="shared" si="0"/>
        <v>660</v>
      </c>
      <c r="E38" s="256">
        <v>210</v>
      </c>
      <c r="F38" s="193">
        <v>220</v>
      </c>
      <c r="G38" s="199">
        <v>230</v>
      </c>
      <c r="H38" s="192"/>
      <c r="I38" s="192"/>
      <c r="J38" s="192"/>
      <c r="K38" s="596"/>
    </row>
    <row r="39" spans="1:11" ht="20.25" customHeight="1">
      <c r="A39" s="602"/>
      <c r="B39" s="69" t="s">
        <v>103</v>
      </c>
      <c r="C39" s="596"/>
      <c r="D39" s="198">
        <f t="shared" si="0"/>
        <v>630</v>
      </c>
      <c r="E39" s="256">
        <v>205</v>
      </c>
      <c r="F39" s="193">
        <v>210</v>
      </c>
      <c r="G39" s="199">
        <v>215</v>
      </c>
      <c r="H39" s="192"/>
      <c r="I39" s="192"/>
      <c r="J39" s="192"/>
      <c r="K39" s="596"/>
    </row>
    <row r="40" spans="1:11" ht="20.25" customHeight="1">
      <c r="A40" s="602"/>
      <c r="B40" s="69" t="s">
        <v>104</v>
      </c>
      <c r="C40" s="596"/>
      <c r="D40" s="198">
        <f t="shared" si="0"/>
        <v>330</v>
      </c>
      <c r="E40" s="256">
        <v>105</v>
      </c>
      <c r="F40" s="193">
        <v>110</v>
      </c>
      <c r="G40" s="199">
        <v>115</v>
      </c>
      <c r="H40" s="192"/>
      <c r="I40" s="192"/>
      <c r="J40" s="192"/>
      <c r="K40" s="596"/>
    </row>
    <row r="41" spans="1:11" ht="22.5" customHeight="1">
      <c r="A41" s="602"/>
      <c r="B41" s="69" t="s">
        <v>121</v>
      </c>
      <c r="C41" s="596"/>
      <c r="D41" s="198">
        <f t="shared" si="0"/>
        <v>1130</v>
      </c>
      <c r="E41" s="256">
        <v>350</v>
      </c>
      <c r="F41" s="193">
        <v>380</v>
      </c>
      <c r="G41" s="199">
        <v>400</v>
      </c>
      <c r="H41" s="192"/>
      <c r="I41" s="192"/>
      <c r="J41" s="192"/>
      <c r="K41" s="596"/>
    </row>
    <row r="42" spans="1:11" ht="20.25" customHeight="1">
      <c r="A42" s="602"/>
      <c r="B42" s="69" t="s">
        <v>108</v>
      </c>
      <c r="C42" s="596"/>
      <c r="D42" s="198">
        <f t="shared" si="0"/>
        <v>1326.6</v>
      </c>
      <c r="E42" s="256">
        <v>430</v>
      </c>
      <c r="F42" s="193">
        <v>450</v>
      </c>
      <c r="G42" s="199">
        <f>480-33.4</f>
        <v>446.6</v>
      </c>
      <c r="H42" s="192"/>
      <c r="I42" s="192"/>
      <c r="J42" s="192"/>
      <c r="K42" s="596"/>
    </row>
    <row r="43" spans="1:11" ht="18.75">
      <c r="A43" s="599"/>
      <c r="B43" s="69" t="s">
        <v>122</v>
      </c>
      <c r="C43" s="597"/>
      <c r="D43" s="198">
        <f t="shared" si="0"/>
        <v>3700</v>
      </c>
      <c r="E43" s="256">
        <v>1800</v>
      </c>
      <c r="F43" s="193">
        <v>1900</v>
      </c>
      <c r="G43" s="199">
        <f>2100-1343-757</f>
        <v>0</v>
      </c>
      <c r="H43" s="192"/>
      <c r="I43" s="192"/>
      <c r="J43" s="192"/>
      <c r="K43" s="596"/>
    </row>
    <row r="44" spans="1:11" ht="30.75" customHeight="1">
      <c r="A44" s="598">
        <v>6</v>
      </c>
      <c r="B44" s="605" t="s">
        <v>389</v>
      </c>
      <c r="C44" s="201" t="s">
        <v>16</v>
      </c>
      <c r="D44" s="198">
        <f>E44+F44+G44</f>
        <v>710</v>
      </c>
      <c r="E44" s="256">
        <v>100</v>
      </c>
      <c r="F44" s="193">
        <v>610</v>
      </c>
      <c r="G44" s="199"/>
      <c r="H44" s="192"/>
      <c r="I44" s="192"/>
      <c r="J44" s="192"/>
      <c r="K44" s="596"/>
    </row>
    <row r="45" spans="1:11" ht="18.75">
      <c r="A45" s="599"/>
      <c r="B45" s="606"/>
      <c r="C45" s="201" t="s">
        <v>648</v>
      </c>
      <c r="D45" s="198">
        <f>E45+F45+G45</f>
        <v>315</v>
      </c>
      <c r="E45" s="256"/>
      <c r="F45" s="193"/>
      <c r="G45" s="199">
        <v>315</v>
      </c>
      <c r="H45" s="192"/>
      <c r="I45" s="192"/>
      <c r="J45" s="192"/>
      <c r="K45" s="596"/>
    </row>
    <row r="46" spans="1:11" ht="39" customHeight="1">
      <c r="A46" s="607">
        <v>7</v>
      </c>
      <c r="B46" s="605" t="s">
        <v>576</v>
      </c>
      <c r="C46" s="201" t="s">
        <v>16</v>
      </c>
      <c r="D46" s="198">
        <f t="shared" si="0"/>
        <v>3020</v>
      </c>
      <c r="E46" s="256">
        <v>1200</v>
      </c>
      <c r="F46" s="193">
        <v>1820</v>
      </c>
      <c r="G46" s="199"/>
      <c r="H46" s="192"/>
      <c r="I46" s="192"/>
      <c r="J46" s="192"/>
      <c r="K46" s="596"/>
    </row>
    <row r="47" spans="1:11" ht="18.75">
      <c r="A47" s="608"/>
      <c r="B47" s="606"/>
      <c r="C47" s="201" t="s">
        <v>648</v>
      </c>
      <c r="D47" s="198">
        <f t="shared" si="0"/>
        <v>1979</v>
      </c>
      <c r="E47" s="256"/>
      <c r="F47" s="193"/>
      <c r="G47" s="199">
        <v>1979</v>
      </c>
      <c r="H47" s="192"/>
      <c r="I47" s="192"/>
      <c r="J47" s="192"/>
      <c r="K47" s="597"/>
    </row>
    <row r="48" spans="1:11" ht="51" customHeight="1">
      <c r="A48" s="607">
        <v>8</v>
      </c>
      <c r="B48" s="605" t="s">
        <v>124</v>
      </c>
      <c r="C48" s="201" t="s">
        <v>16</v>
      </c>
      <c r="D48" s="198">
        <f t="shared" si="0"/>
        <v>6900</v>
      </c>
      <c r="E48" s="256">
        <v>3400</v>
      </c>
      <c r="F48" s="193">
        <v>3500</v>
      </c>
      <c r="G48" s="199"/>
      <c r="H48" s="192"/>
      <c r="I48" s="192"/>
      <c r="J48" s="192"/>
      <c r="K48" s="595" t="s">
        <v>125</v>
      </c>
    </row>
    <row r="49" spans="1:11" ht="18.75">
      <c r="A49" s="608"/>
      <c r="B49" s="606"/>
      <c r="C49" s="201" t="s">
        <v>648</v>
      </c>
      <c r="D49" s="198">
        <f t="shared" si="0"/>
        <v>3450</v>
      </c>
      <c r="E49" s="256"/>
      <c r="F49" s="193"/>
      <c r="G49" s="199">
        <v>3450</v>
      </c>
      <c r="H49" s="192"/>
      <c r="I49" s="192"/>
      <c r="J49" s="192"/>
      <c r="K49" s="597"/>
    </row>
    <row r="50" spans="1:11" ht="21.75" customHeight="1">
      <c r="A50" s="607">
        <v>9</v>
      </c>
      <c r="B50" s="615" t="s">
        <v>266</v>
      </c>
      <c r="C50" s="201" t="s">
        <v>265</v>
      </c>
      <c r="D50" s="198">
        <f>D51</f>
        <v>1141</v>
      </c>
      <c r="E50" s="199">
        <f>E51</f>
        <v>540</v>
      </c>
      <c r="F50" s="199">
        <f>F51</f>
        <v>601</v>
      </c>
      <c r="G50" s="199">
        <f>G51+G52</f>
        <v>600</v>
      </c>
      <c r="H50" s="192"/>
      <c r="I50" s="192"/>
      <c r="J50" s="192"/>
      <c r="K50" s="595" t="s">
        <v>102</v>
      </c>
    </row>
    <row r="51" spans="1:11" ht="33" customHeight="1">
      <c r="A51" s="614"/>
      <c r="B51" s="616"/>
      <c r="C51" s="254" t="s">
        <v>16</v>
      </c>
      <c r="D51" s="255">
        <f t="shared" si="0"/>
        <v>1141</v>
      </c>
      <c r="E51" s="256">
        <v>540</v>
      </c>
      <c r="F51" s="256">
        <f>560+41</f>
        <v>601</v>
      </c>
      <c r="G51" s="256"/>
      <c r="H51" s="192"/>
      <c r="I51" s="192"/>
      <c r="J51" s="192"/>
      <c r="K51" s="596"/>
    </row>
    <row r="52" spans="1:11" ht="20.25" customHeight="1">
      <c r="A52" s="608"/>
      <c r="B52" s="617"/>
      <c r="C52" s="254" t="s">
        <v>648</v>
      </c>
      <c r="D52" s="255">
        <f t="shared" si="0"/>
        <v>600</v>
      </c>
      <c r="E52" s="256"/>
      <c r="F52" s="256"/>
      <c r="G52" s="256">
        <v>600</v>
      </c>
      <c r="H52" s="192"/>
      <c r="I52" s="192"/>
      <c r="J52" s="192"/>
      <c r="K52" s="597"/>
    </row>
    <row r="53" spans="1:11" ht="56.25" customHeight="1">
      <c r="A53" s="607">
        <v>10</v>
      </c>
      <c r="B53" s="618" t="s">
        <v>582</v>
      </c>
      <c r="C53" s="47" t="s">
        <v>16</v>
      </c>
      <c r="D53" s="198">
        <f t="shared" si="0"/>
        <v>550</v>
      </c>
      <c r="E53" s="256">
        <v>100</v>
      </c>
      <c r="F53" s="193">
        <f>100+350</f>
        <v>450</v>
      </c>
      <c r="G53" s="199"/>
      <c r="H53" s="192"/>
      <c r="I53" s="192"/>
      <c r="J53" s="192"/>
      <c r="K53" s="595" t="s">
        <v>126</v>
      </c>
    </row>
    <row r="54" spans="1:11" ht="18.75">
      <c r="A54" s="608"/>
      <c r="B54" s="603"/>
      <c r="C54" s="47" t="s">
        <v>648</v>
      </c>
      <c r="D54" s="198">
        <f t="shared" si="0"/>
        <v>210</v>
      </c>
      <c r="E54" s="256"/>
      <c r="F54" s="193"/>
      <c r="G54" s="199">
        <v>210</v>
      </c>
      <c r="H54" s="192"/>
      <c r="I54" s="192"/>
      <c r="J54" s="192"/>
      <c r="K54" s="597"/>
    </row>
    <row r="55" spans="1:11" ht="15" customHeight="1">
      <c r="A55" s="598">
        <v>11</v>
      </c>
      <c r="B55" s="202" t="s">
        <v>127</v>
      </c>
      <c r="C55" s="610" t="s">
        <v>656</v>
      </c>
      <c r="D55" s="198">
        <f t="shared" si="0"/>
        <v>1120</v>
      </c>
      <c r="E55" s="256">
        <f>E57+E59+E56+E60+E61+E58</f>
        <v>290</v>
      </c>
      <c r="F55" s="199">
        <f>F57+F59+F56+F60+F61+F58</f>
        <v>380</v>
      </c>
      <c r="G55" s="199">
        <f>G57+G59+G56+G60+G61+G58</f>
        <v>450</v>
      </c>
      <c r="H55" s="192"/>
      <c r="I55" s="192"/>
      <c r="J55" s="192"/>
      <c r="K55" s="595" t="s">
        <v>128</v>
      </c>
    </row>
    <row r="56" spans="1:11" ht="18.75">
      <c r="A56" s="602"/>
      <c r="B56" s="203" t="s">
        <v>129</v>
      </c>
      <c r="C56" s="611"/>
      <c r="D56" s="198">
        <f aca="true" t="shared" si="1" ref="D56:D67">E56+F56+G56</f>
        <v>450</v>
      </c>
      <c r="E56" s="256">
        <v>100</v>
      </c>
      <c r="F56" s="193">
        <v>150</v>
      </c>
      <c r="G56" s="199">
        <v>200</v>
      </c>
      <c r="H56" s="192"/>
      <c r="I56" s="192"/>
      <c r="J56" s="192"/>
      <c r="K56" s="602"/>
    </row>
    <row r="57" spans="1:11" ht="37.5">
      <c r="A57" s="602"/>
      <c r="B57" s="203" t="s">
        <v>130</v>
      </c>
      <c r="C57" s="611"/>
      <c r="D57" s="198">
        <f t="shared" si="1"/>
        <v>210</v>
      </c>
      <c r="E57" s="256">
        <v>60</v>
      </c>
      <c r="F57" s="193">
        <v>70</v>
      </c>
      <c r="G57" s="199">
        <v>80</v>
      </c>
      <c r="H57" s="192"/>
      <c r="I57" s="192"/>
      <c r="J57" s="192"/>
      <c r="K57" s="602"/>
    </row>
    <row r="58" spans="1:11" ht="18.75">
      <c r="A58" s="602"/>
      <c r="B58" s="257" t="s">
        <v>217</v>
      </c>
      <c r="C58" s="611"/>
      <c r="D58" s="198">
        <f t="shared" si="1"/>
        <v>150</v>
      </c>
      <c r="E58" s="256">
        <v>40</v>
      </c>
      <c r="F58" s="193">
        <v>50</v>
      </c>
      <c r="G58" s="199">
        <v>60</v>
      </c>
      <c r="H58" s="192"/>
      <c r="I58" s="192"/>
      <c r="J58" s="192"/>
      <c r="K58" s="602"/>
    </row>
    <row r="59" spans="1:11" ht="18.75">
      <c r="A59" s="602"/>
      <c r="B59" s="203" t="s">
        <v>123</v>
      </c>
      <c r="C59" s="611"/>
      <c r="D59" s="198">
        <f t="shared" si="1"/>
        <v>140</v>
      </c>
      <c r="E59" s="256">
        <v>40</v>
      </c>
      <c r="F59" s="193">
        <v>50</v>
      </c>
      <c r="G59" s="199">
        <v>50</v>
      </c>
      <c r="H59" s="192"/>
      <c r="I59" s="192"/>
      <c r="J59" s="192"/>
      <c r="K59" s="602"/>
    </row>
    <row r="60" spans="1:11" ht="18.75" hidden="1">
      <c r="A60" s="602"/>
      <c r="B60" s="69"/>
      <c r="C60" s="611"/>
      <c r="D60" s="198">
        <f t="shared" si="1"/>
        <v>0</v>
      </c>
      <c r="E60" s="256"/>
      <c r="F60" s="193"/>
      <c r="G60" s="199"/>
      <c r="H60" s="192"/>
      <c r="I60" s="192"/>
      <c r="J60" s="192"/>
      <c r="K60" s="602"/>
    </row>
    <row r="61" spans="1:11" ht="37.5">
      <c r="A61" s="599"/>
      <c r="B61" s="69" t="s">
        <v>118</v>
      </c>
      <c r="C61" s="611"/>
      <c r="D61" s="198">
        <f t="shared" si="1"/>
        <v>170</v>
      </c>
      <c r="E61" s="256">
        <v>50</v>
      </c>
      <c r="F61" s="193">
        <v>60</v>
      </c>
      <c r="G61" s="199">
        <v>60</v>
      </c>
      <c r="H61" s="192"/>
      <c r="I61" s="192"/>
      <c r="J61" s="192"/>
      <c r="K61" s="599"/>
    </row>
    <row r="62" spans="1:11" ht="37.5" customHeight="1">
      <c r="A62" s="598">
        <v>12</v>
      </c>
      <c r="B62" s="615" t="s">
        <v>215</v>
      </c>
      <c r="C62" s="201" t="s">
        <v>16</v>
      </c>
      <c r="D62" s="198">
        <f t="shared" si="1"/>
        <v>10000</v>
      </c>
      <c r="E62" s="256">
        <v>5000</v>
      </c>
      <c r="F62" s="193">
        <v>5000</v>
      </c>
      <c r="G62" s="199"/>
      <c r="H62" s="192"/>
      <c r="I62" s="192"/>
      <c r="J62" s="192"/>
      <c r="K62" s="595" t="s">
        <v>216</v>
      </c>
    </row>
    <row r="63" spans="1:11" ht="21.75" customHeight="1">
      <c r="A63" s="599"/>
      <c r="B63" s="617"/>
      <c r="C63" s="201" t="s">
        <v>648</v>
      </c>
      <c r="D63" s="198">
        <f t="shared" si="1"/>
        <v>5000</v>
      </c>
      <c r="E63" s="256"/>
      <c r="F63" s="193"/>
      <c r="G63" s="199">
        <v>5000</v>
      </c>
      <c r="H63" s="192"/>
      <c r="I63" s="192"/>
      <c r="J63" s="192"/>
      <c r="K63" s="597"/>
    </row>
    <row r="64" spans="1:11" ht="37.5">
      <c r="A64" s="598">
        <v>13</v>
      </c>
      <c r="B64" s="615" t="s">
        <v>218</v>
      </c>
      <c r="C64" s="201" t="s">
        <v>16</v>
      </c>
      <c r="D64" s="198">
        <f t="shared" si="1"/>
        <v>2200</v>
      </c>
      <c r="E64" s="256">
        <v>1000</v>
      </c>
      <c r="F64" s="193">
        <v>1200</v>
      </c>
      <c r="G64" s="199"/>
      <c r="H64" s="192"/>
      <c r="I64" s="192"/>
      <c r="J64" s="192"/>
      <c r="K64" s="595" t="s">
        <v>216</v>
      </c>
    </row>
    <row r="65" spans="1:11" ht="18.75">
      <c r="A65" s="599"/>
      <c r="B65" s="617"/>
      <c r="C65" s="201" t="s">
        <v>648</v>
      </c>
      <c r="D65" s="198">
        <f t="shared" si="1"/>
        <v>1500</v>
      </c>
      <c r="E65" s="256"/>
      <c r="F65" s="193"/>
      <c r="G65" s="199">
        <v>1500</v>
      </c>
      <c r="H65" s="192"/>
      <c r="I65" s="192"/>
      <c r="J65" s="192"/>
      <c r="K65" s="597"/>
    </row>
    <row r="66" spans="1:11" ht="37.5">
      <c r="A66" s="598">
        <v>14</v>
      </c>
      <c r="B66" s="619" t="s">
        <v>251</v>
      </c>
      <c r="C66" s="47" t="s">
        <v>16</v>
      </c>
      <c r="D66" s="198">
        <f t="shared" si="1"/>
        <v>36000</v>
      </c>
      <c r="E66" s="256">
        <v>18000</v>
      </c>
      <c r="F66" s="256">
        <v>18000</v>
      </c>
      <c r="G66" s="256"/>
      <c r="H66" s="192"/>
      <c r="I66" s="192"/>
      <c r="J66" s="192"/>
      <c r="K66" s="595" t="s">
        <v>216</v>
      </c>
    </row>
    <row r="67" spans="1:11" ht="18.75">
      <c r="A67" s="599"/>
      <c r="B67" s="620"/>
      <c r="C67" s="47" t="s">
        <v>648</v>
      </c>
      <c r="D67" s="198">
        <f t="shared" si="1"/>
        <v>16211</v>
      </c>
      <c r="E67" s="256"/>
      <c r="F67" s="256"/>
      <c r="G67" s="256">
        <v>16211</v>
      </c>
      <c r="H67" s="192"/>
      <c r="I67" s="192"/>
      <c r="J67" s="192"/>
      <c r="K67" s="597"/>
    </row>
    <row r="68" spans="1:11" ht="37.5">
      <c r="A68" s="520">
        <v>15</v>
      </c>
      <c r="B68" s="519" t="s">
        <v>272</v>
      </c>
      <c r="C68" s="36" t="s">
        <v>16</v>
      </c>
      <c r="D68" s="294">
        <v>500</v>
      </c>
      <c r="E68" s="295">
        <v>500</v>
      </c>
      <c r="F68" s="296"/>
      <c r="G68" s="296"/>
      <c r="H68" s="297"/>
      <c r="I68" s="297"/>
      <c r="J68" s="297"/>
      <c r="K68" s="36" t="s">
        <v>273</v>
      </c>
    </row>
    <row r="69" spans="1:11" ht="37.5">
      <c r="A69" s="607">
        <v>16</v>
      </c>
      <c r="B69" s="561" t="s">
        <v>274</v>
      </c>
      <c r="C69" s="36" t="s">
        <v>16</v>
      </c>
      <c r="D69" s="298">
        <f>E69+F69+G69</f>
        <v>838.333</v>
      </c>
      <c r="E69" s="299">
        <v>138.333</v>
      </c>
      <c r="F69" s="296">
        <f>0+700</f>
        <v>700</v>
      </c>
      <c r="G69" s="296"/>
      <c r="H69" s="297"/>
      <c r="I69" s="297"/>
      <c r="J69" s="297"/>
      <c r="K69" s="621" t="s">
        <v>273</v>
      </c>
    </row>
    <row r="70" spans="1:11" ht="18.75">
      <c r="A70" s="608"/>
      <c r="B70" s="563"/>
      <c r="C70" s="36" t="s">
        <v>648</v>
      </c>
      <c r="D70" s="298">
        <f>E70+F70+G70</f>
        <v>150</v>
      </c>
      <c r="E70" s="299"/>
      <c r="F70" s="296"/>
      <c r="G70" s="296">
        <v>150</v>
      </c>
      <c r="H70" s="297"/>
      <c r="I70" s="297"/>
      <c r="J70" s="297"/>
      <c r="K70" s="621"/>
    </row>
    <row r="71" spans="1:11" ht="37.5">
      <c r="A71" s="195">
        <v>17</v>
      </c>
      <c r="B71" s="129" t="s">
        <v>388</v>
      </c>
      <c r="C71" s="36" t="s">
        <v>16</v>
      </c>
      <c r="D71" s="298">
        <f>E71+F71</f>
        <v>400</v>
      </c>
      <c r="E71" s="299"/>
      <c r="F71" s="296">
        <v>400</v>
      </c>
      <c r="G71" s="296"/>
      <c r="H71" s="297"/>
      <c r="I71" s="297"/>
      <c r="J71" s="297"/>
      <c r="K71" s="287" t="s">
        <v>273</v>
      </c>
    </row>
    <row r="72" spans="1:11" ht="48.75" customHeight="1">
      <c r="A72" s="195">
        <v>19</v>
      </c>
      <c r="B72" s="293" t="s">
        <v>408</v>
      </c>
      <c r="C72" s="36" t="s">
        <v>16</v>
      </c>
      <c r="D72" s="298">
        <f>E72+F72</f>
        <v>600</v>
      </c>
      <c r="E72" s="299"/>
      <c r="F72" s="296">
        <v>600</v>
      </c>
      <c r="G72" s="296"/>
      <c r="H72" s="297"/>
      <c r="I72" s="297"/>
      <c r="J72" s="297"/>
      <c r="K72" s="287" t="s">
        <v>273</v>
      </c>
    </row>
    <row r="73" spans="1:11" ht="36" customHeight="1">
      <c r="A73" s="607">
        <v>20</v>
      </c>
      <c r="B73" s="564" t="s">
        <v>580</v>
      </c>
      <c r="C73" s="36" t="s">
        <v>16</v>
      </c>
      <c r="D73" s="298">
        <f>E73+F73+G73</f>
        <v>950</v>
      </c>
      <c r="E73" s="299">
        <v>500</v>
      </c>
      <c r="F73" s="296">
        <v>450</v>
      </c>
      <c r="G73" s="296"/>
      <c r="H73" s="297"/>
      <c r="I73" s="297"/>
      <c r="J73" s="297"/>
      <c r="K73" s="578" t="s">
        <v>273</v>
      </c>
    </row>
    <row r="74" spans="1:11" ht="36" customHeight="1">
      <c r="A74" s="608"/>
      <c r="B74" s="568"/>
      <c r="C74" s="36" t="s">
        <v>648</v>
      </c>
      <c r="D74" s="298">
        <f>E74+F74+G74</f>
        <v>500</v>
      </c>
      <c r="E74" s="299"/>
      <c r="F74" s="296"/>
      <c r="G74" s="296">
        <v>500</v>
      </c>
      <c r="H74" s="297"/>
      <c r="I74" s="297"/>
      <c r="J74" s="297"/>
      <c r="K74" s="579"/>
    </row>
    <row r="75" spans="1:11" ht="24" customHeight="1">
      <c r="A75" s="410"/>
      <c r="B75" s="603" t="s">
        <v>5</v>
      </c>
      <c r="C75" s="604"/>
      <c r="D75" s="328">
        <f>D15+D21+D27+D35+D37+D48+D51+D53+D55+D46+D44+D62+D64+D66+D68+D69+D71+D72+D36+D45+D47+D49+D52+D54+D63+D65+D67+D70+D73+D74+141</f>
        <v>136985.33299999998</v>
      </c>
      <c r="E75" s="328">
        <f>E15+E21+E27+E35+E37+E48+E50+E51+E53+E55+E46+E44+E62+E64+E66+E68+E69</f>
        <v>43005.333</v>
      </c>
      <c r="F75" s="328">
        <f>F15+F21+F27+F35+F37+F48+F50+F51+F53+F55+F46+F44+F62+F64+F66+F68+F69+F71+F72</f>
        <v>49315</v>
      </c>
      <c r="G75" s="328">
        <f>G15+G21+G27+G35+G37+G48+G50+G51+G53+G55+G46+G44+G62+G64+G66+G68+G69+G73+G36+G45+G47+G49+G52+G54+G63+G65+G67+G70+G74</f>
        <v>45315</v>
      </c>
      <c r="H75" s="328" t="e">
        <f>H15+H21+H27+H35+#REF!+#REF!+#REF!+#REF!+#REF!+#REF!+#REF!+H37+#REF!+#REF!+#REF!</f>
        <v>#REF!</v>
      </c>
      <c r="I75" s="328" t="e">
        <f>I15+I21+I27+I35+#REF!+#REF!+#REF!+#REF!+#REF!+#REF!+#REF!+I37+#REF!+#REF!+#REF!</f>
        <v>#REF!</v>
      </c>
      <c r="J75" s="328" t="e">
        <f>J15+J21+J27+J35+#REF!+#REF!+#REF!+#REF!+#REF!+#REF!+#REF!+J37+#REF!+#REF!+#REF!</f>
        <v>#REF!</v>
      </c>
      <c r="K75" s="329"/>
    </row>
    <row r="76" spans="2:11" ht="15.75" customHeight="1">
      <c r="B76" s="4"/>
      <c r="C76" s="4"/>
      <c r="D76" s="204"/>
      <c r="E76" s="277"/>
      <c r="F76" s="204"/>
      <c r="G76" s="204"/>
      <c r="H76" s="204"/>
      <c r="I76" s="204"/>
      <c r="J76" s="204"/>
      <c r="K76" s="205"/>
    </row>
    <row r="77" spans="2:11" ht="32.25" customHeight="1">
      <c r="B77" s="4"/>
      <c r="C77" s="4"/>
      <c r="D77" s="204"/>
      <c r="E77" s="277"/>
      <c r="F77" s="204"/>
      <c r="G77" s="204"/>
      <c r="H77" s="204"/>
      <c r="I77" s="204"/>
      <c r="J77" s="204"/>
      <c r="K77" s="205"/>
    </row>
    <row r="78" spans="2:11" ht="27.75" customHeight="1">
      <c r="B78" s="4"/>
      <c r="C78" s="4"/>
      <c r="D78" s="204"/>
      <c r="E78" s="277"/>
      <c r="F78" s="204"/>
      <c r="G78" s="204"/>
      <c r="H78" s="204"/>
      <c r="I78" s="204"/>
      <c r="J78" s="204"/>
      <c r="K78" s="205"/>
    </row>
    <row r="79" spans="2:13" ht="33" customHeight="1">
      <c r="B79" s="609" t="s">
        <v>18</v>
      </c>
      <c r="C79" s="609"/>
      <c r="D79" s="9"/>
      <c r="E79" s="392"/>
      <c r="F79" s="393"/>
      <c r="G79" s="393"/>
      <c r="H79" s="393"/>
      <c r="I79" s="393"/>
      <c r="J79" s="393"/>
      <c r="K79" s="49" t="s">
        <v>30</v>
      </c>
      <c r="L79" s="206"/>
      <c r="M79" s="206"/>
    </row>
    <row r="80" spans="2:12" ht="18.75">
      <c r="B80" s="391"/>
      <c r="C80" s="49"/>
      <c r="D80" s="9"/>
      <c r="E80" s="392"/>
      <c r="F80" s="393"/>
      <c r="G80" s="393"/>
      <c r="H80" s="393"/>
      <c r="I80" s="393"/>
      <c r="J80" s="393"/>
      <c r="K80" s="49"/>
      <c r="L80" s="1"/>
    </row>
    <row r="81" spans="2:12" ht="18.75">
      <c r="B81" s="439" t="s">
        <v>679</v>
      </c>
      <c r="C81" s="49"/>
      <c r="D81" s="49"/>
      <c r="E81" s="278"/>
      <c r="F81" s="8"/>
      <c r="G81" s="8"/>
      <c r="H81" s="9"/>
      <c r="I81" s="9"/>
      <c r="J81" s="9"/>
      <c r="K81" s="394"/>
      <c r="L81" s="1"/>
    </row>
    <row r="82" spans="2:11" ht="15.75">
      <c r="B82" s="1"/>
      <c r="C82" s="44"/>
      <c r="D82" s="7"/>
      <c r="E82" s="279"/>
      <c r="F82" s="7"/>
      <c r="G82" s="7"/>
      <c r="H82" s="7"/>
      <c r="I82" s="7"/>
      <c r="J82" s="7"/>
      <c r="K82" s="1"/>
    </row>
    <row r="83" spans="2:11" ht="15.75">
      <c r="B83" s="1"/>
      <c r="C83" s="45"/>
      <c r="D83" s="7"/>
      <c r="E83" s="279"/>
      <c r="F83" s="7"/>
      <c r="G83" s="7"/>
      <c r="H83" s="7"/>
      <c r="I83" s="7"/>
      <c r="J83" s="7"/>
      <c r="K83" s="1"/>
    </row>
    <row r="84" spans="2:11" ht="15.75">
      <c r="B84" s="1"/>
      <c r="C84" s="1"/>
      <c r="D84" s="1"/>
      <c r="E84" s="276"/>
      <c r="F84" s="1"/>
      <c r="G84" s="1"/>
      <c r="H84" s="1"/>
      <c r="I84" s="1"/>
      <c r="J84" s="1"/>
      <c r="K84" s="1"/>
    </row>
    <row r="85" spans="2:11" ht="15.75">
      <c r="B85" s="1"/>
      <c r="C85" s="1"/>
      <c r="D85" s="1"/>
      <c r="E85" s="276"/>
      <c r="F85" s="1"/>
      <c r="G85" s="1"/>
      <c r="H85" s="1"/>
      <c r="I85" s="1"/>
      <c r="J85" s="1"/>
      <c r="K85" s="1"/>
    </row>
    <row r="86" spans="2:11" ht="15.75">
      <c r="B86" s="1"/>
      <c r="C86" s="1"/>
      <c r="D86" s="1"/>
      <c r="E86" s="276"/>
      <c r="F86" s="1"/>
      <c r="G86" s="1"/>
      <c r="H86" s="1"/>
      <c r="I86" s="1"/>
      <c r="J86" s="1"/>
      <c r="K86" s="1"/>
    </row>
    <row r="87" spans="2:11" ht="15.75">
      <c r="B87" s="1"/>
      <c r="C87" s="1"/>
      <c r="D87" s="1"/>
      <c r="E87" s="276"/>
      <c r="F87" s="1"/>
      <c r="G87" s="1"/>
      <c r="H87" s="1"/>
      <c r="I87" s="1"/>
      <c r="J87" s="1"/>
      <c r="K87" s="1"/>
    </row>
    <row r="88" spans="2:11" ht="15.75">
      <c r="B88" s="1"/>
      <c r="C88" s="1"/>
      <c r="D88" s="1"/>
      <c r="E88" s="276"/>
      <c r="F88" s="1"/>
      <c r="G88" s="1"/>
      <c r="H88" s="1"/>
      <c r="I88" s="1"/>
      <c r="J88" s="1"/>
      <c r="K88" s="1"/>
    </row>
    <row r="89" spans="2:11" ht="15.75">
      <c r="B89" s="1"/>
      <c r="C89" s="1"/>
      <c r="D89" s="1"/>
      <c r="E89" s="276"/>
      <c r="F89" s="1"/>
      <c r="G89" s="1"/>
      <c r="H89" s="1"/>
      <c r="I89" s="1"/>
      <c r="J89" s="1"/>
      <c r="K89" s="1"/>
    </row>
    <row r="90" spans="2:11" ht="15.75">
      <c r="B90" s="1"/>
      <c r="C90" s="1"/>
      <c r="D90" s="1"/>
      <c r="E90" s="276"/>
      <c r="F90" s="1"/>
      <c r="G90" s="1"/>
      <c r="H90" s="1"/>
      <c r="I90" s="1"/>
      <c r="J90" s="1"/>
      <c r="K90" s="1"/>
    </row>
    <row r="91" spans="2:11" ht="15.75">
      <c r="B91" s="1"/>
      <c r="C91" s="1"/>
      <c r="D91" s="1"/>
      <c r="E91" s="276"/>
      <c r="F91" s="1"/>
      <c r="G91" s="1"/>
      <c r="H91" s="1"/>
      <c r="I91" s="1"/>
      <c r="J91" s="1"/>
      <c r="K91" s="1"/>
    </row>
    <row r="92" spans="2:11" ht="15.75">
      <c r="B92" s="1"/>
      <c r="C92" s="1"/>
      <c r="D92" s="1"/>
      <c r="E92" s="276"/>
      <c r="F92" s="1"/>
      <c r="G92" s="1"/>
      <c r="H92" s="1"/>
      <c r="I92" s="1"/>
      <c r="J92" s="1"/>
      <c r="K92" s="1"/>
    </row>
    <row r="93" spans="2:11" ht="15.75">
      <c r="B93" s="1"/>
      <c r="C93" s="1"/>
      <c r="D93" s="1"/>
      <c r="E93" s="276"/>
      <c r="F93" s="1"/>
      <c r="G93" s="1"/>
      <c r="H93" s="1"/>
      <c r="I93" s="1"/>
      <c r="J93" s="1"/>
      <c r="K93" s="1"/>
    </row>
    <row r="94" spans="2:11" ht="15.75">
      <c r="B94" s="1"/>
      <c r="C94" s="1"/>
      <c r="D94" s="1"/>
      <c r="E94" s="276"/>
      <c r="F94" s="1"/>
      <c r="G94" s="1"/>
      <c r="H94" s="1"/>
      <c r="I94" s="1"/>
      <c r="J94" s="1"/>
      <c r="K94" s="1"/>
    </row>
    <row r="95" spans="2:11" ht="15.75">
      <c r="B95" s="1"/>
      <c r="C95" s="1"/>
      <c r="D95" s="1"/>
      <c r="E95" s="276"/>
      <c r="F95" s="1"/>
      <c r="G95" s="1"/>
      <c r="H95" s="1"/>
      <c r="I95" s="1"/>
      <c r="J95" s="1"/>
      <c r="K95" s="1"/>
    </row>
    <row r="96" spans="2:11" ht="15.75">
      <c r="B96" s="1"/>
      <c r="C96" s="1"/>
      <c r="D96" s="1"/>
      <c r="E96" s="276"/>
      <c r="F96" s="1"/>
      <c r="G96" s="1"/>
      <c r="H96" s="1"/>
      <c r="I96" s="1"/>
      <c r="J96" s="1"/>
      <c r="K96" s="1"/>
    </row>
    <row r="97" spans="2:11" ht="15.75">
      <c r="B97" s="1"/>
      <c r="C97" s="1"/>
      <c r="D97" s="1"/>
      <c r="E97" s="276"/>
      <c r="F97" s="1"/>
      <c r="G97" s="1"/>
      <c r="H97" s="1"/>
      <c r="I97" s="1"/>
      <c r="J97" s="1"/>
      <c r="K97" s="1"/>
    </row>
    <row r="98" spans="2:11" ht="15.75">
      <c r="B98" s="1"/>
      <c r="C98" s="1"/>
      <c r="D98" s="1"/>
      <c r="E98" s="276"/>
      <c r="F98" s="1"/>
      <c r="G98" s="1"/>
      <c r="H98" s="1"/>
      <c r="I98" s="1"/>
      <c r="J98" s="1"/>
      <c r="K98" s="1"/>
    </row>
    <row r="99" spans="2:11" ht="15.75">
      <c r="B99" s="1"/>
      <c r="C99" s="1"/>
      <c r="D99" s="1"/>
      <c r="E99" s="276"/>
      <c r="F99" s="1"/>
      <c r="G99" s="1"/>
      <c r="H99" s="1"/>
      <c r="I99" s="1"/>
      <c r="J99" s="1"/>
      <c r="K99" s="1"/>
    </row>
    <row r="100" spans="2:11" ht="15.75">
      <c r="B100" s="1"/>
      <c r="C100" s="1"/>
      <c r="D100" s="1"/>
      <c r="E100" s="276"/>
      <c r="F100" s="1"/>
      <c r="G100" s="1"/>
      <c r="H100" s="1"/>
      <c r="I100" s="1"/>
      <c r="J100" s="1"/>
      <c r="K100" s="1"/>
    </row>
    <row r="101" spans="2:11" ht="15.75">
      <c r="B101" s="1"/>
      <c r="C101" s="1"/>
      <c r="D101" s="1"/>
      <c r="E101" s="276"/>
      <c r="F101" s="1"/>
      <c r="G101" s="1"/>
      <c r="H101" s="1"/>
      <c r="I101" s="1"/>
      <c r="J101" s="1"/>
      <c r="K101" s="1"/>
    </row>
    <row r="102" spans="2:11" ht="15.75">
      <c r="B102" s="1"/>
      <c r="C102" s="1"/>
      <c r="D102" s="1"/>
      <c r="E102" s="276"/>
      <c r="F102" s="1"/>
      <c r="G102" s="1"/>
      <c r="H102" s="1"/>
      <c r="I102" s="1"/>
      <c r="J102" s="1"/>
      <c r="K102" s="1"/>
    </row>
    <row r="103" spans="2:11" ht="15.75">
      <c r="B103" s="1"/>
      <c r="C103" s="1"/>
      <c r="D103" s="1"/>
      <c r="E103" s="276"/>
      <c r="F103" s="1"/>
      <c r="G103" s="1"/>
      <c r="H103" s="1"/>
      <c r="I103" s="1"/>
      <c r="J103" s="1"/>
      <c r="K103" s="1"/>
    </row>
    <row r="104" spans="2:11" ht="15.75">
      <c r="B104" s="1"/>
      <c r="C104" s="1"/>
      <c r="D104" s="1"/>
      <c r="E104" s="276"/>
      <c r="F104" s="1"/>
      <c r="G104" s="1"/>
      <c r="H104" s="1"/>
      <c r="I104" s="1"/>
      <c r="J104" s="1"/>
      <c r="K104" s="1"/>
    </row>
    <row r="105" spans="2:11" ht="15.75">
      <c r="B105" s="1"/>
      <c r="C105" s="1"/>
      <c r="D105" s="1"/>
      <c r="E105" s="276"/>
      <c r="F105" s="1"/>
      <c r="G105" s="1"/>
      <c r="H105" s="1"/>
      <c r="I105" s="1"/>
      <c r="J105" s="1"/>
      <c r="K105" s="1"/>
    </row>
    <row r="106" spans="2:11" ht="15.75">
      <c r="B106" s="1"/>
      <c r="C106" s="1"/>
      <c r="D106" s="1"/>
      <c r="E106" s="276"/>
      <c r="F106" s="1"/>
      <c r="G106" s="1"/>
      <c r="H106" s="1"/>
      <c r="I106" s="1"/>
      <c r="J106" s="1"/>
      <c r="K106" s="1"/>
    </row>
    <row r="107" spans="2:11" ht="15.75">
      <c r="B107" s="1"/>
      <c r="C107" s="1"/>
      <c r="D107" s="1"/>
      <c r="E107" s="276"/>
      <c r="F107" s="1"/>
      <c r="G107" s="1"/>
      <c r="H107" s="1"/>
      <c r="I107" s="1"/>
      <c r="J107" s="1"/>
      <c r="K107" s="1"/>
    </row>
    <row r="108" spans="2:11" ht="15.75">
      <c r="B108" s="1"/>
      <c r="C108" s="1"/>
      <c r="D108" s="1"/>
      <c r="E108" s="276"/>
      <c r="F108" s="1"/>
      <c r="G108" s="1"/>
      <c r="H108" s="1"/>
      <c r="I108" s="1"/>
      <c r="J108" s="1"/>
      <c r="K108" s="1"/>
    </row>
    <row r="109" spans="2:11" ht="15.75">
      <c r="B109" s="1"/>
      <c r="C109" s="1"/>
      <c r="D109" s="1"/>
      <c r="E109" s="276"/>
      <c r="F109" s="1"/>
      <c r="G109" s="1"/>
      <c r="H109" s="1"/>
      <c r="I109" s="1"/>
      <c r="J109" s="1"/>
      <c r="K109" s="1"/>
    </row>
    <row r="110" spans="2:11" ht="15.75">
      <c r="B110" s="1"/>
      <c r="C110" s="1"/>
      <c r="D110" s="1"/>
      <c r="E110" s="276"/>
      <c r="F110" s="1"/>
      <c r="G110" s="1"/>
      <c r="H110" s="1"/>
      <c r="I110" s="1"/>
      <c r="J110" s="1"/>
      <c r="K110" s="1"/>
    </row>
    <row r="111" spans="2:11" ht="15.75">
      <c r="B111" s="1"/>
      <c r="C111" s="1"/>
      <c r="D111" s="1"/>
      <c r="E111" s="276"/>
      <c r="F111" s="1"/>
      <c r="G111" s="1"/>
      <c r="H111" s="1"/>
      <c r="I111" s="1"/>
      <c r="J111" s="1"/>
      <c r="K111" s="1"/>
    </row>
    <row r="112" spans="2:11" ht="15.75">
      <c r="B112" s="1"/>
      <c r="C112" s="1"/>
      <c r="D112" s="1"/>
      <c r="E112" s="276"/>
      <c r="F112" s="1"/>
      <c r="G112" s="1"/>
      <c r="H112" s="1"/>
      <c r="I112" s="1"/>
      <c r="J112" s="1"/>
      <c r="K112" s="1"/>
    </row>
    <row r="113" spans="2:11" ht="15.75">
      <c r="B113" s="1"/>
      <c r="C113" s="1"/>
      <c r="D113" s="1"/>
      <c r="E113" s="276"/>
      <c r="F113" s="1"/>
      <c r="G113" s="1"/>
      <c r="H113" s="1"/>
      <c r="I113" s="1"/>
      <c r="J113" s="1"/>
      <c r="K113" s="1"/>
    </row>
    <row r="114" spans="2:11" ht="15.75">
      <c r="B114" s="1"/>
      <c r="C114" s="1"/>
      <c r="D114" s="1"/>
      <c r="E114" s="276"/>
      <c r="F114" s="1"/>
      <c r="G114" s="1"/>
      <c r="H114" s="1"/>
      <c r="I114" s="1"/>
      <c r="J114" s="1"/>
      <c r="K114" s="1"/>
    </row>
    <row r="115" spans="2:11" ht="15.75">
      <c r="B115" s="1"/>
      <c r="C115" s="1"/>
      <c r="D115" s="1"/>
      <c r="E115" s="276"/>
      <c r="F115" s="1"/>
      <c r="G115" s="1"/>
      <c r="H115" s="1"/>
      <c r="I115" s="1"/>
      <c r="J115" s="1"/>
      <c r="K115" s="1"/>
    </row>
    <row r="116" spans="2:11" ht="15.75">
      <c r="B116" s="1"/>
      <c r="C116" s="1"/>
      <c r="D116" s="1"/>
      <c r="E116" s="276"/>
      <c r="F116" s="1"/>
      <c r="G116" s="1"/>
      <c r="H116" s="1"/>
      <c r="I116" s="1"/>
      <c r="J116" s="1"/>
      <c r="K116" s="1"/>
    </row>
    <row r="117" spans="2:11" ht="15.75">
      <c r="B117" s="1"/>
      <c r="C117" s="1"/>
      <c r="D117" s="1"/>
      <c r="E117" s="276"/>
      <c r="F117" s="1"/>
      <c r="G117" s="1"/>
      <c r="H117" s="1"/>
      <c r="I117" s="1"/>
      <c r="J117" s="1"/>
      <c r="K117" s="1"/>
    </row>
    <row r="118" spans="2:11" ht="15.75">
      <c r="B118" s="1"/>
      <c r="C118" s="1"/>
      <c r="D118" s="1"/>
      <c r="E118" s="276"/>
      <c r="F118" s="1"/>
      <c r="G118" s="1"/>
      <c r="H118" s="1"/>
      <c r="I118" s="1"/>
      <c r="J118" s="1"/>
      <c r="K118" s="1"/>
    </row>
    <row r="119" spans="2:11" ht="15.75">
      <c r="B119" s="1"/>
      <c r="C119" s="1"/>
      <c r="D119" s="1"/>
      <c r="E119" s="276"/>
      <c r="F119" s="1"/>
      <c r="G119" s="1"/>
      <c r="H119" s="1"/>
      <c r="I119" s="1"/>
      <c r="J119" s="1"/>
      <c r="K119" s="1"/>
    </row>
    <row r="120" spans="2:11" ht="15.75">
      <c r="B120" s="1"/>
      <c r="C120" s="1"/>
      <c r="D120" s="1"/>
      <c r="E120" s="276"/>
      <c r="F120" s="1"/>
      <c r="G120" s="1"/>
      <c r="H120" s="1"/>
      <c r="I120" s="1"/>
      <c r="J120" s="1"/>
      <c r="K120" s="1"/>
    </row>
    <row r="121" spans="2:11" ht="15.75">
      <c r="B121" s="1"/>
      <c r="C121" s="1"/>
      <c r="D121" s="1"/>
      <c r="E121" s="276"/>
      <c r="F121" s="1"/>
      <c r="G121" s="1"/>
      <c r="H121" s="1"/>
      <c r="I121" s="1"/>
      <c r="J121" s="1"/>
      <c r="K121" s="1"/>
    </row>
    <row r="122" spans="2:11" ht="15.75">
      <c r="B122" s="1"/>
      <c r="C122" s="1"/>
      <c r="D122" s="1"/>
      <c r="E122" s="276"/>
      <c r="F122" s="1"/>
      <c r="G122" s="1"/>
      <c r="H122" s="1"/>
      <c r="I122" s="1"/>
      <c r="J122" s="1"/>
      <c r="K122" s="1"/>
    </row>
    <row r="123" spans="2:11" ht="15.75">
      <c r="B123" s="1"/>
      <c r="C123" s="1"/>
      <c r="D123" s="1"/>
      <c r="E123" s="276"/>
      <c r="F123" s="1"/>
      <c r="G123" s="1"/>
      <c r="H123" s="1"/>
      <c r="I123" s="1"/>
      <c r="J123" s="1"/>
      <c r="K123" s="1"/>
    </row>
    <row r="124" spans="2:11" ht="15.75">
      <c r="B124" s="1"/>
      <c r="C124" s="1"/>
      <c r="D124" s="1"/>
      <c r="E124" s="276"/>
      <c r="F124" s="1"/>
      <c r="G124" s="1"/>
      <c r="H124" s="1"/>
      <c r="I124" s="1"/>
      <c r="J124" s="1"/>
      <c r="K124" s="1"/>
    </row>
    <row r="125" spans="2:11" ht="15.75">
      <c r="B125" s="1"/>
      <c r="C125" s="1"/>
      <c r="D125" s="1"/>
      <c r="E125" s="276"/>
      <c r="F125" s="1"/>
      <c r="G125" s="1"/>
      <c r="H125" s="1"/>
      <c r="I125" s="1"/>
      <c r="J125" s="1"/>
      <c r="K125" s="1"/>
    </row>
    <row r="126" spans="2:11" ht="15.75">
      <c r="B126" s="1"/>
      <c r="C126" s="1"/>
      <c r="D126" s="1"/>
      <c r="E126" s="276"/>
      <c r="F126" s="1"/>
      <c r="G126" s="1"/>
      <c r="H126" s="1"/>
      <c r="I126" s="1"/>
      <c r="J126" s="1"/>
      <c r="K126" s="1"/>
    </row>
    <row r="127" spans="2:11" ht="15.75">
      <c r="B127" s="1"/>
      <c r="C127" s="1"/>
      <c r="D127" s="1"/>
      <c r="E127" s="276"/>
      <c r="F127" s="1"/>
      <c r="G127" s="1"/>
      <c r="H127" s="1"/>
      <c r="I127" s="1"/>
      <c r="J127" s="1"/>
      <c r="K127" s="1"/>
    </row>
    <row r="128" spans="2:11" ht="15.75">
      <c r="B128" s="1"/>
      <c r="C128" s="1"/>
      <c r="D128" s="1"/>
      <c r="E128" s="276"/>
      <c r="F128" s="1"/>
      <c r="G128" s="1"/>
      <c r="H128" s="1"/>
      <c r="I128" s="1"/>
      <c r="J128" s="1"/>
      <c r="K128" s="1"/>
    </row>
    <row r="129" spans="2:11" ht="15.75">
      <c r="B129" s="1"/>
      <c r="C129" s="1"/>
      <c r="D129" s="1"/>
      <c r="E129" s="276"/>
      <c r="F129" s="1"/>
      <c r="G129" s="1"/>
      <c r="H129" s="1"/>
      <c r="I129" s="1"/>
      <c r="J129" s="1"/>
      <c r="K129" s="1"/>
    </row>
    <row r="130" spans="2:11" ht="15.75">
      <c r="B130" s="1"/>
      <c r="C130" s="1"/>
      <c r="D130" s="1"/>
      <c r="E130" s="276"/>
      <c r="F130" s="1"/>
      <c r="G130" s="1"/>
      <c r="H130" s="1"/>
      <c r="I130" s="1"/>
      <c r="J130" s="1"/>
      <c r="K130" s="1"/>
    </row>
    <row r="131" spans="2:11" ht="15.75">
      <c r="B131" s="1"/>
      <c r="C131" s="1"/>
      <c r="D131" s="1"/>
      <c r="E131" s="276"/>
      <c r="F131" s="1"/>
      <c r="G131" s="1"/>
      <c r="H131" s="1"/>
      <c r="I131" s="1"/>
      <c r="J131" s="1"/>
      <c r="K131" s="1"/>
    </row>
    <row r="132" spans="2:11" ht="15.75">
      <c r="B132" s="1"/>
      <c r="C132" s="1"/>
      <c r="D132" s="1"/>
      <c r="E132" s="276"/>
      <c r="F132" s="1"/>
      <c r="G132" s="1"/>
      <c r="H132" s="1"/>
      <c r="I132" s="1"/>
      <c r="J132" s="1"/>
      <c r="K132" s="1"/>
    </row>
    <row r="133" spans="2:11" ht="15.75">
      <c r="B133" s="1"/>
      <c r="C133" s="1"/>
      <c r="D133" s="1"/>
      <c r="E133" s="276"/>
      <c r="F133" s="1"/>
      <c r="G133" s="1"/>
      <c r="H133" s="1"/>
      <c r="I133" s="1"/>
      <c r="J133" s="1"/>
      <c r="K133" s="1"/>
    </row>
    <row r="134" spans="2:11" ht="15.75">
      <c r="B134" s="1"/>
      <c r="C134" s="1"/>
      <c r="D134" s="1"/>
      <c r="E134" s="276"/>
      <c r="F134" s="1"/>
      <c r="G134" s="1"/>
      <c r="H134" s="1"/>
      <c r="I134" s="1"/>
      <c r="J134" s="1"/>
      <c r="K134" s="1"/>
    </row>
    <row r="135" spans="2:11" ht="15.75">
      <c r="B135" s="1"/>
      <c r="C135" s="1"/>
      <c r="D135" s="1"/>
      <c r="E135" s="276"/>
      <c r="F135" s="1"/>
      <c r="G135" s="1"/>
      <c r="H135" s="1"/>
      <c r="I135" s="1"/>
      <c r="J135" s="1"/>
      <c r="K135" s="1"/>
    </row>
    <row r="136" spans="2:11" ht="15.75">
      <c r="B136" s="1"/>
      <c r="C136" s="1"/>
      <c r="D136" s="1"/>
      <c r="E136" s="276"/>
      <c r="F136" s="1"/>
      <c r="G136" s="1"/>
      <c r="H136" s="1"/>
      <c r="I136" s="1"/>
      <c r="J136" s="1"/>
      <c r="K136" s="1"/>
    </row>
    <row r="137" spans="2:11" ht="15.75">
      <c r="B137" s="1"/>
      <c r="C137" s="1"/>
      <c r="D137" s="1"/>
      <c r="E137" s="276"/>
      <c r="F137" s="1"/>
      <c r="G137" s="1"/>
      <c r="H137" s="1"/>
      <c r="I137" s="1"/>
      <c r="J137" s="1"/>
      <c r="K137" s="1"/>
    </row>
  </sheetData>
  <sheetProtection/>
  <mergeCells count="56">
    <mergeCell ref="A73:A74"/>
    <mergeCell ref="B73:B74"/>
    <mergeCell ref="K73:K74"/>
    <mergeCell ref="A69:A70"/>
    <mergeCell ref="B69:B70"/>
    <mergeCell ref="K69:K70"/>
    <mergeCell ref="A64:A65"/>
    <mergeCell ref="B64:B65"/>
    <mergeCell ref="K64:K65"/>
    <mergeCell ref="A66:A67"/>
    <mergeCell ref="B66:B67"/>
    <mergeCell ref="K66:K67"/>
    <mergeCell ref="A53:A54"/>
    <mergeCell ref="B53:B54"/>
    <mergeCell ref="K53:K54"/>
    <mergeCell ref="A62:A63"/>
    <mergeCell ref="B62:B63"/>
    <mergeCell ref="K62:K63"/>
    <mergeCell ref="K55:K61"/>
    <mergeCell ref="K37:K47"/>
    <mergeCell ref="A48:A49"/>
    <mergeCell ref="B48:B49"/>
    <mergeCell ref="K48:K49"/>
    <mergeCell ref="A50:A52"/>
    <mergeCell ref="B50:B52"/>
    <mergeCell ref="K50:K52"/>
    <mergeCell ref="B79:C79"/>
    <mergeCell ref="A27:A33"/>
    <mergeCell ref="A37:A43"/>
    <mergeCell ref="C37:C43"/>
    <mergeCell ref="A55:A61"/>
    <mergeCell ref="C55:C61"/>
    <mergeCell ref="C27:C34"/>
    <mergeCell ref="A35:A36"/>
    <mergeCell ref="B35:B36"/>
    <mergeCell ref="A44:A45"/>
    <mergeCell ref="C15:C20"/>
    <mergeCell ref="K15:K20"/>
    <mergeCell ref="A21:A24"/>
    <mergeCell ref="C21:C24"/>
    <mergeCell ref="K21:K24"/>
    <mergeCell ref="B75:C75"/>
    <mergeCell ref="K35:K36"/>
    <mergeCell ref="B44:B45"/>
    <mergeCell ref="A46:A47"/>
    <mergeCell ref="B46:B47"/>
    <mergeCell ref="K2:L2"/>
    <mergeCell ref="B11:K11"/>
    <mergeCell ref="K27:K34"/>
    <mergeCell ref="A13:A14"/>
    <mergeCell ref="B13:B14"/>
    <mergeCell ref="C13:C14"/>
    <mergeCell ref="D13:D14"/>
    <mergeCell ref="E13:J13"/>
    <mergeCell ref="K13:K14"/>
    <mergeCell ref="A15:A20"/>
  </mergeCells>
  <printOptions horizontalCentered="1"/>
  <pageMargins left="0" right="0" top="1.1811023622047245" bottom="0" header="0" footer="0"/>
  <pageSetup fitToHeight="2" fitToWidth="1" horizontalDpi="600" verticalDpi="600" orientation="landscape" paperSize="9" scale="50" r:id="rId1"/>
  <rowBreaks count="1" manualBreakCount="1">
    <brk id="43" max="11"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K42"/>
  <sheetViews>
    <sheetView view="pageBreakPreview" zoomScale="87" zoomScaleSheetLayoutView="87" zoomScalePageLayoutView="0" workbookViewId="0" topLeftCell="A16">
      <selection activeCell="A1" sqref="A1:H39"/>
    </sheetView>
  </sheetViews>
  <sheetFormatPr defaultColWidth="9.140625" defaultRowHeight="12.75"/>
  <cols>
    <col min="1" max="1" width="6.7109375" style="151" customWidth="1"/>
    <col min="2" max="2" width="47.7109375" style="151" customWidth="1"/>
    <col min="3" max="3" width="18.00390625" style="151" customWidth="1"/>
    <col min="4" max="4" width="18.8515625" style="151" customWidth="1"/>
    <col min="5" max="5" width="17.140625" style="151" customWidth="1"/>
    <col min="6" max="6" width="16.421875" style="151" customWidth="1"/>
    <col min="7" max="7" width="17.7109375" style="151" customWidth="1"/>
    <col min="8" max="8" width="55.57421875" style="151" customWidth="1"/>
    <col min="9" max="10" width="9.140625" style="151" hidden="1" customWidth="1"/>
    <col min="11" max="11" width="9.8515625" style="151" hidden="1" customWidth="1"/>
    <col min="12" max="12" width="10.140625" style="151" customWidth="1"/>
    <col min="13" max="16384" width="9.140625" style="151" customWidth="1"/>
  </cols>
  <sheetData>
    <row r="1" spans="2:9" ht="18.75">
      <c r="B1" s="158"/>
      <c r="C1" s="158"/>
      <c r="D1" s="158"/>
      <c r="E1" s="158"/>
      <c r="F1" s="158"/>
      <c r="G1" s="622" t="s">
        <v>497</v>
      </c>
      <c r="H1" s="622"/>
      <c r="I1" s="207" t="s">
        <v>19</v>
      </c>
    </row>
    <row r="2" spans="2:9" ht="18.75">
      <c r="B2" s="158"/>
      <c r="C2" s="158"/>
      <c r="D2" s="158"/>
      <c r="E2" s="158"/>
      <c r="F2" s="158"/>
      <c r="G2" s="622" t="s">
        <v>11</v>
      </c>
      <c r="H2" s="622"/>
      <c r="I2" s="208" t="s">
        <v>11</v>
      </c>
    </row>
    <row r="3" spans="2:9" ht="18.75">
      <c r="B3" s="158"/>
      <c r="C3" s="158"/>
      <c r="D3" s="158"/>
      <c r="E3" s="158"/>
      <c r="F3" s="158"/>
      <c r="G3" s="209" t="s">
        <v>696</v>
      </c>
      <c r="H3" s="209"/>
      <c r="I3" s="208"/>
    </row>
    <row r="4" spans="2:9" ht="18.75">
      <c r="B4" s="158"/>
      <c r="C4" s="158"/>
      <c r="D4" s="158"/>
      <c r="E4" s="158"/>
      <c r="F4" s="158"/>
      <c r="G4" s="209" t="s">
        <v>697</v>
      </c>
      <c r="H4" s="209"/>
      <c r="I4" s="208" t="s">
        <v>21</v>
      </c>
    </row>
    <row r="5" spans="2:9" ht="18.75">
      <c r="B5" s="158"/>
      <c r="C5" s="158"/>
      <c r="D5" s="158"/>
      <c r="E5" s="158"/>
      <c r="F5" s="158"/>
      <c r="G5" s="209" t="s">
        <v>700</v>
      </c>
      <c r="H5" s="209"/>
      <c r="I5" s="208" t="s">
        <v>23</v>
      </c>
    </row>
    <row r="6" spans="2:9" ht="18.75">
      <c r="B6" s="158"/>
      <c r="C6" s="158"/>
      <c r="D6" s="158"/>
      <c r="E6" s="158"/>
      <c r="F6" s="158"/>
      <c r="G6" s="209" t="s">
        <v>698</v>
      </c>
      <c r="H6" s="209"/>
      <c r="I6" s="208"/>
    </row>
    <row r="7" spans="2:9" ht="18.75">
      <c r="B7" s="158"/>
      <c r="C7" s="158"/>
      <c r="D7" s="158"/>
      <c r="E7" s="158"/>
      <c r="F7" s="158"/>
      <c r="G7" s="209" t="s">
        <v>685</v>
      </c>
      <c r="H7" s="209"/>
      <c r="I7" s="208" t="s">
        <v>24</v>
      </c>
    </row>
    <row r="8" spans="2:9" ht="15.75">
      <c r="B8" s="158"/>
      <c r="C8" s="158"/>
      <c r="D8" s="158"/>
      <c r="E8" s="158"/>
      <c r="F8" s="158"/>
      <c r="G8" s="158" t="s">
        <v>699</v>
      </c>
      <c r="H8" s="158"/>
      <c r="I8" s="158"/>
    </row>
    <row r="9" spans="1:9" ht="36.75" customHeight="1">
      <c r="A9" s="623" t="s">
        <v>626</v>
      </c>
      <c r="B9" s="623"/>
      <c r="C9" s="623"/>
      <c r="D9" s="623"/>
      <c r="E9" s="623"/>
      <c r="F9" s="623"/>
      <c r="G9" s="623"/>
      <c r="H9" s="623"/>
      <c r="I9" s="158"/>
    </row>
    <row r="10" spans="2:9" ht="15.75">
      <c r="B10" s="158"/>
      <c r="C10" s="158"/>
      <c r="D10" s="624"/>
      <c r="E10" s="624"/>
      <c r="F10" s="624"/>
      <c r="G10" s="158"/>
      <c r="H10" s="440" t="s">
        <v>467</v>
      </c>
      <c r="I10" s="158"/>
    </row>
    <row r="11" spans="1:9" ht="18.75">
      <c r="A11" s="625" t="s">
        <v>32</v>
      </c>
      <c r="B11" s="625" t="s">
        <v>12</v>
      </c>
      <c r="C11" s="625" t="s">
        <v>13</v>
      </c>
      <c r="D11" s="625" t="s">
        <v>432</v>
      </c>
      <c r="E11" s="633" t="s">
        <v>9</v>
      </c>
      <c r="F11" s="633"/>
      <c r="G11" s="634"/>
      <c r="H11" s="635" t="s">
        <v>15</v>
      </c>
      <c r="I11" s="158"/>
    </row>
    <row r="12" spans="1:9" ht="15.75" customHeight="1">
      <c r="A12" s="626"/>
      <c r="B12" s="626"/>
      <c r="C12" s="626"/>
      <c r="D12" s="626"/>
      <c r="E12" s="625" t="s">
        <v>471</v>
      </c>
      <c r="F12" s="625" t="s">
        <v>439</v>
      </c>
      <c r="G12" s="635" t="s">
        <v>463</v>
      </c>
      <c r="H12" s="635"/>
      <c r="I12" s="158"/>
    </row>
    <row r="13" spans="1:9" ht="26.25" customHeight="1">
      <c r="A13" s="627"/>
      <c r="B13" s="627"/>
      <c r="C13" s="627"/>
      <c r="D13" s="627"/>
      <c r="E13" s="627"/>
      <c r="F13" s="627"/>
      <c r="G13" s="635"/>
      <c r="H13" s="635"/>
      <c r="I13" s="158"/>
    </row>
    <row r="14" spans="1:9" ht="35.25" customHeight="1">
      <c r="A14" s="630">
        <v>1</v>
      </c>
      <c r="B14" s="557" t="s">
        <v>213</v>
      </c>
      <c r="C14" s="240" t="s">
        <v>16</v>
      </c>
      <c r="D14" s="250">
        <f aca="true" t="shared" si="0" ref="D14:D28">E14+F14+G14</f>
        <v>30500.9</v>
      </c>
      <c r="E14" s="251">
        <v>15200.9</v>
      </c>
      <c r="F14" s="251">
        <v>15300</v>
      </c>
      <c r="G14" s="251"/>
      <c r="H14" s="630" t="s">
        <v>56</v>
      </c>
      <c r="I14" s="158"/>
    </row>
    <row r="15" spans="1:9" ht="18.75">
      <c r="A15" s="631"/>
      <c r="B15" s="558"/>
      <c r="C15" s="240" t="s">
        <v>648</v>
      </c>
      <c r="D15" s="250">
        <f t="shared" si="0"/>
        <v>15300</v>
      </c>
      <c r="E15" s="251"/>
      <c r="F15" s="251"/>
      <c r="G15" s="251">
        <f>15400-100</f>
        <v>15300</v>
      </c>
      <c r="H15" s="631"/>
      <c r="I15" s="158"/>
    </row>
    <row r="16" spans="1:11" ht="33.75" customHeight="1">
      <c r="A16" s="630">
        <v>2</v>
      </c>
      <c r="B16" s="628" t="s">
        <v>211</v>
      </c>
      <c r="C16" s="240" t="s">
        <v>16</v>
      </c>
      <c r="D16" s="250">
        <f t="shared" si="0"/>
        <v>11.9</v>
      </c>
      <c r="E16" s="251">
        <v>3</v>
      </c>
      <c r="F16" s="251">
        <f>3.5+5.4</f>
        <v>8.9</v>
      </c>
      <c r="G16" s="251"/>
      <c r="H16" s="630" t="s">
        <v>31</v>
      </c>
      <c r="I16" s="158"/>
      <c r="K16" s="151">
        <v>441</v>
      </c>
    </row>
    <row r="17" spans="1:9" ht="18.75">
      <c r="A17" s="631"/>
      <c r="B17" s="629"/>
      <c r="C17" s="240" t="s">
        <v>648</v>
      </c>
      <c r="D17" s="250">
        <f t="shared" si="0"/>
        <v>10</v>
      </c>
      <c r="E17" s="251"/>
      <c r="F17" s="251"/>
      <c r="G17" s="251">
        <v>10</v>
      </c>
      <c r="H17" s="631"/>
      <c r="I17" s="158"/>
    </row>
    <row r="18" spans="1:9" ht="35.25" customHeight="1">
      <c r="A18" s="630">
        <v>3</v>
      </c>
      <c r="B18" s="628" t="s">
        <v>131</v>
      </c>
      <c r="C18" s="240" t="s">
        <v>16</v>
      </c>
      <c r="D18" s="250">
        <f t="shared" si="0"/>
        <v>9900.2</v>
      </c>
      <c r="E18" s="251">
        <v>4800.2</v>
      </c>
      <c r="F18" s="251">
        <v>5100</v>
      </c>
      <c r="G18" s="251"/>
      <c r="H18" s="630" t="s">
        <v>210</v>
      </c>
      <c r="I18" s="158"/>
    </row>
    <row r="19" spans="1:9" ht="18.75">
      <c r="A19" s="631"/>
      <c r="B19" s="629"/>
      <c r="C19" s="240" t="s">
        <v>648</v>
      </c>
      <c r="D19" s="250">
        <f t="shared" si="0"/>
        <v>5200</v>
      </c>
      <c r="E19" s="251"/>
      <c r="F19" s="251"/>
      <c r="G19" s="251">
        <v>5200</v>
      </c>
      <c r="H19" s="631"/>
      <c r="I19" s="158"/>
    </row>
    <row r="20" spans="1:9" ht="33.75" customHeight="1">
      <c r="A20" s="630">
        <v>4</v>
      </c>
      <c r="B20" s="628" t="s">
        <v>132</v>
      </c>
      <c r="C20" s="240" t="s">
        <v>16</v>
      </c>
      <c r="D20" s="250">
        <f t="shared" si="0"/>
        <v>355</v>
      </c>
      <c r="E20" s="251">
        <v>175</v>
      </c>
      <c r="F20" s="251">
        <v>180</v>
      </c>
      <c r="G20" s="251"/>
      <c r="H20" s="630" t="s">
        <v>56</v>
      </c>
      <c r="I20" s="158"/>
    </row>
    <row r="21" spans="1:9" ht="18.75">
      <c r="A21" s="631"/>
      <c r="B21" s="629"/>
      <c r="C21" s="240" t="s">
        <v>648</v>
      </c>
      <c r="D21" s="250">
        <f t="shared" si="0"/>
        <v>185</v>
      </c>
      <c r="E21" s="251"/>
      <c r="F21" s="251"/>
      <c r="G21" s="251">
        <v>185</v>
      </c>
      <c r="H21" s="631"/>
      <c r="I21" s="158"/>
    </row>
    <row r="22" spans="1:9" ht="44.25" customHeight="1">
      <c r="A22" s="630">
        <v>5</v>
      </c>
      <c r="B22" s="628" t="s">
        <v>133</v>
      </c>
      <c r="C22" s="240" t="s">
        <v>16</v>
      </c>
      <c r="D22" s="250">
        <f t="shared" si="0"/>
        <v>811.6</v>
      </c>
      <c r="E22" s="251">
        <v>401.6</v>
      </c>
      <c r="F22" s="251">
        <v>410</v>
      </c>
      <c r="G22" s="251"/>
      <c r="H22" s="630" t="s">
        <v>134</v>
      </c>
      <c r="I22" s="158"/>
    </row>
    <row r="23" spans="1:9" ht="28.5" customHeight="1">
      <c r="A23" s="631"/>
      <c r="B23" s="629"/>
      <c r="C23" s="240" t="s">
        <v>648</v>
      </c>
      <c r="D23" s="250">
        <f t="shared" si="0"/>
        <v>415</v>
      </c>
      <c r="E23" s="251"/>
      <c r="F23" s="251"/>
      <c r="G23" s="251">
        <v>415</v>
      </c>
      <c r="H23" s="631"/>
      <c r="I23" s="158"/>
    </row>
    <row r="24" spans="1:9" ht="23.25" customHeight="1">
      <c r="A24" s="630">
        <v>6</v>
      </c>
      <c r="B24" s="628" t="s">
        <v>266</v>
      </c>
      <c r="C24" s="240" t="s">
        <v>265</v>
      </c>
      <c r="D24" s="250">
        <f t="shared" si="0"/>
        <v>459</v>
      </c>
      <c r="E24" s="251">
        <v>116</v>
      </c>
      <c r="F24" s="251">
        <f>120+98</f>
        <v>218</v>
      </c>
      <c r="G24" s="251">
        <v>125</v>
      </c>
      <c r="H24" s="630" t="s">
        <v>56</v>
      </c>
      <c r="I24" s="158"/>
    </row>
    <row r="25" spans="1:9" ht="29.25" customHeight="1">
      <c r="A25" s="637"/>
      <c r="B25" s="638"/>
      <c r="C25" s="240" t="s">
        <v>16</v>
      </c>
      <c r="D25" s="250">
        <f t="shared" si="0"/>
        <v>334</v>
      </c>
      <c r="E25" s="251">
        <v>116</v>
      </c>
      <c r="F25" s="251">
        <f>120+98</f>
        <v>218</v>
      </c>
      <c r="G25" s="251"/>
      <c r="H25" s="637"/>
      <c r="I25" s="158"/>
    </row>
    <row r="26" spans="1:9" ht="18.75">
      <c r="A26" s="631"/>
      <c r="B26" s="629"/>
      <c r="C26" s="240" t="s">
        <v>648</v>
      </c>
      <c r="D26" s="250">
        <f t="shared" si="0"/>
        <v>125</v>
      </c>
      <c r="E26" s="251"/>
      <c r="F26" s="251"/>
      <c r="G26" s="251">
        <v>125</v>
      </c>
      <c r="H26" s="631"/>
      <c r="I26" s="158"/>
    </row>
    <row r="27" spans="1:9" ht="34.5" customHeight="1">
      <c r="A27" s="630">
        <v>7</v>
      </c>
      <c r="B27" s="628" t="s">
        <v>212</v>
      </c>
      <c r="C27" s="240" t="s">
        <v>16</v>
      </c>
      <c r="D27" s="250">
        <f t="shared" si="0"/>
        <v>2500</v>
      </c>
      <c r="E27" s="251">
        <v>1000</v>
      </c>
      <c r="F27" s="251">
        <v>1500</v>
      </c>
      <c r="G27" s="251"/>
      <c r="H27" s="630" t="s">
        <v>56</v>
      </c>
      <c r="I27" s="158"/>
    </row>
    <row r="28" spans="1:9" ht="18.75">
      <c r="A28" s="631"/>
      <c r="B28" s="629"/>
      <c r="C28" s="240" t="s">
        <v>648</v>
      </c>
      <c r="D28" s="250">
        <f t="shared" si="0"/>
        <v>2000</v>
      </c>
      <c r="E28" s="251"/>
      <c r="F28" s="251"/>
      <c r="G28" s="251">
        <v>2000</v>
      </c>
      <c r="H28" s="631"/>
      <c r="I28" s="158"/>
    </row>
    <row r="29" spans="1:9" ht="56.25" customHeight="1">
      <c r="A29" s="210">
        <v>8</v>
      </c>
      <c r="B29" s="239" t="s">
        <v>541</v>
      </c>
      <c r="C29" s="240" t="s">
        <v>648</v>
      </c>
      <c r="D29" s="250">
        <f>E29+F29+G29</f>
        <v>1600</v>
      </c>
      <c r="E29" s="251"/>
      <c r="F29" s="251"/>
      <c r="G29" s="251">
        <f>1500+100</f>
        <v>1600</v>
      </c>
      <c r="H29" s="210" t="s">
        <v>56</v>
      </c>
      <c r="I29" s="158"/>
    </row>
    <row r="30" spans="1:9" ht="18.75">
      <c r="A30" s="211"/>
      <c r="B30" s="252" t="s">
        <v>5</v>
      </c>
      <c r="C30" s="253"/>
      <c r="D30" s="250">
        <f>E30+F30+G30</f>
        <v>69707.6</v>
      </c>
      <c r="E30" s="250">
        <f>E27+E25+E24+E22+E20+E18+E16+E14</f>
        <v>21812.699999999997</v>
      </c>
      <c r="F30" s="250">
        <f>F27+F25+F24+F22+F20+F18+F16+F14</f>
        <v>22934.9</v>
      </c>
      <c r="G30" s="250">
        <f>G27+G25+G24+G22+G20+G18+G16+G14+G29+G15+G17+G19+G21+G23+G26+G28</f>
        <v>24960</v>
      </c>
      <c r="H30" s="212"/>
      <c r="I30" s="158"/>
    </row>
    <row r="31" spans="1:9" ht="15.75">
      <c r="A31" s="213"/>
      <c r="B31" s="214"/>
      <c r="C31" s="214"/>
      <c r="D31" s="215"/>
      <c r="E31" s="215"/>
      <c r="F31" s="215"/>
      <c r="G31" s="215"/>
      <c r="H31" s="216"/>
      <c r="I31" s="158"/>
    </row>
    <row r="32" spans="1:9" ht="15.75">
      <c r="A32" s="213"/>
      <c r="B32" s="214"/>
      <c r="C32" s="214"/>
      <c r="D32" s="215"/>
      <c r="E32" s="215"/>
      <c r="F32" s="215"/>
      <c r="G32" s="215"/>
      <c r="H32" s="216"/>
      <c r="I32" s="158"/>
    </row>
    <row r="33" spans="1:9" ht="15.75">
      <c r="A33" s="213"/>
      <c r="B33" s="214"/>
      <c r="C33" s="214"/>
      <c r="D33" s="215"/>
      <c r="E33" s="215"/>
      <c r="F33" s="215"/>
      <c r="G33" s="215"/>
      <c r="H33" s="216"/>
      <c r="I33" s="158"/>
    </row>
    <row r="34" spans="2:9" ht="15.75">
      <c r="B34" s="214"/>
      <c r="C34" s="214"/>
      <c r="D34" s="215"/>
      <c r="E34" s="215"/>
      <c r="F34" s="215"/>
      <c r="G34" s="215"/>
      <c r="H34" s="216"/>
      <c r="I34" s="158"/>
    </row>
    <row r="35" spans="2:9" ht="18.75">
      <c r="B35" s="632" t="s">
        <v>18</v>
      </c>
      <c r="C35" s="632"/>
      <c r="D35" s="406"/>
      <c r="E35" s="217"/>
      <c r="F35" s="217"/>
      <c r="G35" s="154"/>
      <c r="H35" s="154" t="s">
        <v>30</v>
      </c>
      <c r="I35" s="154"/>
    </row>
    <row r="36" spans="2:9" ht="18.75">
      <c r="B36" s="152"/>
      <c r="C36" s="152"/>
      <c r="D36" s="152"/>
      <c r="E36" s="217"/>
      <c r="F36" s="217"/>
      <c r="G36" s="154"/>
      <c r="H36" s="218"/>
      <c r="I36" s="154"/>
    </row>
    <row r="37" spans="2:9" ht="18.75">
      <c r="B37" s="152"/>
      <c r="C37" s="152"/>
      <c r="D37" s="152"/>
      <c r="E37" s="217"/>
      <c r="F37" s="217"/>
      <c r="G37" s="154"/>
      <c r="H37" s="218"/>
      <c r="I37" s="154"/>
    </row>
    <row r="38" spans="2:8" ht="18.75">
      <c r="B38" s="636" t="s">
        <v>678</v>
      </c>
      <c r="C38" s="636"/>
      <c r="D38" s="156"/>
      <c r="E38" s="157"/>
      <c r="F38" s="157"/>
      <c r="G38" s="158"/>
      <c r="H38" s="158"/>
    </row>
    <row r="39" spans="2:10" ht="15.75">
      <c r="B39" s="159" t="s">
        <v>10</v>
      </c>
      <c r="C39" s="159"/>
      <c r="D39" s="157"/>
      <c r="E39" s="157"/>
      <c r="F39" s="157"/>
      <c r="G39" s="158"/>
      <c r="H39" s="158"/>
      <c r="J39" s="208"/>
    </row>
    <row r="40" spans="2:8" ht="15.75">
      <c r="B40" s="219"/>
      <c r="C40" s="220"/>
      <c r="D40" s="221"/>
      <c r="E40" s="157"/>
      <c r="F40" s="157"/>
      <c r="G40" s="158"/>
      <c r="H40" s="158"/>
    </row>
    <row r="41" spans="3:7" ht="15.75">
      <c r="C41" s="221"/>
      <c r="D41" s="157"/>
      <c r="E41" s="157"/>
      <c r="F41" s="157"/>
      <c r="G41" s="157"/>
    </row>
    <row r="42" spans="3:7" ht="15.75">
      <c r="C42" s="222"/>
      <c r="D42" s="157"/>
      <c r="E42" s="157"/>
      <c r="F42" s="157"/>
      <c r="G42" s="157"/>
    </row>
  </sheetData>
  <sheetProtection/>
  <mergeCells count="36">
    <mergeCell ref="B27:B28"/>
    <mergeCell ref="H27:H28"/>
    <mergeCell ref="H20:H21"/>
    <mergeCell ref="A22:A23"/>
    <mergeCell ref="B22:B23"/>
    <mergeCell ref="H22:H23"/>
    <mergeCell ref="A24:A26"/>
    <mergeCell ref="B24:B26"/>
    <mergeCell ref="H24:H26"/>
    <mergeCell ref="B38:C38"/>
    <mergeCell ref="H11:H13"/>
    <mergeCell ref="E12:E13"/>
    <mergeCell ref="F12:F13"/>
    <mergeCell ref="B11:B13"/>
    <mergeCell ref="C11:C13"/>
    <mergeCell ref="B14:B15"/>
    <mergeCell ref="H14:H15"/>
    <mergeCell ref="B16:B17"/>
    <mergeCell ref="H16:H17"/>
    <mergeCell ref="B35:C35"/>
    <mergeCell ref="D11:D13"/>
    <mergeCell ref="E11:G11"/>
    <mergeCell ref="G12:G13"/>
    <mergeCell ref="A14:A15"/>
    <mergeCell ref="A16:A17"/>
    <mergeCell ref="A18:A19"/>
    <mergeCell ref="A20:A21"/>
    <mergeCell ref="B20:B21"/>
    <mergeCell ref="A27:A28"/>
    <mergeCell ref="G1:H1"/>
    <mergeCell ref="G2:H2"/>
    <mergeCell ref="A9:H9"/>
    <mergeCell ref="D10:F10"/>
    <mergeCell ref="A11:A13"/>
    <mergeCell ref="B18:B19"/>
    <mergeCell ref="H18:H19"/>
  </mergeCells>
  <printOptions horizontalCentered="1"/>
  <pageMargins left="0" right="0" top="1.1811023622047245" bottom="0" header="0" footer="0"/>
  <pageSetup fitToHeight="1" fitToWidth="1"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N40"/>
  <sheetViews>
    <sheetView view="pageBreakPreview" zoomScaleSheetLayoutView="100" zoomScalePageLayoutView="0" workbookViewId="0" topLeftCell="A16">
      <selection activeCell="A1" sqref="A1:K35"/>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43" t="s">
        <v>349</v>
      </c>
      <c r="K1" s="643"/>
      <c r="L1" s="13" t="s">
        <v>19</v>
      </c>
    </row>
    <row r="2" spans="2:12" ht="15.75">
      <c r="B2" s="15"/>
      <c r="C2" s="15"/>
      <c r="D2" s="15"/>
      <c r="E2" s="15"/>
      <c r="F2" s="15"/>
      <c r="G2" s="15"/>
      <c r="H2" s="15"/>
      <c r="I2" s="12" t="s">
        <v>11</v>
      </c>
      <c r="J2" s="591" t="s">
        <v>11</v>
      </c>
      <c r="K2" s="591"/>
      <c r="L2" s="12" t="s">
        <v>11</v>
      </c>
    </row>
    <row r="3" spans="2:12" ht="15.75">
      <c r="B3" s="15"/>
      <c r="C3" s="15"/>
      <c r="D3" s="15"/>
      <c r="E3" s="15"/>
      <c r="F3" s="15"/>
      <c r="G3" s="15"/>
      <c r="H3" s="15"/>
      <c r="I3" s="12"/>
      <c r="J3" s="12" t="s">
        <v>322</v>
      </c>
      <c r="K3" s="12"/>
      <c r="L3" s="12"/>
    </row>
    <row r="4" spans="2:12" ht="15.75">
      <c r="B4" s="15"/>
      <c r="C4" s="15"/>
      <c r="D4" s="15"/>
      <c r="E4" s="15"/>
      <c r="F4" s="15"/>
      <c r="G4" s="15"/>
      <c r="H4" s="15"/>
      <c r="I4" s="12" t="s">
        <v>21</v>
      </c>
      <c r="J4" s="12" t="s">
        <v>702</v>
      </c>
      <c r="K4" s="12"/>
      <c r="L4" s="12" t="s">
        <v>21</v>
      </c>
    </row>
    <row r="5" spans="2:12" ht="15.75">
      <c r="B5" s="15"/>
      <c r="C5" s="15"/>
      <c r="D5" s="15"/>
      <c r="E5" s="15"/>
      <c r="F5" s="15"/>
      <c r="G5" s="15"/>
      <c r="H5" s="15"/>
      <c r="I5" s="12" t="s">
        <v>23</v>
      </c>
      <c r="J5" s="12" t="s">
        <v>705</v>
      </c>
      <c r="K5" s="12"/>
      <c r="L5" s="12" t="s">
        <v>23</v>
      </c>
    </row>
    <row r="6" spans="2:12" ht="15.75">
      <c r="B6" s="15"/>
      <c r="C6" s="15"/>
      <c r="D6" s="15"/>
      <c r="E6" s="15"/>
      <c r="F6" s="15"/>
      <c r="G6" s="15"/>
      <c r="H6" s="15"/>
      <c r="I6" s="12"/>
      <c r="J6" s="12" t="s">
        <v>683</v>
      </c>
      <c r="K6" s="12"/>
      <c r="L6" s="12"/>
    </row>
    <row r="7" spans="2:12" ht="15.75">
      <c r="B7" s="15"/>
      <c r="C7" s="15"/>
      <c r="D7" s="15"/>
      <c r="E7" s="15"/>
      <c r="F7" s="15"/>
      <c r="G7" s="15"/>
      <c r="H7" s="15"/>
      <c r="I7" s="12"/>
      <c r="J7" s="12" t="s">
        <v>684</v>
      </c>
      <c r="K7" s="12"/>
      <c r="L7" s="12"/>
    </row>
    <row r="8" spans="2:12" ht="15.75">
      <c r="B8" s="15"/>
      <c r="C8" s="15"/>
      <c r="D8" s="15"/>
      <c r="E8" s="15"/>
      <c r="F8" s="15"/>
      <c r="G8" s="15"/>
      <c r="H8" s="15"/>
      <c r="I8" s="12"/>
      <c r="J8" s="12" t="s">
        <v>703</v>
      </c>
      <c r="K8" s="12"/>
      <c r="L8" s="12"/>
    </row>
    <row r="9" spans="2:12" ht="15.75">
      <c r="B9" s="15"/>
      <c r="C9" s="15"/>
      <c r="D9" s="15"/>
      <c r="E9" s="15"/>
      <c r="F9" s="15"/>
      <c r="G9" s="15"/>
      <c r="H9" s="15"/>
      <c r="I9" s="15"/>
      <c r="J9" s="15" t="s">
        <v>704</v>
      </c>
      <c r="K9" s="15"/>
      <c r="L9" s="15"/>
    </row>
    <row r="10" spans="2:12" ht="36.75" customHeight="1">
      <c r="B10" s="586" t="s">
        <v>627</v>
      </c>
      <c r="C10" s="586"/>
      <c r="D10" s="586"/>
      <c r="E10" s="586"/>
      <c r="F10" s="586"/>
      <c r="G10" s="586"/>
      <c r="H10" s="586"/>
      <c r="I10" s="586"/>
      <c r="J10" s="586"/>
      <c r="K10" s="586"/>
      <c r="L10" s="15"/>
    </row>
    <row r="11" spans="2:12" ht="15.75">
      <c r="B11" s="15"/>
      <c r="C11" s="15"/>
      <c r="D11" s="589"/>
      <c r="E11" s="589"/>
      <c r="F11" s="589"/>
      <c r="G11" s="589"/>
      <c r="H11" s="589"/>
      <c r="I11" s="15"/>
      <c r="J11" s="15"/>
      <c r="K11" s="35" t="s">
        <v>467</v>
      </c>
      <c r="L11" s="15"/>
    </row>
    <row r="12" spans="1:12" ht="15.75" customHeight="1">
      <c r="A12" s="639" t="s">
        <v>32</v>
      </c>
      <c r="B12" s="639" t="s">
        <v>12</v>
      </c>
      <c r="C12" s="639" t="s">
        <v>13</v>
      </c>
      <c r="D12" s="639" t="s">
        <v>432</v>
      </c>
      <c r="E12" s="646" t="s">
        <v>9</v>
      </c>
      <c r="F12" s="646"/>
      <c r="G12" s="646"/>
      <c r="H12" s="646"/>
      <c r="I12" s="646"/>
      <c r="J12" s="647"/>
      <c r="K12" s="642" t="s">
        <v>15</v>
      </c>
      <c r="L12" s="15"/>
    </row>
    <row r="13" spans="1:12" ht="15.75">
      <c r="A13" s="640"/>
      <c r="B13" s="640"/>
      <c r="C13" s="640"/>
      <c r="D13" s="640"/>
      <c r="E13" s="639" t="s">
        <v>468</v>
      </c>
      <c r="F13" s="639" t="s">
        <v>473</v>
      </c>
      <c r="G13" s="639" t="s">
        <v>27</v>
      </c>
      <c r="H13" s="639" t="s">
        <v>28</v>
      </c>
      <c r="I13" s="639" t="s">
        <v>29</v>
      </c>
      <c r="J13" s="642" t="s">
        <v>445</v>
      </c>
      <c r="K13" s="642"/>
      <c r="L13" s="15"/>
    </row>
    <row r="14" spans="1:12" ht="10.5" customHeight="1">
      <c r="A14" s="641"/>
      <c r="B14" s="641"/>
      <c r="C14" s="641"/>
      <c r="D14" s="641"/>
      <c r="E14" s="641"/>
      <c r="F14" s="641"/>
      <c r="G14" s="641"/>
      <c r="H14" s="641"/>
      <c r="I14" s="641"/>
      <c r="J14" s="642"/>
      <c r="K14" s="642"/>
      <c r="L14" s="15"/>
    </row>
    <row r="15" spans="1:12" ht="40.5" customHeight="1">
      <c r="A15" s="578">
        <v>1</v>
      </c>
      <c r="B15" s="644" t="s">
        <v>82</v>
      </c>
      <c r="C15" s="84" t="s">
        <v>16</v>
      </c>
      <c r="D15" s="160">
        <f>E15+F15+J15</f>
        <v>4971.4</v>
      </c>
      <c r="E15" s="161">
        <v>2971.4</v>
      </c>
      <c r="F15" s="162">
        <f>3000-1000</f>
        <v>2000</v>
      </c>
      <c r="G15" s="161"/>
      <c r="H15" s="161"/>
      <c r="I15" s="161"/>
      <c r="J15" s="161"/>
      <c r="K15" s="644" t="s">
        <v>208</v>
      </c>
      <c r="L15" s="15"/>
    </row>
    <row r="16" spans="1:14" ht="16.5" customHeight="1">
      <c r="A16" s="579"/>
      <c r="B16" s="645"/>
      <c r="C16" s="84" t="s">
        <v>648</v>
      </c>
      <c r="D16" s="160">
        <f aca="true" t="shared" si="0" ref="D16:D25">E16+F16+J16</f>
        <v>3100</v>
      </c>
      <c r="E16" s="162"/>
      <c r="F16" s="161"/>
      <c r="G16" s="161"/>
      <c r="H16" s="161"/>
      <c r="I16" s="161"/>
      <c r="J16" s="161">
        <v>3100</v>
      </c>
      <c r="K16" s="645"/>
      <c r="L16" s="15"/>
      <c r="N16" s="55"/>
    </row>
    <row r="17" spans="1:14" ht="56.25" customHeight="1">
      <c r="A17" s="578">
        <v>2</v>
      </c>
      <c r="B17" s="648" t="s">
        <v>410</v>
      </c>
      <c r="C17" s="84" t="s">
        <v>16</v>
      </c>
      <c r="D17" s="160">
        <f t="shared" si="0"/>
        <v>4000</v>
      </c>
      <c r="E17" s="162">
        <v>0</v>
      </c>
      <c r="F17" s="161">
        <f>0+4000</f>
        <v>4000</v>
      </c>
      <c r="G17" s="161"/>
      <c r="H17" s="161"/>
      <c r="I17" s="161"/>
      <c r="J17" s="161"/>
      <c r="K17" s="644" t="s">
        <v>208</v>
      </c>
      <c r="L17" s="15"/>
      <c r="N17" s="55"/>
    </row>
    <row r="18" spans="1:14" ht="22.5" customHeight="1">
      <c r="A18" s="579"/>
      <c r="B18" s="649"/>
      <c r="C18" s="84" t="s">
        <v>648</v>
      </c>
      <c r="D18" s="160">
        <f t="shared" si="0"/>
        <v>3750</v>
      </c>
      <c r="E18" s="162"/>
      <c r="F18" s="161"/>
      <c r="G18" s="161"/>
      <c r="H18" s="161"/>
      <c r="I18" s="161"/>
      <c r="J18" s="161">
        <v>3750</v>
      </c>
      <c r="K18" s="645"/>
      <c r="L18" s="15"/>
      <c r="N18" s="55"/>
    </row>
    <row r="19" spans="1:14" ht="28.5" customHeight="1">
      <c r="A19" s="578">
        <v>3</v>
      </c>
      <c r="B19" s="550" t="s">
        <v>83</v>
      </c>
      <c r="C19" s="84" t="s">
        <v>16</v>
      </c>
      <c r="D19" s="160">
        <f t="shared" si="0"/>
        <v>400</v>
      </c>
      <c r="E19" s="164">
        <v>200</v>
      </c>
      <c r="F19" s="164">
        <v>200</v>
      </c>
      <c r="G19" s="164">
        <v>100</v>
      </c>
      <c r="H19" s="164">
        <v>100</v>
      </c>
      <c r="I19" s="164">
        <v>100</v>
      </c>
      <c r="J19" s="164"/>
      <c r="K19" s="644" t="s">
        <v>31</v>
      </c>
      <c r="L19" s="15"/>
      <c r="N19" s="55"/>
    </row>
    <row r="20" spans="1:14" ht="17.25" customHeight="1">
      <c r="A20" s="579"/>
      <c r="B20" s="552"/>
      <c r="C20" s="84" t="s">
        <v>648</v>
      </c>
      <c r="D20" s="160">
        <f t="shared" si="0"/>
        <v>200</v>
      </c>
      <c r="E20" s="164"/>
      <c r="F20" s="164"/>
      <c r="G20" s="164"/>
      <c r="H20" s="164"/>
      <c r="I20" s="164"/>
      <c r="J20" s="164">
        <v>200</v>
      </c>
      <c r="K20" s="645"/>
      <c r="L20" s="15"/>
      <c r="N20" s="55"/>
    </row>
    <row r="21" spans="1:14" ht="32.25" customHeight="1">
      <c r="A21" s="578">
        <v>4</v>
      </c>
      <c r="B21" s="550" t="s">
        <v>84</v>
      </c>
      <c r="C21" s="165" t="s">
        <v>16</v>
      </c>
      <c r="D21" s="160">
        <f t="shared" si="0"/>
        <v>750</v>
      </c>
      <c r="E21" s="164">
        <v>350</v>
      </c>
      <c r="F21" s="164">
        <v>400</v>
      </c>
      <c r="G21" s="164"/>
      <c r="H21" s="164"/>
      <c r="I21" s="164"/>
      <c r="J21" s="164"/>
      <c r="K21" s="550" t="s">
        <v>207</v>
      </c>
      <c r="L21" s="15"/>
      <c r="N21" s="55"/>
    </row>
    <row r="22" spans="1:14" ht="25.5" customHeight="1">
      <c r="A22" s="579"/>
      <c r="B22" s="552"/>
      <c r="C22" s="517" t="s">
        <v>648</v>
      </c>
      <c r="D22" s="160">
        <f t="shared" si="0"/>
        <v>460</v>
      </c>
      <c r="E22" s="164"/>
      <c r="F22" s="164"/>
      <c r="G22" s="164"/>
      <c r="H22" s="164"/>
      <c r="I22" s="164"/>
      <c r="J22" s="164">
        <v>460</v>
      </c>
      <c r="K22" s="552"/>
      <c r="L22" s="15"/>
      <c r="N22" s="55"/>
    </row>
    <row r="23" spans="1:14" ht="32.25" customHeight="1">
      <c r="A23" s="578">
        <v>5</v>
      </c>
      <c r="B23" s="550" t="s">
        <v>85</v>
      </c>
      <c r="C23" s="237" t="s">
        <v>16</v>
      </c>
      <c r="D23" s="160">
        <f t="shared" si="0"/>
        <v>3800</v>
      </c>
      <c r="E23" s="164">
        <v>1900</v>
      </c>
      <c r="F23" s="164">
        <v>1900</v>
      </c>
      <c r="G23" s="164"/>
      <c r="H23" s="164"/>
      <c r="I23" s="164"/>
      <c r="J23" s="164"/>
      <c r="K23" s="550" t="s">
        <v>86</v>
      </c>
      <c r="L23" s="15"/>
      <c r="N23" s="55"/>
    </row>
    <row r="24" spans="1:14" ht="24" customHeight="1">
      <c r="A24" s="579"/>
      <c r="B24" s="552"/>
      <c r="C24" s="517" t="s">
        <v>648</v>
      </c>
      <c r="D24" s="160">
        <f t="shared" si="0"/>
        <v>1900</v>
      </c>
      <c r="E24" s="164"/>
      <c r="F24" s="164"/>
      <c r="G24" s="164"/>
      <c r="H24" s="164"/>
      <c r="I24" s="164"/>
      <c r="J24" s="164">
        <v>1900</v>
      </c>
      <c r="K24" s="552"/>
      <c r="L24" s="15"/>
      <c r="N24" s="55"/>
    </row>
    <row r="25" spans="1:14" ht="57.75" customHeight="1">
      <c r="A25" s="236">
        <v>6</v>
      </c>
      <c r="B25" s="443" t="s">
        <v>519</v>
      </c>
      <c r="C25" s="443" t="s">
        <v>16</v>
      </c>
      <c r="D25" s="160">
        <f t="shared" si="0"/>
        <v>111</v>
      </c>
      <c r="E25" s="164"/>
      <c r="F25" s="164">
        <f>15+96</f>
        <v>111</v>
      </c>
      <c r="G25" s="164"/>
      <c r="H25" s="164"/>
      <c r="I25" s="164"/>
      <c r="J25" s="164"/>
      <c r="K25" s="165" t="s">
        <v>86</v>
      </c>
      <c r="L25" s="15"/>
      <c r="N25" s="55"/>
    </row>
    <row r="26" spans="1:12" ht="32.25" customHeight="1">
      <c r="A26" s="85"/>
      <c r="B26" s="83" t="s">
        <v>5</v>
      </c>
      <c r="C26" s="165"/>
      <c r="D26" s="160">
        <f>E26+F26+J26</f>
        <v>23442.4</v>
      </c>
      <c r="E26" s="160">
        <f>E23+E21+E19+E15</f>
        <v>5421.4</v>
      </c>
      <c r="F26" s="160">
        <f>F23+F21+F19+F15+F17+F25</f>
        <v>8611</v>
      </c>
      <c r="G26" s="160">
        <f>G23+G21+G19+G15</f>
        <v>100</v>
      </c>
      <c r="H26" s="160">
        <f>H23+H21+H19+H15</f>
        <v>100</v>
      </c>
      <c r="I26" s="160">
        <f>I23+I21+I19+I15</f>
        <v>100</v>
      </c>
      <c r="J26" s="160">
        <f>J23+J21+J19+J15+J17+J16+J18+J20+J22+J24+J25</f>
        <v>9410</v>
      </c>
      <c r="K26" s="84"/>
      <c r="L26" s="15"/>
    </row>
    <row r="27" spans="2:12" ht="15.75">
      <c r="B27" s="18"/>
      <c r="C27" s="166"/>
      <c r="D27" s="19"/>
      <c r="E27" s="19"/>
      <c r="F27" s="19"/>
      <c r="G27" s="19"/>
      <c r="H27" s="19"/>
      <c r="I27" s="19"/>
      <c r="J27" s="19"/>
      <c r="K27" s="167"/>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75">
      <c r="B30" s="18"/>
      <c r="C30" s="18"/>
      <c r="D30" s="19"/>
      <c r="E30" s="19"/>
      <c r="F30" s="19"/>
      <c r="G30" s="19"/>
      <c r="H30" s="19"/>
      <c r="I30" s="19"/>
      <c r="J30" s="19"/>
      <c r="K30" s="20"/>
      <c r="L30" s="15"/>
    </row>
    <row r="31" spans="2:12" ht="18.75">
      <c r="B31" s="52"/>
      <c r="C31" s="53"/>
      <c r="E31" s="19"/>
      <c r="F31" s="19"/>
      <c r="G31" s="19"/>
      <c r="H31" s="19"/>
      <c r="I31" s="19"/>
      <c r="J31" s="19"/>
      <c r="K31" s="53"/>
      <c r="L31" s="15"/>
    </row>
    <row r="32" spans="2:12" ht="21.75" customHeight="1">
      <c r="B32" s="609" t="s">
        <v>701</v>
      </c>
      <c r="C32" s="609"/>
      <c r="D32" s="375"/>
      <c r="E32" s="22"/>
      <c r="F32" s="22"/>
      <c r="G32" s="16"/>
      <c r="H32" s="16"/>
      <c r="I32" s="16"/>
      <c r="J32" s="23"/>
      <c r="K32" s="23" t="s">
        <v>30</v>
      </c>
      <c r="L32" s="23"/>
    </row>
    <row r="33" spans="2:12" ht="6.75" customHeight="1">
      <c r="B33" s="375"/>
      <c r="C33" s="375"/>
      <c r="D33" s="375"/>
      <c r="E33" s="22"/>
      <c r="F33" s="22"/>
      <c r="G33" s="16"/>
      <c r="H33" s="16"/>
      <c r="I33" s="16"/>
      <c r="J33" s="23"/>
      <c r="K33" s="23"/>
      <c r="L33" s="23"/>
    </row>
    <row r="34" spans="2:11" ht="18.75">
      <c r="B34" s="587" t="s">
        <v>678</v>
      </c>
      <c r="C34" s="587"/>
      <c r="D34" s="25"/>
      <c r="E34" s="26"/>
      <c r="F34" s="26"/>
      <c r="G34" s="26"/>
      <c r="H34" s="26"/>
      <c r="I34" s="26"/>
      <c r="J34" s="15"/>
      <c r="K34" s="15"/>
    </row>
    <row r="35" spans="2:13" ht="15.75">
      <c r="B35" s="27" t="s">
        <v>10</v>
      </c>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33">
    <mergeCell ref="A21:A22"/>
    <mergeCell ref="B21:B22"/>
    <mergeCell ref="K21:K22"/>
    <mergeCell ref="A23:A24"/>
    <mergeCell ref="B23:B24"/>
    <mergeCell ref="K23:K24"/>
    <mergeCell ref="K15:K16"/>
    <mergeCell ref="A17:A18"/>
    <mergeCell ref="B17:B18"/>
    <mergeCell ref="K17:K18"/>
    <mergeCell ref="A19:A20"/>
    <mergeCell ref="B19:B20"/>
    <mergeCell ref="K19:K20"/>
    <mergeCell ref="B34:C34"/>
    <mergeCell ref="K12:K14"/>
    <mergeCell ref="E13:E14"/>
    <mergeCell ref="F13:F14"/>
    <mergeCell ref="G13:G14"/>
    <mergeCell ref="H13:H14"/>
    <mergeCell ref="C12:C14"/>
    <mergeCell ref="D12:D14"/>
    <mergeCell ref="E12:J12"/>
    <mergeCell ref="I13:I14"/>
    <mergeCell ref="A12:A14"/>
    <mergeCell ref="B12:B14"/>
    <mergeCell ref="B32:C32"/>
    <mergeCell ref="J13:J14"/>
    <mergeCell ref="J1:K1"/>
    <mergeCell ref="J2:K2"/>
    <mergeCell ref="B10:K10"/>
    <mergeCell ref="D11:H11"/>
    <mergeCell ref="A15:A16"/>
    <mergeCell ref="B15:B16"/>
  </mergeCells>
  <printOptions horizontalCentered="1"/>
  <pageMargins left="0" right="0" top="1.1811023622047245" bottom="0" header="0" footer="0"/>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2020-03-24T07:42:26Z</cp:lastPrinted>
  <dcterms:created xsi:type="dcterms:W3CDTF">1996-10-08T23:32:33Z</dcterms:created>
  <dcterms:modified xsi:type="dcterms:W3CDTF">2020-03-24T09:06:04Z</dcterms:modified>
  <cp:category/>
  <cp:version/>
  <cp:contentType/>
  <cp:contentStatus/>
</cp:coreProperties>
</file>