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квітень\СМР 03.04.20\Проєкт\"/>
    </mc:Choice>
  </mc:AlternateContent>
  <bookViews>
    <workbookView xWindow="0" yWindow="0" windowWidth="19200" windowHeight="11460" tabRatio="495"/>
  </bookViews>
  <sheets>
    <sheet name="дод 2" sheetId="1" r:id="rId1"/>
    <sheet name="дод 3" sheetId="3" r:id="rId2"/>
  </sheets>
  <definedNames>
    <definedName name="_xlnm.Print_Titles" localSheetId="0">'дод 2'!$15:$17</definedName>
    <definedName name="_xlnm.Print_Titles" localSheetId="1">'дод 3'!$16:$18</definedName>
    <definedName name="_xlnm.Print_Area" localSheetId="0">'дод 2'!$A$1:$P$213</definedName>
    <definedName name="_xlnm.Print_Area" localSheetId="1">'дод 3'!$A$1:$O$164</definedName>
  </definedNames>
  <calcPr calcId="162913"/>
</workbook>
</file>

<file path=xl/calcChain.xml><?xml version="1.0" encoding="utf-8"?>
<calcChain xmlns="http://schemas.openxmlformats.org/spreadsheetml/2006/main">
  <c r="F157" i="1" l="1"/>
  <c r="F47" i="1"/>
  <c r="O47" i="1"/>
  <c r="K47" i="1"/>
  <c r="F92" i="1"/>
  <c r="F158" i="1"/>
  <c r="F141" i="1"/>
  <c r="O82" i="1"/>
  <c r="K82" i="1"/>
  <c r="E135" i="3" l="1"/>
  <c r="F135" i="3"/>
  <c r="G135" i="3"/>
  <c r="H135" i="3"/>
  <c r="J135" i="3"/>
  <c r="K135" i="3"/>
  <c r="L135" i="3"/>
  <c r="M135" i="3"/>
  <c r="N135" i="3"/>
  <c r="F134" i="1"/>
  <c r="G134" i="1"/>
  <c r="H134" i="1"/>
  <c r="I134" i="1"/>
  <c r="K134" i="1"/>
  <c r="L134" i="1"/>
  <c r="M134" i="1"/>
  <c r="N134" i="1"/>
  <c r="O134" i="1"/>
  <c r="J157" i="1"/>
  <c r="E157" i="1"/>
  <c r="C157" i="1"/>
  <c r="D157" i="1"/>
  <c r="B157" i="1"/>
  <c r="P157" i="1" l="1"/>
  <c r="F103" i="1"/>
  <c r="F101" i="1"/>
  <c r="O145" i="1" l="1"/>
  <c r="K145" i="1"/>
  <c r="H143" i="1"/>
  <c r="F143" i="1"/>
  <c r="O142" i="1"/>
  <c r="K142" i="1"/>
  <c r="I142" i="1"/>
  <c r="H115" i="1"/>
  <c r="F115" i="1"/>
  <c r="F107" i="1"/>
  <c r="F100" i="1"/>
  <c r="F46" i="1"/>
  <c r="F44" i="1"/>
  <c r="E138" i="3" l="1"/>
  <c r="F138" i="3"/>
  <c r="G138" i="3"/>
  <c r="H138" i="3"/>
  <c r="J138" i="3"/>
  <c r="K138" i="3"/>
  <c r="L138" i="3"/>
  <c r="M138" i="3"/>
  <c r="N138" i="3"/>
  <c r="J158" i="1"/>
  <c r="J134" i="1" s="1"/>
  <c r="E158" i="1"/>
  <c r="C158" i="1"/>
  <c r="D158" i="1"/>
  <c r="B158" i="1"/>
  <c r="P158" i="1" l="1"/>
  <c r="F144" i="1"/>
  <c r="E116" i="3" l="1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F19" i="1"/>
  <c r="G19" i="1"/>
  <c r="H19" i="1"/>
  <c r="I19" i="1"/>
  <c r="K19" i="1"/>
  <c r="L19" i="1"/>
  <c r="M19" i="1"/>
  <c r="N19" i="1"/>
  <c r="O19" i="1"/>
  <c r="E39" i="1"/>
  <c r="E40" i="1"/>
  <c r="D117" i="3" s="1"/>
  <c r="J38" i="1"/>
  <c r="J39" i="1"/>
  <c r="I116" i="3" s="1"/>
  <c r="J40" i="1"/>
  <c r="I117" i="3" s="1"/>
  <c r="C39" i="1"/>
  <c r="D39" i="1"/>
  <c r="C40" i="1"/>
  <c r="D40" i="1"/>
  <c r="B40" i="1"/>
  <c r="B39" i="1"/>
  <c r="P40" i="1" l="1"/>
  <c r="O117" i="3" s="1"/>
  <c r="P39" i="1"/>
  <c r="O116" i="3" s="1"/>
  <c r="D116" i="3"/>
  <c r="O171" i="1" l="1"/>
  <c r="K171" i="1"/>
  <c r="K138" i="1" l="1"/>
  <c r="O138" i="1"/>
  <c r="O173" i="1" l="1"/>
  <c r="K173" i="1"/>
  <c r="O167" i="1"/>
  <c r="K167" i="1"/>
  <c r="O146" i="1"/>
  <c r="K146" i="1"/>
  <c r="O144" i="1"/>
  <c r="K144" i="1"/>
  <c r="O143" i="1"/>
  <c r="K143" i="1"/>
  <c r="F116" i="1"/>
  <c r="O59" i="1" l="1"/>
  <c r="O58" i="1"/>
  <c r="K59" i="1"/>
  <c r="K58" i="1"/>
  <c r="F59" i="1"/>
  <c r="G59" i="1"/>
  <c r="G58" i="1"/>
  <c r="F58" i="1"/>
  <c r="O57" i="1"/>
  <c r="O56" i="1"/>
  <c r="K57" i="1"/>
  <c r="K56" i="1"/>
  <c r="F57" i="1"/>
  <c r="G57" i="1"/>
  <c r="G56" i="1"/>
  <c r="F56" i="1"/>
  <c r="F88" i="1" l="1"/>
  <c r="F84" i="1"/>
  <c r="F82" i="1"/>
  <c r="O182" i="1"/>
  <c r="L182" i="1"/>
  <c r="O94" i="1" l="1"/>
  <c r="F130" i="1"/>
  <c r="F127" i="1"/>
  <c r="F126" i="1"/>
  <c r="O106" i="1"/>
  <c r="K106" i="1"/>
  <c r="O66" i="1"/>
  <c r="K66" i="1"/>
  <c r="F72" i="1"/>
  <c r="F63" i="1"/>
  <c r="F60" i="1"/>
  <c r="F37" i="1"/>
  <c r="F35" i="1"/>
  <c r="K35" i="1"/>
  <c r="O35" i="1"/>
  <c r="O34" i="1"/>
  <c r="K34" i="1"/>
  <c r="F34" i="1"/>
  <c r="F32" i="1"/>
  <c r="F33" i="1"/>
  <c r="F30" i="1"/>
  <c r="O115" i="1"/>
  <c r="K115" i="1"/>
  <c r="K94" i="1"/>
  <c r="F106" i="1"/>
  <c r="F135" i="1" l="1"/>
  <c r="G135" i="1"/>
  <c r="H135" i="1"/>
  <c r="I135" i="1"/>
  <c r="K135" i="1"/>
  <c r="L135" i="1"/>
  <c r="M135" i="1"/>
  <c r="N135" i="1"/>
  <c r="O135" i="1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J153" i="1"/>
  <c r="I119" i="3" s="1"/>
  <c r="I114" i="3" s="1"/>
  <c r="E153" i="1"/>
  <c r="D119" i="3" s="1"/>
  <c r="D114" i="3" s="1"/>
  <c r="J152" i="1"/>
  <c r="I118" i="3" s="1"/>
  <c r="E152" i="1"/>
  <c r="C152" i="1"/>
  <c r="D152" i="1"/>
  <c r="B152" i="1"/>
  <c r="E114" i="3"/>
  <c r="F114" i="3"/>
  <c r="G114" i="3"/>
  <c r="H114" i="3"/>
  <c r="J114" i="3"/>
  <c r="K114" i="3"/>
  <c r="L114" i="3"/>
  <c r="M114" i="3"/>
  <c r="N114" i="3"/>
  <c r="E202" i="1"/>
  <c r="P152" i="1" l="1"/>
  <c r="O118" i="3" s="1"/>
  <c r="P153" i="1"/>
  <c r="O119" i="3" s="1"/>
  <c r="O114" i="3" s="1"/>
  <c r="D118" i="3"/>
  <c r="N109" i="3"/>
  <c r="M109" i="3"/>
  <c r="L109" i="3"/>
  <c r="K109" i="3"/>
  <c r="J109" i="3"/>
  <c r="H109" i="3"/>
  <c r="G109" i="3"/>
  <c r="F109" i="3"/>
  <c r="E109" i="3"/>
  <c r="N79" i="1"/>
  <c r="M79" i="1"/>
  <c r="L79" i="1"/>
  <c r="I79" i="1"/>
  <c r="H79" i="1"/>
  <c r="J93" i="1"/>
  <c r="E93" i="1"/>
  <c r="D93" i="1"/>
  <c r="C93" i="1"/>
  <c r="B93" i="1"/>
  <c r="D174" i="1"/>
  <c r="C174" i="1"/>
  <c r="B174" i="1"/>
  <c r="D147" i="1"/>
  <c r="C147" i="1"/>
  <c r="B147" i="1"/>
  <c r="P93" i="1" l="1"/>
  <c r="N165" i="1"/>
  <c r="M165" i="1"/>
  <c r="L165" i="1"/>
  <c r="I165" i="1"/>
  <c r="H165" i="1"/>
  <c r="J174" i="1"/>
  <c r="E174" i="1"/>
  <c r="O170" i="1"/>
  <c r="K170" i="1"/>
  <c r="J147" i="1"/>
  <c r="E147" i="1"/>
  <c r="D109" i="3" s="1"/>
  <c r="F140" i="1"/>
  <c r="P174" i="1" l="1"/>
  <c r="I109" i="3"/>
  <c r="P147" i="1"/>
  <c r="O109" i="3" s="1"/>
  <c r="O168" i="1" l="1"/>
  <c r="L45" i="1" l="1"/>
  <c r="O126" i="1" l="1"/>
  <c r="K126" i="1"/>
  <c r="N129" i="3" l="1"/>
  <c r="M129" i="3"/>
  <c r="L129" i="3"/>
  <c r="J129" i="3"/>
  <c r="H129" i="3"/>
  <c r="G129" i="3"/>
  <c r="F129" i="3"/>
  <c r="E129" i="3"/>
  <c r="N151" i="3"/>
  <c r="M151" i="3"/>
  <c r="L151" i="3"/>
  <c r="K151" i="3"/>
  <c r="J151" i="3"/>
  <c r="H151" i="3"/>
  <c r="G151" i="3"/>
  <c r="F151" i="3"/>
  <c r="E151" i="3"/>
  <c r="N112" i="3" l="1"/>
  <c r="N102" i="3" s="1"/>
  <c r="N98" i="3" s="1"/>
  <c r="M112" i="3"/>
  <c r="M102" i="3" s="1"/>
  <c r="M98" i="3" s="1"/>
  <c r="L112" i="3"/>
  <c r="L102" i="3" s="1"/>
  <c r="L98" i="3" s="1"/>
  <c r="K112" i="3"/>
  <c r="K102" i="3" s="1"/>
  <c r="K98" i="3" s="1"/>
  <c r="J112" i="3"/>
  <c r="H112" i="3"/>
  <c r="H102" i="3" s="1"/>
  <c r="H98" i="3" s="1"/>
  <c r="G112" i="3"/>
  <c r="G102" i="3" s="1"/>
  <c r="G98" i="3" s="1"/>
  <c r="F112" i="3"/>
  <c r="F102" i="3" s="1"/>
  <c r="F98" i="3" s="1"/>
  <c r="E112" i="3"/>
  <c r="E102" i="3" s="1"/>
  <c r="E98" i="3" s="1"/>
  <c r="M111" i="3"/>
  <c r="L111" i="3"/>
  <c r="K111" i="3"/>
  <c r="H111" i="3"/>
  <c r="G111" i="3"/>
  <c r="F111" i="3"/>
  <c r="E111" i="3"/>
  <c r="O140" i="1" l="1"/>
  <c r="K140" i="1"/>
  <c r="K187" i="1" l="1"/>
  <c r="L179" i="1"/>
  <c r="L200" i="1" l="1"/>
  <c r="G185" i="1"/>
  <c r="F185" i="1"/>
  <c r="F180" i="1"/>
  <c r="J177" i="1"/>
  <c r="E177" i="1"/>
  <c r="O172" i="1"/>
  <c r="K172" i="1"/>
  <c r="O159" i="1"/>
  <c r="L156" i="1"/>
  <c r="O150" i="1"/>
  <c r="J150" i="1" s="1"/>
  <c r="K150" i="1"/>
  <c r="E151" i="1"/>
  <c r="E135" i="1" s="1"/>
  <c r="E150" i="1"/>
  <c r="J151" i="1"/>
  <c r="J135" i="1" s="1"/>
  <c r="F136" i="1"/>
  <c r="F128" i="1"/>
  <c r="O127" i="1"/>
  <c r="K127" i="1"/>
  <c r="K124" i="1" s="1"/>
  <c r="F125" i="1"/>
  <c r="F98" i="1"/>
  <c r="F89" i="1"/>
  <c r="F83" i="1"/>
  <c r="F81" i="1"/>
  <c r="F79" i="1" s="1"/>
  <c r="P177" i="1" l="1"/>
  <c r="P150" i="1"/>
  <c r="K129" i="3"/>
  <c r="P151" i="1"/>
  <c r="P135" i="1" s="1"/>
  <c r="O54" i="1"/>
  <c r="N54" i="1"/>
  <c r="M54" i="1"/>
  <c r="L54" i="1"/>
  <c r="I54" i="1"/>
  <c r="H54" i="1"/>
  <c r="G54" i="1"/>
  <c r="N53" i="1"/>
  <c r="M53" i="1"/>
  <c r="I53" i="1"/>
  <c r="E77" i="1"/>
  <c r="J77" i="1"/>
  <c r="I151" i="3" s="1"/>
  <c r="L76" i="1"/>
  <c r="L53" i="1" s="1"/>
  <c r="O72" i="1"/>
  <c r="K72" i="1"/>
  <c r="F66" i="1"/>
  <c r="P77" i="1" l="1"/>
  <c r="O151" i="3" s="1"/>
  <c r="D151" i="3"/>
  <c r="J74" i="1"/>
  <c r="E74" i="1"/>
  <c r="D112" i="3" s="1"/>
  <c r="D102" i="3" s="1"/>
  <c r="D98" i="3" s="1"/>
  <c r="P74" i="1" l="1"/>
  <c r="O112" i="3" s="1"/>
  <c r="O102" i="3" s="1"/>
  <c r="O98" i="3" s="1"/>
  <c r="I112" i="3"/>
  <c r="I102" i="3" s="1"/>
  <c r="I98" i="3" s="1"/>
  <c r="J102" i="3"/>
  <c r="J98" i="3" s="1"/>
  <c r="F62" i="1"/>
  <c r="O60" i="1"/>
  <c r="K60" i="1"/>
  <c r="O73" i="1"/>
  <c r="N111" i="3" s="1"/>
  <c r="K73" i="1"/>
  <c r="J111" i="3" s="1"/>
  <c r="E73" i="1"/>
  <c r="F54" i="1"/>
  <c r="F55" i="1"/>
  <c r="F48" i="1"/>
  <c r="F36" i="1"/>
  <c r="F29" i="1"/>
  <c r="F24" i="1"/>
  <c r="F20" i="1"/>
  <c r="G20" i="1"/>
  <c r="F53" i="1" l="1"/>
  <c r="K53" i="1"/>
  <c r="O53" i="1"/>
  <c r="J73" i="1"/>
  <c r="P73" i="1" s="1"/>
  <c r="O139" i="1"/>
  <c r="K139" i="1"/>
  <c r="J175" i="1" l="1"/>
  <c r="I111" i="3" s="1"/>
  <c r="E175" i="1"/>
  <c r="D111" i="3" s="1"/>
  <c r="O169" i="1"/>
  <c r="K169" i="1"/>
  <c r="P175" i="1" l="1"/>
  <c r="O111" i="3" s="1"/>
  <c r="O41" i="1" l="1"/>
  <c r="K41" i="1"/>
  <c r="F41" i="1"/>
  <c r="G120" i="1" l="1"/>
  <c r="F120" i="1"/>
  <c r="F112" i="1" l="1"/>
  <c r="G196" i="1"/>
  <c r="F196" i="1"/>
  <c r="G188" i="1"/>
  <c r="F188" i="1"/>
  <c r="G180" i="1"/>
  <c r="K165" i="1"/>
  <c r="G166" i="1"/>
  <c r="G165" i="1" s="1"/>
  <c r="F166" i="1"/>
  <c r="F165" i="1" s="1"/>
  <c r="G163" i="1"/>
  <c r="F163" i="1"/>
  <c r="I154" i="1"/>
  <c r="F154" i="1"/>
  <c r="G136" i="1"/>
  <c r="G125" i="1"/>
  <c r="G98" i="1"/>
  <c r="G81" i="1"/>
  <c r="G79" i="1" s="1"/>
  <c r="G55" i="1"/>
  <c r="N132" i="3" l="1"/>
  <c r="N131" i="3" s="1"/>
  <c r="M132" i="3"/>
  <c r="M131" i="3" s="1"/>
  <c r="L132" i="3"/>
  <c r="L131" i="3" s="1"/>
  <c r="K132" i="3"/>
  <c r="K131" i="3" s="1"/>
  <c r="J132" i="3"/>
  <c r="J131" i="3" s="1"/>
  <c r="H132" i="3"/>
  <c r="H131" i="3" s="1"/>
  <c r="G132" i="3"/>
  <c r="G131" i="3" s="1"/>
  <c r="F132" i="3"/>
  <c r="F131" i="3" s="1"/>
  <c r="E132" i="3"/>
  <c r="E131" i="3" s="1"/>
  <c r="J95" i="1"/>
  <c r="I132" i="3" s="1"/>
  <c r="I131" i="3" s="1"/>
  <c r="E95" i="1"/>
  <c r="D132" i="3" s="1"/>
  <c r="D131" i="3" s="1"/>
  <c r="P95" i="1" l="1"/>
  <c r="D100" i="1"/>
  <c r="O132" i="3" l="1"/>
  <c r="O131" i="3" s="1"/>
  <c r="C172" i="1" l="1"/>
  <c r="D172" i="1"/>
  <c r="B172" i="1"/>
  <c r="E106" i="3"/>
  <c r="F106" i="3"/>
  <c r="G106" i="3"/>
  <c r="H106" i="3"/>
  <c r="J106" i="3"/>
  <c r="K106" i="3"/>
  <c r="L106" i="3"/>
  <c r="M106" i="3"/>
  <c r="N106" i="3"/>
  <c r="D106" i="3"/>
  <c r="J172" i="1"/>
  <c r="I106" i="3" s="1"/>
  <c r="P172" i="1" l="1"/>
  <c r="O106" i="3" s="1"/>
  <c r="E38" i="3"/>
  <c r="F38" i="3"/>
  <c r="G38" i="3"/>
  <c r="H38" i="3"/>
  <c r="I38" i="3"/>
  <c r="J38" i="3"/>
  <c r="K38" i="3"/>
  <c r="L38" i="3"/>
  <c r="M38" i="3"/>
  <c r="N38" i="3"/>
  <c r="E69" i="1"/>
  <c r="P69" i="1" s="1"/>
  <c r="O38" i="3" s="1"/>
  <c r="K54" i="1"/>
  <c r="J57" i="1"/>
  <c r="I25" i="3" s="1"/>
  <c r="E25" i="3"/>
  <c r="F25" i="3"/>
  <c r="G25" i="3"/>
  <c r="H25" i="3"/>
  <c r="J25" i="3"/>
  <c r="K25" i="3"/>
  <c r="L25" i="3"/>
  <c r="M25" i="3"/>
  <c r="N25" i="3"/>
  <c r="E57" i="1"/>
  <c r="D25" i="3" s="1"/>
  <c r="G53" i="1"/>
  <c r="P57" i="1" l="1"/>
  <c r="O25" i="3" s="1"/>
  <c r="D38" i="3"/>
  <c r="O43" i="1"/>
  <c r="K43" i="1"/>
  <c r="F139" i="1" l="1"/>
  <c r="I139" i="1"/>
  <c r="D117" i="1" l="1"/>
  <c r="E150" i="3"/>
  <c r="F150" i="3"/>
  <c r="G150" i="3"/>
  <c r="H150" i="3"/>
  <c r="K150" i="3"/>
  <c r="L150" i="3"/>
  <c r="M150" i="3"/>
  <c r="F130" i="3"/>
  <c r="G130" i="3"/>
  <c r="H130" i="3"/>
  <c r="J130" i="3"/>
  <c r="K130" i="3"/>
  <c r="L130" i="3"/>
  <c r="M130" i="3"/>
  <c r="N130" i="3"/>
  <c r="E108" i="3"/>
  <c r="F108" i="3"/>
  <c r="G108" i="3"/>
  <c r="H108" i="3"/>
  <c r="J108" i="3"/>
  <c r="K108" i="3"/>
  <c r="L108" i="3"/>
  <c r="M108" i="3"/>
  <c r="N108" i="3"/>
  <c r="F96" i="3"/>
  <c r="G96" i="3"/>
  <c r="H96" i="3"/>
  <c r="J96" i="3"/>
  <c r="K96" i="3"/>
  <c r="L96" i="3"/>
  <c r="M96" i="3"/>
  <c r="N96" i="3"/>
  <c r="F20" i="3"/>
  <c r="G20" i="3"/>
  <c r="H20" i="3"/>
  <c r="J20" i="3"/>
  <c r="K20" i="3"/>
  <c r="L20" i="3"/>
  <c r="M20" i="3"/>
  <c r="N20" i="3"/>
  <c r="G97" i="1"/>
  <c r="H97" i="1"/>
  <c r="I97" i="1"/>
  <c r="L97" i="1"/>
  <c r="M97" i="1"/>
  <c r="N97" i="1"/>
  <c r="G195" i="1"/>
  <c r="H195" i="1"/>
  <c r="I195" i="1"/>
  <c r="K195" i="1"/>
  <c r="L195" i="1"/>
  <c r="M195" i="1"/>
  <c r="N195" i="1"/>
  <c r="O195" i="1"/>
  <c r="G187" i="1"/>
  <c r="H187" i="1"/>
  <c r="L187" i="1"/>
  <c r="M187" i="1"/>
  <c r="N187" i="1"/>
  <c r="O187" i="1"/>
  <c r="G179" i="1"/>
  <c r="H179" i="1"/>
  <c r="I179" i="1"/>
  <c r="K179" i="1"/>
  <c r="M179" i="1"/>
  <c r="N179" i="1"/>
  <c r="O179" i="1"/>
  <c r="G124" i="1"/>
  <c r="H124" i="1"/>
  <c r="I124" i="1"/>
  <c r="L124" i="1"/>
  <c r="M124" i="1"/>
  <c r="N124" i="1"/>
  <c r="G119" i="1"/>
  <c r="H119" i="1"/>
  <c r="I119" i="1"/>
  <c r="K119" i="1"/>
  <c r="L119" i="1"/>
  <c r="M119" i="1"/>
  <c r="N119" i="1"/>
  <c r="O119" i="1"/>
  <c r="G78" i="1"/>
  <c r="H78" i="1"/>
  <c r="I78" i="1"/>
  <c r="L78" i="1"/>
  <c r="M78" i="1"/>
  <c r="N78" i="1"/>
  <c r="G80" i="1"/>
  <c r="G205" i="1" s="1"/>
  <c r="H80" i="1"/>
  <c r="H205" i="1" s="1"/>
  <c r="I80" i="1"/>
  <c r="I205" i="1" s="1"/>
  <c r="K80" i="1"/>
  <c r="K205" i="1" s="1"/>
  <c r="L80" i="1"/>
  <c r="L205" i="1" s="1"/>
  <c r="M80" i="1"/>
  <c r="M205" i="1" s="1"/>
  <c r="N80" i="1"/>
  <c r="N205" i="1" s="1"/>
  <c r="O80" i="1"/>
  <c r="O205" i="1" s="1"/>
  <c r="F80" i="1" l="1"/>
  <c r="F205" i="1" s="1"/>
  <c r="H63" i="1" l="1"/>
  <c r="H53" i="1" s="1"/>
  <c r="O160" i="1"/>
  <c r="N150" i="3" s="1"/>
  <c r="K160" i="1"/>
  <c r="J150" i="3" s="1"/>
  <c r="F190" i="1" l="1"/>
  <c r="I190" i="1"/>
  <c r="I187" i="1" s="1"/>
  <c r="F193" i="1" l="1"/>
  <c r="E130" i="3" s="1"/>
  <c r="O155" i="1"/>
  <c r="K155" i="1"/>
  <c r="F187" i="1" l="1"/>
  <c r="F179" i="1"/>
  <c r="F119" i="1"/>
  <c r="F78" i="1"/>
  <c r="E20" i="3" l="1"/>
  <c r="O124" i="1"/>
  <c r="D160" i="1" l="1"/>
  <c r="F42" i="1" l="1"/>
  <c r="F201" i="1" l="1"/>
  <c r="F195" i="1" s="1"/>
  <c r="F124" i="1" l="1"/>
  <c r="O86" i="1" l="1"/>
  <c r="O79" i="1" s="1"/>
  <c r="K86" i="1"/>
  <c r="K79" i="1" s="1"/>
  <c r="O78" i="1" l="1"/>
  <c r="K78" i="1"/>
  <c r="E141" i="3"/>
  <c r="F141" i="3"/>
  <c r="G141" i="3"/>
  <c r="H141" i="3"/>
  <c r="J141" i="3"/>
  <c r="K141" i="3"/>
  <c r="L141" i="3"/>
  <c r="M141" i="3"/>
  <c r="N141" i="3"/>
  <c r="J132" i="1"/>
  <c r="E132" i="1"/>
  <c r="C132" i="1"/>
  <c r="D132" i="1"/>
  <c r="B132" i="1"/>
  <c r="P132" i="1" l="1"/>
  <c r="E21" i="3"/>
  <c r="F21" i="3"/>
  <c r="G21" i="3"/>
  <c r="H21" i="3"/>
  <c r="J21" i="3"/>
  <c r="K21" i="3"/>
  <c r="L21" i="3"/>
  <c r="M21" i="3"/>
  <c r="N21" i="3"/>
  <c r="E24" i="3"/>
  <c r="F24" i="3"/>
  <c r="G24" i="3"/>
  <c r="H24" i="3"/>
  <c r="K24" i="3"/>
  <c r="L24" i="3"/>
  <c r="M24" i="3"/>
  <c r="N24" i="3"/>
  <c r="E26" i="3"/>
  <c r="F26" i="3"/>
  <c r="G26" i="3"/>
  <c r="H26" i="3"/>
  <c r="K26" i="3"/>
  <c r="L26" i="3"/>
  <c r="M26" i="3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31" i="3"/>
  <c r="F31" i="3"/>
  <c r="G31" i="3"/>
  <c r="H31" i="3"/>
  <c r="J31" i="3"/>
  <c r="K31" i="3"/>
  <c r="L31" i="3"/>
  <c r="M31" i="3"/>
  <c r="E32" i="3"/>
  <c r="F32" i="3"/>
  <c r="G32" i="3"/>
  <c r="H32" i="3"/>
  <c r="J32" i="3"/>
  <c r="K32" i="3"/>
  <c r="L32" i="3"/>
  <c r="M32" i="3"/>
  <c r="N32" i="3"/>
  <c r="E33" i="3"/>
  <c r="F33" i="3"/>
  <c r="G33" i="3"/>
  <c r="H33" i="3"/>
  <c r="J33" i="3"/>
  <c r="K33" i="3"/>
  <c r="L33" i="3"/>
  <c r="M33" i="3"/>
  <c r="N33" i="3"/>
  <c r="E34" i="3"/>
  <c r="F34" i="3"/>
  <c r="G34" i="3"/>
  <c r="H34" i="3"/>
  <c r="J34" i="3"/>
  <c r="K34" i="3"/>
  <c r="L34" i="3"/>
  <c r="M34" i="3"/>
  <c r="N34" i="3"/>
  <c r="E35" i="3"/>
  <c r="F35" i="3"/>
  <c r="G35" i="3"/>
  <c r="H35" i="3"/>
  <c r="J35" i="3"/>
  <c r="K35" i="3"/>
  <c r="L35" i="3"/>
  <c r="M35" i="3"/>
  <c r="N35" i="3"/>
  <c r="E36" i="3"/>
  <c r="F36" i="3"/>
  <c r="G36" i="3"/>
  <c r="H36" i="3"/>
  <c r="J36" i="3"/>
  <c r="K36" i="3"/>
  <c r="L36" i="3"/>
  <c r="M36" i="3"/>
  <c r="N36" i="3"/>
  <c r="E37" i="3"/>
  <c r="F37" i="3"/>
  <c r="G37" i="3"/>
  <c r="H37" i="3"/>
  <c r="J37" i="3"/>
  <c r="K37" i="3"/>
  <c r="L37" i="3"/>
  <c r="M37" i="3"/>
  <c r="N37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5" i="3"/>
  <c r="F45" i="3"/>
  <c r="G45" i="3"/>
  <c r="H45" i="3"/>
  <c r="J45" i="3"/>
  <c r="K45" i="3"/>
  <c r="L45" i="3"/>
  <c r="M45" i="3"/>
  <c r="N45" i="3"/>
  <c r="E46" i="3"/>
  <c r="F46" i="3"/>
  <c r="G46" i="3"/>
  <c r="H46" i="3"/>
  <c r="J46" i="3"/>
  <c r="K46" i="3"/>
  <c r="L46" i="3"/>
  <c r="M46" i="3"/>
  <c r="N46" i="3"/>
  <c r="E47" i="3"/>
  <c r="F47" i="3"/>
  <c r="G47" i="3"/>
  <c r="H47" i="3"/>
  <c r="J47" i="3"/>
  <c r="K47" i="3"/>
  <c r="L47" i="3"/>
  <c r="M47" i="3"/>
  <c r="N47" i="3"/>
  <c r="E48" i="3"/>
  <c r="F48" i="3"/>
  <c r="G48" i="3"/>
  <c r="H48" i="3"/>
  <c r="J48" i="3"/>
  <c r="K48" i="3"/>
  <c r="L48" i="3"/>
  <c r="M48" i="3"/>
  <c r="N48" i="3"/>
  <c r="E49" i="3"/>
  <c r="F49" i="3"/>
  <c r="G49" i="3"/>
  <c r="H49" i="3"/>
  <c r="J49" i="3"/>
  <c r="K49" i="3"/>
  <c r="L49" i="3"/>
  <c r="M49" i="3"/>
  <c r="N49" i="3"/>
  <c r="E50" i="3"/>
  <c r="F50" i="3"/>
  <c r="G50" i="3"/>
  <c r="H50" i="3"/>
  <c r="J50" i="3"/>
  <c r="K50" i="3"/>
  <c r="L50" i="3"/>
  <c r="M50" i="3"/>
  <c r="N50" i="3"/>
  <c r="E51" i="3"/>
  <c r="F51" i="3"/>
  <c r="G51" i="3"/>
  <c r="H51" i="3"/>
  <c r="J51" i="3"/>
  <c r="K51" i="3"/>
  <c r="L51" i="3"/>
  <c r="M51" i="3"/>
  <c r="N51" i="3"/>
  <c r="E53" i="3"/>
  <c r="F53" i="3"/>
  <c r="G53" i="3"/>
  <c r="H53" i="3"/>
  <c r="K53" i="3"/>
  <c r="L53" i="3"/>
  <c r="M53" i="3"/>
  <c r="E54" i="3"/>
  <c r="F54" i="3"/>
  <c r="G54" i="3"/>
  <c r="H54" i="3"/>
  <c r="J54" i="3"/>
  <c r="K54" i="3"/>
  <c r="L54" i="3"/>
  <c r="M54" i="3"/>
  <c r="N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F69" i="3"/>
  <c r="G69" i="3"/>
  <c r="H69" i="3"/>
  <c r="J69" i="3"/>
  <c r="K69" i="3"/>
  <c r="L69" i="3"/>
  <c r="M69" i="3"/>
  <c r="N69" i="3"/>
  <c r="E70" i="3"/>
  <c r="F70" i="3"/>
  <c r="G70" i="3"/>
  <c r="H70" i="3"/>
  <c r="J70" i="3"/>
  <c r="K70" i="3"/>
  <c r="L70" i="3"/>
  <c r="M70" i="3"/>
  <c r="N70" i="3"/>
  <c r="E71" i="3"/>
  <c r="F71" i="3"/>
  <c r="G71" i="3"/>
  <c r="H71" i="3"/>
  <c r="J71" i="3"/>
  <c r="K71" i="3"/>
  <c r="L71" i="3"/>
  <c r="M71" i="3"/>
  <c r="N71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5" i="3"/>
  <c r="F75" i="3"/>
  <c r="G75" i="3"/>
  <c r="H75" i="3"/>
  <c r="J75" i="3"/>
  <c r="K75" i="3"/>
  <c r="L75" i="3"/>
  <c r="M75" i="3"/>
  <c r="N75" i="3"/>
  <c r="E77" i="3"/>
  <c r="F77" i="3"/>
  <c r="G77" i="3"/>
  <c r="H77" i="3"/>
  <c r="J77" i="3"/>
  <c r="K77" i="3"/>
  <c r="L77" i="3"/>
  <c r="M77" i="3"/>
  <c r="N77" i="3"/>
  <c r="E78" i="3"/>
  <c r="F78" i="3"/>
  <c r="G78" i="3"/>
  <c r="H78" i="3"/>
  <c r="J78" i="3"/>
  <c r="K78" i="3"/>
  <c r="L78" i="3"/>
  <c r="M78" i="3"/>
  <c r="N78" i="3"/>
  <c r="E79" i="3"/>
  <c r="F79" i="3"/>
  <c r="G79" i="3"/>
  <c r="H79" i="3"/>
  <c r="J79" i="3"/>
  <c r="K79" i="3"/>
  <c r="L79" i="3"/>
  <c r="M79" i="3"/>
  <c r="N79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9" i="3"/>
  <c r="F89" i="3"/>
  <c r="G89" i="3"/>
  <c r="H89" i="3"/>
  <c r="J89" i="3"/>
  <c r="K89" i="3"/>
  <c r="L89" i="3"/>
  <c r="M89" i="3"/>
  <c r="N89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100" i="3"/>
  <c r="E99" i="3" s="1"/>
  <c r="F100" i="3"/>
  <c r="F99" i="3" s="1"/>
  <c r="G100" i="3"/>
  <c r="G99" i="3" s="1"/>
  <c r="H100" i="3"/>
  <c r="H99" i="3" s="1"/>
  <c r="J100" i="3"/>
  <c r="J99" i="3" s="1"/>
  <c r="K100" i="3"/>
  <c r="K99" i="3" s="1"/>
  <c r="L100" i="3"/>
  <c r="L99" i="3" s="1"/>
  <c r="M100" i="3"/>
  <c r="M99" i="3" s="1"/>
  <c r="N100" i="3"/>
  <c r="N99" i="3" s="1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E110" i="3"/>
  <c r="F110" i="3"/>
  <c r="G110" i="3"/>
  <c r="H110" i="3"/>
  <c r="J110" i="3"/>
  <c r="K110" i="3"/>
  <c r="L110" i="3"/>
  <c r="M110" i="3"/>
  <c r="N110" i="3"/>
  <c r="E115" i="3"/>
  <c r="E113" i="3" s="1"/>
  <c r="F115" i="3"/>
  <c r="F113" i="3" s="1"/>
  <c r="G115" i="3"/>
  <c r="G113" i="3" s="1"/>
  <c r="H115" i="3"/>
  <c r="H113" i="3" s="1"/>
  <c r="J115" i="3"/>
  <c r="J113" i="3" s="1"/>
  <c r="K115" i="3"/>
  <c r="K113" i="3" s="1"/>
  <c r="L115" i="3"/>
  <c r="L113" i="3" s="1"/>
  <c r="M115" i="3"/>
  <c r="M113" i="3" s="1"/>
  <c r="N115" i="3"/>
  <c r="N113" i="3" s="1"/>
  <c r="E121" i="3"/>
  <c r="E120" i="3" s="1"/>
  <c r="F121" i="3"/>
  <c r="F120" i="3" s="1"/>
  <c r="G121" i="3"/>
  <c r="G120" i="3" s="1"/>
  <c r="H121" i="3"/>
  <c r="H120" i="3" s="1"/>
  <c r="J121" i="3"/>
  <c r="J120" i="3" s="1"/>
  <c r="K121" i="3"/>
  <c r="K120" i="3" s="1"/>
  <c r="L121" i="3"/>
  <c r="L120" i="3" s="1"/>
  <c r="M121" i="3"/>
  <c r="M120" i="3" s="1"/>
  <c r="N121" i="3"/>
  <c r="N120" i="3" s="1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F128" i="3"/>
  <c r="G128" i="3"/>
  <c r="H128" i="3"/>
  <c r="J128" i="3"/>
  <c r="K128" i="3"/>
  <c r="L128" i="3"/>
  <c r="M128" i="3"/>
  <c r="N128" i="3"/>
  <c r="E136" i="3"/>
  <c r="F136" i="3"/>
  <c r="G136" i="3"/>
  <c r="H136" i="3"/>
  <c r="J136" i="3"/>
  <c r="K136" i="3"/>
  <c r="L136" i="3"/>
  <c r="M136" i="3"/>
  <c r="N136" i="3"/>
  <c r="E137" i="3"/>
  <c r="F137" i="3"/>
  <c r="G137" i="3"/>
  <c r="H137" i="3"/>
  <c r="J137" i="3"/>
  <c r="K137" i="3"/>
  <c r="L137" i="3"/>
  <c r="M137" i="3"/>
  <c r="N137" i="3"/>
  <c r="E140" i="3"/>
  <c r="E139" i="3" s="1"/>
  <c r="F140" i="3"/>
  <c r="F139" i="3" s="1"/>
  <c r="G140" i="3"/>
  <c r="H140" i="3"/>
  <c r="J140" i="3"/>
  <c r="K140" i="3"/>
  <c r="K139" i="3" s="1"/>
  <c r="L140" i="3"/>
  <c r="M140" i="3"/>
  <c r="M139" i="3" s="1"/>
  <c r="N140" i="3"/>
  <c r="E143" i="3"/>
  <c r="E142" i="3" s="1"/>
  <c r="F143" i="3"/>
  <c r="F142" i="3" s="1"/>
  <c r="G143" i="3"/>
  <c r="G142" i="3" s="1"/>
  <c r="H143" i="3"/>
  <c r="H142" i="3" s="1"/>
  <c r="J143" i="3"/>
  <c r="J142" i="3" s="1"/>
  <c r="K143" i="3"/>
  <c r="K142" i="3" s="1"/>
  <c r="L143" i="3"/>
  <c r="L142" i="3" s="1"/>
  <c r="M143" i="3"/>
  <c r="M142" i="3" s="1"/>
  <c r="N143" i="3"/>
  <c r="N142" i="3" s="1"/>
  <c r="E144" i="3"/>
  <c r="F144" i="3"/>
  <c r="G144" i="3"/>
  <c r="H144" i="3"/>
  <c r="J144" i="3"/>
  <c r="K144" i="3"/>
  <c r="L144" i="3"/>
  <c r="M144" i="3"/>
  <c r="N144" i="3"/>
  <c r="D145" i="3"/>
  <c r="E145" i="3"/>
  <c r="F145" i="3"/>
  <c r="G145" i="3"/>
  <c r="H145" i="3"/>
  <c r="J145" i="3"/>
  <c r="K145" i="3"/>
  <c r="L145" i="3"/>
  <c r="M145" i="3"/>
  <c r="N145" i="3"/>
  <c r="E148" i="3"/>
  <c r="E147" i="3" s="1"/>
  <c r="F148" i="3"/>
  <c r="F147" i="3" s="1"/>
  <c r="G148" i="3"/>
  <c r="G147" i="3" s="1"/>
  <c r="H148" i="3"/>
  <c r="H147" i="3" s="1"/>
  <c r="J148" i="3"/>
  <c r="J147" i="3" s="1"/>
  <c r="K148" i="3"/>
  <c r="K147" i="3" s="1"/>
  <c r="L148" i="3"/>
  <c r="L147" i="3" s="1"/>
  <c r="M148" i="3"/>
  <c r="M147" i="3" s="1"/>
  <c r="N148" i="3"/>
  <c r="N147" i="3" s="1"/>
  <c r="E149" i="3"/>
  <c r="F149" i="3"/>
  <c r="G149" i="3"/>
  <c r="H149" i="3"/>
  <c r="J149" i="3"/>
  <c r="K149" i="3"/>
  <c r="L149" i="3"/>
  <c r="M149" i="3"/>
  <c r="N149" i="3"/>
  <c r="O176" i="1"/>
  <c r="O165" i="1" s="1"/>
  <c r="J56" i="1"/>
  <c r="I24" i="3" s="1"/>
  <c r="J197" i="1"/>
  <c r="J198" i="1"/>
  <c r="J199" i="1"/>
  <c r="I140" i="3" s="1"/>
  <c r="J200" i="1"/>
  <c r="J201" i="1"/>
  <c r="I144" i="3" s="1"/>
  <c r="J202" i="1"/>
  <c r="I145" i="3" s="1"/>
  <c r="J203" i="1"/>
  <c r="I148" i="3" s="1"/>
  <c r="I147" i="3" s="1"/>
  <c r="J196" i="1"/>
  <c r="J189" i="1"/>
  <c r="I100" i="3" s="1"/>
  <c r="I99" i="3" s="1"/>
  <c r="J190" i="1"/>
  <c r="J191" i="1"/>
  <c r="I125" i="3" s="1"/>
  <c r="J192" i="1"/>
  <c r="I126" i="3" s="1"/>
  <c r="J193" i="1"/>
  <c r="J188" i="1"/>
  <c r="J185" i="1"/>
  <c r="J167" i="1"/>
  <c r="J168" i="1"/>
  <c r="I95" i="3" s="1"/>
  <c r="J169" i="1"/>
  <c r="J170" i="1"/>
  <c r="I104" i="3" s="1"/>
  <c r="J171" i="1"/>
  <c r="I105" i="3" s="1"/>
  <c r="J173" i="1"/>
  <c r="J180" i="1"/>
  <c r="J181" i="1"/>
  <c r="J182" i="1"/>
  <c r="J166" i="1"/>
  <c r="J163" i="1"/>
  <c r="J137" i="1"/>
  <c r="J138" i="1"/>
  <c r="J139" i="1"/>
  <c r="I90" i="3" s="1"/>
  <c r="J140" i="1"/>
  <c r="I91" i="3" s="1"/>
  <c r="J141" i="1"/>
  <c r="I92" i="3" s="1"/>
  <c r="J142" i="1"/>
  <c r="J143" i="1"/>
  <c r="J144" i="1"/>
  <c r="J145" i="1"/>
  <c r="J146" i="1"/>
  <c r="J148" i="1"/>
  <c r="I108" i="3" s="1"/>
  <c r="J149" i="1"/>
  <c r="I110" i="3" s="1"/>
  <c r="J154" i="1"/>
  <c r="J155" i="1"/>
  <c r="J159" i="1"/>
  <c r="J160" i="1"/>
  <c r="J136" i="1"/>
  <c r="J127" i="1"/>
  <c r="I77" i="3" s="1"/>
  <c r="J128" i="1"/>
  <c r="J129" i="1"/>
  <c r="J130" i="1"/>
  <c r="J131" i="1"/>
  <c r="J125" i="1"/>
  <c r="J121" i="1"/>
  <c r="I61" i="3" s="1"/>
  <c r="J122" i="1"/>
  <c r="I62" i="3" s="1"/>
  <c r="J120" i="1"/>
  <c r="J100" i="1"/>
  <c r="I54" i="3" s="1"/>
  <c r="J101" i="1"/>
  <c r="J102" i="1"/>
  <c r="I56" i="3" s="1"/>
  <c r="J103" i="1"/>
  <c r="J104" i="1"/>
  <c r="I58" i="3" s="1"/>
  <c r="J105" i="1"/>
  <c r="I59" i="3" s="1"/>
  <c r="J106" i="1"/>
  <c r="I60" i="3" s="1"/>
  <c r="J107" i="1"/>
  <c r="I66" i="3" s="1"/>
  <c r="J108" i="1"/>
  <c r="I67" i="3" s="1"/>
  <c r="J109" i="1"/>
  <c r="I68" i="3" s="1"/>
  <c r="J110" i="1"/>
  <c r="I69" i="3" s="1"/>
  <c r="J111" i="1"/>
  <c r="I70" i="3" s="1"/>
  <c r="J112" i="1"/>
  <c r="I71" i="3" s="1"/>
  <c r="J113" i="1"/>
  <c r="I72" i="3" s="1"/>
  <c r="J114" i="1"/>
  <c r="J115" i="1"/>
  <c r="J116" i="1"/>
  <c r="J117" i="1"/>
  <c r="J98" i="1"/>
  <c r="J82" i="1"/>
  <c r="I41" i="3" s="1"/>
  <c r="J83" i="1"/>
  <c r="J84" i="1"/>
  <c r="I43" i="3" s="1"/>
  <c r="J85" i="1"/>
  <c r="I44" i="3" s="1"/>
  <c r="J86" i="1"/>
  <c r="I45" i="3" s="1"/>
  <c r="J87" i="1"/>
  <c r="I46" i="3" s="1"/>
  <c r="J88" i="1"/>
  <c r="I47" i="3" s="1"/>
  <c r="J89" i="1"/>
  <c r="I48" i="3" s="1"/>
  <c r="J90" i="1"/>
  <c r="I49" i="3" s="1"/>
  <c r="J91" i="1"/>
  <c r="I50" i="3" s="1"/>
  <c r="J92" i="1"/>
  <c r="I51" i="3" s="1"/>
  <c r="J81" i="1"/>
  <c r="J59" i="1"/>
  <c r="J60" i="1"/>
  <c r="I28" i="3" s="1"/>
  <c r="J61" i="1"/>
  <c r="I29" i="3" s="1"/>
  <c r="J62" i="1"/>
  <c r="I30" i="3" s="1"/>
  <c r="J63" i="1"/>
  <c r="I32" i="3" s="1"/>
  <c r="J64" i="1"/>
  <c r="I33" i="3" s="1"/>
  <c r="J65" i="1"/>
  <c r="I34" i="3" s="1"/>
  <c r="J66" i="1"/>
  <c r="I35" i="3" s="1"/>
  <c r="J67" i="1"/>
  <c r="I36" i="3" s="1"/>
  <c r="J68" i="1"/>
  <c r="I37" i="3" s="1"/>
  <c r="J70" i="1"/>
  <c r="J71" i="1"/>
  <c r="J72" i="1"/>
  <c r="J75" i="1"/>
  <c r="J76" i="1"/>
  <c r="J55" i="1"/>
  <c r="J21" i="1"/>
  <c r="J22" i="1"/>
  <c r="J23" i="1"/>
  <c r="J24" i="1"/>
  <c r="I63" i="3" s="1"/>
  <c r="J25" i="1"/>
  <c r="I64" i="3" s="1"/>
  <c r="J26" i="1"/>
  <c r="J27" i="1"/>
  <c r="J28" i="1"/>
  <c r="J29" i="1"/>
  <c r="J30" i="1"/>
  <c r="J31" i="1"/>
  <c r="J32" i="1"/>
  <c r="I82" i="3" s="1"/>
  <c r="J33" i="1"/>
  <c r="I83" i="3" s="1"/>
  <c r="J34" i="1"/>
  <c r="J35" i="1"/>
  <c r="I85" i="3" s="1"/>
  <c r="J36" i="1"/>
  <c r="I86" i="3" s="1"/>
  <c r="J37" i="1"/>
  <c r="I87" i="3" s="1"/>
  <c r="I115" i="3"/>
  <c r="I113" i="3" s="1"/>
  <c r="J41" i="1"/>
  <c r="I121" i="3" s="1"/>
  <c r="I120" i="3" s="1"/>
  <c r="J42" i="1"/>
  <c r="J43" i="1"/>
  <c r="J44" i="1"/>
  <c r="I128" i="3" s="1"/>
  <c r="J45" i="1"/>
  <c r="J46" i="1"/>
  <c r="J47" i="1"/>
  <c r="I135" i="3" s="1"/>
  <c r="J48" i="1"/>
  <c r="I136" i="3" s="1"/>
  <c r="J49" i="1"/>
  <c r="J50" i="1"/>
  <c r="J51" i="1"/>
  <c r="I143" i="3" s="1"/>
  <c r="I142" i="3" s="1"/>
  <c r="J20" i="1"/>
  <c r="I138" i="3" l="1"/>
  <c r="I137" i="3" s="1"/>
  <c r="I93" i="3"/>
  <c r="I21" i="3"/>
  <c r="J19" i="1"/>
  <c r="L101" i="3"/>
  <c r="G101" i="3"/>
  <c r="E101" i="3"/>
  <c r="N101" i="3"/>
  <c r="J101" i="3"/>
  <c r="M101" i="3"/>
  <c r="K101" i="3"/>
  <c r="H101" i="3"/>
  <c r="F101" i="3"/>
  <c r="M146" i="3"/>
  <c r="K146" i="3"/>
  <c r="H146" i="3"/>
  <c r="F146" i="3"/>
  <c r="N146" i="3"/>
  <c r="L146" i="3"/>
  <c r="J146" i="3"/>
  <c r="G146" i="3"/>
  <c r="E146" i="3"/>
  <c r="J54" i="1"/>
  <c r="M40" i="3"/>
  <c r="K40" i="3"/>
  <c r="H40" i="3"/>
  <c r="F40" i="3"/>
  <c r="N40" i="3"/>
  <c r="L40" i="3"/>
  <c r="J40" i="3"/>
  <c r="G40" i="3"/>
  <c r="E40" i="3"/>
  <c r="I89" i="3"/>
  <c r="I96" i="3"/>
  <c r="J195" i="1"/>
  <c r="I20" i="3"/>
  <c r="I19" i="3" s="1"/>
  <c r="I130" i="3"/>
  <c r="K122" i="3"/>
  <c r="I150" i="3"/>
  <c r="I149" i="3" s="1"/>
  <c r="I146" i="3" s="1"/>
  <c r="N23" i="3"/>
  <c r="L23" i="3"/>
  <c r="J23" i="3"/>
  <c r="G23" i="3"/>
  <c r="E23" i="3"/>
  <c r="M23" i="3"/>
  <c r="K23" i="3"/>
  <c r="H23" i="3"/>
  <c r="F23" i="3"/>
  <c r="N88" i="3"/>
  <c r="L88" i="3"/>
  <c r="J88" i="3"/>
  <c r="G88" i="3"/>
  <c r="M88" i="3"/>
  <c r="K88" i="3"/>
  <c r="H88" i="3"/>
  <c r="F88" i="3"/>
  <c r="L52" i="3"/>
  <c r="H52" i="3"/>
  <c r="F52" i="3"/>
  <c r="M52" i="3"/>
  <c r="K52" i="3"/>
  <c r="G52" i="3"/>
  <c r="I39" i="3"/>
  <c r="N39" i="3"/>
  <c r="L39" i="3"/>
  <c r="J39" i="3"/>
  <c r="G39" i="3"/>
  <c r="E39" i="3"/>
  <c r="M39" i="3"/>
  <c r="K39" i="3"/>
  <c r="H39" i="3"/>
  <c r="F39" i="3"/>
  <c r="L22" i="3"/>
  <c r="H22" i="3"/>
  <c r="F22" i="3"/>
  <c r="M22" i="3"/>
  <c r="K22" i="3"/>
  <c r="G22" i="3"/>
  <c r="E22" i="3"/>
  <c r="I27" i="3"/>
  <c r="I23" i="3" s="1"/>
  <c r="J187" i="1"/>
  <c r="J179" i="1"/>
  <c r="J178" i="1" s="1"/>
  <c r="J176" i="1"/>
  <c r="J165" i="1" s="1"/>
  <c r="J119" i="1"/>
  <c r="I80" i="3"/>
  <c r="I78" i="3"/>
  <c r="I42" i="3"/>
  <c r="I40" i="3" s="1"/>
  <c r="J80" i="1"/>
  <c r="I127" i="3"/>
  <c r="I79" i="3"/>
  <c r="E86" i="3"/>
  <c r="E81" i="3" s="1"/>
  <c r="I107" i="3"/>
  <c r="I103" i="3"/>
  <c r="L134" i="3"/>
  <c r="J134" i="3"/>
  <c r="G134" i="3"/>
  <c r="I75" i="3"/>
  <c r="I55" i="3"/>
  <c r="I141" i="3"/>
  <c r="I139" i="3" s="1"/>
  <c r="I123" i="3"/>
  <c r="I84" i="3"/>
  <c r="I81" i="3" s="1"/>
  <c r="I65" i="3"/>
  <c r="I73" i="3"/>
  <c r="N124" i="3"/>
  <c r="N122" i="3" s="1"/>
  <c r="N134" i="3"/>
  <c r="H134" i="3"/>
  <c r="M134" i="3"/>
  <c r="M133" i="3" s="1"/>
  <c r="K134" i="3"/>
  <c r="K133" i="3" s="1"/>
  <c r="F134" i="3"/>
  <c r="F133" i="3" s="1"/>
  <c r="E134" i="3"/>
  <c r="E133" i="3" s="1"/>
  <c r="L19" i="3"/>
  <c r="I94" i="3"/>
  <c r="I134" i="3"/>
  <c r="M81" i="3"/>
  <c r="F81" i="3"/>
  <c r="I74" i="3"/>
  <c r="I57" i="3"/>
  <c r="N139" i="3"/>
  <c r="L139" i="3"/>
  <c r="J139" i="3"/>
  <c r="H139" i="3"/>
  <c r="G139" i="3"/>
  <c r="M122" i="3"/>
  <c r="F122" i="3"/>
  <c r="K81" i="3"/>
  <c r="L76" i="3"/>
  <c r="H76" i="3"/>
  <c r="N19" i="3"/>
  <c r="J19" i="3"/>
  <c r="H19" i="3"/>
  <c r="G19" i="3"/>
  <c r="M19" i="3"/>
  <c r="K19" i="3"/>
  <c r="F19" i="3"/>
  <c r="E19" i="3"/>
  <c r="L122" i="3"/>
  <c r="H122" i="3"/>
  <c r="G122" i="3"/>
  <c r="N76" i="3"/>
  <c r="J76" i="3"/>
  <c r="G76" i="3"/>
  <c r="M76" i="3"/>
  <c r="K76" i="3"/>
  <c r="F76" i="3"/>
  <c r="E76" i="3"/>
  <c r="N81" i="3"/>
  <c r="L81" i="3"/>
  <c r="J81" i="3"/>
  <c r="H81" i="3"/>
  <c r="G81" i="3"/>
  <c r="J156" i="1"/>
  <c r="J205" i="1" l="1"/>
  <c r="I101" i="3"/>
  <c r="K153" i="3"/>
  <c r="L207" i="1" s="1"/>
  <c r="I129" i="3"/>
  <c r="G153" i="3"/>
  <c r="H207" i="1" s="1"/>
  <c r="J153" i="3"/>
  <c r="K207" i="1" s="1"/>
  <c r="N153" i="3"/>
  <c r="O207" i="1" s="1"/>
  <c r="M153" i="3"/>
  <c r="N207" i="1" s="1"/>
  <c r="H153" i="3"/>
  <c r="I207" i="1" s="1"/>
  <c r="I153" i="3"/>
  <c r="J207" i="1" s="1"/>
  <c r="E153" i="3"/>
  <c r="F207" i="1" s="1"/>
  <c r="L153" i="3"/>
  <c r="M207" i="1" s="1"/>
  <c r="F153" i="3"/>
  <c r="G207" i="1" s="1"/>
  <c r="I88" i="3"/>
  <c r="K97" i="3"/>
  <c r="K152" i="3" s="1"/>
  <c r="H97" i="3"/>
  <c r="M97" i="3"/>
  <c r="M152" i="3" s="1"/>
  <c r="G97" i="3"/>
  <c r="L97" i="3"/>
  <c r="F97" i="3"/>
  <c r="F152" i="3" s="1"/>
  <c r="N97" i="3"/>
  <c r="I76" i="3"/>
  <c r="L133" i="3"/>
  <c r="G133" i="3"/>
  <c r="N133" i="3"/>
  <c r="J133" i="3"/>
  <c r="I133" i="3"/>
  <c r="H133" i="3"/>
  <c r="E199" i="1"/>
  <c r="D140" i="3" s="1"/>
  <c r="C199" i="1"/>
  <c r="D199" i="1"/>
  <c r="B199" i="1"/>
  <c r="E96" i="3" l="1"/>
  <c r="E88" i="3" s="1"/>
  <c r="G152" i="3"/>
  <c r="L152" i="3"/>
  <c r="H152" i="3"/>
  <c r="E128" i="3"/>
  <c r="E122" i="3" s="1"/>
  <c r="E97" i="3" s="1"/>
  <c r="J94" i="1"/>
  <c r="J79" i="1" s="1"/>
  <c r="P199" i="1"/>
  <c r="O140" i="3" s="1"/>
  <c r="I124" i="3" l="1"/>
  <c r="I122" i="3" s="1"/>
  <c r="I97" i="3" s="1"/>
  <c r="J78" i="1"/>
  <c r="E149" i="1" l="1"/>
  <c r="C149" i="1"/>
  <c r="D149" i="1"/>
  <c r="B149" i="1"/>
  <c r="D110" i="3" l="1"/>
  <c r="P149" i="1"/>
  <c r="O110" i="3" s="1"/>
  <c r="F110" i="1"/>
  <c r="E69" i="3" l="1"/>
  <c r="F97" i="1"/>
  <c r="E52" i="3"/>
  <c r="E152" i="3" s="1"/>
  <c r="J24" i="3"/>
  <c r="N26" i="3" l="1"/>
  <c r="J26" i="3"/>
  <c r="J22" i="3" s="1"/>
  <c r="J58" i="1"/>
  <c r="J53" i="1" s="1"/>
  <c r="I26" i="3" l="1"/>
  <c r="N31" i="3"/>
  <c r="N22" i="3" s="1"/>
  <c r="J126" i="1"/>
  <c r="J124" i="1" s="1"/>
  <c r="D45" i="1"/>
  <c r="D182" i="1"/>
  <c r="D156" i="1"/>
  <c r="C128" i="1"/>
  <c r="D128" i="1"/>
  <c r="B128" i="1"/>
  <c r="D121" i="1"/>
  <c r="D68" i="1"/>
  <c r="D66" i="1"/>
  <c r="P202" i="1"/>
  <c r="O145" i="3" s="1"/>
  <c r="E197" i="1"/>
  <c r="E198" i="1"/>
  <c r="E200" i="1"/>
  <c r="E201" i="1"/>
  <c r="D144" i="3" s="1"/>
  <c r="E203" i="1"/>
  <c r="D148" i="3" s="1"/>
  <c r="D147" i="3" s="1"/>
  <c r="E196" i="1"/>
  <c r="K194" i="1"/>
  <c r="L194" i="1"/>
  <c r="M194" i="1"/>
  <c r="N194" i="1"/>
  <c r="O194" i="1"/>
  <c r="F194" i="1"/>
  <c r="G194" i="1"/>
  <c r="H194" i="1"/>
  <c r="I194" i="1"/>
  <c r="E189" i="1"/>
  <c r="D100" i="3" s="1"/>
  <c r="D99" i="3" s="1"/>
  <c r="E190" i="1"/>
  <c r="E191" i="1"/>
  <c r="D125" i="3" s="1"/>
  <c r="E192" i="1"/>
  <c r="D126" i="3" s="1"/>
  <c r="E193" i="1"/>
  <c r="E188" i="1"/>
  <c r="K186" i="1"/>
  <c r="L186" i="1"/>
  <c r="M186" i="1"/>
  <c r="N186" i="1"/>
  <c r="O186" i="1"/>
  <c r="F186" i="1"/>
  <c r="G186" i="1"/>
  <c r="H186" i="1"/>
  <c r="I186" i="1"/>
  <c r="J184" i="1"/>
  <c r="J183" i="1" s="1"/>
  <c r="E185" i="1"/>
  <c r="K184" i="1"/>
  <c r="K183" i="1" s="1"/>
  <c r="L184" i="1"/>
  <c r="L183" i="1" s="1"/>
  <c r="M184" i="1"/>
  <c r="M183" i="1" s="1"/>
  <c r="N184" i="1"/>
  <c r="N183" i="1" s="1"/>
  <c r="O184" i="1"/>
  <c r="O183" i="1" s="1"/>
  <c r="F184" i="1"/>
  <c r="F183" i="1" s="1"/>
  <c r="G184" i="1"/>
  <c r="G183" i="1" s="1"/>
  <c r="H184" i="1"/>
  <c r="H183" i="1" s="1"/>
  <c r="I184" i="1"/>
  <c r="I183" i="1" s="1"/>
  <c r="E184" i="1"/>
  <c r="E183" i="1" s="1"/>
  <c r="E181" i="1"/>
  <c r="E182" i="1"/>
  <c r="E180" i="1"/>
  <c r="K178" i="1"/>
  <c r="L178" i="1"/>
  <c r="M178" i="1"/>
  <c r="N178" i="1"/>
  <c r="O178" i="1"/>
  <c r="F178" i="1"/>
  <c r="G178" i="1"/>
  <c r="H178" i="1"/>
  <c r="I178" i="1"/>
  <c r="E167" i="1"/>
  <c r="E168" i="1"/>
  <c r="D95" i="3" s="1"/>
  <c r="E169" i="1"/>
  <c r="E170" i="1"/>
  <c r="D104" i="3" s="1"/>
  <c r="E171" i="1"/>
  <c r="D105" i="3" s="1"/>
  <c r="E173" i="1"/>
  <c r="E176" i="1"/>
  <c r="E166" i="1"/>
  <c r="K164" i="1"/>
  <c r="M164" i="1"/>
  <c r="N164" i="1"/>
  <c r="O164" i="1"/>
  <c r="F164" i="1"/>
  <c r="G164" i="1"/>
  <c r="H164" i="1"/>
  <c r="I164" i="1"/>
  <c r="J162" i="1"/>
  <c r="J161" i="1" s="1"/>
  <c r="E163" i="1"/>
  <c r="E162" i="1" s="1"/>
  <c r="E161" i="1" s="1"/>
  <c r="K162" i="1"/>
  <c r="K161" i="1" s="1"/>
  <c r="L162" i="1"/>
  <c r="L161" i="1" s="1"/>
  <c r="M162" i="1"/>
  <c r="M161" i="1" s="1"/>
  <c r="N162" i="1"/>
  <c r="N161" i="1" s="1"/>
  <c r="O162" i="1"/>
  <c r="O161" i="1" s="1"/>
  <c r="F162" i="1"/>
  <c r="F161" i="1" s="1"/>
  <c r="G162" i="1"/>
  <c r="G161" i="1" s="1"/>
  <c r="H162" i="1"/>
  <c r="H161" i="1" s="1"/>
  <c r="I162" i="1"/>
  <c r="I161" i="1" s="1"/>
  <c r="E137" i="1"/>
  <c r="P137" i="1" s="1"/>
  <c r="E138" i="1"/>
  <c r="D89" i="3" s="1"/>
  <c r="E139" i="1"/>
  <c r="E140" i="1"/>
  <c r="D91" i="3" s="1"/>
  <c r="E141" i="1"/>
  <c r="E142" i="1"/>
  <c r="E143" i="1"/>
  <c r="E144" i="1"/>
  <c r="E145" i="1"/>
  <c r="E146" i="1"/>
  <c r="P146" i="1" s="1"/>
  <c r="E148" i="1"/>
  <c r="D108" i="3" s="1"/>
  <c r="E154" i="1"/>
  <c r="E155" i="1"/>
  <c r="P155" i="1" s="1"/>
  <c r="E156" i="1"/>
  <c r="P156" i="1" s="1"/>
  <c r="E159" i="1"/>
  <c r="P159" i="1" s="1"/>
  <c r="E160" i="1"/>
  <c r="E136" i="1"/>
  <c r="K133" i="1"/>
  <c r="L133" i="1"/>
  <c r="M133" i="1"/>
  <c r="N133" i="1"/>
  <c r="O133" i="1"/>
  <c r="F133" i="1"/>
  <c r="G133" i="1"/>
  <c r="H133" i="1"/>
  <c r="I133" i="1"/>
  <c r="E126" i="1"/>
  <c r="D31" i="3" s="1"/>
  <c r="E127" i="1"/>
  <c r="D77" i="3" s="1"/>
  <c r="E128" i="1"/>
  <c r="E129" i="1"/>
  <c r="E130" i="1"/>
  <c r="E131" i="1"/>
  <c r="E125" i="1"/>
  <c r="K123" i="1"/>
  <c r="L123" i="1"/>
  <c r="M123" i="1"/>
  <c r="N123" i="1"/>
  <c r="F123" i="1"/>
  <c r="G123" i="1"/>
  <c r="H123" i="1"/>
  <c r="I123" i="1"/>
  <c r="E121" i="1"/>
  <c r="D61" i="3" s="1"/>
  <c r="E122" i="1"/>
  <c r="D62" i="3" s="1"/>
  <c r="E120" i="1"/>
  <c r="K118" i="1"/>
  <c r="L118" i="1"/>
  <c r="M118" i="1"/>
  <c r="N118" i="1"/>
  <c r="O118" i="1"/>
  <c r="F118" i="1"/>
  <c r="G118" i="1"/>
  <c r="H118" i="1"/>
  <c r="I118" i="1"/>
  <c r="E99" i="1"/>
  <c r="D53" i="3" s="1"/>
  <c r="E100" i="1"/>
  <c r="D54" i="3" s="1"/>
  <c r="E101" i="1"/>
  <c r="E102" i="1"/>
  <c r="D56" i="3" s="1"/>
  <c r="E103" i="1"/>
  <c r="E104" i="1"/>
  <c r="D58" i="3" s="1"/>
  <c r="E105" i="1"/>
  <c r="D59" i="3" s="1"/>
  <c r="E106" i="1"/>
  <c r="D60" i="3" s="1"/>
  <c r="E107" i="1"/>
  <c r="D66" i="3" s="1"/>
  <c r="E108" i="1"/>
  <c r="E109" i="1"/>
  <c r="D68" i="3" s="1"/>
  <c r="E110" i="1"/>
  <c r="D69" i="3" s="1"/>
  <c r="E111" i="1"/>
  <c r="D70" i="3" s="1"/>
  <c r="E112" i="1"/>
  <c r="D71" i="3" s="1"/>
  <c r="E113" i="1"/>
  <c r="D72" i="3" s="1"/>
  <c r="E114" i="1"/>
  <c r="E115" i="1"/>
  <c r="E116" i="1"/>
  <c r="P116" i="1" s="1"/>
  <c r="E117" i="1"/>
  <c r="E98" i="1"/>
  <c r="L96" i="1"/>
  <c r="M96" i="1"/>
  <c r="N96" i="1"/>
  <c r="F96" i="1"/>
  <c r="G96" i="1"/>
  <c r="H96" i="1"/>
  <c r="I96" i="1"/>
  <c r="E82" i="1"/>
  <c r="D41" i="3" s="1"/>
  <c r="E83" i="1"/>
  <c r="E84" i="1"/>
  <c r="D43" i="3" s="1"/>
  <c r="E85" i="1"/>
  <c r="D44" i="3" s="1"/>
  <c r="E86" i="1"/>
  <c r="D45" i="3" s="1"/>
  <c r="E87" i="1"/>
  <c r="D46" i="3" s="1"/>
  <c r="E88" i="1"/>
  <c r="D47" i="3" s="1"/>
  <c r="E89" i="1"/>
  <c r="D48" i="3" s="1"/>
  <c r="E90" i="1"/>
  <c r="D49" i="3" s="1"/>
  <c r="E91" i="1"/>
  <c r="D50" i="3" s="1"/>
  <c r="E92" i="1"/>
  <c r="D51" i="3" s="1"/>
  <c r="E94" i="1"/>
  <c r="E81" i="1"/>
  <c r="K52" i="1"/>
  <c r="L52" i="1"/>
  <c r="M52" i="1"/>
  <c r="N52" i="1"/>
  <c r="O52" i="1"/>
  <c r="F52" i="1"/>
  <c r="G52" i="1"/>
  <c r="H52" i="1"/>
  <c r="I52" i="1"/>
  <c r="E56" i="1"/>
  <c r="D24" i="3" s="1"/>
  <c r="E58" i="1"/>
  <c r="E59" i="1"/>
  <c r="E60" i="1"/>
  <c r="D28" i="3" s="1"/>
  <c r="E61" i="1"/>
  <c r="D29" i="3" s="1"/>
  <c r="E62" i="1"/>
  <c r="D30" i="3" s="1"/>
  <c r="E63" i="1"/>
  <c r="D32" i="3" s="1"/>
  <c r="E64" i="1"/>
  <c r="D33" i="3" s="1"/>
  <c r="E65" i="1"/>
  <c r="D34" i="3" s="1"/>
  <c r="E66" i="1"/>
  <c r="D35" i="3" s="1"/>
  <c r="E67" i="1"/>
  <c r="D36" i="3" s="1"/>
  <c r="E68" i="1"/>
  <c r="D37" i="3" s="1"/>
  <c r="E70" i="1"/>
  <c r="E71" i="1"/>
  <c r="E72" i="1"/>
  <c r="E75" i="1"/>
  <c r="E76" i="1"/>
  <c r="P76" i="1" s="1"/>
  <c r="E55" i="1"/>
  <c r="E21" i="1"/>
  <c r="D21" i="3" s="1"/>
  <c r="E22" i="1"/>
  <c r="E23" i="1"/>
  <c r="E24" i="1"/>
  <c r="D63" i="3" s="1"/>
  <c r="E25" i="1"/>
  <c r="D64" i="3" s="1"/>
  <c r="E26" i="1"/>
  <c r="E27" i="1"/>
  <c r="E28" i="1"/>
  <c r="E29" i="1"/>
  <c r="E30" i="1"/>
  <c r="E31" i="1"/>
  <c r="E32" i="1"/>
  <c r="D82" i="3" s="1"/>
  <c r="E33" i="1"/>
  <c r="D83" i="3" s="1"/>
  <c r="E34" i="1"/>
  <c r="E35" i="1"/>
  <c r="D85" i="3" s="1"/>
  <c r="E36" i="1"/>
  <c r="D86" i="3" s="1"/>
  <c r="E37" i="1"/>
  <c r="D87" i="3" s="1"/>
  <c r="E38" i="1"/>
  <c r="D115" i="3" s="1"/>
  <c r="D113" i="3" s="1"/>
  <c r="E41" i="1"/>
  <c r="D121" i="3" s="1"/>
  <c r="D120" i="3" s="1"/>
  <c r="E42" i="1"/>
  <c r="E43" i="1"/>
  <c r="E44" i="1"/>
  <c r="D128" i="3" s="1"/>
  <c r="E45" i="1"/>
  <c r="E46" i="1"/>
  <c r="E47" i="1"/>
  <c r="D135" i="3" s="1"/>
  <c r="E48" i="1"/>
  <c r="D136" i="3" s="1"/>
  <c r="E49" i="1"/>
  <c r="E50" i="1"/>
  <c r="E51" i="1"/>
  <c r="D143" i="3" s="1"/>
  <c r="D142" i="3" s="1"/>
  <c r="E20" i="1"/>
  <c r="E19" i="1" s="1"/>
  <c r="K18" i="1"/>
  <c r="M18" i="1"/>
  <c r="N18" i="1"/>
  <c r="O18" i="1"/>
  <c r="F18" i="1"/>
  <c r="G18" i="1"/>
  <c r="H18" i="1"/>
  <c r="I18" i="1"/>
  <c r="L18" i="1"/>
  <c r="D92" i="3" l="1"/>
  <c r="E134" i="1"/>
  <c r="D138" i="3"/>
  <c r="D137" i="3" s="1"/>
  <c r="D93" i="3"/>
  <c r="E79" i="1"/>
  <c r="E78" i="1" s="1"/>
  <c r="E165" i="1"/>
  <c r="D129" i="3"/>
  <c r="E133" i="1"/>
  <c r="E54" i="1"/>
  <c r="D26" i="3"/>
  <c r="D22" i="3" s="1"/>
  <c r="E53" i="1"/>
  <c r="E52" i="1" s="1"/>
  <c r="D96" i="3"/>
  <c r="E164" i="1"/>
  <c r="E195" i="1"/>
  <c r="E194" i="1" s="1"/>
  <c r="H204" i="1"/>
  <c r="H206" i="1" s="1"/>
  <c r="N204" i="1"/>
  <c r="N206" i="1" s="1"/>
  <c r="D130" i="3"/>
  <c r="I204" i="1"/>
  <c r="I206" i="1" s="1"/>
  <c r="M204" i="1"/>
  <c r="M206" i="1" s="1"/>
  <c r="P160" i="1"/>
  <c r="D150" i="3"/>
  <c r="D149" i="3" s="1"/>
  <c r="D146" i="3" s="1"/>
  <c r="E97" i="1"/>
  <c r="E96" i="1" s="1"/>
  <c r="G204" i="1"/>
  <c r="G206" i="1" s="1"/>
  <c r="F204" i="1"/>
  <c r="F206" i="1" s="1"/>
  <c r="D20" i="3"/>
  <c r="D19" i="3" s="1"/>
  <c r="D90" i="3"/>
  <c r="D39" i="3"/>
  <c r="D27" i="3"/>
  <c r="D23" i="3" s="1"/>
  <c r="E179" i="1"/>
  <c r="E178" i="1" s="1"/>
  <c r="E187" i="1"/>
  <c r="E186" i="1" s="1"/>
  <c r="D94" i="3"/>
  <c r="E124" i="1"/>
  <c r="E123" i="1" s="1"/>
  <c r="E119" i="1"/>
  <c r="E118" i="1" s="1"/>
  <c r="D127" i="3"/>
  <c r="E80" i="1"/>
  <c r="E18" i="1"/>
  <c r="D42" i="3"/>
  <c r="D40" i="3" s="1"/>
  <c r="D67" i="3"/>
  <c r="D123" i="3"/>
  <c r="P136" i="1"/>
  <c r="O123" i="1"/>
  <c r="D79" i="3"/>
  <c r="D124" i="3"/>
  <c r="D73" i="3"/>
  <c r="D103" i="3"/>
  <c r="D141" i="3"/>
  <c r="D139" i="3" s="1"/>
  <c r="D80" i="3"/>
  <c r="D78" i="3"/>
  <c r="D107" i="3"/>
  <c r="I31" i="3"/>
  <c r="I22" i="3" s="1"/>
  <c r="J123" i="1"/>
  <c r="D134" i="3"/>
  <c r="D75" i="3"/>
  <c r="D84" i="3"/>
  <c r="D81" i="3" s="1"/>
  <c r="D65" i="3"/>
  <c r="P117" i="1"/>
  <c r="D74" i="3"/>
  <c r="D57" i="3"/>
  <c r="D55" i="3"/>
  <c r="P20" i="1"/>
  <c r="P50" i="1"/>
  <c r="P48" i="1"/>
  <c r="O136" i="3" s="1"/>
  <c r="P46" i="1"/>
  <c r="P44" i="1"/>
  <c r="O128" i="3" s="1"/>
  <c r="P42" i="1"/>
  <c r="P72" i="1"/>
  <c r="P70" i="1"/>
  <c r="P68" i="1"/>
  <c r="O37" i="3" s="1"/>
  <c r="P67" i="1"/>
  <c r="O36" i="3" s="1"/>
  <c r="P66" i="1"/>
  <c r="O35" i="3" s="1"/>
  <c r="P64" i="1"/>
  <c r="O33" i="3" s="1"/>
  <c r="P62" i="1"/>
  <c r="O30" i="3" s="1"/>
  <c r="P60" i="1"/>
  <c r="O28" i="3" s="1"/>
  <c r="P58" i="1"/>
  <c r="O26" i="3" s="1"/>
  <c r="P81" i="1"/>
  <c r="P113" i="1"/>
  <c r="O72" i="3" s="1"/>
  <c r="P111" i="1"/>
  <c r="O70" i="3" s="1"/>
  <c r="P109" i="1"/>
  <c r="O68" i="3" s="1"/>
  <c r="P107" i="1"/>
  <c r="O66" i="3" s="1"/>
  <c r="P105" i="1"/>
  <c r="O59" i="3" s="1"/>
  <c r="P103" i="1"/>
  <c r="P101" i="1"/>
  <c r="P144" i="1"/>
  <c r="P142" i="1"/>
  <c r="P139" i="1"/>
  <c r="O90" i="3" s="1"/>
  <c r="P170" i="1"/>
  <c r="O104" i="3" s="1"/>
  <c r="P203" i="1"/>
  <c r="O148" i="3" s="1"/>
  <c r="O147" i="3" s="1"/>
  <c r="P51" i="1"/>
  <c r="O143" i="3" s="1"/>
  <c r="O142" i="3" s="1"/>
  <c r="P49" i="1"/>
  <c r="P47" i="1"/>
  <c r="O135" i="3" s="1"/>
  <c r="P45" i="1"/>
  <c r="J122" i="3" s="1"/>
  <c r="J97" i="3" s="1"/>
  <c r="P43" i="1"/>
  <c r="O127" i="3" s="1"/>
  <c r="P41" i="1"/>
  <c r="O121" i="3" s="1"/>
  <c r="O120" i="3" s="1"/>
  <c r="P75" i="1"/>
  <c r="P71" i="1"/>
  <c r="P65" i="1"/>
  <c r="O34" i="3" s="1"/>
  <c r="P63" i="1"/>
  <c r="O32" i="3" s="1"/>
  <c r="P61" i="1"/>
  <c r="O29" i="3" s="1"/>
  <c r="P59" i="1"/>
  <c r="P98" i="1"/>
  <c r="P114" i="1"/>
  <c r="O73" i="3" s="1"/>
  <c r="P112" i="1"/>
  <c r="O71" i="3" s="1"/>
  <c r="P110" i="1"/>
  <c r="O69" i="3" s="1"/>
  <c r="P108" i="1"/>
  <c r="O67" i="3" s="1"/>
  <c r="P106" i="1"/>
  <c r="O60" i="3" s="1"/>
  <c r="P104" i="1"/>
  <c r="O58" i="3" s="1"/>
  <c r="P102" i="1"/>
  <c r="O56" i="3" s="1"/>
  <c r="P100" i="1"/>
  <c r="O54" i="3" s="1"/>
  <c r="P148" i="1"/>
  <c r="O108" i="3" s="1"/>
  <c r="P143" i="1"/>
  <c r="P141" i="1"/>
  <c r="P140" i="1"/>
  <c r="O91" i="3" s="1"/>
  <c r="P171" i="1"/>
  <c r="O105" i="3" s="1"/>
  <c r="P196" i="1"/>
  <c r="J133" i="1"/>
  <c r="P154" i="1"/>
  <c r="P180" i="1"/>
  <c r="P181" i="1"/>
  <c r="P191" i="1"/>
  <c r="O125" i="3" s="1"/>
  <c r="J186" i="1"/>
  <c r="P200" i="1"/>
  <c r="P197" i="1"/>
  <c r="P122" i="1"/>
  <c r="O62" i="3" s="1"/>
  <c r="P121" i="1"/>
  <c r="O61" i="3" s="1"/>
  <c r="P38" i="1"/>
  <c r="O115" i="3" s="1"/>
  <c r="O113" i="3" s="1"/>
  <c r="P34" i="1"/>
  <c r="P32" i="1"/>
  <c r="O82" i="3" s="1"/>
  <c r="P30" i="1"/>
  <c r="P28" i="1"/>
  <c r="P26" i="1"/>
  <c r="P24" i="1"/>
  <c r="O63" i="3" s="1"/>
  <c r="P22" i="1"/>
  <c r="P125" i="1"/>
  <c r="P176" i="1"/>
  <c r="P185" i="1"/>
  <c r="P184" i="1" s="1"/>
  <c r="P183" i="1" s="1"/>
  <c r="P192" i="1"/>
  <c r="O126" i="3" s="1"/>
  <c r="P190" i="1"/>
  <c r="P189" i="1"/>
  <c r="O100" i="3" s="1"/>
  <c r="O99" i="3" s="1"/>
  <c r="P193" i="1"/>
  <c r="P145" i="1"/>
  <c r="P37" i="1"/>
  <c r="O87" i="3" s="1"/>
  <c r="P35" i="1"/>
  <c r="O85" i="3" s="1"/>
  <c r="P33" i="1"/>
  <c r="O83" i="3" s="1"/>
  <c r="P31" i="1"/>
  <c r="P27" i="1"/>
  <c r="P25" i="1"/>
  <c r="O64" i="3" s="1"/>
  <c r="P23" i="1"/>
  <c r="P94" i="1"/>
  <c r="P92" i="1"/>
  <c r="O51" i="3" s="1"/>
  <c r="P91" i="1"/>
  <c r="O50" i="3" s="1"/>
  <c r="P89" i="1"/>
  <c r="O48" i="3" s="1"/>
  <c r="P88" i="1"/>
  <c r="O47" i="3" s="1"/>
  <c r="P86" i="1"/>
  <c r="O45" i="3" s="1"/>
  <c r="P84" i="1"/>
  <c r="O43" i="3" s="1"/>
  <c r="P82" i="1"/>
  <c r="O41" i="3" s="1"/>
  <c r="P90" i="1"/>
  <c r="O49" i="3" s="1"/>
  <c r="P87" i="1"/>
  <c r="O46" i="3" s="1"/>
  <c r="P85" i="1"/>
  <c r="O44" i="3" s="1"/>
  <c r="P83" i="1"/>
  <c r="J118" i="1"/>
  <c r="P130" i="1"/>
  <c r="P131" i="1"/>
  <c r="P127" i="1"/>
  <c r="O77" i="3" s="1"/>
  <c r="P173" i="1"/>
  <c r="P169" i="1"/>
  <c r="P21" i="1"/>
  <c r="O21" i="3" s="1"/>
  <c r="P29" i="1"/>
  <c r="P138" i="1"/>
  <c r="O89" i="3" s="1"/>
  <c r="P182" i="1"/>
  <c r="P36" i="1"/>
  <c r="O86" i="3" s="1"/>
  <c r="P56" i="1"/>
  <c r="O24" i="3" s="1"/>
  <c r="P120" i="1"/>
  <c r="P129" i="1"/>
  <c r="P128" i="1"/>
  <c r="P198" i="1"/>
  <c r="P166" i="1"/>
  <c r="P167" i="1"/>
  <c r="P201" i="1"/>
  <c r="O144" i="3" s="1"/>
  <c r="J194" i="1"/>
  <c r="J52" i="1"/>
  <c r="P188" i="1"/>
  <c r="P163" i="1"/>
  <c r="P162" i="1" s="1"/>
  <c r="P161" i="1" s="1"/>
  <c r="P55" i="1"/>
  <c r="J18" i="1"/>
  <c r="P115" i="1"/>
  <c r="P126" i="1"/>
  <c r="O31" i="3" s="1"/>
  <c r="O92" i="3" l="1"/>
  <c r="P134" i="1"/>
  <c r="O138" i="3"/>
  <c r="O137" i="3" s="1"/>
  <c r="O93" i="3"/>
  <c r="P19" i="1"/>
  <c r="E205" i="1"/>
  <c r="P79" i="1"/>
  <c r="P78" i="1" s="1"/>
  <c r="D101" i="3"/>
  <c r="D153" i="3"/>
  <c r="E207" i="1" s="1"/>
  <c r="O129" i="3"/>
  <c r="O107" i="3"/>
  <c r="P53" i="1"/>
  <c r="P52" i="1" s="1"/>
  <c r="P54" i="1"/>
  <c r="O130" i="3"/>
  <c r="O20" i="3"/>
  <c r="O19" i="3" s="1"/>
  <c r="O96" i="3"/>
  <c r="O150" i="3"/>
  <c r="O149" i="3" s="1"/>
  <c r="O146" i="3" s="1"/>
  <c r="D88" i="3"/>
  <c r="E204" i="1"/>
  <c r="D52" i="3"/>
  <c r="O39" i="3"/>
  <c r="O22" i="3"/>
  <c r="O27" i="3"/>
  <c r="O23" i="3" s="1"/>
  <c r="P195" i="1"/>
  <c r="P187" i="1"/>
  <c r="P179" i="1"/>
  <c r="P124" i="1"/>
  <c r="P119" i="1"/>
  <c r="O42" i="3"/>
  <c r="O40" i="3" s="1"/>
  <c r="P80" i="1"/>
  <c r="O103" i="3"/>
  <c r="D122" i="3"/>
  <c r="O74" i="3"/>
  <c r="D133" i="3"/>
  <c r="D76" i="3"/>
  <c r="O123" i="3"/>
  <c r="O141" i="3"/>
  <c r="O139" i="3" s="1"/>
  <c r="O134" i="3"/>
  <c r="O94" i="3"/>
  <c r="O80" i="3"/>
  <c r="O79" i="3"/>
  <c r="O75" i="3"/>
  <c r="O57" i="3"/>
  <c r="O84" i="3"/>
  <c r="O81" i="3" s="1"/>
  <c r="O78" i="3"/>
  <c r="O124" i="3"/>
  <c r="O55" i="3"/>
  <c r="O65" i="3"/>
  <c r="L164" i="1"/>
  <c r="L204" i="1" s="1"/>
  <c r="L206" i="1" s="1"/>
  <c r="P205" i="1" l="1"/>
  <c r="D97" i="3"/>
  <c r="D152" i="3" s="1"/>
  <c r="E206" i="1" s="1"/>
  <c r="O101" i="3"/>
  <c r="O153" i="3"/>
  <c r="P207" i="1" s="1"/>
  <c r="O133" i="3"/>
  <c r="O122" i="3"/>
  <c r="O97" i="3" s="1"/>
  <c r="O76" i="3"/>
  <c r="P168" i="1"/>
  <c r="P165" i="1" s="1"/>
  <c r="J164" i="1"/>
  <c r="O95" i="3" l="1"/>
  <c r="O88" i="3" s="1"/>
  <c r="O99" i="1" l="1"/>
  <c r="K99" i="1"/>
  <c r="K97" i="1" s="1"/>
  <c r="J53" i="3" l="1"/>
  <c r="J52" i="3" s="1"/>
  <c r="J152" i="3" s="1"/>
  <c r="K96" i="1"/>
  <c r="K204" i="1" s="1"/>
  <c r="N53" i="3"/>
  <c r="O97" i="1"/>
  <c r="O96" i="1" s="1"/>
  <c r="O204" i="1" s="1"/>
  <c r="N52" i="3"/>
  <c r="N152" i="3" s="1"/>
  <c r="J99" i="1"/>
  <c r="O206" i="1" l="1"/>
  <c r="K206" i="1"/>
  <c r="I53" i="3"/>
  <c r="I52" i="3" s="1"/>
  <c r="I152" i="3" s="1"/>
  <c r="J97" i="1"/>
  <c r="P99" i="1"/>
  <c r="P18" i="1"/>
  <c r="P178" i="1"/>
  <c r="P194" i="1"/>
  <c r="O53" i="3" l="1"/>
  <c r="P97" i="1"/>
  <c r="P96" i="1" s="1"/>
  <c r="O52" i="3"/>
  <c r="O152" i="3" s="1"/>
  <c r="J96" i="1"/>
  <c r="J204" i="1" s="1"/>
  <c r="J206" i="1" s="1"/>
  <c r="P186" i="1"/>
  <c r="P164" i="1"/>
  <c r="P133" i="1"/>
  <c r="P123" i="1"/>
  <c r="P118" i="1"/>
  <c r="P204" i="1" l="1"/>
  <c r="P206" i="1" s="1"/>
  <c r="C48" i="1" l="1"/>
  <c r="C198" i="1" l="1"/>
  <c r="D198" i="1"/>
  <c r="B198" i="1"/>
  <c r="C155" i="1"/>
  <c r="D155" i="1"/>
  <c r="B155" i="1"/>
  <c r="C102" i="1" l="1"/>
  <c r="D102" i="1"/>
  <c r="B102" i="1"/>
  <c r="C29" i="1"/>
  <c r="D29" i="1"/>
  <c r="B29" i="1"/>
  <c r="C71" i="1"/>
  <c r="D71" i="1"/>
  <c r="B71" i="1"/>
  <c r="B89" i="1"/>
  <c r="C89" i="1"/>
  <c r="D89" i="1"/>
  <c r="D90" i="1"/>
  <c r="B108" i="1"/>
  <c r="C108" i="1"/>
  <c r="D108" i="1"/>
  <c r="B109" i="1"/>
  <c r="C109" i="1"/>
  <c r="D109" i="1"/>
  <c r="C105" i="1"/>
  <c r="D105" i="1"/>
  <c r="B105" i="1"/>
  <c r="C182" i="1"/>
  <c r="B182" i="1"/>
  <c r="C181" i="1"/>
  <c r="D181" i="1"/>
  <c r="B181" i="1"/>
  <c r="D92" i="1"/>
  <c r="C92" i="1"/>
  <c r="B92" i="1"/>
  <c r="C91" i="1"/>
  <c r="D91" i="1"/>
  <c r="B91" i="1"/>
  <c r="C45" i="1"/>
  <c r="B45" i="1"/>
  <c r="C117" i="1"/>
  <c r="B117" i="1"/>
  <c r="C115" i="1"/>
  <c r="D115" i="1"/>
  <c r="C116" i="1"/>
  <c r="D116" i="1"/>
  <c r="B116" i="1"/>
  <c r="B115" i="1"/>
  <c r="C114" i="1"/>
  <c r="D114" i="1"/>
  <c r="B114" i="1"/>
  <c r="C113" i="1"/>
  <c r="D113" i="1"/>
  <c r="B113" i="1"/>
  <c r="C112" i="1"/>
  <c r="D112" i="1"/>
  <c r="B112" i="1"/>
  <c r="C111" i="1"/>
  <c r="D111" i="1"/>
  <c r="B111" i="1"/>
  <c r="C110" i="1"/>
  <c r="D110" i="1"/>
  <c r="B110" i="1"/>
  <c r="C107" i="1"/>
  <c r="D107" i="1"/>
  <c r="B107" i="1"/>
  <c r="C106" i="1"/>
  <c r="D106" i="1"/>
  <c r="B106" i="1"/>
  <c r="C104" i="1"/>
  <c r="D104" i="1"/>
  <c r="B104" i="1"/>
  <c r="C103" i="1"/>
  <c r="D103" i="1"/>
  <c r="B103" i="1"/>
  <c r="C101" i="1"/>
  <c r="D101" i="1"/>
  <c r="B101" i="1"/>
  <c r="C100" i="1"/>
  <c r="B100" i="1"/>
  <c r="C99" i="1"/>
  <c r="D99" i="1"/>
  <c r="B99" i="1"/>
  <c r="C94" i="1"/>
  <c r="D94" i="1"/>
  <c r="B94" i="1"/>
  <c r="C88" i="1"/>
  <c r="D88" i="1"/>
  <c r="B88" i="1"/>
  <c r="C86" i="1"/>
  <c r="D86" i="1"/>
  <c r="B86" i="1"/>
  <c r="C84" i="1"/>
  <c r="D84" i="1"/>
  <c r="B84" i="1"/>
  <c r="C82" i="1"/>
  <c r="D82" i="1"/>
  <c r="B82" i="1"/>
  <c r="C76" i="1"/>
  <c r="D76" i="1"/>
  <c r="B76" i="1"/>
  <c r="C75" i="1"/>
  <c r="D75" i="1"/>
  <c r="B75" i="1"/>
  <c r="C72" i="1"/>
  <c r="D72" i="1"/>
  <c r="B72" i="1"/>
  <c r="D70" i="1"/>
  <c r="C70" i="1"/>
  <c r="B70" i="1"/>
  <c r="C66" i="1"/>
  <c r="C67" i="1"/>
  <c r="D67" i="1"/>
  <c r="B67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1" i="1"/>
  <c r="D51" i="1"/>
  <c r="B51" i="1"/>
  <c r="C50" i="1"/>
  <c r="D50" i="1"/>
  <c r="B50" i="1"/>
  <c r="C49" i="1"/>
  <c r="D49" i="1"/>
  <c r="B49" i="1"/>
  <c r="D48" i="1"/>
  <c r="B48" i="1"/>
  <c r="C47" i="1"/>
  <c r="D47" i="1"/>
  <c r="B47" i="1"/>
  <c r="C46" i="1"/>
  <c r="D46" i="1"/>
  <c r="B46" i="1"/>
  <c r="C44" i="1"/>
  <c r="D44" i="1"/>
  <c r="B44" i="1"/>
  <c r="C43" i="1"/>
  <c r="D43" i="1"/>
  <c r="B43" i="1"/>
  <c r="C42" i="1"/>
  <c r="D42" i="1"/>
  <c r="B42" i="1"/>
  <c r="C41" i="1"/>
  <c r="D41" i="1"/>
  <c r="B41" i="1"/>
  <c r="C38" i="1"/>
  <c r="D38" i="1"/>
  <c r="B38" i="1"/>
  <c r="C27" i="1"/>
  <c r="D27" i="1"/>
  <c r="C28" i="1"/>
  <c r="D28" i="1"/>
  <c r="B28" i="1"/>
  <c r="B27" i="1"/>
  <c r="C30" i="1"/>
  <c r="D30" i="1"/>
  <c r="C31" i="1"/>
  <c r="D31" i="1"/>
  <c r="B31" i="1"/>
  <c r="B30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6" i="1"/>
  <c r="D26" i="1"/>
  <c r="B26" i="1"/>
  <c r="C25" i="1"/>
  <c r="D25" i="1"/>
  <c r="B25" i="1"/>
  <c r="C24" i="1"/>
  <c r="D24" i="1"/>
  <c r="B24" i="1"/>
  <c r="C23" i="1"/>
  <c r="D23" i="1"/>
  <c r="B23" i="1"/>
  <c r="C22" i="1"/>
  <c r="D22" i="1"/>
  <c r="B22" i="1"/>
  <c r="C21" i="1"/>
  <c r="D21" i="1"/>
  <c r="B21" i="1"/>
  <c r="D122" i="1"/>
  <c r="C122" i="1"/>
  <c r="B122" i="1"/>
  <c r="C126" i="1"/>
  <c r="D126" i="1"/>
  <c r="B126" i="1"/>
  <c r="C127" i="1"/>
  <c r="D127" i="1"/>
  <c r="B127" i="1"/>
  <c r="C129" i="1"/>
  <c r="D129" i="1"/>
  <c r="C130" i="1"/>
  <c r="D130" i="1"/>
  <c r="B130" i="1"/>
  <c r="B129" i="1"/>
  <c r="C131" i="1"/>
  <c r="D131" i="1"/>
  <c r="B131" i="1"/>
  <c r="C137" i="1"/>
  <c r="D137" i="1"/>
  <c r="B137" i="1"/>
  <c r="C141" i="1"/>
  <c r="D141" i="1"/>
  <c r="B141" i="1"/>
  <c r="C140" i="1"/>
  <c r="D140" i="1"/>
  <c r="B140" i="1"/>
  <c r="C139" i="1"/>
  <c r="D139" i="1"/>
  <c r="B139" i="1"/>
  <c r="C138" i="1"/>
  <c r="D138" i="1"/>
  <c r="B138" i="1"/>
  <c r="C142" i="1"/>
  <c r="D142" i="1"/>
  <c r="B142" i="1"/>
  <c r="C143" i="1"/>
  <c r="D143" i="1"/>
  <c r="B143" i="1"/>
  <c r="C144" i="1"/>
  <c r="D144" i="1"/>
  <c r="B144" i="1"/>
  <c r="C145" i="1"/>
  <c r="D145" i="1"/>
  <c r="B145" i="1"/>
  <c r="C146" i="1"/>
  <c r="D146" i="1"/>
  <c r="B146" i="1"/>
  <c r="C148" i="1"/>
  <c r="D148" i="1"/>
  <c r="B148" i="1"/>
  <c r="C154" i="1"/>
  <c r="D154" i="1"/>
  <c r="B154" i="1"/>
  <c r="C159" i="1"/>
  <c r="D159" i="1"/>
  <c r="B159" i="1"/>
  <c r="C160" i="1"/>
  <c r="B160" i="1"/>
  <c r="C167" i="1"/>
  <c r="D167" i="1"/>
  <c r="B167" i="1"/>
  <c r="C168" i="1"/>
  <c r="D168" i="1"/>
  <c r="B168" i="1"/>
  <c r="C169" i="1"/>
  <c r="D169" i="1"/>
  <c r="B169" i="1"/>
  <c r="C171" i="1"/>
  <c r="D171" i="1"/>
  <c r="B171" i="1"/>
  <c r="C170" i="1"/>
  <c r="D170" i="1"/>
  <c r="B170" i="1"/>
  <c r="C173" i="1"/>
  <c r="D173" i="1"/>
  <c r="B173" i="1"/>
  <c r="C176" i="1"/>
  <c r="D176" i="1"/>
  <c r="B176" i="1"/>
  <c r="C189" i="1"/>
  <c r="D189" i="1"/>
  <c r="B189" i="1"/>
  <c r="C190" i="1"/>
  <c r="D190" i="1"/>
  <c r="B190" i="1"/>
  <c r="C191" i="1"/>
  <c r="D191" i="1"/>
  <c r="B191" i="1"/>
  <c r="C192" i="1"/>
  <c r="D192" i="1"/>
  <c r="B192" i="1"/>
  <c r="C193" i="1"/>
  <c r="D193" i="1"/>
  <c r="B193" i="1"/>
  <c r="C197" i="1"/>
  <c r="D197" i="1"/>
  <c r="B197" i="1"/>
  <c r="C200" i="1"/>
  <c r="D200" i="1"/>
  <c r="B200" i="1"/>
  <c r="C201" i="1"/>
  <c r="D201" i="1"/>
  <c r="B201" i="1"/>
  <c r="C202" i="1"/>
  <c r="D202" i="1"/>
  <c r="B202" i="1"/>
  <c r="C203" i="1"/>
  <c r="D203" i="1"/>
  <c r="B203" i="1"/>
  <c r="C196" i="1"/>
  <c r="B196" i="1"/>
  <c r="C188" i="1"/>
  <c r="B188" i="1"/>
  <c r="C185" i="1"/>
  <c r="B185" i="1"/>
  <c r="C180" i="1"/>
  <c r="B180" i="1"/>
  <c r="C166" i="1"/>
  <c r="B166" i="1"/>
  <c r="C163" i="1"/>
  <c r="B163" i="1"/>
  <c r="C136" i="1"/>
  <c r="B136" i="1"/>
  <c r="C125" i="1"/>
  <c r="B125" i="1"/>
  <c r="C120" i="1"/>
  <c r="B120" i="1"/>
  <c r="C98" i="1"/>
  <c r="B98" i="1"/>
  <c r="C81" i="1"/>
  <c r="B81" i="1"/>
  <c r="C55" i="1"/>
  <c r="B55" i="1"/>
  <c r="C20" i="1"/>
  <c r="B20" i="1"/>
  <c r="D196" i="1"/>
  <c r="D188" i="1"/>
  <c r="D185" i="1"/>
  <c r="D180" i="1"/>
  <c r="D166" i="1"/>
  <c r="D163" i="1"/>
  <c r="D136" i="1"/>
  <c r="D125" i="1"/>
  <c r="D120" i="1"/>
  <c r="D98" i="1"/>
  <c r="D81" i="1"/>
  <c r="D55" i="1"/>
  <c r="D20" i="1"/>
</calcChain>
</file>

<file path=xl/sharedStrings.xml><?xml version="1.0" encoding="utf-8"?>
<sst xmlns="http://schemas.openxmlformats.org/spreadsheetml/2006/main" count="622" uniqueCount="475">
  <si>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</si>
  <si>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</si>
  <si>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</si>
  <si>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</si>
  <si>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</si>
  <si>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</si>
  <si>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</si>
  <si>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</si>
  <si>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</si>
  <si>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</si>
  <si>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</si>
  <si>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</si>
  <si>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</si>
  <si>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</si>
  <si>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</si>
  <si>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</si>
  <si>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</si>
  <si>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</si>
  <si>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</si>
  <si>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</si>
  <si>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</si>
  <si>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</si>
  <si>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</si>
  <si>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</si>
  <si>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</si>
  <si>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</si>
  <si>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</si>
  <si>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</si>
  <si>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</si>
  <si>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</si>
  <si>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</si>
  <si>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</si>
  <si>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</si>
  <si>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</si>
  <si>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</si>
  <si>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</si>
  <si>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</si>
  <si>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</si>
  <si>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</si>
  <si>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</si>
  <si>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</si>
  <si>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</si>
  <si>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</si>
  <si>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</si>
  <si>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</si>
  <si>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</si>
  <si>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</si>
  <si>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</si>
  <si>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</si>
  <si>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</si>
  <si>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</si>
  <si>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</si>
  <si>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</si>
  <si>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</si>
  <si>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</si>
  <si>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</si>
  <si>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</si>
  <si>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</si>
  <si>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</si>
  <si>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</si>
  <si>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</si>
  <si>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</si>
  <si>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</si>
  <si>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</si>
  <si>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</si>
  <si>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</si>
  <si>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</si>
  <si>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</si>
  <si>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</si>
  <si>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</si>
  <si>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</si>
  <si>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</si>
  <si>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</si>
  <si>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</si>
  <si>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</si>
  <si>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</si>
  <si>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</si>
  <si>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</si>
  <si>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</si>
  <si>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</si>
  <si>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</si>
  <si>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</si>
  <si>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</si>
  <si>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</si>
  <si>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</si>
  <si>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</si>
  <si>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</si>
  <si>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</si>
  <si>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</si>
  <si>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</si>
  <si>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</si>
  <si>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</si>
  <si>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</si>
  <si>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</si>
  <si>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</si>
  <si>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</si>
  <si>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</si>
  <si>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</si>
  <si>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</si>
  <si>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</si>
  <si>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</si>
  <si>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</si>
  <si>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</si>
  <si>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</si>
  <si>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</si>
  <si>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</si>
  <si>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</si>
  <si>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</si>
  <si>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</si>
  <si>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</si>
  <si>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</si>
  <si>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</si>
  <si>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</si>
  <si>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</si>
  <si>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</si>
  <si>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</si>
  <si>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</si>
  <si>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</si>
  <si>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</si>
  <si>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</si>
  <si>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</si>
  <si>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</si>
  <si>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</si>
  <si>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</si>
  <si>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</si>
  <si>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</si>
  <si>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</si>
  <si>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</si>
  <si>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</si>
  <si>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</si>
  <si>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</si>
  <si>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</si>
  <si>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</si>
  <si>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</si>
  <si>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</si>
  <si>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</si>
  <si>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</si>
  <si>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</si>
  <si>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</si>
  <si>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</si>
  <si>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</si>
  <si>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</si>
  <si>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</si>
  <si>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</si>
  <si>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</si>
  <si>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</si>
  <si>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</si>
  <si>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</si>
  <si>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</si>
  <si>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</si>
  <si>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</si>
  <si>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</si>
  <si>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</si>
  <si>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</si>
  <si>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</si>
  <si>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</si>
  <si>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</si>
  <si>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</si>
  <si>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</si>
  <si>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</si>
  <si>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</si>
  <si>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</si>
  <si>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</si>
  <si>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</si>
  <si>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</si>
  <si>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</si>
  <si>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</si>
  <si>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</si>
  <si>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</si>
  <si>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</si>
  <si>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</si>
  <si>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</si>
  <si>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</si>
  <si>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</si>
  <si>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</si>
  <si>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</si>
  <si>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</si>
  <si>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</si>
  <si>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</si>
  <si>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</si>
  <si>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</si>
  <si>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</si>
  <si>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</si>
  <si>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</si>
  <si>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</si>
  <si>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</si>
  <si>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</si>
  <si>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</si>
  <si>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</si>
  <si>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</si>
  <si>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</si>
  <si>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</si>
  <si>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</si>
  <si>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</si>
  <si>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</si>
  <si>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</si>
  <si>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</si>
  <si>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</si>
  <si>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</si>
  <si>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</si>
  <si>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</si>
  <si>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</si>
  <si>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</si>
  <si>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</si>
  <si>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</si>
  <si>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</si>
  <si>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</si>
  <si>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</si>
  <si>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</si>
  <si>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</si>
  <si>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</si>
  <si>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</si>
  <si>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</si>
  <si>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</si>
  <si>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</si>
  <si>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</si>
  <si>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</si>
  <si>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</si>
  <si>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</si>
  <si>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</si>
  <si>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</si>
  <si>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</si>
  <si>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</si>
  <si>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</si>
  <si>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</si>
  <si>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</si>
  <si>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</si>
  <si>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</si>
  <si>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</si>
  <si>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</si>
  <si>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</si>
  <si>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</si>
  <si>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</si>
  <si>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</si>
  <si>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</si>
  <si>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</si>
  <si>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</si>
  <si>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</si>
  <si>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</si>
  <si>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</si>
  <si>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</si>
  <si>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</si>
  <si>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</si>
  <si>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</si>
  <si>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</si>
  <si>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</si>
  <si>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</si>
  <si>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</si>
  <si>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</si>
  <si>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</si>
  <si>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</si>
  <si>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</si>
  <si>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</si>
  <si>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</si>
  <si>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</si>
  <si>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</si>
  <si>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</si>
  <si>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</si>
  <si>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</si>
  <si>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</si>
  <si>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</si>
  <si>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</si>
  <si>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</si>
  <si>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</si>
  <si>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</si>
  <si>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</si>
  <si>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</si>
  <si>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</si>
  <si>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</si>
  <si>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</si>
  <si>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</si>
  <si>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</si>
  <si>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</si>
  <si>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</si>
  <si>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</si>
  <si>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</si>
  <si>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</si>
  <si>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</si>
  <si>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</si>
  <si>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</si>
  <si>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</si>
  <si>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</si>
  <si>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</si>
  <si>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</si>
  <si>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</si>
  <si>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</si>
  <si>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</si>
  <si>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</si>
  <si>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</si>
  <si>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</si>
  <si>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</si>
  <si>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</si>
  <si>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</si>
  <si>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</si>
  <si>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</si>
  <si>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</si>
  <si>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</si>
  <si>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</si>
  <si>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</si>
  <si>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</si>
  <si>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</si>
  <si>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</si>
  <si>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</si>
  <si>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</si>
  <si>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</si>
  <si>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</si>
  <si>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</si>
  <si>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</si>
  <si>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</si>
  <si>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</si>
  <si>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</si>
  <si>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</si>
  <si>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</si>
  <si>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</si>
  <si>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</si>
  <si>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</si>
  <si>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</si>
  <si>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</si>
  <si>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</si>
  <si>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</si>
  <si>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</si>
  <si>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</si>
  <si>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</si>
  <si>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</si>
  <si>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</si>
  <si>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</si>
  <si>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</si>
  <si>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</si>
  <si>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</si>
  <si>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</si>
  <si>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</si>
  <si>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</si>
  <si>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</si>
  <si>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</si>
  <si>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</si>
  <si>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</si>
  <si>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</si>
  <si>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</si>
  <si>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</si>
  <si>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</si>
  <si>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</si>
  <si>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</si>
  <si>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</si>
  <si>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</si>
  <si>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</si>
  <si>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</si>
  <si>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</si>
  <si>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</si>
  <si>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</si>
  <si>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</si>
  <si>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</si>
  <si>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</si>
  <si>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</si>
  <si>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</si>
  <si>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</si>
  <si>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</si>
  <si>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</si>
  <si>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</si>
  <si>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</si>
  <si>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</si>
  <si>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</si>
  <si>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</si>
  <si>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</si>
  <si>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</si>
  <si>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</si>
  <si>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</si>
  <si>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</si>
  <si>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</si>
  <si>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</si>
  <si>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</si>
  <si>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</si>
  <si>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</si>
  <si>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</si>
  <si>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</si>
  <si>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</si>
  <si>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</si>
  <si>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</si>
  <si>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</si>
  <si>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</si>
  <si>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</si>
  <si>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</si>
  <si>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</si>
  <si>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</si>
  <si>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</si>
  <si>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</si>
  <si>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</si>
  <si>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</si>
  <si>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</si>
  <si>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</si>
  <si>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</si>
  <si>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</si>
  <si>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</si>
  <si>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</si>
  <si>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</si>
  <si>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</si>
  <si>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</si>
  <si>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</si>
  <si>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</si>
  <si>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</si>
  <si>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</si>
  <si>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</si>
  <si>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</si>
  <si>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</si>
  <si>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</si>
  <si>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</si>
  <si>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</si>
  <si>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</si>
  <si>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</si>
  <si>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</si>
  <si>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</si>
  <si>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</si>
  <si>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</si>
  <si>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</si>
  <si>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</si>
  <si>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</si>
  <si>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</si>
  <si>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</si>
  <si>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</si>
  <si>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</si>
  <si>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</si>
  <si>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</si>
  <si>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</si>
  <si>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</si>
  <si>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</si>
  <si>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</si>
  <si>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</si>
  <si>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</si>
  <si>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</si>
  <si>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</si>
  <si>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</si>
  <si>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</si>
  <si>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</si>
  <si>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</si>
  <si>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</si>
  <si>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</si>
  <si>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</si>
  <si>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</si>
  <si>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</si>
  <si>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</si>
  <si>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</si>
  <si>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</si>
  <si>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</si>
  <si>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</si>
  <si>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</si>
  <si>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</si>
  <si>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</si>
  <si>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</si>
  <si>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</si>
  <si>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</si>
  <si>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</si>
  <si>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</si>
  <si>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 xml:space="preserve">                   Додаток № 3</t>
  </si>
  <si>
    <t>Утримання та розвиток автомобільних доріг та дорожньої інфраструктури за рахунок субвенції з державного бюджету</t>
  </si>
  <si>
    <t>1217462</t>
  </si>
  <si>
    <t>до    рішення    Сумської    міської     ради</t>
  </si>
  <si>
    <t xml:space="preserve">«Про     внесення      змін      до     рішення </t>
  </si>
  <si>
    <t xml:space="preserve">Сумської               міської                    ради  </t>
  </si>
  <si>
    <t xml:space="preserve">від  24   грудня  2019   року  №  6248 - МР           </t>
  </si>
  <si>
    <t xml:space="preserve">територіальної   громади   на   2020   рік»  </t>
  </si>
  <si>
    <t>Сумський міський голова</t>
  </si>
  <si>
    <t>О.М. Лисенко</t>
  </si>
  <si>
    <t>Виконавець: Липова С.А.</t>
  </si>
  <si>
    <t xml:space="preserve"> __________________</t>
  </si>
  <si>
    <t xml:space="preserve">територіальної   громади   на   2020   рік» </t>
  </si>
  <si>
    <t>(зі змінами)»</t>
  </si>
  <si>
    <t xml:space="preserve">                        Додаток № 2</t>
  </si>
  <si>
    <t xml:space="preserve">«Про бюджет Сумської міської об'єднаної 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</si>
  <si>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</si>
  <si>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</si>
  <si>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</si>
  <si>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</si>
  <si>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</si>
  <si>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r>
      <t xml:space="preserve">від </t>
    </r>
    <r>
      <rPr>
        <sz val="20"/>
        <color theme="0"/>
        <rFont val="Times New Roman"/>
        <family val="1"/>
        <charset val="204"/>
      </rPr>
      <t xml:space="preserve"> 03 квітня</t>
    </r>
    <r>
      <rPr>
        <sz val="20"/>
        <rFont val="Times New Roman"/>
        <family val="1"/>
        <charset val="204"/>
      </rPr>
      <t xml:space="preserve">  2020   року  № </t>
    </r>
    <r>
      <rPr>
        <sz val="20"/>
        <color theme="0"/>
        <rFont val="Times New Roman"/>
        <family val="1"/>
        <charset val="204"/>
      </rPr>
      <t>0000</t>
    </r>
    <r>
      <rPr>
        <sz val="20"/>
        <rFont val="Times New Roman"/>
        <family val="1"/>
        <charset val="204"/>
      </rPr>
      <t xml:space="preserve"> -  МР</t>
    </r>
  </si>
  <si>
    <t xml:space="preserve">                        Додаток № 3</t>
  </si>
  <si>
    <t>1218110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</si>
</sst>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9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sz val="20"/>
      <color theme="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63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1" fontId="21" fillId="0" borderId="0" xfId="0" applyNumberFormat="1" applyFont="1" applyFill="1" applyBorder="1" applyAlignment="1">
      <alignment vertical="center" textRotation="180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34" fillId="0" borderId="0" xfId="0" applyNumberFormat="1" applyFont="1" applyFill="1" applyBorder="1" applyAlignment="1" applyProtection="1">
      <alignment horizontal="left" wrapText="1"/>
    </xf>
    <xf numFmtId="3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vertic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4" fontId="23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 applyProtection="1"/>
    <xf numFmtId="3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/>
    <xf numFmtId="4" fontId="46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0" fontId="47" fillId="0" borderId="0" xfId="0" applyFont="1" applyFill="1" applyAlignment="1">
      <alignment vertical="center" wrapText="1"/>
    </xf>
    <xf numFmtId="49" fontId="44" fillId="0" borderId="0" xfId="0" applyNumberFormat="1" applyFont="1" applyFill="1" applyAlignment="1" applyProtection="1">
      <alignment vertical="center"/>
    </xf>
    <xf numFmtId="0" fontId="45" fillId="0" borderId="0" xfId="0" applyNumberFormat="1" applyFont="1" applyFill="1" applyAlignment="1" applyProtection="1">
      <alignment vertical="top"/>
    </xf>
    <xf numFmtId="0" fontId="47" fillId="0" borderId="0" xfId="0" applyNumberFormat="1" applyFont="1" applyFill="1" applyAlignment="1" applyProtection="1"/>
    <xf numFmtId="3" fontId="47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/>
    <xf numFmtId="3" fontId="47" fillId="0" borderId="0" xfId="0" applyNumberFormat="1" applyFont="1" applyFill="1" applyBorder="1" applyAlignment="1" applyProtection="1">
      <alignment horizontal="left"/>
    </xf>
    <xf numFmtId="3" fontId="47" fillId="0" borderId="0" xfId="0" applyNumberFormat="1" applyFont="1" applyFill="1" applyBorder="1" applyAlignment="1" applyProtection="1">
      <alignment horizontal="left" wrapText="1"/>
    </xf>
    <xf numFmtId="3" fontId="47" fillId="0" borderId="0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1" fontId="23" fillId="0" borderId="7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0" fontId="45" fillId="0" borderId="0" xfId="0" applyNumberFormat="1" applyFont="1" applyFill="1" applyAlignment="1" applyProtection="1">
      <alignment horizontal="center" vertical="top"/>
    </xf>
    <xf numFmtId="3" fontId="40" fillId="0" borderId="0" xfId="0" applyNumberFormat="1" applyFont="1" applyFill="1" applyBorder="1" applyAlignment="1">
      <alignment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I704"/>
  <sheetViews>
    <sheetView showGridLines="0" showZeros="0" tabSelected="1" view="pageBreakPreview" topLeftCell="A151" zoomScale="55" zoomScaleNormal="71" zoomScaleSheetLayoutView="55" workbookViewId="0">
      <selection activeCell="F159" sqref="F159"/>
    </sheetView>
  </sheetViews>
  <sheetFormatPr defaultColWidth="9.1640625" defaultRowHeight="15" x14ac:dyDescent="0.25"/>
  <cols>
    <col min="1" max="1" width="16.6640625" style="92" customWidth="1"/>
    <col min="2" max="2" width="17.5" style="18" customWidth="1"/>
    <col min="3" max="3" width="18" style="18" customWidth="1"/>
    <col min="4" max="4" width="62" style="29" customWidth="1"/>
    <col min="5" max="5" width="21.33203125" style="59" customWidth="1"/>
    <col min="6" max="6" width="20.83203125" style="59" customWidth="1"/>
    <col min="7" max="7" width="21" style="59" customWidth="1"/>
    <col min="8" max="8" width="18.33203125" style="59" customWidth="1"/>
    <col min="9" max="9" width="18" style="59" customWidth="1"/>
    <col min="10" max="10" width="20.6640625" style="59" customWidth="1"/>
    <col min="11" max="11" width="20" style="59" customWidth="1"/>
    <col min="12" max="12" width="20.1640625" style="59" customWidth="1"/>
    <col min="13" max="13" width="18.33203125" style="59" customWidth="1"/>
    <col min="14" max="14" width="19.83203125" style="59" customWidth="1"/>
    <col min="15" max="15" width="18.83203125" style="59" customWidth="1"/>
    <col min="16" max="16" width="21.5" style="81" customWidth="1"/>
    <col min="17" max="529" width="9.1640625" style="34"/>
    <col min="530" max="16384" width="9.1640625" style="20"/>
  </cols>
  <sheetData>
    <row r="1" spans="1:529" ht="26.25" customHeight="1" x14ac:dyDescent="0.25">
      <c r="K1" s="132" t="s">
        <v>451</v>
      </c>
      <c r="L1" s="151" t="s">
        <v>465</v>
      </c>
      <c r="M1" s="151"/>
      <c r="N1" s="151"/>
      <c r="O1" s="151"/>
      <c r="P1" s="123"/>
    </row>
    <row r="2" spans="1:529" ht="26.25" customHeight="1" x14ac:dyDescent="0.25">
      <c r="K2" s="132"/>
      <c r="L2" s="123" t="s">
        <v>454</v>
      </c>
      <c r="M2" s="123"/>
      <c r="N2" s="123"/>
      <c r="O2" s="123"/>
      <c r="P2" s="94"/>
    </row>
    <row r="3" spans="1:529" ht="26.25" customHeight="1" x14ac:dyDescent="0.25">
      <c r="K3" s="132"/>
      <c r="L3" s="153" t="s">
        <v>455</v>
      </c>
      <c r="M3" s="153"/>
      <c r="N3" s="153"/>
      <c r="O3" s="153"/>
      <c r="P3" s="153"/>
    </row>
    <row r="4" spans="1:529" ht="26.25" customHeight="1" x14ac:dyDescent="0.25">
      <c r="K4" s="132"/>
      <c r="L4" s="152" t="s">
        <v>456</v>
      </c>
      <c r="M4" s="152"/>
      <c r="N4" s="152"/>
      <c r="O4" s="152"/>
      <c r="P4" s="152"/>
    </row>
    <row r="5" spans="1:529" ht="26.25" customHeight="1" x14ac:dyDescent="0.25">
      <c r="K5" s="132"/>
      <c r="L5" s="123" t="s">
        <v>457</v>
      </c>
      <c r="M5" s="123"/>
      <c r="N5" s="123"/>
      <c r="O5" s="123"/>
      <c r="P5" s="123"/>
    </row>
    <row r="6" spans="1:529" ht="23.25" customHeight="1" x14ac:dyDescent="0.25">
      <c r="K6" s="135"/>
      <c r="L6" s="123" t="s">
        <v>466</v>
      </c>
      <c r="M6" s="123"/>
      <c r="N6" s="123"/>
      <c r="O6" s="123"/>
      <c r="P6" s="123"/>
    </row>
    <row r="7" spans="1:529" ht="26.25" customHeight="1" x14ac:dyDescent="0.25">
      <c r="K7" s="115"/>
      <c r="L7" s="123" t="s">
        <v>463</v>
      </c>
      <c r="M7" s="123"/>
      <c r="N7" s="123"/>
      <c r="O7" s="123"/>
      <c r="P7" s="123"/>
      <c r="Q7" s="115"/>
    </row>
    <row r="8" spans="1:529" ht="26.25" customHeight="1" x14ac:dyDescent="0.25">
      <c r="K8" s="149"/>
      <c r="L8" s="149" t="s">
        <v>464</v>
      </c>
      <c r="M8" s="149"/>
      <c r="N8" s="149"/>
      <c r="O8" s="149"/>
      <c r="P8" s="149"/>
      <c r="Q8" s="149"/>
    </row>
    <row r="9" spans="1:529" ht="26.25" x14ac:dyDescent="0.4">
      <c r="L9" s="113" t="s">
        <v>472</v>
      </c>
      <c r="M9" s="113"/>
      <c r="N9" s="113"/>
      <c r="O9" s="113"/>
      <c r="P9" s="113"/>
    </row>
    <row r="10" spans="1:529" ht="26.25" x14ac:dyDescent="0.4">
      <c r="L10" s="113"/>
      <c r="M10" s="113"/>
      <c r="N10" s="113"/>
      <c r="O10" s="113"/>
      <c r="P10" s="113"/>
    </row>
    <row r="11" spans="1:529" s="56" customFormat="1" ht="59.25" customHeight="1" x14ac:dyDescent="0.3">
      <c r="A11" s="156" t="s">
        <v>418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</row>
    <row r="12" spans="1:529" s="56" customFormat="1" ht="42" customHeight="1" x14ac:dyDescent="0.3">
      <c r="A12" s="136" t="s">
        <v>424</v>
      </c>
      <c r="B12" s="136"/>
      <c r="C12" s="120"/>
      <c r="D12" s="120"/>
      <c r="E12" s="120"/>
      <c r="F12" s="120"/>
      <c r="G12" s="120"/>
      <c r="H12" s="120"/>
      <c r="I12" s="120"/>
      <c r="J12" s="120"/>
      <c r="K12" s="97"/>
      <c r="L12" s="97"/>
      <c r="M12" s="97"/>
      <c r="N12" s="97"/>
      <c r="O12" s="97"/>
      <c r="P12" s="97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</row>
    <row r="13" spans="1:529" s="56" customFormat="1" ht="31.5" customHeight="1" x14ac:dyDescent="0.3">
      <c r="A13" s="137" t="s">
        <v>446</v>
      </c>
      <c r="B13" s="137"/>
      <c r="C13" s="120"/>
      <c r="D13" s="120"/>
      <c r="E13" s="120"/>
      <c r="F13" s="120"/>
      <c r="G13" s="120"/>
      <c r="H13" s="120"/>
      <c r="I13" s="120"/>
      <c r="J13" s="120"/>
      <c r="K13" s="97"/>
      <c r="L13" s="97"/>
      <c r="M13" s="97"/>
      <c r="N13" s="97"/>
      <c r="O13" s="97"/>
      <c r="P13" s="97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</row>
    <row r="14" spans="1:529" s="58" customFormat="1" ht="14.25" customHeight="1" x14ac:dyDescent="0.3">
      <c r="A14" s="86"/>
      <c r="B14" s="63"/>
      <c r="C14" s="63"/>
      <c r="D14" s="19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122" t="s">
        <v>420</v>
      </c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</row>
    <row r="15" spans="1:529" s="21" customFormat="1" ht="34.5" customHeight="1" x14ac:dyDescent="0.2">
      <c r="A15" s="157" t="s">
        <v>397</v>
      </c>
      <c r="B15" s="155" t="s">
        <v>398</v>
      </c>
      <c r="C15" s="155" t="s">
        <v>384</v>
      </c>
      <c r="D15" s="155" t="s">
        <v>399</v>
      </c>
      <c r="E15" s="155" t="s">
        <v>265</v>
      </c>
      <c r="F15" s="155"/>
      <c r="G15" s="155"/>
      <c r="H15" s="155"/>
      <c r="I15" s="155"/>
      <c r="J15" s="155" t="s">
        <v>266</v>
      </c>
      <c r="K15" s="155"/>
      <c r="L15" s="155"/>
      <c r="M15" s="155"/>
      <c r="N15" s="155"/>
      <c r="O15" s="155"/>
      <c r="P15" s="155" t="s">
        <v>267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</row>
    <row r="16" spans="1:529" s="21" customFormat="1" ht="19.5" customHeight="1" x14ac:dyDescent="0.2">
      <c r="A16" s="157"/>
      <c r="B16" s="155"/>
      <c r="C16" s="155"/>
      <c r="D16" s="155"/>
      <c r="E16" s="155" t="s">
        <v>385</v>
      </c>
      <c r="F16" s="155" t="s">
        <v>268</v>
      </c>
      <c r="G16" s="155" t="s">
        <v>269</v>
      </c>
      <c r="H16" s="155"/>
      <c r="I16" s="155" t="s">
        <v>270</v>
      </c>
      <c r="J16" s="155" t="s">
        <v>385</v>
      </c>
      <c r="K16" s="155" t="s">
        <v>386</v>
      </c>
      <c r="L16" s="155" t="s">
        <v>268</v>
      </c>
      <c r="M16" s="155" t="s">
        <v>269</v>
      </c>
      <c r="N16" s="155"/>
      <c r="O16" s="155" t="s">
        <v>270</v>
      </c>
      <c r="P16" s="15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</row>
    <row r="17" spans="1:529" s="21" customFormat="1" ht="54" customHeight="1" x14ac:dyDescent="0.2">
      <c r="A17" s="157"/>
      <c r="B17" s="155"/>
      <c r="C17" s="155"/>
      <c r="D17" s="155"/>
      <c r="E17" s="155"/>
      <c r="F17" s="155"/>
      <c r="G17" s="121" t="s">
        <v>271</v>
      </c>
      <c r="H17" s="121" t="s">
        <v>272</v>
      </c>
      <c r="I17" s="155"/>
      <c r="J17" s="155"/>
      <c r="K17" s="155"/>
      <c r="L17" s="155"/>
      <c r="M17" s="79" t="s">
        <v>271</v>
      </c>
      <c r="N17" s="79" t="s">
        <v>272</v>
      </c>
      <c r="O17" s="155"/>
      <c r="P17" s="15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</row>
    <row r="18" spans="1:529" s="31" customFormat="1" ht="19.5" customHeight="1" x14ac:dyDescent="0.2">
      <c r="A18" s="87" t="s">
        <v>180</v>
      </c>
      <c r="B18" s="65"/>
      <c r="C18" s="65"/>
      <c r="D18" s="32" t="s">
        <v>48</v>
      </c>
      <c r="E18" s="66">
        <f>E19</f>
        <v>201880503</v>
      </c>
      <c r="F18" s="66">
        <f t="shared" ref="F18:J18" si="0">F19</f>
        <v>173880503</v>
      </c>
      <c r="G18" s="66">
        <f t="shared" si="0"/>
        <v>93458455</v>
      </c>
      <c r="H18" s="66">
        <f t="shared" si="0"/>
        <v>5289300</v>
      </c>
      <c r="I18" s="66">
        <f t="shared" si="0"/>
        <v>28000000</v>
      </c>
      <c r="J18" s="66">
        <f t="shared" si="0"/>
        <v>34689593.200000003</v>
      </c>
      <c r="K18" s="66">
        <f t="shared" ref="K18" si="1">K19</f>
        <v>34172750</v>
      </c>
      <c r="L18" s="66">
        <f t="shared" ref="L18" si="2">L19</f>
        <v>516843.2</v>
      </c>
      <c r="M18" s="66">
        <f t="shared" ref="M18" si="3">M19</f>
        <v>91105</v>
      </c>
      <c r="N18" s="66">
        <f t="shared" ref="N18" si="4">N19</f>
        <v>52450</v>
      </c>
      <c r="O18" s="66">
        <f t="shared" ref="O18:P18" si="5">O19</f>
        <v>34172750</v>
      </c>
      <c r="P18" s="66">
        <f t="shared" si="5"/>
        <v>236570096.19999999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</row>
    <row r="19" spans="1:529" s="40" customFormat="1" ht="19.5" customHeight="1" x14ac:dyDescent="0.25">
      <c r="A19" s="77" t="s">
        <v>181</v>
      </c>
      <c r="B19" s="67"/>
      <c r="C19" s="67"/>
      <c r="D19" s="33" t="s">
        <v>48</v>
      </c>
      <c r="E19" s="68">
        <f>E20+E21+E22+E23+E24+E25+E26+E27+E28+E29+E30+E31+E32+E33+E34+E35+E36+E37+E38+E41+E42+E43+E44+E45+E46+E47+E48+E49+E50+E51+E39+E40</f>
        <v>201880503</v>
      </c>
      <c r="F19" s="68">
        <f t="shared" ref="F19:P19" si="6">F20+F21+F22+F23+F24+F25+F26+F27+F28+F29+F30+F31+F32+F33+F34+F35+F36+F37+F38+F41+F42+F43+F44+F45+F46+F47+F48+F49+F50+F51+F39+F40</f>
        <v>173880503</v>
      </c>
      <c r="G19" s="68">
        <f t="shared" si="6"/>
        <v>93458455</v>
      </c>
      <c r="H19" s="68">
        <f t="shared" si="6"/>
        <v>5289300</v>
      </c>
      <c r="I19" s="68">
        <f t="shared" si="6"/>
        <v>28000000</v>
      </c>
      <c r="J19" s="68">
        <f t="shared" si="6"/>
        <v>34689593.200000003</v>
      </c>
      <c r="K19" s="68">
        <f t="shared" si="6"/>
        <v>34172750</v>
      </c>
      <c r="L19" s="68">
        <f t="shared" si="6"/>
        <v>516843.2</v>
      </c>
      <c r="M19" s="68">
        <f t="shared" si="6"/>
        <v>91105</v>
      </c>
      <c r="N19" s="68">
        <f t="shared" si="6"/>
        <v>52450</v>
      </c>
      <c r="O19" s="68">
        <f t="shared" si="6"/>
        <v>34172750</v>
      </c>
      <c r="P19" s="68">
        <f t="shared" si="6"/>
        <v>236570096.19999999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</row>
    <row r="20" spans="1:529" s="23" customFormat="1" ht="46.5" customHeight="1" x14ac:dyDescent="0.25">
      <c r="A20" s="43" t="s">
        <v>182</v>
      </c>
      <c r="B20" s="44" t="str">
        <f>'дод 3'!A20</f>
        <v>0160</v>
      </c>
      <c r="C20" s="44" t="str">
        <f>'дод 3'!B20</f>
        <v>0111</v>
      </c>
      <c r="D20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0" s="69">
        <f t="shared" ref="E20:E51" si="7">F20+I20</f>
        <v>100282882</v>
      </c>
      <c r="F20" s="69">
        <f>105070300+350000+405400-4697800+243482-1103300+14800</f>
        <v>100282882</v>
      </c>
      <c r="G20" s="69">
        <f>77144000-3850700+199575</f>
        <v>73492875</v>
      </c>
      <c r="H20" s="69">
        <v>2750400</v>
      </c>
      <c r="I20" s="69"/>
      <c r="J20" s="69">
        <f>L20+O20</f>
        <v>1230200</v>
      </c>
      <c r="K20" s="69">
        <v>1230200</v>
      </c>
      <c r="L20" s="69"/>
      <c r="M20" s="69"/>
      <c r="N20" s="69"/>
      <c r="O20" s="69">
        <v>1230200</v>
      </c>
      <c r="P20" s="69">
        <f t="shared" ref="P20:P51" si="8">E20+J20</f>
        <v>101513082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</row>
    <row r="21" spans="1:529" s="23" customFormat="1" ht="21.75" customHeight="1" x14ac:dyDescent="0.25">
      <c r="A21" s="43" t="s">
        <v>283</v>
      </c>
      <c r="B21" s="44" t="str">
        <f>'дод 3'!A21</f>
        <v>0180</v>
      </c>
      <c r="C21" s="44" t="str">
        <f>'дод 3'!B21</f>
        <v>0133</v>
      </c>
      <c r="D21" s="24" t="str">
        <f>'дод 3'!C21</f>
        <v>Інша діяльність у сфері державного управління</v>
      </c>
      <c r="E21" s="69">
        <f t="shared" si="7"/>
        <v>310000</v>
      </c>
      <c r="F21" s="69">
        <v>310000</v>
      </c>
      <c r="G21" s="69"/>
      <c r="H21" s="69"/>
      <c r="I21" s="69"/>
      <c r="J21" s="69">
        <f t="shared" ref="J21:J51" si="9">L21+O21</f>
        <v>0</v>
      </c>
      <c r="K21" s="69"/>
      <c r="L21" s="69"/>
      <c r="M21" s="69"/>
      <c r="N21" s="69"/>
      <c r="O21" s="69"/>
      <c r="P21" s="69">
        <f t="shared" si="8"/>
        <v>310000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</row>
    <row r="22" spans="1:529" s="23" customFormat="1" ht="43.5" customHeight="1" x14ac:dyDescent="0.25">
      <c r="A22" s="43" t="s">
        <v>299</v>
      </c>
      <c r="B22" s="44" t="str">
        <f>'дод 3'!A55</f>
        <v>3033</v>
      </c>
      <c r="C22" s="44" t="str">
        <f>'дод 3'!B55</f>
        <v>1070</v>
      </c>
      <c r="D22" s="24" t="str">
        <f>'дод 3'!C55</f>
        <v>Компенсаційні виплати на пільговий проїзд автомобільним транспортом окремим категоріям громадян</v>
      </c>
      <c r="E22" s="69">
        <f t="shared" si="7"/>
        <v>124200</v>
      </c>
      <c r="F22" s="69">
        <v>124200</v>
      </c>
      <c r="G22" s="69"/>
      <c r="H22" s="69"/>
      <c r="I22" s="69"/>
      <c r="J22" s="69">
        <f t="shared" si="9"/>
        <v>0</v>
      </c>
      <c r="K22" s="69"/>
      <c r="L22" s="69"/>
      <c r="M22" s="69"/>
      <c r="N22" s="69"/>
      <c r="O22" s="69"/>
      <c r="P22" s="69">
        <f t="shared" si="8"/>
        <v>124200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</row>
    <row r="23" spans="1:529" s="23" customFormat="1" ht="36.75" customHeight="1" x14ac:dyDescent="0.25">
      <c r="A23" s="43" t="s">
        <v>183</v>
      </c>
      <c r="B23" s="44" t="str">
        <f>'дод 3'!A57</f>
        <v>3036</v>
      </c>
      <c r="C23" s="44" t="str">
        <f>'дод 3'!B57</f>
        <v>1070</v>
      </c>
      <c r="D23" s="24" t="str">
        <f>'дод 3'!C57</f>
        <v>Компенсаційні виплати на пільговий проїзд електротранспортом окремим категоріям громадян</v>
      </c>
      <c r="E23" s="69">
        <f t="shared" si="7"/>
        <v>270325</v>
      </c>
      <c r="F23" s="69">
        <v>270325</v>
      </c>
      <c r="G23" s="69"/>
      <c r="H23" s="69"/>
      <c r="I23" s="69"/>
      <c r="J23" s="69">
        <f t="shared" si="9"/>
        <v>0</v>
      </c>
      <c r="K23" s="69"/>
      <c r="L23" s="69"/>
      <c r="M23" s="69"/>
      <c r="N23" s="69"/>
      <c r="O23" s="69"/>
      <c r="P23" s="69">
        <f t="shared" si="8"/>
        <v>270325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</row>
    <row r="24" spans="1:529" s="23" customFormat="1" ht="36" customHeight="1" x14ac:dyDescent="0.25">
      <c r="A24" s="43" t="s">
        <v>184</v>
      </c>
      <c r="B24" s="44" t="str">
        <f>'дод 3'!A63</f>
        <v>3121</v>
      </c>
      <c r="C24" s="44" t="str">
        <f>'дод 3'!B63</f>
        <v>1040</v>
      </c>
      <c r="D24" s="24" t="str">
        <f>'дод 3'!C63</f>
        <v>Утримання та забезпечення діяльності центрів соціальних служб для сім’ї, дітей та молоді</v>
      </c>
      <c r="E24" s="69">
        <f t="shared" si="7"/>
        <v>2529735</v>
      </c>
      <c r="F24" s="69">
        <f>2487735+42000</f>
        <v>2529735</v>
      </c>
      <c r="G24" s="69">
        <v>1883250</v>
      </c>
      <c r="H24" s="69">
        <v>50170</v>
      </c>
      <c r="I24" s="69"/>
      <c r="J24" s="69">
        <f t="shared" si="9"/>
        <v>0</v>
      </c>
      <c r="K24" s="69"/>
      <c r="L24" s="69"/>
      <c r="M24" s="69"/>
      <c r="N24" s="69"/>
      <c r="O24" s="69"/>
      <c r="P24" s="69">
        <f t="shared" si="8"/>
        <v>2529735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</row>
    <row r="25" spans="1:529" s="23" customFormat="1" ht="48.75" customHeight="1" x14ac:dyDescent="0.25">
      <c r="A25" s="43" t="s">
        <v>185</v>
      </c>
      <c r="B25" s="44" t="str">
        <f>'дод 3'!A64</f>
        <v>3131</v>
      </c>
      <c r="C25" s="44" t="str">
        <f>'дод 3'!B64</f>
        <v>1040</v>
      </c>
      <c r="D25" s="24" t="str">
        <f>'дод 3'!C64</f>
        <v>Здійснення заходів та реалізація проектів на виконання Державної цільової соціальної програми "Молодь України"</v>
      </c>
      <c r="E25" s="69">
        <f t="shared" si="7"/>
        <v>850000</v>
      </c>
      <c r="F25" s="69">
        <v>850000</v>
      </c>
      <c r="G25" s="69"/>
      <c r="H25" s="69"/>
      <c r="I25" s="69"/>
      <c r="J25" s="69">
        <f t="shared" si="9"/>
        <v>0</v>
      </c>
      <c r="K25" s="69"/>
      <c r="L25" s="69"/>
      <c r="M25" s="69"/>
      <c r="N25" s="69"/>
      <c r="O25" s="69"/>
      <c r="P25" s="69">
        <f t="shared" si="8"/>
        <v>850000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</row>
    <row r="26" spans="1:529" s="23" customFormat="1" ht="60" customHeight="1" x14ac:dyDescent="0.25">
      <c r="A26" s="43" t="s">
        <v>186</v>
      </c>
      <c r="B26" s="44" t="str">
        <f>'дод 3'!A65</f>
        <v>3140</v>
      </c>
      <c r="C26" s="44" t="str">
        <f>'дод 3'!B65</f>
        <v>1040</v>
      </c>
      <c r="D26" s="24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6" s="69">
        <f t="shared" si="7"/>
        <v>560000</v>
      </c>
      <c r="F26" s="69">
        <v>560000</v>
      </c>
      <c r="G26" s="69"/>
      <c r="H26" s="69"/>
      <c r="I26" s="69"/>
      <c r="J26" s="69">
        <f t="shared" si="9"/>
        <v>0</v>
      </c>
      <c r="K26" s="69"/>
      <c r="L26" s="69"/>
      <c r="M26" s="69"/>
      <c r="N26" s="69"/>
      <c r="O26" s="69"/>
      <c r="P26" s="69">
        <f t="shared" si="8"/>
        <v>560000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</row>
    <row r="27" spans="1:529" s="23" customFormat="1" ht="37.5" customHeight="1" x14ac:dyDescent="0.25">
      <c r="A27" s="43" t="s">
        <v>355</v>
      </c>
      <c r="B27" s="44" t="str">
        <f>'дод 3'!A74</f>
        <v>3241</v>
      </c>
      <c r="C27" s="44" t="str">
        <f>'дод 3'!B74</f>
        <v>1090</v>
      </c>
      <c r="D27" s="24" t="str">
        <f>'дод 3'!C74</f>
        <v>Забезпечення діяльності інших закладів у сфері соціального захисту і соціального забезпечення</v>
      </c>
      <c r="E27" s="69">
        <f t="shared" si="7"/>
        <v>1198395</v>
      </c>
      <c r="F27" s="69">
        <v>1198395</v>
      </c>
      <c r="G27" s="69">
        <v>852910</v>
      </c>
      <c r="H27" s="69">
        <v>114300</v>
      </c>
      <c r="I27" s="69"/>
      <c r="J27" s="69">
        <f t="shared" si="9"/>
        <v>0</v>
      </c>
      <c r="K27" s="69"/>
      <c r="L27" s="69"/>
      <c r="M27" s="69"/>
      <c r="N27" s="69"/>
      <c r="O27" s="69"/>
      <c r="P27" s="69">
        <f t="shared" si="8"/>
        <v>1198395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</row>
    <row r="28" spans="1:529" s="23" customFormat="1" ht="33.75" customHeight="1" x14ac:dyDescent="0.25">
      <c r="A28" s="43" t="s">
        <v>356</v>
      </c>
      <c r="B28" s="44" t="str">
        <f>'дод 3'!A75</f>
        <v>3242</v>
      </c>
      <c r="C28" s="44" t="str">
        <f>'дод 3'!B75</f>
        <v>1090</v>
      </c>
      <c r="D28" s="24" t="str">
        <f>'дод 3'!C75</f>
        <v>Інші заходи у сфері соціального захисту і соціального забезпечення</v>
      </c>
      <c r="E28" s="69">
        <f t="shared" si="7"/>
        <v>218310</v>
      </c>
      <c r="F28" s="69">
        <v>218310</v>
      </c>
      <c r="G28" s="69"/>
      <c r="H28" s="69"/>
      <c r="I28" s="69"/>
      <c r="J28" s="69">
        <f t="shared" si="9"/>
        <v>0</v>
      </c>
      <c r="K28" s="69"/>
      <c r="L28" s="69"/>
      <c r="M28" s="69"/>
      <c r="N28" s="69"/>
      <c r="O28" s="69"/>
      <c r="P28" s="69">
        <f t="shared" si="8"/>
        <v>218310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</row>
    <row r="29" spans="1:529" s="23" customFormat="1" ht="33.75" customHeight="1" x14ac:dyDescent="0.25">
      <c r="A29" s="43" t="s">
        <v>375</v>
      </c>
      <c r="B29" s="44" t="str">
        <f>'дод 3'!A78</f>
        <v>4060</v>
      </c>
      <c r="C29" s="44" t="str">
        <f>'дод 3'!B78</f>
        <v>0828</v>
      </c>
      <c r="D29" s="24" t="str">
        <f>'дод 3'!C78</f>
        <v>Забезпечення діяльності палаців i будинків культури, клубів, центрів дозвілля та iнших клубних закладів</v>
      </c>
      <c r="E29" s="69">
        <f t="shared" si="7"/>
        <v>4595000</v>
      </c>
      <c r="F29" s="70">
        <f>4745000-150000</f>
        <v>4595000</v>
      </c>
      <c r="G29" s="69">
        <v>2098000</v>
      </c>
      <c r="H29" s="69">
        <v>727600</v>
      </c>
      <c r="I29" s="69"/>
      <c r="J29" s="69">
        <f t="shared" si="9"/>
        <v>25500</v>
      </c>
      <c r="K29" s="69">
        <v>25500</v>
      </c>
      <c r="L29" s="69"/>
      <c r="M29" s="69"/>
      <c r="N29" s="69"/>
      <c r="O29" s="69">
        <v>25500</v>
      </c>
      <c r="P29" s="69">
        <f t="shared" si="8"/>
        <v>4620500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</row>
    <row r="30" spans="1:529" s="23" customFormat="1" ht="30.75" customHeight="1" x14ac:dyDescent="0.25">
      <c r="A30" s="43" t="s">
        <v>353</v>
      </c>
      <c r="B30" s="44" t="str">
        <f>'дод 3'!A79</f>
        <v>4081</v>
      </c>
      <c r="C30" s="44" t="str">
        <f>'дод 3'!B79</f>
        <v>0829</v>
      </c>
      <c r="D30" s="24" t="str">
        <f>'дод 3'!C79</f>
        <v>Забезпечення діяльності інших закладів в галузі культури і мистецтва</v>
      </c>
      <c r="E30" s="69">
        <f t="shared" si="7"/>
        <v>3437900</v>
      </c>
      <c r="F30" s="69">
        <f>2374900+300000+276000+150000+337000</f>
        <v>3437900</v>
      </c>
      <c r="G30" s="69">
        <v>1389000</v>
      </c>
      <c r="H30" s="69">
        <v>91200</v>
      </c>
      <c r="I30" s="69"/>
      <c r="J30" s="69">
        <f t="shared" si="9"/>
        <v>224000</v>
      </c>
      <c r="K30" s="69">
        <v>224000</v>
      </c>
      <c r="L30" s="69"/>
      <c r="M30" s="69"/>
      <c r="N30" s="69"/>
      <c r="O30" s="69">
        <v>224000</v>
      </c>
      <c r="P30" s="69">
        <f t="shared" si="8"/>
        <v>3661900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</row>
    <row r="31" spans="1:529" s="23" customFormat="1" ht="25.5" customHeight="1" x14ac:dyDescent="0.25">
      <c r="A31" s="43" t="s">
        <v>354</v>
      </c>
      <c r="B31" s="44" t="str">
        <f>'дод 3'!A80</f>
        <v>4082</v>
      </c>
      <c r="C31" s="44" t="str">
        <f>'дод 3'!B80</f>
        <v>0829</v>
      </c>
      <c r="D31" s="24" t="str">
        <f>'дод 3'!C80</f>
        <v>Інші заходи в галузі культури і мистецтва</v>
      </c>
      <c r="E31" s="69">
        <f t="shared" si="7"/>
        <v>465000</v>
      </c>
      <c r="F31" s="69">
        <v>465000</v>
      </c>
      <c r="G31" s="69"/>
      <c r="H31" s="69"/>
      <c r="I31" s="69"/>
      <c r="J31" s="69">
        <f t="shared" si="9"/>
        <v>0</v>
      </c>
      <c r="K31" s="69"/>
      <c r="L31" s="69"/>
      <c r="M31" s="69"/>
      <c r="N31" s="69"/>
      <c r="O31" s="69"/>
      <c r="P31" s="69">
        <f t="shared" si="8"/>
        <v>465000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</row>
    <row r="32" spans="1:529" s="23" customFormat="1" ht="36.75" customHeight="1" x14ac:dyDescent="0.25">
      <c r="A32" s="52" t="s">
        <v>187</v>
      </c>
      <c r="B32" s="45" t="str">
        <f>'дод 3'!A82</f>
        <v>5011</v>
      </c>
      <c r="C32" s="45" t="str">
        <f>'дод 3'!B82</f>
        <v>0810</v>
      </c>
      <c r="D32" s="22" t="str">
        <f>'дод 3'!C82</f>
        <v>Проведення навчально-тренувальних зборів і змагань з олімпійських видів спорту</v>
      </c>
      <c r="E32" s="69">
        <f t="shared" si="7"/>
        <v>1761000</v>
      </c>
      <c r="F32" s="69">
        <f>750000+1000000+11000</f>
        <v>1761000</v>
      </c>
      <c r="G32" s="69"/>
      <c r="H32" s="69"/>
      <c r="I32" s="69"/>
      <c r="J32" s="69">
        <f t="shared" si="9"/>
        <v>0</v>
      </c>
      <c r="K32" s="69"/>
      <c r="L32" s="69"/>
      <c r="M32" s="69"/>
      <c r="N32" s="69"/>
      <c r="O32" s="69"/>
      <c r="P32" s="69">
        <f t="shared" si="8"/>
        <v>1761000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</row>
    <row r="33" spans="1:529" s="23" customFormat="1" ht="34.5" customHeight="1" x14ac:dyDescent="0.25">
      <c r="A33" s="52" t="s">
        <v>188</v>
      </c>
      <c r="B33" s="45" t="str">
        <f>'дод 3'!A83</f>
        <v>5012</v>
      </c>
      <c r="C33" s="45" t="str">
        <f>'дод 3'!B83</f>
        <v>0810</v>
      </c>
      <c r="D33" s="22" t="str">
        <f>'дод 3'!C83</f>
        <v>Проведення навчально-тренувальних зборів і змагань з неолімпійських видів спорту</v>
      </c>
      <c r="E33" s="69">
        <f t="shared" si="7"/>
        <v>2275000</v>
      </c>
      <c r="F33" s="69">
        <f>750000+1300000+127000+98000</f>
        <v>2275000</v>
      </c>
      <c r="G33" s="69"/>
      <c r="H33" s="69"/>
      <c r="I33" s="69"/>
      <c r="J33" s="69">
        <f t="shared" si="9"/>
        <v>0</v>
      </c>
      <c r="K33" s="69"/>
      <c r="L33" s="69"/>
      <c r="M33" s="69"/>
      <c r="N33" s="69"/>
      <c r="O33" s="69"/>
      <c r="P33" s="69">
        <f t="shared" si="8"/>
        <v>2275000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</row>
    <row r="34" spans="1:529" s="23" customFormat="1" ht="39" customHeight="1" x14ac:dyDescent="0.25">
      <c r="A34" s="52" t="s">
        <v>189</v>
      </c>
      <c r="B34" s="45" t="str">
        <f>'дод 3'!A84</f>
        <v>5031</v>
      </c>
      <c r="C34" s="45" t="str">
        <f>'дод 3'!B84</f>
        <v>0810</v>
      </c>
      <c r="D34" s="22" t="str">
        <f>'дод 3'!C84</f>
        <v>Утримання та навчально-тренувальна робота комунальних дитячо-юнацьких спортивних шкіл</v>
      </c>
      <c r="E34" s="69">
        <f t="shared" si="7"/>
        <v>13555830</v>
      </c>
      <c r="F34" s="69">
        <f>13106830+37000+412000</f>
        <v>13555830</v>
      </c>
      <c r="G34" s="69">
        <v>9753300</v>
      </c>
      <c r="H34" s="69">
        <v>819990</v>
      </c>
      <c r="I34" s="69">
        <v>0</v>
      </c>
      <c r="J34" s="69">
        <f t="shared" si="9"/>
        <v>728000</v>
      </c>
      <c r="K34" s="69">
        <f>500000+228000</f>
        <v>728000</v>
      </c>
      <c r="L34" s="69"/>
      <c r="M34" s="69"/>
      <c r="N34" s="69"/>
      <c r="O34" s="69">
        <f>500000+228000</f>
        <v>728000</v>
      </c>
      <c r="P34" s="69">
        <f t="shared" si="8"/>
        <v>14283830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</row>
    <row r="35" spans="1:529" s="23" customFormat="1" ht="33.75" customHeight="1" x14ac:dyDescent="0.25">
      <c r="A35" s="52" t="s">
        <v>419</v>
      </c>
      <c r="B35" s="45" t="str">
        <f>'дод 3'!A85</f>
        <v>5032</v>
      </c>
      <c r="C35" s="45" t="str">
        <f>'дод 3'!B85</f>
        <v>0810</v>
      </c>
      <c r="D35" s="22" t="str">
        <f>'дод 3'!C85</f>
        <v>Фінансова підтримка дитячо-юнацьких спортивних шкіл фізкультурно-спортивних товариств</v>
      </c>
      <c r="E35" s="69">
        <f t="shared" si="7"/>
        <v>11306630</v>
      </c>
      <c r="F35" s="69">
        <f>11143630+20000+143000</f>
        <v>11306630</v>
      </c>
      <c r="G35" s="69"/>
      <c r="H35" s="69"/>
      <c r="I35" s="69"/>
      <c r="J35" s="69">
        <f t="shared" si="9"/>
        <v>100000</v>
      </c>
      <c r="K35" s="69">
        <f>93000+7000</f>
        <v>100000</v>
      </c>
      <c r="L35" s="69"/>
      <c r="M35" s="69"/>
      <c r="N35" s="69"/>
      <c r="O35" s="69">
        <f>93000+7000</f>
        <v>100000</v>
      </c>
      <c r="P35" s="69">
        <f t="shared" si="8"/>
        <v>11406630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</row>
    <row r="36" spans="1:529" s="23" customFormat="1" ht="48" customHeight="1" x14ac:dyDescent="0.25">
      <c r="A36" s="52" t="s">
        <v>190</v>
      </c>
      <c r="B36" s="45" t="str">
        <f>'дод 3'!A86</f>
        <v>5061</v>
      </c>
      <c r="C36" s="45" t="str">
        <f>'дод 3'!B86</f>
        <v>0810</v>
      </c>
      <c r="D36" s="22" t="str">
        <f>'дод 3'!C86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6" s="69">
        <f t="shared" si="7"/>
        <v>3943120</v>
      </c>
      <c r="F36" s="69">
        <f>3728120+165000+50000</f>
        <v>3943120</v>
      </c>
      <c r="G36" s="69">
        <v>2446900</v>
      </c>
      <c r="H36" s="69">
        <v>370100</v>
      </c>
      <c r="I36" s="69"/>
      <c r="J36" s="69">
        <f t="shared" si="9"/>
        <v>1079120</v>
      </c>
      <c r="K36" s="69">
        <v>900000</v>
      </c>
      <c r="L36" s="69">
        <v>179120</v>
      </c>
      <c r="M36" s="69">
        <v>91105</v>
      </c>
      <c r="N36" s="69">
        <v>51050</v>
      </c>
      <c r="O36" s="69">
        <v>900000</v>
      </c>
      <c r="P36" s="69">
        <f t="shared" si="8"/>
        <v>5022240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</row>
    <row r="37" spans="1:529" s="23" customFormat="1" ht="39" customHeight="1" x14ac:dyDescent="0.25">
      <c r="A37" s="52" t="s">
        <v>410</v>
      </c>
      <c r="B37" s="45" t="str">
        <f>'дод 3'!A87</f>
        <v>5062</v>
      </c>
      <c r="C37" s="45" t="str">
        <f>'дод 3'!B87</f>
        <v>0810</v>
      </c>
      <c r="D37" s="22" t="str">
        <f>'дод 3'!C87</f>
        <v>Підтримка спорту вищих досягнень та організацій, які здійснюють фізкультурно-спортивну діяльність в регіоні</v>
      </c>
      <c r="E37" s="69">
        <f t="shared" si="7"/>
        <v>7023390</v>
      </c>
      <c r="F37" s="69">
        <f>6608390+200000+215000</f>
        <v>7023390</v>
      </c>
      <c r="G37" s="69"/>
      <c r="H37" s="69"/>
      <c r="I37" s="69"/>
      <c r="J37" s="69">
        <f t="shared" si="9"/>
        <v>43450</v>
      </c>
      <c r="K37" s="69">
        <v>43450</v>
      </c>
      <c r="L37" s="69"/>
      <c r="M37" s="69"/>
      <c r="N37" s="69"/>
      <c r="O37" s="69">
        <v>43450</v>
      </c>
      <c r="P37" s="69">
        <f t="shared" si="8"/>
        <v>7066840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</row>
    <row r="38" spans="1:529" s="23" customFormat="1" ht="24" customHeight="1" x14ac:dyDescent="0.25">
      <c r="A38" s="52" t="s">
        <v>191</v>
      </c>
      <c r="B38" s="45" t="str">
        <f>'дод 3'!A115</f>
        <v>7412</v>
      </c>
      <c r="C38" s="45" t="str">
        <f>'дод 3'!B115</f>
        <v>0451</v>
      </c>
      <c r="D38" s="22" t="str">
        <f>'дод 3'!C115</f>
        <v>Регулювання цін на послуги місцевого автотранспорту</v>
      </c>
      <c r="E38" s="69">
        <f t="shared" si="7"/>
        <v>10000000</v>
      </c>
      <c r="F38" s="69"/>
      <c r="G38" s="69"/>
      <c r="H38" s="69"/>
      <c r="I38" s="69">
        <v>10000000</v>
      </c>
      <c r="J38" s="69">
        <f t="shared" si="9"/>
        <v>0</v>
      </c>
      <c r="K38" s="69"/>
      <c r="L38" s="69"/>
      <c r="M38" s="69"/>
      <c r="N38" s="69"/>
      <c r="O38" s="69"/>
      <c r="P38" s="69">
        <f t="shared" si="8"/>
        <v>10000000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</row>
    <row r="39" spans="1:529" s="23" customFormat="1" ht="24" customHeight="1" x14ac:dyDescent="0.25">
      <c r="A39" s="52" t="s">
        <v>469</v>
      </c>
      <c r="B39" s="45">
        <f>'дод 3'!A116</f>
        <v>7413</v>
      </c>
      <c r="C39" s="45" t="str">
        <f>'дод 3'!B116</f>
        <v>0451</v>
      </c>
      <c r="D39" s="150" t="str">
        <f>'дод 3'!C116</f>
        <v>Інші заходи у сфері автотранспорту</v>
      </c>
      <c r="E39" s="69">
        <f t="shared" si="7"/>
        <v>2800000</v>
      </c>
      <c r="F39" s="69"/>
      <c r="G39" s="69"/>
      <c r="H39" s="69"/>
      <c r="I39" s="69">
        <v>2800000</v>
      </c>
      <c r="J39" s="69">
        <f t="shared" si="9"/>
        <v>0</v>
      </c>
      <c r="K39" s="69"/>
      <c r="L39" s="69"/>
      <c r="M39" s="69"/>
      <c r="N39" s="69"/>
      <c r="O39" s="69"/>
      <c r="P39" s="69">
        <f t="shared" si="8"/>
        <v>2800000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</row>
    <row r="40" spans="1:529" s="23" customFormat="1" ht="24" customHeight="1" x14ac:dyDescent="0.25">
      <c r="A40" s="52" t="s">
        <v>470</v>
      </c>
      <c r="B40" s="45">
        <f>'дод 3'!A117</f>
        <v>7426</v>
      </c>
      <c r="C40" s="45">
        <f>'дод 3'!B117</f>
        <v>453</v>
      </c>
      <c r="D40" s="150" t="str">
        <f>'дод 3'!C117</f>
        <v>Інші заходи у сфері електротранспорту</v>
      </c>
      <c r="E40" s="69">
        <f t="shared" si="7"/>
        <v>15200000</v>
      </c>
      <c r="F40" s="69"/>
      <c r="G40" s="69"/>
      <c r="H40" s="69"/>
      <c r="I40" s="69">
        <v>15200000</v>
      </c>
      <c r="J40" s="69">
        <f t="shared" si="9"/>
        <v>0</v>
      </c>
      <c r="K40" s="69"/>
      <c r="L40" s="69"/>
      <c r="M40" s="69"/>
      <c r="N40" s="69"/>
      <c r="O40" s="69"/>
      <c r="P40" s="69">
        <f t="shared" si="8"/>
        <v>15200000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</row>
    <row r="41" spans="1:529" s="23" customFormat="1" ht="31.5" customHeight="1" x14ac:dyDescent="0.25">
      <c r="A41" s="52" t="s">
        <v>275</v>
      </c>
      <c r="B41" s="45" t="str">
        <f>'дод 3'!A121</f>
        <v>7530</v>
      </c>
      <c r="C41" s="45" t="str">
        <f>'дод 3'!B121</f>
        <v>0460</v>
      </c>
      <c r="D41" s="22" t="str">
        <f>'дод 3'!C121</f>
        <v>Інші заходи у сфері зв'язку, телекомунікації та інформатики</v>
      </c>
      <c r="E41" s="69">
        <f t="shared" si="7"/>
        <v>13450000</v>
      </c>
      <c r="F41" s="69">
        <f>10000000+3450000</f>
        <v>13450000</v>
      </c>
      <c r="G41" s="69"/>
      <c r="H41" s="69"/>
      <c r="I41" s="69"/>
      <c r="J41" s="69">
        <f t="shared" si="9"/>
        <v>6050000</v>
      </c>
      <c r="K41" s="69">
        <f>5000000+1050000</f>
        <v>6050000</v>
      </c>
      <c r="L41" s="69"/>
      <c r="M41" s="69"/>
      <c r="N41" s="69"/>
      <c r="O41" s="69">
        <f>5000000+1050000</f>
        <v>6050000</v>
      </c>
      <c r="P41" s="69">
        <f t="shared" si="8"/>
        <v>19500000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</row>
    <row r="42" spans="1:529" s="23" customFormat="1" ht="20.25" customHeight="1" x14ac:dyDescent="0.25">
      <c r="A42" s="52" t="s">
        <v>192</v>
      </c>
      <c r="B42" s="45" t="str">
        <f>'дод 3'!A123</f>
        <v>7610</v>
      </c>
      <c r="C42" s="45" t="str">
        <f>'дод 3'!B123</f>
        <v>0411</v>
      </c>
      <c r="D42" s="22" t="str">
        <f>'дод 3'!C123</f>
        <v>Сприяння розвитку малого та середнього підприємництва</v>
      </c>
      <c r="E42" s="69">
        <f t="shared" si="7"/>
        <v>215000</v>
      </c>
      <c r="F42" s="69">
        <f>115000+100000</f>
        <v>215000</v>
      </c>
      <c r="G42" s="69"/>
      <c r="H42" s="69"/>
      <c r="I42" s="69"/>
      <c r="J42" s="69">
        <f t="shared" si="9"/>
        <v>0</v>
      </c>
      <c r="K42" s="69"/>
      <c r="L42" s="69"/>
      <c r="M42" s="69"/>
      <c r="N42" s="69"/>
      <c r="O42" s="69"/>
      <c r="P42" s="69">
        <f t="shared" si="8"/>
        <v>215000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</row>
    <row r="43" spans="1:529" s="23" customFormat="1" ht="23.25" customHeight="1" x14ac:dyDescent="0.25">
      <c r="A43" s="52" t="s">
        <v>193</v>
      </c>
      <c r="B43" s="45" t="str">
        <f>'дод 3'!A127</f>
        <v>7670</v>
      </c>
      <c r="C43" s="45" t="str">
        <f>'дод 3'!B127</f>
        <v>0490</v>
      </c>
      <c r="D43" s="22" t="str">
        <f>'дод 3'!C127</f>
        <v>Внески до статутного капіталу суб’єктів господарювання</v>
      </c>
      <c r="E43" s="69">
        <f t="shared" si="7"/>
        <v>0</v>
      </c>
      <c r="F43" s="69"/>
      <c r="G43" s="69"/>
      <c r="H43" s="69"/>
      <c r="I43" s="69"/>
      <c r="J43" s="69">
        <f t="shared" si="9"/>
        <v>22572000</v>
      </c>
      <c r="K43" s="69">
        <f>22572000</f>
        <v>22572000</v>
      </c>
      <c r="L43" s="69"/>
      <c r="M43" s="69"/>
      <c r="N43" s="69"/>
      <c r="O43" s="69">
        <f>22572000</f>
        <v>22572000</v>
      </c>
      <c r="P43" s="69">
        <f t="shared" si="8"/>
        <v>22572000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</row>
    <row r="44" spans="1:529" s="23" customFormat="1" ht="36.75" customHeight="1" x14ac:dyDescent="0.25">
      <c r="A44" s="52" t="s">
        <v>289</v>
      </c>
      <c r="B44" s="45" t="str">
        <f>'дод 3'!A128</f>
        <v>7680</v>
      </c>
      <c r="C44" s="45" t="str">
        <f>'дод 3'!B128</f>
        <v>0490</v>
      </c>
      <c r="D44" s="22" t="str">
        <f>'дод 3'!C128</f>
        <v>Членські внески до асоціацій органів місцевого самоврядування</v>
      </c>
      <c r="E44" s="69">
        <f t="shared" si="7"/>
        <v>241467</v>
      </c>
      <c r="F44" s="69">
        <f>158069+82000+1715-317</f>
        <v>241467</v>
      </c>
      <c r="G44" s="69"/>
      <c r="H44" s="69"/>
      <c r="I44" s="69"/>
      <c r="J44" s="69">
        <f t="shared" si="9"/>
        <v>0</v>
      </c>
      <c r="K44" s="69"/>
      <c r="L44" s="69"/>
      <c r="M44" s="69"/>
      <c r="N44" s="69"/>
      <c r="O44" s="69"/>
      <c r="P44" s="69">
        <f t="shared" si="8"/>
        <v>241467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</row>
    <row r="45" spans="1:529" s="23" customFormat="1" ht="90" customHeight="1" x14ac:dyDescent="0.25">
      <c r="A45" s="52" t="s">
        <v>351</v>
      </c>
      <c r="B45" s="45" t="str">
        <f>'дод 3'!A129</f>
        <v>7691</v>
      </c>
      <c r="C45" s="45" t="str">
        <f>'дод 3'!B129</f>
        <v>0490</v>
      </c>
      <c r="D45" s="22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5" s="69">
        <f t="shared" si="7"/>
        <v>0</v>
      </c>
      <c r="F45" s="69"/>
      <c r="G45" s="69"/>
      <c r="H45" s="69"/>
      <c r="I45" s="69"/>
      <c r="J45" s="69">
        <f t="shared" si="9"/>
        <v>68223.199999999997</v>
      </c>
      <c r="K45" s="69"/>
      <c r="L45" s="69">
        <f>64711+3512.2</f>
        <v>68223.199999999997</v>
      </c>
      <c r="M45" s="69"/>
      <c r="N45" s="69"/>
      <c r="O45" s="69"/>
      <c r="P45" s="69">
        <f t="shared" si="8"/>
        <v>68223.199999999997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</row>
    <row r="46" spans="1:529" s="23" customFormat="1" ht="23.25" customHeight="1" x14ac:dyDescent="0.25">
      <c r="A46" s="52" t="s">
        <v>282</v>
      </c>
      <c r="B46" s="45" t="str">
        <f>'дод 3'!A130</f>
        <v>7693</v>
      </c>
      <c r="C46" s="45" t="str">
        <f>'дод 3'!B130</f>
        <v>0490</v>
      </c>
      <c r="D46" s="22" t="str">
        <f>'дод 3'!C130</f>
        <v>Інші заходи, пов'язані з економічною діяльністю</v>
      </c>
      <c r="E46" s="69">
        <f t="shared" si="7"/>
        <v>1869189</v>
      </c>
      <c r="F46" s="69">
        <f>1617587+250000+3000-1398</f>
        <v>1869189</v>
      </c>
      <c r="G46" s="69"/>
      <c r="H46" s="69"/>
      <c r="I46" s="69"/>
      <c r="J46" s="69">
        <f t="shared" si="9"/>
        <v>0</v>
      </c>
      <c r="K46" s="69"/>
      <c r="L46" s="69"/>
      <c r="M46" s="69"/>
      <c r="N46" s="69"/>
      <c r="O46" s="69"/>
      <c r="P46" s="69">
        <f t="shared" si="8"/>
        <v>1869189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</row>
    <row r="47" spans="1:529" s="23" customFormat="1" ht="34.5" customHeight="1" x14ac:dyDescent="0.25">
      <c r="A47" s="52" t="s">
        <v>194</v>
      </c>
      <c r="B47" s="45" t="str">
        <f>'дод 3'!A135</f>
        <v>8110</v>
      </c>
      <c r="C47" s="45" t="str">
        <f>'дод 3'!B135</f>
        <v>0320</v>
      </c>
      <c r="D47" s="22" t="str">
        <f>'дод 3'!C135</f>
        <v>Заходи із запобігання та ліквідації надзвичайних ситуацій та наслідків стихійного лиха</v>
      </c>
      <c r="E47" s="69">
        <f t="shared" si="7"/>
        <v>584500</v>
      </c>
      <c r="F47" s="69">
        <f>284500+300000</f>
        <v>584500</v>
      </c>
      <c r="G47" s="69"/>
      <c r="H47" s="69">
        <v>7500</v>
      </c>
      <c r="I47" s="69"/>
      <c r="J47" s="69">
        <f t="shared" si="9"/>
        <v>2299600</v>
      </c>
      <c r="K47" s="69">
        <f>2159600+140000</f>
        <v>2299600</v>
      </c>
      <c r="L47" s="69"/>
      <c r="M47" s="69"/>
      <c r="N47" s="69"/>
      <c r="O47" s="69">
        <f>2159600+140000</f>
        <v>2299600</v>
      </c>
      <c r="P47" s="69">
        <f t="shared" si="8"/>
        <v>2884100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</row>
    <row r="48" spans="1:529" s="23" customFormat="1" ht="19.5" customHeight="1" x14ac:dyDescent="0.25">
      <c r="A48" s="52" t="s">
        <v>264</v>
      </c>
      <c r="B48" s="45" t="str">
        <f>'дод 3'!A136</f>
        <v>8120</v>
      </c>
      <c r="C48" s="45" t="str">
        <f>'дод 3'!B136</f>
        <v>0320</v>
      </c>
      <c r="D48" s="22" t="str">
        <f>'дод 3'!C136</f>
        <v>Заходи з організації рятування на водах</v>
      </c>
      <c r="E48" s="69">
        <f t="shared" si="7"/>
        <v>2030270</v>
      </c>
      <c r="F48" s="69">
        <f>1892080+19210+32020+78970+7990</f>
        <v>2030270</v>
      </c>
      <c r="G48" s="69">
        <v>1542220</v>
      </c>
      <c r="H48" s="69">
        <v>79880</v>
      </c>
      <c r="I48" s="69"/>
      <c r="J48" s="69">
        <f t="shared" si="9"/>
        <v>5500</v>
      </c>
      <c r="K48" s="69"/>
      <c r="L48" s="69">
        <v>5500</v>
      </c>
      <c r="M48" s="69"/>
      <c r="N48" s="69">
        <v>1400</v>
      </c>
      <c r="O48" s="69"/>
      <c r="P48" s="69">
        <f t="shared" si="8"/>
        <v>2035770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</row>
    <row r="49" spans="1:529" s="23" customFormat="1" ht="21.75" customHeight="1" x14ac:dyDescent="0.25">
      <c r="A49" s="52" t="s">
        <v>285</v>
      </c>
      <c r="B49" s="45" t="str">
        <f>'дод 3'!A138</f>
        <v>8230</v>
      </c>
      <c r="C49" s="45" t="str">
        <f>'дод 3'!B138</f>
        <v>0380</v>
      </c>
      <c r="D49" s="22" t="str">
        <f>'дод 3'!C138</f>
        <v>Інші заходи громадського порядку та безпеки</v>
      </c>
      <c r="E49" s="69">
        <f t="shared" si="7"/>
        <v>683360</v>
      </c>
      <c r="F49" s="69">
        <v>683360</v>
      </c>
      <c r="G49" s="69"/>
      <c r="H49" s="69">
        <v>278160</v>
      </c>
      <c r="I49" s="69"/>
      <c r="J49" s="69">
        <f t="shared" si="9"/>
        <v>0</v>
      </c>
      <c r="K49" s="69"/>
      <c r="L49" s="69"/>
      <c r="M49" s="69"/>
      <c r="N49" s="69"/>
      <c r="O49" s="69"/>
      <c r="P49" s="69">
        <f t="shared" si="8"/>
        <v>683360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</row>
    <row r="50" spans="1:529" s="23" customFormat="1" ht="23.25" customHeight="1" x14ac:dyDescent="0.25">
      <c r="A50" s="43" t="s">
        <v>195</v>
      </c>
      <c r="B50" s="44" t="str">
        <f>'дод 3'!A141</f>
        <v>8340</v>
      </c>
      <c r="C50" s="44" t="str">
        <f>'дод 3'!B141</f>
        <v>0540</v>
      </c>
      <c r="D50" s="24" t="str">
        <f>'дод 3'!C141</f>
        <v>Природоохоронні заходи за рахунок цільових фондів</v>
      </c>
      <c r="E50" s="69">
        <f t="shared" si="7"/>
        <v>0</v>
      </c>
      <c r="F50" s="69"/>
      <c r="G50" s="69"/>
      <c r="H50" s="69"/>
      <c r="I50" s="69"/>
      <c r="J50" s="69">
        <f t="shared" si="9"/>
        <v>264000</v>
      </c>
      <c r="K50" s="69"/>
      <c r="L50" s="69">
        <v>264000</v>
      </c>
      <c r="M50" s="69"/>
      <c r="N50" s="69"/>
      <c r="O50" s="69"/>
      <c r="P50" s="69">
        <f t="shared" si="8"/>
        <v>264000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</row>
    <row r="51" spans="1:529" s="23" customFormat="1" ht="26.25" customHeight="1" x14ac:dyDescent="0.25">
      <c r="A51" s="52" t="s">
        <v>296</v>
      </c>
      <c r="B51" s="45" t="str">
        <f>'дод 3'!A143</f>
        <v>8420</v>
      </c>
      <c r="C51" s="45" t="str">
        <f>'дод 3'!B143</f>
        <v>0830</v>
      </c>
      <c r="D51" s="22" t="str">
        <f>'дод 3'!C143</f>
        <v>Інші заходи у сфері засобів масової інформації</v>
      </c>
      <c r="E51" s="69">
        <f t="shared" si="7"/>
        <v>100000</v>
      </c>
      <c r="F51" s="69">
        <v>100000</v>
      </c>
      <c r="G51" s="69"/>
      <c r="H51" s="69"/>
      <c r="I51" s="69"/>
      <c r="J51" s="69">
        <f t="shared" si="9"/>
        <v>0</v>
      </c>
      <c r="K51" s="69"/>
      <c r="L51" s="69"/>
      <c r="M51" s="69"/>
      <c r="N51" s="69"/>
      <c r="O51" s="69"/>
      <c r="P51" s="69">
        <f t="shared" si="8"/>
        <v>100000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</row>
    <row r="52" spans="1:529" s="31" customFormat="1" ht="23.25" customHeight="1" x14ac:dyDescent="0.2">
      <c r="A52" s="88" t="s">
        <v>196</v>
      </c>
      <c r="B52" s="72"/>
      <c r="C52" s="72"/>
      <c r="D52" s="30" t="s">
        <v>34</v>
      </c>
      <c r="E52" s="66">
        <f>E53</f>
        <v>971189864</v>
      </c>
      <c r="F52" s="66">
        <f t="shared" ref="F52:J52" si="10">F53</f>
        <v>971189864</v>
      </c>
      <c r="G52" s="66">
        <f t="shared" si="10"/>
        <v>651442027</v>
      </c>
      <c r="H52" s="66">
        <f t="shared" si="10"/>
        <v>83561807</v>
      </c>
      <c r="I52" s="66">
        <f t="shared" si="10"/>
        <v>0</v>
      </c>
      <c r="J52" s="66">
        <f t="shared" si="10"/>
        <v>87173293.549999997</v>
      </c>
      <c r="K52" s="66">
        <f t="shared" ref="K52" si="11">K53</f>
        <v>33456785.550000001</v>
      </c>
      <c r="L52" s="66">
        <f t="shared" ref="L52" si="12">L53</f>
        <v>53527508</v>
      </c>
      <c r="M52" s="66">
        <f t="shared" ref="M52" si="13">M53</f>
        <v>4208876</v>
      </c>
      <c r="N52" s="66">
        <f t="shared" ref="N52" si="14">N53</f>
        <v>3124191</v>
      </c>
      <c r="O52" s="66">
        <f t="shared" ref="O52:P52" si="15">O53</f>
        <v>33645785.549999997</v>
      </c>
      <c r="P52" s="66">
        <f t="shared" si="15"/>
        <v>1058363157.55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</row>
    <row r="53" spans="1:529" s="40" customFormat="1" ht="26.25" customHeight="1" x14ac:dyDescent="0.25">
      <c r="A53" s="89" t="s">
        <v>197</v>
      </c>
      <c r="B53" s="73"/>
      <c r="C53" s="73"/>
      <c r="D53" s="33" t="s">
        <v>34</v>
      </c>
      <c r="E53" s="68">
        <f>E55+E56+E58+E60+E62+E63+E65+E66+E67+E68+E70+E71+E72+E73+E75+E76+E77</f>
        <v>971189864</v>
      </c>
      <c r="F53" s="68">
        <f t="shared" ref="F53:P53" si="16">F55+F56+F58+F60+F62+F63+F65+F66+F67+F68+F70+F71+F72+F73+F75+F76+F77</f>
        <v>971189864</v>
      </c>
      <c r="G53" s="68">
        <f t="shared" si="16"/>
        <v>651442027</v>
      </c>
      <c r="H53" s="68">
        <f t="shared" si="16"/>
        <v>83561807</v>
      </c>
      <c r="I53" s="68">
        <f t="shared" si="16"/>
        <v>0</v>
      </c>
      <c r="J53" s="68">
        <f t="shared" si="16"/>
        <v>87173293.549999997</v>
      </c>
      <c r="K53" s="68">
        <f>K55+K56+K58+K60+K62+K63+K65+K66+K67+K68+K70+K71+K72+K73+K75+K76+K77</f>
        <v>33456785.550000001</v>
      </c>
      <c r="L53" s="68">
        <f t="shared" si="16"/>
        <v>53527508</v>
      </c>
      <c r="M53" s="68">
        <f t="shared" si="16"/>
        <v>4208876</v>
      </c>
      <c r="N53" s="68">
        <f t="shared" si="16"/>
        <v>3124191</v>
      </c>
      <c r="O53" s="68">
        <f t="shared" si="16"/>
        <v>33645785.549999997</v>
      </c>
      <c r="P53" s="68">
        <f t="shared" si="16"/>
        <v>1058363157.55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</row>
    <row r="54" spans="1:529" s="40" customFormat="1" ht="18.75" customHeight="1" x14ac:dyDescent="0.25">
      <c r="A54" s="89"/>
      <c r="B54" s="73"/>
      <c r="C54" s="73"/>
      <c r="D54" s="33" t="s">
        <v>308</v>
      </c>
      <c r="E54" s="68">
        <f>E59++E61+E64+E57+E69+E74</f>
        <v>382256478</v>
      </c>
      <c r="F54" s="68">
        <f t="shared" ref="F54:P54" si="17">F59++F61+F64+F57+F69+F74</f>
        <v>382256478</v>
      </c>
      <c r="G54" s="68">
        <f t="shared" si="17"/>
        <v>307191100</v>
      </c>
      <c r="H54" s="68">
        <f t="shared" si="17"/>
        <v>0</v>
      </c>
      <c r="I54" s="68">
        <f t="shared" si="17"/>
        <v>0</v>
      </c>
      <c r="J54" s="68">
        <f>J59++J61+J64+J57+J69+J74</f>
        <v>1736617.55</v>
      </c>
      <c r="K54" s="68">
        <f t="shared" si="17"/>
        <v>1736617.55</v>
      </c>
      <c r="L54" s="68">
        <f t="shared" si="17"/>
        <v>0</v>
      </c>
      <c r="M54" s="68">
        <f t="shared" si="17"/>
        <v>0</v>
      </c>
      <c r="N54" s="68">
        <f t="shared" si="17"/>
        <v>0</v>
      </c>
      <c r="O54" s="68">
        <f t="shared" si="17"/>
        <v>1736617.55</v>
      </c>
      <c r="P54" s="68">
        <f t="shared" si="17"/>
        <v>383993095.55000001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/>
      <c r="LQ54" s="39"/>
      <c r="LR54" s="39"/>
      <c r="LS54" s="39"/>
      <c r="LT54" s="39"/>
      <c r="LU54" s="39"/>
      <c r="LV54" s="39"/>
      <c r="LW54" s="39"/>
      <c r="LX54" s="39"/>
      <c r="LY54" s="39"/>
      <c r="LZ54" s="39"/>
      <c r="MA54" s="39"/>
      <c r="MB54" s="39"/>
      <c r="MC54" s="39"/>
      <c r="MD54" s="39"/>
      <c r="ME54" s="39"/>
      <c r="MF54" s="39"/>
      <c r="MG54" s="39"/>
      <c r="MH54" s="39"/>
      <c r="MI54" s="39"/>
      <c r="MJ54" s="39"/>
      <c r="MK54" s="39"/>
      <c r="ML54" s="39"/>
      <c r="MM54" s="39"/>
      <c r="MN54" s="39"/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/>
      <c r="NC54" s="39"/>
      <c r="ND54" s="39"/>
      <c r="NE54" s="39"/>
      <c r="NF54" s="39"/>
      <c r="NG54" s="39"/>
      <c r="NH54" s="39"/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/>
      <c r="NY54" s="39"/>
      <c r="NZ54" s="39"/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/>
      <c r="OT54" s="39"/>
      <c r="OU54" s="39"/>
      <c r="OV54" s="39"/>
      <c r="OW54" s="39"/>
      <c r="OX54" s="39"/>
      <c r="OY54" s="39"/>
      <c r="OZ54" s="39"/>
      <c r="PA54" s="39"/>
      <c r="PB54" s="39"/>
      <c r="PC54" s="39"/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/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/>
      <c r="RB54" s="39"/>
      <c r="RC54" s="39"/>
      <c r="RD54" s="39"/>
      <c r="RE54" s="39"/>
      <c r="RF54" s="39"/>
      <c r="RG54" s="39"/>
      <c r="RH54" s="39"/>
      <c r="RI54" s="39"/>
      <c r="RJ54" s="39"/>
      <c r="RK54" s="39"/>
      <c r="RL54" s="39"/>
      <c r="RM54" s="39"/>
      <c r="RN54" s="39"/>
      <c r="RO54" s="39"/>
      <c r="RP54" s="39"/>
      <c r="RQ54" s="39"/>
      <c r="RR54" s="39"/>
      <c r="RS54" s="39"/>
      <c r="RT54" s="39"/>
      <c r="RU54" s="39"/>
      <c r="RV54" s="39"/>
      <c r="RW54" s="39"/>
      <c r="RX54" s="39"/>
      <c r="RY54" s="39"/>
      <c r="RZ54" s="39"/>
      <c r="SA54" s="39"/>
      <c r="SB54" s="39"/>
      <c r="SC54" s="39"/>
      <c r="SD54" s="39"/>
      <c r="SE54" s="39"/>
      <c r="SF54" s="39"/>
      <c r="SG54" s="39"/>
      <c r="SH54" s="39"/>
      <c r="SI54" s="39"/>
      <c r="SJ54" s="39"/>
      <c r="SK54" s="39"/>
      <c r="SL54" s="39"/>
      <c r="SM54" s="39"/>
      <c r="SN54" s="39"/>
      <c r="SO54" s="39"/>
      <c r="SP54" s="39"/>
      <c r="SQ54" s="39"/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/>
      <c r="TC54" s="39"/>
      <c r="TD54" s="39"/>
      <c r="TE54" s="39"/>
      <c r="TF54" s="39"/>
      <c r="TG54" s="39"/>
      <c r="TH54" s="39"/>
      <c r="TI54" s="39"/>
    </row>
    <row r="55" spans="1:529" s="23" customFormat="1" ht="46.5" customHeight="1" x14ac:dyDescent="0.25">
      <c r="A55" s="43" t="s">
        <v>198</v>
      </c>
      <c r="B55" s="44" t="str">
        <f>'дод 3'!A20</f>
        <v>0160</v>
      </c>
      <c r="C55" s="44" t="str">
        <f>'дод 3'!B20</f>
        <v>0111</v>
      </c>
      <c r="D55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55" s="69">
        <f t="shared" ref="E55:E77" si="18">F55+I55</f>
        <v>3554900</v>
      </c>
      <c r="F55" s="69">
        <f>3470000+3900-161800+242800</f>
        <v>3554900</v>
      </c>
      <c r="G55" s="69">
        <f>2711100-132600</f>
        <v>2578500</v>
      </c>
      <c r="H55" s="69">
        <v>48700</v>
      </c>
      <c r="I55" s="69"/>
      <c r="J55" s="69">
        <f>L55+O55</f>
        <v>0</v>
      </c>
      <c r="K55" s="69"/>
      <c r="L55" s="69"/>
      <c r="M55" s="69"/>
      <c r="N55" s="69"/>
      <c r="O55" s="69"/>
      <c r="P55" s="69">
        <f t="shared" ref="P55:P77" si="19">E55+J55</f>
        <v>3554900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</row>
    <row r="56" spans="1:529" s="23" customFormat="1" ht="21.75" customHeight="1" x14ac:dyDescent="0.25">
      <c r="A56" s="43" t="s">
        <v>199</v>
      </c>
      <c r="B56" s="44" t="str">
        <f>'дод 3'!A24</f>
        <v>1010</v>
      </c>
      <c r="C56" s="44" t="str">
        <f>'дод 3'!B24</f>
        <v>0910</v>
      </c>
      <c r="D56" s="24" t="str">
        <f>'дод 3'!C24</f>
        <v>Надання дошкільної освіти</v>
      </c>
      <c r="E56" s="69">
        <f t="shared" si="18"/>
        <v>242937226</v>
      </c>
      <c r="F56" s="69">
        <f>244339090+176336+1322957+112300-3000000-13457</f>
        <v>242937226</v>
      </c>
      <c r="G56" s="69">
        <f>159350000+144540-11030</f>
        <v>159483510</v>
      </c>
      <c r="H56" s="69">
        <v>26923940</v>
      </c>
      <c r="I56" s="69"/>
      <c r="J56" s="69">
        <f>L56+O56</f>
        <v>22916603</v>
      </c>
      <c r="K56" s="69">
        <f>4200000+500000+88136+760000+703043+347304-7536</f>
        <v>6590947</v>
      </c>
      <c r="L56" s="69">
        <v>16325656</v>
      </c>
      <c r="M56" s="69"/>
      <c r="N56" s="69"/>
      <c r="O56" s="69">
        <f>4200000+500000+88136+760000+703043+347304-7536</f>
        <v>6590947</v>
      </c>
      <c r="P56" s="69">
        <f t="shared" si="19"/>
        <v>265853829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</row>
    <row r="57" spans="1:529" s="23" customFormat="1" ht="21.75" customHeight="1" x14ac:dyDescent="0.25">
      <c r="A57" s="43"/>
      <c r="B57" s="44"/>
      <c r="C57" s="44"/>
      <c r="D57" s="22" t="s">
        <v>308</v>
      </c>
      <c r="E57" s="69">
        <f t="shared" si="18"/>
        <v>162879</v>
      </c>
      <c r="F57" s="69">
        <f>176336-13457</f>
        <v>162879</v>
      </c>
      <c r="G57" s="69">
        <f>144540-11030</f>
        <v>133510</v>
      </c>
      <c r="H57" s="69"/>
      <c r="I57" s="69"/>
      <c r="J57" s="69">
        <f>L57+O57</f>
        <v>80600</v>
      </c>
      <c r="K57" s="69">
        <f>88136-7536</f>
        <v>80600</v>
      </c>
      <c r="L57" s="69"/>
      <c r="M57" s="69"/>
      <c r="N57" s="69"/>
      <c r="O57" s="69">
        <f>88136-7536</f>
        <v>80600</v>
      </c>
      <c r="P57" s="69">
        <f t="shared" si="19"/>
        <v>243479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</row>
    <row r="58" spans="1:529" s="23" customFormat="1" ht="54" customHeight="1" x14ac:dyDescent="0.25">
      <c r="A58" s="43" t="s">
        <v>200</v>
      </c>
      <c r="B58" s="44" t="str">
        <f>'дод 3'!A26</f>
        <v>1020</v>
      </c>
      <c r="C58" s="44" t="str">
        <f>'дод 3'!B26</f>
        <v>0921</v>
      </c>
      <c r="D58" s="24" t="str">
        <f>'дод 3'!C26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8" s="69">
        <f t="shared" si="18"/>
        <v>541969603</v>
      </c>
      <c r="F58" s="69">
        <f>533365430-2738900+2738900-50000+2067000+1396248+800+1533444+15313000-11301200+106000+50000+70000+213600-7000000+208752+5996529</f>
        <v>541969603</v>
      </c>
      <c r="G58" s="69">
        <f>373446500+1144470+657+12572250-9278430+171100</f>
        <v>378056547</v>
      </c>
      <c r="H58" s="69">
        <v>40458440</v>
      </c>
      <c r="I58" s="69"/>
      <c r="J58" s="69">
        <f t="shared" ref="J58:J77" si="20">L58+O58</f>
        <v>50872804.640000001</v>
      </c>
      <c r="K58" s="69">
        <f>11599400+2199897+739872+3050000+2916586+700000-106000-7502.36+202738-76472+742539</f>
        <v>21961057.640000001</v>
      </c>
      <c r="L58" s="69">
        <v>28911747</v>
      </c>
      <c r="M58" s="69">
        <v>1713303</v>
      </c>
      <c r="N58" s="69">
        <v>147329</v>
      </c>
      <c r="O58" s="69">
        <f>11599400+2199897+739872+3050000+2916586+700000-106000-7502.36+202738-76472+742539</f>
        <v>21961057.640000001</v>
      </c>
      <c r="P58" s="69">
        <f t="shared" si="19"/>
        <v>592842407.63999999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</row>
    <row r="59" spans="1:529" s="23" customFormat="1" x14ac:dyDescent="0.25">
      <c r="A59" s="43"/>
      <c r="B59" s="44"/>
      <c r="C59" s="44"/>
      <c r="D59" s="22" t="s">
        <v>308</v>
      </c>
      <c r="E59" s="69">
        <f t="shared" si="18"/>
        <v>356817929</v>
      </c>
      <c r="F59" s="69">
        <f>331836400+2067000+1396248+15313000+208752+5996529</f>
        <v>356817929</v>
      </c>
      <c r="G59" s="69">
        <f>272443700+1144470+12572250+171100</f>
        <v>286331520</v>
      </c>
      <c r="H59" s="69"/>
      <c r="I59" s="69"/>
      <c r="J59" s="69">
        <f t="shared" si="20"/>
        <v>1405939</v>
      </c>
      <c r="K59" s="69">
        <f>739872-76472+742539</f>
        <v>1405939</v>
      </c>
      <c r="L59" s="69"/>
      <c r="M59" s="69"/>
      <c r="N59" s="69"/>
      <c r="O59" s="69">
        <f>739872+742539-76472</f>
        <v>1405939</v>
      </c>
      <c r="P59" s="69">
        <f t="shared" si="19"/>
        <v>358223868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</row>
    <row r="60" spans="1:529" s="23" customFormat="1" ht="63.75" customHeight="1" x14ac:dyDescent="0.25">
      <c r="A60" s="43" t="s">
        <v>431</v>
      </c>
      <c r="B60" s="44">
        <f>'дод 3'!A28</f>
        <v>1030</v>
      </c>
      <c r="C60" s="44" t="str">
        <f>'дод 3'!B28</f>
        <v>0922</v>
      </c>
      <c r="D60" s="24" t="str">
        <f>'дод 3'!C28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60" s="69">
        <f t="shared" si="18"/>
        <v>9418880</v>
      </c>
      <c r="F60" s="69">
        <f>9152880+50000+110000+106000</f>
        <v>9418880</v>
      </c>
      <c r="G60" s="69">
        <v>6532300</v>
      </c>
      <c r="H60" s="69">
        <v>709270</v>
      </c>
      <c r="I60" s="69">
        <v>0</v>
      </c>
      <c r="J60" s="69">
        <f t="shared" si="20"/>
        <v>172000</v>
      </c>
      <c r="K60" s="69">
        <f>150000+22000</f>
        <v>172000</v>
      </c>
      <c r="L60" s="69"/>
      <c r="M60" s="69"/>
      <c r="N60" s="69"/>
      <c r="O60" s="69">
        <f>150000+22000</f>
        <v>172000</v>
      </c>
      <c r="P60" s="69">
        <f t="shared" si="19"/>
        <v>9590880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</row>
    <row r="61" spans="1:529" s="23" customFormat="1" ht="17.25" customHeight="1" x14ac:dyDescent="0.25">
      <c r="A61" s="43"/>
      <c r="B61" s="44"/>
      <c r="C61" s="44"/>
      <c r="D61" s="22" t="s">
        <v>308</v>
      </c>
      <c r="E61" s="69">
        <f t="shared" si="18"/>
        <v>6214300</v>
      </c>
      <c r="F61" s="69">
        <v>6214300</v>
      </c>
      <c r="G61" s="69">
        <v>5102000</v>
      </c>
      <c r="H61" s="69">
        <v>0</v>
      </c>
      <c r="I61" s="69">
        <v>0</v>
      </c>
      <c r="J61" s="69">
        <f t="shared" si="20"/>
        <v>0</v>
      </c>
      <c r="K61" s="69"/>
      <c r="L61" s="69"/>
      <c r="M61" s="69"/>
      <c r="N61" s="69"/>
      <c r="O61" s="69"/>
      <c r="P61" s="69">
        <f t="shared" si="19"/>
        <v>6214300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</row>
    <row r="62" spans="1:529" s="23" customFormat="1" ht="32.25" customHeight="1" x14ac:dyDescent="0.25">
      <c r="A62" s="43" t="s">
        <v>263</v>
      </c>
      <c r="B62" s="44" t="str">
        <f>'дод 3'!A30</f>
        <v>1090</v>
      </c>
      <c r="C62" s="44" t="str">
        <f>'дод 3'!B30</f>
        <v>0960</v>
      </c>
      <c r="D62" s="24" t="str">
        <f>'дод 3'!C30</f>
        <v>Надання позашкільної освіти закладами позашкільної освіти, заходи із позашкільної роботи з дітьми</v>
      </c>
      <c r="E62" s="69">
        <f t="shared" si="18"/>
        <v>28023440</v>
      </c>
      <c r="F62" s="69">
        <f>27792840+230600</f>
        <v>28023440</v>
      </c>
      <c r="G62" s="69">
        <v>19715700</v>
      </c>
      <c r="H62" s="69">
        <v>3358190</v>
      </c>
      <c r="I62" s="69">
        <v>0</v>
      </c>
      <c r="J62" s="69">
        <f t="shared" si="20"/>
        <v>300000</v>
      </c>
      <c r="K62" s="69">
        <v>300000</v>
      </c>
      <c r="L62" s="69"/>
      <c r="M62" s="69"/>
      <c r="N62" s="69"/>
      <c r="O62" s="69">
        <v>300000</v>
      </c>
      <c r="P62" s="69">
        <f t="shared" si="19"/>
        <v>28323440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</row>
    <row r="63" spans="1:529" s="23" customFormat="1" ht="33.75" customHeight="1" x14ac:dyDescent="0.25">
      <c r="A63" s="43" t="s">
        <v>262</v>
      </c>
      <c r="B63" s="44" t="str">
        <f>'дод 3'!A32</f>
        <v>1110</v>
      </c>
      <c r="C63" s="44" t="str">
        <f>'дод 3'!B32</f>
        <v>0930</v>
      </c>
      <c r="D63" s="24" t="str">
        <f>'дод 3'!C32</f>
        <v>Підготовка кадрів закладами професійної (професійно-технічної) освіти та іншими закладами освіти</v>
      </c>
      <c r="E63" s="69">
        <f t="shared" si="18"/>
        <v>116807900</v>
      </c>
      <c r="F63" s="69">
        <f>116310900-341000+217000+621000</f>
        <v>116807900</v>
      </c>
      <c r="G63" s="69">
        <v>69744500</v>
      </c>
      <c r="H63" s="69">
        <f>11348217-341000</f>
        <v>11007217</v>
      </c>
      <c r="I63" s="69"/>
      <c r="J63" s="69">
        <f t="shared" si="20"/>
        <v>8079105</v>
      </c>
      <c r="K63" s="69"/>
      <c r="L63" s="69">
        <v>7974105</v>
      </c>
      <c r="M63" s="69">
        <v>2495573</v>
      </c>
      <c r="N63" s="69">
        <v>2976862</v>
      </c>
      <c r="O63" s="69">
        <v>105000</v>
      </c>
      <c r="P63" s="69">
        <f t="shared" si="19"/>
        <v>124887005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</row>
    <row r="64" spans="1:529" s="23" customFormat="1" ht="15.75" customHeight="1" x14ac:dyDescent="0.25">
      <c r="A64" s="43"/>
      <c r="B64" s="44"/>
      <c r="C64" s="44"/>
      <c r="D64" s="22" t="s">
        <v>308</v>
      </c>
      <c r="E64" s="69">
        <f t="shared" si="18"/>
        <v>17825000</v>
      </c>
      <c r="F64" s="69">
        <v>17825000</v>
      </c>
      <c r="G64" s="69">
        <v>14610650</v>
      </c>
      <c r="H64" s="69"/>
      <c r="I64" s="69"/>
      <c r="J64" s="69">
        <f t="shared" si="20"/>
        <v>0</v>
      </c>
      <c r="K64" s="69"/>
      <c r="L64" s="69"/>
      <c r="M64" s="69"/>
      <c r="N64" s="69"/>
      <c r="O64" s="69"/>
      <c r="P64" s="69">
        <f t="shared" si="19"/>
        <v>17825000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</row>
    <row r="65" spans="1:529" s="23" customFormat="1" ht="21.75" customHeight="1" x14ac:dyDescent="0.25">
      <c r="A65" s="43" t="s">
        <v>201</v>
      </c>
      <c r="B65" s="44" t="str">
        <f>'дод 3'!A34</f>
        <v>1150</v>
      </c>
      <c r="C65" s="44" t="str">
        <f>'дод 3'!B34</f>
        <v>0990</v>
      </c>
      <c r="D65" s="24" t="str">
        <f>'дод 3'!C34</f>
        <v>Методичне забезпечення діяльності закладів освіти</v>
      </c>
      <c r="E65" s="69">
        <f t="shared" si="18"/>
        <v>2893730</v>
      </c>
      <c r="F65" s="69">
        <v>2893730</v>
      </c>
      <c r="G65" s="69">
        <v>2237500</v>
      </c>
      <c r="H65" s="69">
        <v>120380</v>
      </c>
      <c r="I65" s="69"/>
      <c r="J65" s="69">
        <f t="shared" si="20"/>
        <v>0</v>
      </c>
      <c r="K65" s="69"/>
      <c r="L65" s="69"/>
      <c r="M65" s="69"/>
      <c r="N65" s="69"/>
      <c r="O65" s="69"/>
      <c r="P65" s="69">
        <f t="shared" si="19"/>
        <v>2893730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</row>
    <row r="66" spans="1:529" s="23" customFormat="1" ht="16.5" customHeight="1" x14ac:dyDescent="0.25">
      <c r="A66" s="43" t="s">
        <v>357</v>
      </c>
      <c r="B66" s="44" t="str">
        <f>'дод 3'!A35</f>
        <v>1161</v>
      </c>
      <c r="C66" s="44" t="str">
        <f>'дод 3'!B35</f>
        <v>0990</v>
      </c>
      <c r="D66" s="24" t="str">
        <f>'дод 3'!C35</f>
        <v>Забезпечення діяльності інших закладів у сфері освіти</v>
      </c>
      <c r="E66" s="69">
        <f t="shared" si="18"/>
        <v>9345170</v>
      </c>
      <c r="F66" s="69">
        <f>9333170+12000</f>
        <v>9345170</v>
      </c>
      <c r="G66" s="69">
        <v>6782550</v>
      </c>
      <c r="H66" s="69">
        <v>613500</v>
      </c>
      <c r="I66" s="69"/>
      <c r="J66" s="69">
        <f t="shared" si="20"/>
        <v>432000</v>
      </c>
      <c r="K66" s="69">
        <f>100000+200000+132000</f>
        <v>432000</v>
      </c>
      <c r="L66" s="69"/>
      <c r="M66" s="69"/>
      <c r="N66" s="69"/>
      <c r="O66" s="69">
        <f>100000+200000+132000</f>
        <v>432000</v>
      </c>
      <c r="P66" s="69">
        <f t="shared" si="19"/>
        <v>9777170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</row>
    <row r="67" spans="1:529" s="23" customFormat="1" ht="20.25" customHeight="1" x14ac:dyDescent="0.25">
      <c r="A67" s="43" t="s">
        <v>358</v>
      </c>
      <c r="B67" s="44" t="str">
        <f>'дод 3'!A36</f>
        <v>1162</v>
      </c>
      <c r="C67" s="44" t="str">
        <f>'дод 3'!B36</f>
        <v>0990</v>
      </c>
      <c r="D67" s="24" t="str">
        <f>'дод 3'!C36</f>
        <v>Інші програми та заходи у сфері освіти</v>
      </c>
      <c r="E67" s="69">
        <f t="shared" si="18"/>
        <v>107400</v>
      </c>
      <c r="F67" s="69">
        <v>107400</v>
      </c>
      <c r="G67" s="69"/>
      <c r="H67" s="69"/>
      <c r="I67" s="69"/>
      <c r="J67" s="69">
        <f t="shared" si="20"/>
        <v>0</v>
      </c>
      <c r="K67" s="69"/>
      <c r="L67" s="69"/>
      <c r="M67" s="69"/>
      <c r="N67" s="69"/>
      <c r="O67" s="69"/>
      <c r="P67" s="69">
        <f t="shared" si="19"/>
        <v>107400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</row>
    <row r="68" spans="1:529" s="23" customFormat="1" x14ac:dyDescent="0.25">
      <c r="A68" s="43" t="s">
        <v>395</v>
      </c>
      <c r="B68" s="44">
        <v>1170</v>
      </c>
      <c r="C68" s="44" t="s">
        <v>75</v>
      </c>
      <c r="D68" s="22" t="str">
        <f>'дод 3'!C37</f>
        <v>Забезпечення діяльності інклюзивно-ресурсних центрів</v>
      </c>
      <c r="E68" s="69">
        <f t="shared" si="18"/>
        <v>1627940</v>
      </c>
      <c r="F68" s="69">
        <v>1627940</v>
      </c>
      <c r="G68" s="69">
        <v>1224320</v>
      </c>
      <c r="H68" s="69">
        <v>81470</v>
      </c>
      <c r="I68" s="69"/>
      <c r="J68" s="69">
        <f t="shared" si="20"/>
        <v>0</v>
      </c>
      <c r="K68" s="69"/>
      <c r="L68" s="69"/>
      <c r="M68" s="69"/>
      <c r="N68" s="69"/>
      <c r="O68" s="69"/>
      <c r="P68" s="69">
        <f t="shared" si="19"/>
        <v>1627940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</row>
    <row r="69" spans="1:529" s="23" customFormat="1" x14ac:dyDescent="0.25">
      <c r="A69" s="43"/>
      <c r="B69" s="44"/>
      <c r="C69" s="44"/>
      <c r="D69" s="22" t="s">
        <v>308</v>
      </c>
      <c r="E69" s="69">
        <f t="shared" si="18"/>
        <v>1236370</v>
      </c>
      <c r="F69" s="69">
        <v>1236370</v>
      </c>
      <c r="G69" s="69">
        <v>1013420</v>
      </c>
      <c r="H69" s="69"/>
      <c r="I69" s="69"/>
      <c r="J69" s="69"/>
      <c r="K69" s="69"/>
      <c r="L69" s="69"/>
      <c r="M69" s="69"/>
      <c r="N69" s="69"/>
      <c r="O69" s="69"/>
      <c r="P69" s="69">
        <f t="shared" si="19"/>
        <v>1236370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</row>
    <row r="70" spans="1:529" s="23" customFormat="1" ht="64.5" customHeight="1" x14ac:dyDescent="0.25">
      <c r="A70" s="43" t="s">
        <v>202</v>
      </c>
      <c r="B70" s="44" t="str">
        <f>'дод 3'!A65</f>
        <v>3140</v>
      </c>
      <c r="C70" s="44" t="str">
        <f>'дод 3'!B65</f>
        <v>1040</v>
      </c>
      <c r="D70" s="24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0" s="69">
        <f t="shared" si="18"/>
        <v>7000000</v>
      </c>
      <c r="F70" s="69">
        <v>7000000</v>
      </c>
      <c r="G70" s="69"/>
      <c r="H70" s="69"/>
      <c r="I70" s="69"/>
      <c r="J70" s="69">
        <f t="shared" si="20"/>
        <v>0</v>
      </c>
      <c r="K70" s="69"/>
      <c r="L70" s="69"/>
      <c r="M70" s="69"/>
      <c r="N70" s="69"/>
      <c r="O70" s="69"/>
      <c r="P70" s="69">
        <f t="shared" si="19"/>
        <v>7000000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</row>
    <row r="71" spans="1:529" s="23" customFormat="1" ht="31.5" customHeight="1" x14ac:dyDescent="0.25">
      <c r="A71" s="43" t="s">
        <v>374</v>
      </c>
      <c r="B71" s="44" t="str">
        <f>'дод 3'!A75</f>
        <v>3242</v>
      </c>
      <c r="C71" s="44" t="str">
        <f>'дод 3'!B75</f>
        <v>1090</v>
      </c>
      <c r="D71" s="24" t="str">
        <f>'дод 3'!C75</f>
        <v>Інші заходи у сфері соціального захисту і соціального забезпечення</v>
      </c>
      <c r="E71" s="69">
        <f t="shared" si="18"/>
        <v>52490</v>
      </c>
      <c r="F71" s="69">
        <v>52490</v>
      </c>
      <c r="G71" s="69"/>
      <c r="H71" s="69"/>
      <c r="I71" s="69"/>
      <c r="J71" s="69">
        <f t="shared" si="20"/>
        <v>0</v>
      </c>
      <c r="K71" s="69"/>
      <c r="L71" s="69"/>
      <c r="M71" s="69"/>
      <c r="N71" s="69"/>
      <c r="O71" s="69"/>
      <c r="P71" s="69">
        <f t="shared" si="19"/>
        <v>52490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</row>
    <row r="72" spans="1:529" s="23" customFormat="1" ht="33" customHeight="1" x14ac:dyDescent="0.25">
      <c r="A72" s="43" t="s">
        <v>203</v>
      </c>
      <c r="B72" s="44" t="str">
        <f>'дод 3'!A84</f>
        <v>5031</v>
      </c>
      <c r="C72" s="44" t="str">
        <f>'дод 3'!B84</f>
        <v>0810</v>
      </c>
      <c r="D72" s="24" t="str">
        <f>'дод 3'!C84</f>
        <v>Утримання та навчально-тренувальна робота комунальних дитячо-юнацьких спортивних шкіл</v>
      </c>
      <c r="E72" s="69">
        <f t="shared" si="18"/>
        <v>6787500</v>
      </c>
      <c r="F72" s="69">
        <f>6725500+60000+2000</f>
        <v>6787500</v>
      </c>
      <c r="G72" s="69">
        <v>5086600</v>
      </c>
      <c r="H72" s="69">
        <v>240700</v>
      </c>
      <c r="I72" s="69"/>
      <c r="J72" s="69">
        <f t="shared" si="20"/>
        <v>750000</v>
      </c>
      <c r="K72" s="69">
        <f>550000+200000</f>
        <v>750000</v>
      </c>
      <c r="L72" s="69"/>
      <c r="M72" s="69"/>
      <c r="N72" s="69"/>
      <c r="O72" s="69">
        <f>550000+200000</f>
        <v>750000</v>
      </c>
      <c r="P72" s="69">
        <f t="shared" si="19"/>
        <v>7537500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</row>
    <row r="73" spans="1:529" s="23" customFormat="1" ht="45.75" customHeight="1" x14ac:dyDescent="0.25">
      <c r="A73" s="43" t="s">
        <v>439</v>
      </c>
      <c r="B73" s="44">
        <v>7363</v>
      </c>
      <c r="C73" s="117" t="s">
        <v>102</v>
      </c>
      <c r="D73" s="118" t="s">
        <v>438</v>
      </c>
      <c r="E73" s="69">
        <f t="shared" si="18"/>
        <v>0</v>
      </c>
      <c r="F73" s="69"/>
      <c r="G73" s="69"/>
      <c r="H73" s="69"/>
      <c r="I73" s="69"/>
      <c r="J73" s="69">
        <f t="shared" si="20"/>
        <v>257580.90999999997</v>
      </c>
      <c r="K73" s="69">
        <f>7502.36+250078.55</f>
        <v>257580.90999999997</v>
      </c>
      <c r="L73" s="69"/>
      <c r="M73" s="69"/>
      <c r="N73" s="69"/>
      <c r="O73" s="69">
        <f>7502.36+250078.55</f>
        <v>257580.90999999997</v>
      </c>
      <c r="P73" s="69">
        <f t="shared" si="19"/>
        <v>257580.90999999997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</row>
    <row r="74" spans="1:529" s="23" customFormat="1" x14ac:dyDescent="0.25">
      <c r="A74" s="43"/>
      <c r="B74" s="44"/>
      <c r="C74" s="44"/>
      <c r="D74" s="22" t="s">
        <v>308</v>
      </c>
      <c r="E74" s="69">
        <f t="shared" ref="E74" si="21">F74+I74</f>
        <v>0</v>
      </c>
      <c r="F74" s="69"/>
      <c r="G74" s="69"/>
      <c r="H74" s="69"/>
      <c r="I74" s="69"/>
      <c r="J74" s="69">
        <f t="shared" ref="J74" si="22">L74+O74</f>
        <v>250078.55</v>
      </c>
      <c r="K74" s="69">
        <v>250078.55</v>
      </c>
      <c r="L74" s="69"/>
      <c r="M74" s="69"/>
      <c r="N74" s="69"/>
      <c r="O74" s="69">
        <v>250078.55</v>
      </c>
      <c r="P74" s="69">
        <f t="shared" si="19"/>
        <v>250078.55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</row>
    <row r="75" spans="1:529" s="23" customFormat="1" ht="25.5" customHeight="1" x14ac:dyDescent="0.25">
      <c r="A75" s="43" t="s">
        <v>204</v>
      </c>
      <c r="B75" s="44" t="str">
        <f>'дод 3'!A124</f>
        <v>7640</v>
      </c>
      <c r="C75" s="44" t="str">
        <f>'дод 3'!B124</f>
        <v>0470</v>
      </c>
      <c r="D75" s="24" t="str">
        <f>'дод 3'!C124</f>
        <v>Заходи з енергозбереження</v>
      </c>
      <c r="E75" s="69">
        <f t="shared" si="18"/>
        <v>578800</v>
      </c>
      <c r="F75" s="69">
        <v>578800</v>
      </c>
      <c r="G75" s="69"/>
      <c r="H75" s="69"/>
      <c r="I75" s="69"/>
      <c r="J75" s="69">
        <f t="shared" si="20"/>
        <v>2993200</v>
      </c>
      <c r="K75" s="69">
        <v>2993200</v>
      </c>
      <c r="L75" s="69"/>
      <c r="M75" s="69"/>
      <c r="N75" s="69"/>
      <c r="O75" s="69">
        <v>2993200</v>
      </c>
      <c r="P75" s="69">
        <f t="shared" si="19"/>
        <v>3572000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</row>
    <row r="76" spans="1:529" s="23" customFormat="1" ht="27" customHeight="1" x14ac:dyDescent="0.25">
      <c r="A76" s="43" t="s">
        <v>205</v>
      </c>
      <c r="B76" s="44" t="str">
        <f>'дод 3'!A141</f>
        <v>8340</v>
      </c>
      <c r="C76" s="44" t="str">
        <f>'дод 3'!B141</f>
        <v>0540</v>
      </c>
      <c r="D76" s="24" t="str">
        <f>'дод 3'!C141</f>
        <v>Природоохоронні заходи за рахунок цільових фондів</v>
      </c>
      <c r="E76" s="69">
        <f t="shared" si="18"/>
        <v>0</v>
      </c>
      <c r="F76" s="69"/>
      <c r="G76" s="69"/>
      <c r="H76" s="69"/>
      <c r="I76" s="69"/>
      <c r="J76" s="69">
        <f t="shared" si="20"/>
        <v>400000</v>
      </c>
      <c r="K76" s="69"/>
      <c r="L76" s="69">
        <f>306000+10000</f>
        <v>316000</v>
      </c>
      <c r="M76" s="69"/>
      <c r="N76" s="69"/>
      <c r="O76" s="69">
        <v>84000</v>
      </c>
      <c r="P76" s="69">
        <f t="shared" si="19"/>
        <v>400000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</row>
    <row r="77" spans="1:529" s="23" customFormat="1" ht="48.75" customHeight="1" x14ac:dyDescent="0.25">
      <c r="A77" s="43" t="s">
        <v>440</v>
      </c>
      <c r="B77" s="44">
        <v>9800</v>
      </c>
      <c r="C77" s="45" t="s">
        <v>59</v>
      </c>
      <c r="D77" s="119" t="s">
        <v>441</v>
      </c>
      <c r="E77" s="69">
        <f t="shared" si="18"/>
        <v>84885</v>
      </c>
      <c r="F77" s="69">
        <v>84885</v>
      </c>
      <c r="G77" s="69"/>
      <c r="H77" s="69"/>
      <c r="I77" s="69"/>
      <c r="J77" s="69">
        <f t="shared" si="20"/>
        <v>0</v>
      </c>
      <c r="K77" s="69"/>
      <c r="L77" s="69"/>
      <c r="M77" s="69"/>
      <c r="N77" s="69"/>
      <c r="O77" s="69"/>
      <c r="P77" s="69">
        <f t="shared" si="19"/>
        <v>84885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</row>
    <row r="78" spans="1:529" s="31" customFormat="1" ht="21" customHeight="1" x14ac:dyDescent="0.2">
      <c r="A78" s="76" t="s">
        <v>206</v>
      </c>
      <c r="B78" s="74"/>
      <c r="C78" s="74"/>
      <c r="D78" s="30" t="s">
        <v>36</v>
      </c>
      <c r="E78" s="66">
        <f>E79</f>
        <v>228097211</v>
      </c>
      <c r="F78" s="66">
        <f t="shared" ref="F78:P78" si="23">F79</f>
        <v>227898211</v>
      </c>
      <c r="G78" s="66">
        <f t="shared" si="23"/>
        <v>1641400</v>
      </c>
      <c r="H78" s="66">
        <f t="shared" si="23"/>
        <v>35400</v>
      </c>
      <c r="I78" s="66">
        <f t="shared" si="23"/>
        <v>199000</v>
      </c>
      <c r="J78" s="66">
        <f t="shared" si="23"/>
        <v>103235074</v>
      </c>
      <c r="K78" s="66">
        <f t="shared" si="23"/>
        <v>102350074</v>
      </c>
      <c r="L78" s="66">
        <f t="shared" si="23"/>
        <v>0</v>
      </c>
      <c r="M78" s="66">
        <f t="shared" si="23"/>
        <v>0</v>
      </c>
      <c r="N78" s="66">
        <f t="shared" si="23"/>
        <v>0</v>
      </c>
      <c r="O78" s="66">
        <f t="shared" si="23"/>
        <v>103235074</v>
      </c>
      <c r="P78" s="66">
        <f t="shared" si="23"/>
        <v>331332285</v>
      </c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38"/>
      <c r="JI78" s="38"/>
      <c r="JJ78" s="38"/>
      <c r="JK78" s="38"/>
      <c r="JL78" s="38"/>
      <c r="JM78" s="38"/>
      <c r="JN78" s="38"/>
      <c r="JO78" s="38"/>
      <c r="JP78" s="38"/>
      <c r="JQ78" s="38"/>
      <c r="JR78" s="38"/>
      <c r="JS78" s="38"/>
      <c r="JT78" s="38"/>
      <c r="JU78" s="38"/>
      <c r="JV78" s="38"/>
      <c r="JW78" s="38"/>
      <c r="JX78" s="38"/>
      <c r="JY78" s="38"/>
      <c r="JZ78" s="38"/>
      <c r="KA78" s="38"/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38"/>
      <c r="KP78" s="38"/>
      <c r="KQ78" s="38"/>
      <c r="KR78" s="38"/>
      <c r="KS78" s="38"/>
      <c r="KT78" s="38"/>
      <c r="KU78" s="38"/>
      <c r="KV78" s="38"/>
      <c r="KW78" s="38"/>
      <c r="KX78" s="38"/>
      <c r="KY78" s="38"/>
      <c r="KZ78" s="38"/>
      <c r="LA78" s="38"/>
      <c r="LB78" s="38"/>
      <c r="LC78" s="38"/>
      <c r="LD78" s="38"/>
      <c r="LE78" s="38"/>
      <c r="LF78" s="38"/>
      <c r="LG78" s="38"/>
      <c r="LH78" s="38"/>
      <c r="LI78" s="38"/>
      <c r="LJ78" s="38"/>
      <c r="LK78" s="38"/>
      <c r="LL78" s="38"/>
      <c r="LM78" s="38"/>
      <c r="LN78" s="38"/>
      <c r="LO78" s="38"/>
      <c r="LP78" s="38"/>
      <c r="LQ78" s="38"/>
      <c r="LR78" s="38"/>
      <c r="LS78" s="38"/>
      <c r="LT78" s="38"/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38"/>
      <c r="MI78" s="38"/>
      <c r="MJ78" s="38"/>
      <c r="MK78" s="38"/>
      <c r="ML78" s="38"/>
      <c r="MM78" s="38"/>
      <c r="MN78" s="38"/>
      <c r="MO78" s="38"/>
      <c r="MP78" s="38"/>
      <c r="MQ78" s="38"/>
      <c r="MR78" s="38"/>
      <c r="MS78" s="38"/>
      <c r="MT78" s="38"/>
      <c r="MU78" s="38"/>
      <c r="MV78" s="38"/>
      <c r="MW78" s="38"/>
      <c r="MX78" s="38"/>
      <c r="MY78" s="38"/>
      <c r="MZ78" s="38"/>
      <c r="NA78" s="38"/>
      <c r="NB78" s="38"/>
      <c r="NC78" s="38"/>
      <c r="ND78" s="38"/>
      <c r="NE78" s="38"/>
      <c r="NF78" s="38"/>
      <c r="NG78" s="38"/>
      <c r="NH78" s="38"/>
      <c r="NI78" s="38"/>
      <c r="NJ78" s="38"/>
      <c r="NK78" s="38"/>
      <c r="NL78" s="38"/>
      <c r="NM78" s="38"/>
      <c r="NN78" s="38"/>
      <c r="NO78" s="38"/>
      <c r="NP78" s="38"/>
      <c r="NQ78" s="38"/>
      <c r="NR78" s="38"/>
      <c r="NS78" s="38"/>
      <c r="NT78" s="38"/>
      <c r="NU78" s="38"/>
      <c r="NV78" s="38"/>
      <c r="NW78" s="38"/>
      <c r="NX78" s="38"/>
      <c r="NY78" s="38"/>
      <c r="NZ78" s="38"/>
      <c r="OA78" s="38"/>
      <c r="OB78" s="38"/>
      <c r="OC78" s="38"/>
      <c r="OD78" s="38"/>
      <c r="OE78" s="38"/>
      <c r="OF78" s="38"/>
      <c r="OG78" s="38"/>
      <c r="OH78" s="38"/>
      <c r="OI78" s="38"/>
      <c r="OJ78" s="38"/>
      <c r="OK78" s="38"/>
      <c r="OL78" s="38"/>
      <c r="OM78" s="38"/>
      <c r="ON78" s="38"/>
      <c r="OO78" s="38"/>
      <c r="OP78" s="38"/>
      <c r="OQ78" s="38"/>
      <c r="OR78" s="38"/>
      <c r="OS78" s="38"/>
      <c r="OT78" s="38"/>
      <c r="OU78" s="38"/>
      <c r="OV78" s="38"/>
      <c r="OW78" s="38"/>
      <c r="OX78" s="38"/>
      <c r="OY78" s="38"/>
      <c r="OZ78" s="38"/>
      <c r="PA78" s="38"/>
      <c r="PB78" s="38"/>
      <c r="PC78" s="38"/>
      <c r="PD78" s="38"/>
      <c r="PE78" s="38"/>
      <c r="PF78" s="38"/>
      <c r="PG78" s="38"/>
      <c r="PH78" s="38"/>
      <c r="PI78" s="38"/>
      <c r="PJ78" s="38"/>
      <c r="PK78" s="38"/>
      <c r="PL78" s="38"/>
      <c r="PM78" s="38"/>
      <c r="PN78" s="38"/>
      <c r="PO78" s="38"/>
      <c r="PP78" s="38"/>
      <c r="PQ78" s="38"/>
      <c r="PR78" s="38"/>
      <c r="PS78" s="38"/>
      <c r="PT78" s="38"/>
      <c r="PU78" s="38"/>
      <c r="PV78" s="38"/>
      <c r="PW78" s="38"/>
      <c r="PX78" s="38"/>
      <c r="PY78" s="38"/>
      <c r="PZ78" s="38"/>
      <c r="QA78" s="38"/>
      <c r="QB78" s="38"/>
      <c r="QC78" s="38"/>
      <c r="QD78" s="38"/>
      <c r="QE78" s="38"/>
      <c r="QF78" s="38"/>
      <c r="QG78" s="38"/>
      <c r="QH78" s="38"/>
      <c r="QI78" s="38"/>
      <c r="QJ78" s="38"/>
      <c r="QK78" s="38"/>
      <c r="QL78" s="38"/>
      <c r="QM78" s="38"/>
      <c r="QN78" s="38"/>
      <c r="QO78" s="38"/>
      <c r="QP78" s="38"/>
      <c r="QQ78" s="38"/>
      <c r="QR78" s="38"/>
      <c r="QS78" s="38"/>
      <c r="QT78" s="38"/>
      <c r="QU78" s="38"/>
      <c r="QV78" s="38"/>
      <c r="QW78" s="38"/>
      <c r="QX78" s="38"/>
      <c r="QY78" s="38"/>
      <c r="QZ78" s="38"/>
      <c r="RA78" s="38"/>
      <c r="RB78" s="38"/>
      <c r="RC78" s="38"/>
      <c r="RD78" s="38"/>
      <c r="RE78" s="38"/>
      <c r="RF78" s="38"/>
      <c r="RG78" s="38"/>
      <c r="RH78" s="38"/>
      <c r="RI78" s="38"/>
      <c r="RJ78" s="38"/>
      <c r="RK78" s="38"/>
      <c r="RL78" s="38"/>
      <c r="RM78" s="38"/>
      <c r="RN78" s="38"/>
      <c r="RO78" s="38"/>
      <c r="RP78" s="38"/>
      <c r="RQ78" s="38"/>
      <c r="RR78" s="38"/>
      <c r="RS78" s="38"/>
      <c r="RT78" s="38"/>
      <c r="RU78" s="38"/>
      <c r="RV78" s="38"/>
      <c r="RW78" s="38"/>
      <c r="RX78" s="38"/>
      <c r="RY78" s="38"/>
      <c r="RZ78" s="38"/>
      <c r="SA78" s="38"/>
      <c r="SB78" s="38"/>
      <c r="SC78" s="38"/>
      <c r="SD78" s="38"/>
      <c r="SE78" s="38"/>
      <c r="SF78" s="38"/>
      <c r="SG78" s="38"/>
      <c r="SH78" s="38"/>
      <c r="SI78" s="38"/>
      <c r="SJ78" s="38"/>
      <c r="SK78" s="38"/>
      <c r="SL78" s="38"/>
      <c r="SM78" s="38"/>
      <c r="SN78" s="38"/>
      <c r="SO78" s="38"/>
      <c r="SP78" s="38"/>
      <c r="SQ78" s="38"/>
      <c r="SR78" s="38"/>
      <c r="SS78" s="38"/>
      <c r="ST78" s="38"/>
      <c r="SU78" s="38"/>
      <c r="SV78" s="38"/>
      <c r="SW78" s="38"/>
      <c r="SX78" s="38"/>
      <c r="SY78" s="38"/>
      <c r="SZ78" s="38"/>
      <c r="TA78" s="38"/>
      <c r="TB78" s="38"/>
      <c r="TC78" s="38"/>
      <c r="TD78" s="38"/>
      <c r="TE78" s="38"/>
      <c r="TF78" s="38"/>
      <c r="TG78" s="38"/>
      <c r="TH78" s="38"/>
      <c r="TI78" s="38"/>
    </row>
    <row r="79" spans="1:529" s="40" customFormat="1" ht="18.75" customHeight="1" x14ac:dyDescent="0.25">
      <c r="A79" s="77" t="s">
        <v>207</v>
      </c>
      <c r="B79" s="75"/>
      <c r="C79" s="75"/>
      <c r="D79" s="33" t="s">
        <v>36</v>
      </c>
      <c r="E79" s="68">
        <f>E81+E82+E84+E86+E88+E89+E91+E92+E93+E94+E95</f>
        <v>228097211</v>
      </c>
      <c r="F79" s="68">
        <f t="shared" ref="F79:P79" si="24">F81+F82+F84+F86+F88+F89+F91+F92+F93+F94+F95</f>
        <v>227898211</v>
      </c>
      <c r="G79" s="68">
        <f t="shared" si="24"/>
        <v>1641400</v>
      </c>
      <c r="H79" s="68">
        <f t="shared" si="24"/>
        <v>35400</v>
      </c>
      <c r="I79" s="68">
        <f t="shared" si="24"/>
        <v>199000</v>
      </c>
      <c r="J79" s="68">
        <f t="shared" si="24"/>
        <v>103235074</v>
      </c>
      <c r="K79" s="68">
        <f t="shared" si="24"/>
        <v>102350074</v>
      </c>
      <c r="L79" s="68">
        <f t="shared" si="24"/>
        <v>0</v>
      </c>
      <c r="M79" s="68">
        <f t="shared" si="24"/>
        <v>0</v>
      </c>
      <c r="N79" s="68">
        <f t="shared" si="24"/>
        <v>0</v>
      </c>
      <c r="O79" s="68">
        <f t="shared" si="24"/>
        <v>103235074</v>
      </c>
      <c r="P79" s="68">
        <f t="shared" si="24"/>
        <v>331332285</v>
      </c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  <c r="KV79" s="39"/>
      <c r="KW79" s="39"/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/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/>
      <c r="ME79" s="39"/>
      <c r="MF79" s="39"/>
      <c r="MG79" s="39"/>
      <c r="MH79" s="39"/>
      <c r="MI79" s="39"/>
      <c r="MJ79" s="39"/>
      <c r="MK79" s="39"/>
      <c r="ML79" s="39"/>
      <c r="MM79" s="39"/>
      <c r="MN79" s="39"/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/>
      <c r="NC79" s="39"/>
      <c r="ND79" s="39"/>
      <c r="NE79" s="39"/>
      <c r="NF79" s="39"/>
      <c r="NG79" s="39"/>
      <c r="NH79" s="39"/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/>
      <c r="NT79" s="39"/>
      <c r="NU79" s="39"/>
      <c r="NV79" s="39"/>
      <c r="NW79" s="39"/>
      <c r="NX79" s="39"/>
      <c r="NY79" s="39"/>
      <c r="NZ79" s="39"/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/>
      <c r="OT79" s="39"/>
      <c r="OU79" s="39"/>
      <c r="OV79" s="39"/>
      <c r="OW79" s="39"/>
      <c r="OX79" s="39"/>
      <c r="OY79" s="39"/>
      <c r="OZ79" s="39"/>
      <c r="PA79" s="39"/>
      <c r="PB79" s="39"/>
      <c r="PC79" s="39"/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/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39"/>
      <c r="RI79" s="39"/>
      <c r="RJ79" s="39"/>
      <c r="RK79" s="39"/>
      <c r="RL79" s="39"/>
      <c r="RM79" s="39"/>
      <c r="RN79" s="39"/>
      <c r="RO79" s="39"/>
      <c r="RP79" s="39"/>
      <c r="RQ79" s="39"/>
      <c r="RR79" s="39"/>
      <c r="RS79" s="39"/>
      <c r="RT79" s="39"/>
      <c r="RU79" s="39"/>
      <c r="RV79" s="39"/>
      <c r="RW79" s="39"/>
      <c r="RX79" s="39"/>
      <c r="RY79" s="39"/>
      <c r="RZ79" s="39"/>
      <c r="SA79" s="39"/>
      <c r="SB79" s="39"/>
      <c r="SC79" s="39"/>
      <c r="SD79" s="39"/>
      <c r="SE79" s="39"/>
      <c r="SF79" s="39"/>
      <c r="SG79" s="39"/>
      <c r="SH79" s="39"/>
      <c r="SI79" s="39"/>
      <c r="SJ79" s="39"/>
      <c r="SK79" s="39"/>
      <c r="SL79" s="39"/>
      <c r="SM79" s="39"/>
      <c r="SN79" s="39"/>
      <c r="SO79" s="39"/>
      <c r="SP79" s="39"/>
      <c r="SQ79" s="39"/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/>
      <c r="TC79" s="39"/>
      <c r="TD79" s="39"/>
      <c r="TE79" s="39"/>
      <c r="TF79" s="39"/>
      <c r="TG79" s="39"/>
      <c r="TH79" s="39"/>
      <c r="TI79" s="39"/>
    </row>
    <row r="80" spans="1:529" s="40" customFormat="1" ht="18.75" customHeight="1" x14ac:dyDescent="0.25">
      <c r="A80" s="77"/>
      <c r="B80" s="75"/>
      <c r="C80" s="75"/>
      <c r="D80" s="33" t="s">
        <v>308</v>
      </c>
      <c r="E80" s="68">
        <f>E83+E85+E87+E90</f>
        <v>57157811</v>
      </c>
      <c r="F80" s="68">
        <f t="shared" ref="F80:P80" si="25">F83+F85+F87+F90</f>
        <v>57157811</v>
      </c>
      <c r="G80" s="68">
        <f t="shared" si="25"/>
        <v>0</v>
      </c>
      <c r="H80" s="68">
        <f t="shared" si="25"/>
        <v>0</v>
      </c>
      <c r="I80" s="68">
        <f t="shared" si="25"/>
        <v>0</v>
      </c>
      <c r="J80" s="68">
        <f t="shared" si="25"/>
        <v>0</v>
      </c>
      <c r="K80" s="68">
        <f t="shared" si="25"/>
        <v>0</v>
      </c>
      <c r="L80" s="68">
        <f t="shared" si="25"/>
        <v>0</v>
      </c>
      <c r="M80" s="68">
        <f t="shared" si="25"/>
        <v>0</v>
      </c>
      <c r="N80" s="68">
        <f t="shared" si="25"/>
        <v>0</v>
      </c>
      <c r="O80" s="68">
        <f t="shared" si="25"/>
        <v>0</v>
      </c>
      <c r="P80" s="68">
        <f t="shared" si="25"/>
        <v>57157811</v>
      </c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</row>
    <row r="81" spans="1:529" s="23" customFormat="1" ht="50.25" customHeight="1" x14ac:dyDescent="0.25">
      <c r="A81" s="43" t="s">
        <v>208</v>
      </c>
      <c r="B81" s="44" t="str">
        <f>'дод 3'!A20</f>
        <v>0160</v>
      </c>
      <c r="C81" s="44" t="str">
        <f>'дод 3'!B20</f>
        <v>0111</v>
      </c>
      <c r="D81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81" s="69">
        <f t="shared" ref="E81:E95" si="26">F81+I81</f>
        <v>2351000</v>
      </c>
      <c r="F81" s="69">
        <f>2218500+30000+3500-97800+196800</f>
        <v>2351000</v>
      </c>
      <c r="G81" s="69">
        <f>1721600-80200</f>
        <v>1641400</v>
      </c>
      <c r="H81" s="69">
        <v>35400</v>
      </c>
      <c r="I81" s="69"/>
      <c r="J81" s="69">
        <f>L81+O81</f>
        <v>0</v>
      </c>
      <c r="K81" s="69"/>
      <c r="L81" s="69"/>
      <c r="M81" s="69"/>
      <c r="N81" s="69"/>
      <c r="O81" s="69"/>
      <c r="P81" s="69">
        <f t="shared" ref="P81:P95" si="27">E81+J81</f>
        <v>2351000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</row>
    <row r="82" spans="1:529" s="23" customFormat="1" ht="14.25" customHeight="1" x14ac:dyDescent="0.25">
      <c r="A82" s="43" t="s">
        <v>209</v>
      </c>
      <c r="B82" s="44" t="str">
        <f>'дод 3'!A41</f>
        <v>2010</v>
      </c>
      <c r="C82" s="44" t="str">
        <f>'дод 3'!B41</f>
        <v>0731</v>
      </c>
      <c r="D82" s="24" t="str">
        <f>'дод 3'!C41</f>
        <v>Багатопрофільна стаціонарна медична допомога населенню</v>
      </c>
      <c r="E82" s="69">
        <f t="shared" si="26"/>
        <v>119979491</v>
      </c>
      <c r="F82" s="69">
        <f>118457491+150000+717000-100000+30000+725000</f>
        <v>119979491</v>
      </c>
      <c r="G82" s="69"/>
      <c r="H82" s="69"/>
      <c r="I82" s="71"/>
      <c r="J82" s="69">
        <f t="shared" ref="J82:J95" si="28">L82+O82</f>
        <v>45195500</v>
      </c>
      <c r="K82" s="69">
        <f>27530000+1100000+1606500-3000000+1500000+10000000+6000000+75000+10000000+454000-16000000+5930000</f>
        <v>45195500</v>
      </c>
      <c r="L82" s="69"/>
      <c r="M82" s="69"/>
      <c r="N82" s="69"/>
      <c r="O82" s="69">
        <f>27530000+1100000+1606500-3000000+1500000+10000000+6000000+75000+10000000+454000-16000000+5930000</f>
        <v>45195500</v>
      </c>
      <c r="P82" s="69">
        <f t="shared" si="27"/>
        <v>165174991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</row>
    <row r="83" spans="1:529" s="23" customFormat="1" ht="17.25" customHeight="1" x14ac:dyDescent="0.25">
      <c r="A83" s="43"/>
      <c r="B83" s="44"/>
      <c r="C83" s="44"/>
      <c r="D83" s="22" t="s">
        <v>308</v>
      </c>
      <c r="E83" s="69">
        <f t="shared" si="26"/>
        <v>48187871</v>
      </c>
      <c r="F83" s="69">
        <f>45209900+2680300+147671+150000</f>
        <v>48187871</v>
      </c>
      <c r="G83" s="69"/>
      <c r="H83" s="69"/>
      <c r="I83" s="71"/>
      <c r="J83" s="69">
        <f t="shared" si="28"/>
        <v>0</v>
      </c>
      <c r="K83" s="69"/>
      <c r="L83" s="69"/>
      <c r="M83" s="69"/>
      <c r="N83" s="69"/>
      <c r="O83" s="69"/>
      <c r="P83" s="69">
        <f t="shared" si="27"/>
        <v>48187871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</row>
    <row r="84" spans="1:529" s="23" customFormat="1" ht="36.75" customHeight="1" x14ac:dyDescent="0.25">
      <c r="A84" s="43" t="s">
        <v>214</v>
      </c>
      <c r="B84" s="44" t="str">
        <f>'дод 3'!A43</f>
        <v>2030</v>
      </c>
      <c r="C84" s="44" t="str">
        <f>'дод 3'!B43</f>
        <v>0733</v>
      </c>
      <c r="D84" s="24" t="str">
        <f>'дод 3'!C43</f>
        <v>Лікарсько-акушерська допомога вагітним, породіллям та новонародженим</v>
      </c>
      <c r="E84" s="69">
        <f t="shared" si="26"/>
        <v>15420473</v>
      </c>
      <c r="F84" s="69">
        <f>15275473+50000+95000</f>
        <v>15420473</v>
      </c>
      <c r="G84" s="71"/>
      <c r="H84" s="71"/>
      <c r="I84" s="71"/>
      <c r="J84" s="69">
        <f t="shared" si="28"/>
        <v>15040600</v>
      </c>
      <c r="K84" s="69">
        <v>15040600</v>
      </c>
      <c r="L84" s="69"/>
      <c r="M84" s="69"/>
      <c r="N84" s="69"/>
      <c r="O84" s="69">
        <v>15040600</v>
      </c>
      <c r="P84" s="69">
        <f t="shared" si="27"/>
        <v>30461073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</row>
    <row r="85" spans="1:529" s="23" customFormat="1" ht="16.5" customHeight="1" x14ac:dyDescent="0.25">
      <c r="A85" s="43"/>
      <c r="B85" s="44"/>
      <c r="C85" s="44"/>
      <c r="D85" s="22" t="s">
        <v>308</v>
      </c>
      <c r="E85" s="69">
        <f t="shared" si="26"/>
        <v>6347600</v>
      </c>
      <c r="F85" s="69">
        <v>6347600</v>
      </c>
      <c r="G85" s="71"/>
      <c r="H85" s="71"/>
      <c r="I85" s="71"/>
      <c r="J85" s="69">
        <f t="shared" si="28"/>
        <v>0</v>
      </c>
      <c r="K85" s="69"/>
      <c r="L85" s="69"/>
      <c r="M85" s="69"/>
      <c r="N85" s="69"/>
      <c r="O85" s="69"/>
      <c r="P85" s="69">
        <f t="shared" si="27"/>
        <v>6347600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</row>
    <row r="86" spans="1:529" s="23" customFormat="1" ht="24" customHeight="1" x14ac:dyDescent="0.25">
      <c r="A86" s="43" t="s">
        <v>213</v>
      </c>
      <c r="B86" s="44" t="str">
        <f>'дод 3'!A45</f>
        <v>2100</v>
      </c>
      <c r="C86" s="44" t="str">
        <f>'дод 3'!B45</f>
        <v>0722</v>
      </c>
      <c r="D86" s="24" t="str">
        <f>'дод 3'!C45</f>
        <v>Стоматологічна допомога населенню</v>
      </c>
      <c r="E86" s="69">
        <f t="shared" si="26"/>
        <v>6663426</v>
      </c>
      <c r="F86" s="69">
        <v>6663426</v>
      </c>
      <c r="G86" s="71"/>
      <c r="H86" s="71"/>
      <c r="I86" s="71"/>
      <c r="J86" s="69">
        <f t="shared" si="28"/>
        <v>1130000</v>
      </c>
      <c r="K86" s="69">
        <f>1210600-80600</f>
        <v>1130000</v>
      </c>
      <c r="L86" s="69"/>
      <c r="M86" s="69"/>
      <c r="N86" s="69"/>
      <c r="O86" s="69">
        <f>1210600-80600</f>
        <v>1130000</v>
      </c>
      <c r="P86" s="69">
        <f t="shared" si="27"/>
        <v>7793426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</row>
    <row r="87" spans="1:529" s="23" customFormat="1" ht="15" customHeight="1" x14ac:dyDescent="0.25">
      <c r="A87" s="43"/>
      <c r="B87" s="44"/>
      <c r="C87" s="44"/>
      <c r="D87" s="22" t="s">
        <v>308</v>
      </c>
      <c r="E87" s="69">
        <f t="shared" si="26"/>
        <v>1132200</v>
      </c>
      <c r="F87" s="69">
        <v>1132200</v>
      </c>
      <c r="G87" s="71"/>
      <c r="H87" s="71"/>
      <c r="I87" s="71"/>
      <c r="J87" s="69">
        <f t="shared" si="28"/>
        <v>0</v>
      </c>
      <c r="K87" s="69"/>
      <c r="L87" s="69"/>
      <c r="M87" s="69"/>
      <c r="N87" s="69"/>
      <c r="O87" s="69"/>
      <c r="P87" s="69">
        <f t="shared" si="27"/>
        <v>1132200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</row>
    <row r="88" spans="1:529" s="23" customFormat="1" ht="40.5" customHeight="1" x14ac:dyDescent="0.25">
      <c r="A88" s="43" t="s">
        <v>212</v>
      </c>
      <c r="B88" s="44" t="str">
        <f>'дод 3'!A47</f>
        <v>2111</v>
      </c>
      <c r="C88" s="44" t="str">
        <f>'дод 3'!B47</f>
        <v>0726</v>
      </c>
      <c r="D88" s="24" t="str">
        <f>'дод 3'!C47</f>
        <v>Первинна медична допомога населенню, що надається центрами первинної медичної (медико-санітарної) допомоги</v>
      </c>
      <c r="E88" s="69">
        <f t="shared" si="26"/>
        <v>1882468</v>
      </c>
      <c r="F88" s="69">
        <f>1672468+173000+25000+12000</f>
        <v>1882468</v>
      </c>
      <c r="G88" s="71"/>
      <c r="H88" s="71"/>
      <c r="I88" s="71"/>
      <c r="J88" s="69">
        <f t="shared" si="28"/>
        <v>0</v>
      </c>
      <c r="K88" s="69"/>
      <c r="L88" s="69"/>
      <c r="M88" s="69"/>
      <c r="N88" s="69"/>
      <c r="O88" s="69"/>
      <c r="P88" s="69">
        <f t="shared" si="27"/>
        <v>1882468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</row>
    <row r="89" spans="1:529" s="23" customFormat="1" ht="32.25" customHeight="1" x14ac:dyDescent="0.25">
      <c r="A89" s="43" t="s">
        <v>211</v>
      </c>
      <c r="B89" s="44">
        <f>'дод 3'!A48</f>
        <v>2144</v>
      </c>
      <c r="C89" s="44" t="str">
        <f>'дод 3'!B48</f>
        <v>0763</v>
      </c>
      <c r="D89" s="25" t="str">
        <f>'дод 3'!C48</f>
        <v>Централізовані заходи з лікування хворих на цукровий та нецукровий діабет</v>
      </c>
      <c r="E89" s="69">
        <f t="shared" si="26"/>
        <v>3090140</v>
      </c>
      <c r="F89" s="69">
        <f>2090140+1000000</f>
        <v>3090140</v>
      </c>
      <c r="G89" s="71"/>
      <c r="H89" s="71"/>
      <c r="I89" s="71"/>
      <c r="J89" s="69">
        <f t="shared" si="28"/>
        <v>0</v>
      </c>
      <c r="K89" s="69"/>
      <c r="L89" s="69"/>
      <c r="M89" s="69"/>
      <c r="N89" s="69"/>
      <c r="O89" s="69"/>
      <c r="P89" s="69">
        <f t="shared" si="27"/>
        <v>3090140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</row>
    <row r="90" spans="1:529" s="23" customFormat="1" ht="18.75" customHeight="1" x14ac:dyDescent="0.25">
      <c r="A90" s="43"/>
      <c r="B90" s="44"/>
      <c r="C90" s="44"/>
      <c r="D90" s="25" t="str">
        <f>'дод 3'!C49</f>
        <v>у т.ч. за рахунок субвенцій з держбюджету</v>
      </c>
      <c r="E90" s="69">
        <f t="shared" si="26"/>
        <v>1490140</v>
      </c>
      <c r="F90" s="69">
        <v>1490140</v>
      </c>
      <c r="G90" s="71"/>
      <c r="H90" s="71"/>
      <c r="I90" s="71"/>
      <c r="J90" s="69">
        <f t="shared" si="28"/>
        <v>0</v>
      </c>
      <c r="K90" s="69"/>
      <c r="L90" s="69"/>
      <c r="M90" s="69"/>
      <c r="N90" s="69"/>
      <c r="O90" s="69"/>
      <c r="P90" s="69">
        <f t="shared" si="27"/>
        <v>1490140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</row>
    <row r="91" spans="1:529" s="23" customFormat="1" ht="30" customHeight="1" x14ac:dyDescent="0.25">
      <c r="A91" s="43" t="s">
        <v>382</v>
      </c>
      <c r="B91" s="45" t="str">
        <f>'дод 3'!A50</f>
        <v>2151</v>
      </c>
      <c r="C91" s="45" t="str">
        <f>'дод 3'!B50</f>
        <v>0763</v>
      </c>
      <c r="D91" s="24" t="str">
        <f>'дод 3'!C50</f>
        <v>Забезпечення діяльності інших закладів у сфері охорони здоров’я</v>
      </c>
      <c r="E91" s="69">
        <f t="shared" si="26"/>
        <v>2894213</v>
      </c>
      <c r="F91" s="69">
        <v>2894213</v>
      </c>
      <c r="G91" s="71"/>
      <c r="H91" s="71"/>
      <c r="I91" s="71"/>
      <c r="J91" s="69">
        <f t="shared" si="28"/>
        <v>0</v>
      </c>
      <c r="K91" s="69"/>
      <c r="L91" s="69"/>
      <c r="M91" s="69"/>
      <c r="N91" s="69"/>
      <c r="O91" s="69"/>
      <c r="P91" s="69">
        <f t="shared" si="27"/>
        <v>2894213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</row>
    <row r="92" spans="1:529" s="23" customFormat="1" ht="24.75" customHeight="1" x14ac:dyDescent="0.25">
      <c r="A92" s="43" t="s">
        <v>383</v>
      </c>
      <c r="B92" s="45" t="str">
        <f>'дод 3'!A51</f>
        <v>2152</v>
      </c>
      <c r="C92" s="45" t="str">
        <f>'дод 3'!B51</f>
        <v>0763</v>
      </c>
      <c r="D92" s="22" t="str">
        <f>'дод 3'!C51</f>
        <v>Інші програми та заходи у сфері охорони здоров’я</v>
      </c>
      <c r="E92" s="69">
        <f t="shared" si="26"/>
        <v>75617000</v>
      </c>
      <c r="F92" s="69">
        <f>18815000+3000000+7000000+625000+63490000-8000000-1500000-5930000-1883000</f>
        <v>75617000</v>
      </c>
      <c r="G92" s="69"/>
      <c r="H92" s="69"/>
      <c r="I92" s="69"/>
      <c r="J92" s="69">
        <f t="shared" si="28"/>
        <v>16000000</v>
      </c>
      <c r="K92" s="69">
        <v>16000000</v>
      </c>
      <c r="L92" s="69"/>
      <c r="M92" s="69"/>
      <c r="N92" s="69"/>
      <c r="O92" s="69">
        <v>16000000</v>
      </c>
      <c r="P92" s="69">
        <f t="shared" si="27"/>
        <v>91617000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</row>
    <row r="93" spans="1:529" s="23" customFormat="1" ht="44.25" customHeight="1" x14ac:dyDescent="0.25">
      <c r="A93" s="43" t="s">
        <v>450</v>
      </c>
      <c r="B93" s="45">
        <f>'дод 3'!A109</f>
        <v>7361</v>
      </c>
      <c r="C93" s="45" t="str">
        <f>'дод 3'!B109</f>
        <v>0490</v>
      </c>
      <c r="D93" s="22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93" s="69">
        <f t="shared" si="26"/>
        <v>0</v>
      </c>
      <c r="F93" s="69"/>
      <c r="G93" s="69"/>
      <c r="H93" s="69"/>
      <c r="I93" s="69"/>
      <c r="J93" s="69">
        <f t="shared" si="28"/>
        <v>3000000</v>
      </c>
      <c r="K93" s="69">
        <v>3000000</v>
      </c>
      <c r="L93" s="69"/>
      <c r="M93" s="69"/>
      <c r="N93" s="69"/>
      <c r="O93" s="69">
        <v>3000000</v>
      </c>
      <c r="P93" s="69">
        <f t="shared" si="27"/>
        <v>3000000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</row>
    <row r="94" spans="1:529" s="23" customFormat="1" ht="18.75" customHeight="1" x14ac:dyDescent="0.25">
      <c r="A94" s="43" t="s">
        <v>210</v>
      </c>
      <c r="B94" s="44" t="str">
        <f>'дод 3'!A124</f>
        <v>7640</v>
      </c>
      <c r="C94" s="44" t="str">
        <f>'дод 3'!B124</f>
        <v>0470</v>
      </c>
      <c r="D94" s="24" t="str">
        <f>'дод 3'!C124</f>
        <v>Заходи з енергозбереження</v>
      </c>
      <c r="E94" s="69">
        <f t="shared" si="26"/>
        <v>199000</v>
      </c>
      <c r="F94" s="69"/>
      <c r="G94" s="69"/>
      <c r="H94" s="69"/>
      <c r="I94" s="69">
        <v>199000</v>
      </c>
      <c r="J94" s="69">
        <f t="shared" si="28"/>
        <v>21983974</v>
      </c>
      <c r="K94" s="69">
        <f>17559604+14714700-6500000+1200000-1100000+9670-1500000-2400000</f>
        <v>21983974</v>
      </c>
      <c r="L94" s="69"/>
      <c r="M94" s="69"/>
      <c r="N94" s="69"/>
      <c r="O94" s="69">
        <f>17559604+14714700-6500000+1200000-1100000+9670-1500000-2400000</f>
        <v>21983974</v>
      </c>
      <c r="P94" s="69">
        <f t="shared" si="27"/>
        <v>22182974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</row>
    <row r="95" spans="1:529" s="23" customFormat="1" ht="45" customHeight="1" x14ac:dyDescent="0.25">
      <c r="A95" s="43" t="s">
        <v>425</v>
      </c>
      <c r="B95" s="44">
        <v>7700</v>
      </c>
      <c r="C95" s="43" t="s">
        <v>113</v>
      </c>
      <c r="D95" s="24" t="s">
        <v>426</v>
      </c>
      <c r="E95" s="69">
        <f t="shared" si="26"/>
        <v>0</v>
      </c>
      <c r="F95" s="69"/>
      <c r="G95" s="69"/>
      <c r="H95" s="69"/>
      <c r="I95" s="69"/>
      <c r="J95" s="69">
        <f t="shared" si="28"/>
        <v>885000</v>
      </c>
      <c r="K95" s="69"/>
      <c r="L95" s="69"/>
      <c r="M95" s="69"/>
      <c r="N95" s="69"/>
      <c r="O95" s="69">
        <v>885000</v>
      </c>
      <c r="P95" s="69">
        <f t="shared" si="27"/>
        <v>885000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</row>
    <row r="96" spans="1:529" s="31" customFormat="1" ht="36" customHeight="1" x14ac:dyDescent="0.2">
      <c r="A96" s="76" t="s">
        <v>215</v>
      </c>
      <c r="B96" s="74"/>
      <c r="C96" s="74"/>
      <c r="D96" s="30" t="s">
        <v>51</v>
      </c>
      <c r="E96" s="66">
        <f>E97</f>
        <v>169909726.63</v>
      </c>
      <c r="F96" s="66">
        <f t="shared" ref="F96:J96" si="29">F97</f>
        <v>169909726.63</v>
      </c>
      <c r="G96" s="66">
        <f t="shared" si="29"/>
        <v>55579225</v>
      </c>
      <c r="H96" s="66">
        <f t="shared" si="29"/>
        <v>1574490</v>
      </c>
      <c r="I96" s="66">
        <f t="shared" si="29"/>
        <v>0</v>
      </c>
      <c r="J96" s="66">
        <f t="shared" si="29"/>
        <v>1267640</v>
      </c>
      <c r="K96" s="66">
        <f t="shared" ref="K96" si="30">K97</f>
        <v>1159540</v>
      </c>
      <c r="L96" s="66">
        <f t="shared" ref="L96" si="31">L97</f>
        <v>108100</v>
      </c>
      <c r="M96" s="66">
        <f t="shared" ref="M96" si="32">M97</f>
        <v>85100</v>
      </c>
      <c r="N96" s="66">
        <f t="shared" ref="N96" si="33">N97</f>
        <v>0</v>
      </c>
      <c r="O96" s="66">
        <f t="shared" ref="O96:P96" si="34">O97</f>
        <v>1159540</v>
      </c>
      <c r="P96" s="66">
        <f t="shared" si="34"/>
        <v>171177366.63</v>
      </c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  <c r="IW96" s="38"/>
      <c r="IX96" s="38"/>
      <c r="IY96" s="38"/>
      <c r="IZ96" s="38"/>
      <c r="JA96" s="38"/>
      <c r="JB96" s="38"/>
      <c r="JC96" s="38"/>
      <c r="JD96" s="38"/>
      <c r="JE96" s="38"/>
      <c r="JF96" s="38"/>
      <c r="JG96" s="38"/>
      <c r="JH96" s="38"/>
      <c r="JI96" s="38"/>
      <c r="JJ96" s="38"/>
      <c r="JK96" s="38"/>
      <c r="JL96" s="38"/>
      <c r="JM96" s="38"/>
      <c r="JN96" s="38"/>
      <c r="JO96" s="38"/>
      <c r="JP96" s="38"/>
      <c r="JQ96" s="38"/>
      <c r="JR96" s="38"/>
      <c r="JS96" s="38"/>
      <c r="JT96" s="38"/>
      <c r="JU96" s="38"/>
      <c r="JV96" s="38"/>
      <c r="JW96" s="38"/>
      <c r="JX96" s="38"/>
      <c r="JY96" s="38"/>
      <c r="JZ96" s="38"/>
      <c r="KA96" s="38"/>
      <c r="KB96" s="38"/>
      <c r="KC96" s="38"/>
      <c r="KD96" s="38"/>
      <c r="KE96" s="38"/>
      <c r="KF96" s="38"/>
      <c r="KG96" s="38"/>
      <c r="KH96" s="38"/>
      <c r="KI96" s="38"/>
      <c r="KJ96" s="38"/>
      <c r="KK96" s="38"/>
      <c r="KL96" s="38"/>
      <c r="KM96" s="38"/>
      <c r="KN96" s="38"/>
      <c r="KO96" s="38"/>
      <c r="KP96" s="38"/>
      <c r="KQ96" s="38"/>
      <c r="KR96" s="38"/>
      <c r="KS96" s="38"/>
      <c r="KT96" s="38"/>
      <c r="KU96" s="38"/>
      <c r="KV96" s="38"/>
      <c r="KW96" s="38"/>
      <c r="KX96" s="38"/>
      <c r="KY96" s="38"/>
      <c r="KZ96" s="38"/>
      <c r="LA96" s="38"/>
      <c r="LB96" s="38"/>
      <c r="LC96" s="38"/>
      <c r="LD96" s="38"/>
      <c r="LE96" s="38"/>
      <c r="LF96" s="38"/>
      <c r="LG96" s="38"/>
      <c r="LH96" s="38"/>
      <c r="LI96" s="38"/>
      <c r="LJ96" s="38"/>
      <c r="LK96" s="38"/>
      <c r="LL96" s="38"/>
      <c r="LM96" s="38"/>
      <c r="LN96" s="38"/>
      <c r="LO96" s="38"/>
      <c r="LP96" s="38"/>
      <c r="LQ96" s="38"/>
      <c r="LR96" s="38"/>
      <c r="LS96" s="38"/>
      <c r="LT96" s="38"/>
      <c r="LU96" s="38"/>
      <c r="LV96" s="38"/>
      <c r="LW96" s="38"/>
      <c r="LX96" s="38"/>
      <c r="LY96" s="38"/>
      <c r="LZ96" s="38"/>
      <c r="MA96" s="38"/>
      <c r="MB96" s="38"/>
      <c r="MC96" s="38"/>
      <c r="MD96" s="38"/>
      <c r="ME96" s="38"/>
      <c r="MF96" s="38"/>
      <c r="MG96" s="38"/>
      <c r="MH96" s="38"/>
      <c r="MI96" s="38"/>
      <c r="MJ96" s="38"/>
      <c r="MK96" s="38"/>
      <c r="ML96" s="38"/>
      <c r="MM96" s="38"/>
      <c r="MN96" s="38"/>
      <c r="MO96" s="38"/>
      <c r="MP96" s="38"/>
      <c r="MQ96" s="38"/>
      <c r="MR96" s="38"/>
      <c r="MS96" s="38"/>
      <c r="MT96" s="38"/>
      <c r="MU96" s="38"/>
      <c r="MV96" s="38"/>
      <c r="MW96" s="38"/>
      <c r="MX96" s="38"/>
      <c r="MY96" s="38"/>
      <c r="MZ96" s="38"/>
      <c r="NA96" s="38"/>
      <c r="NB96" s="38"/>
      <c r="NC96" s="38"/>
      <c r="ND96" s="38"/>
      <c r="NE96" s="38"/>
      <c r="NF96" s="38"/>
      <c r="NG96" s="38"/>
      <c r="NH96" s="38"/>
      <c r="NI96" s="38"/>
      <c r="NJ96" s="38"/>
      <c r="NK96" s="38"/>
      <c r="NL96" s="38"/>
      <c r="NM96" s="38"/>
      <c r="NN96" s="38"/>
      <c r="NO96" s="38"/>
      <c r="NP96" s="38"/>
      <c r="NQ96" s="38"/>
      <c r="NR96" s="38"/>
      <c r="NS96" s="38"/>
      <c r="NT96" s="38"/>
      <c r="NU96" s="38"/>
      <c r="NV96" s="38"/>
      <c r="NW96" s="38"/>
      <c r="NX96" s="38"/>
      <c r="NY96" s="38"/>
      <c r="NZ96" s="38"/>
      <c r="OA96" s="38"/>
      <c r="OB96" s="38"/>
      <c r="OC96" s="38"/>
      <c r="OD96" s="38"/>
      <c r="OE96" s="38"/>
      <c r="OF96" s="38"/>
      <c r="OG96" s="38"/>
      <c r="OH96" s="38"/>
      <c r="OI96" s="38"/>
      <c r="OJ96" s="38"/>
      <c r="OK96" s="38"/>
      <c r="OL96" s="38"/>
      <c r="OM96" s="38"/>
      <c r="ON96" s="38"/>
      <c r="OO96" s="38"/>
      <c r="OP96" s="38"/>
      <c r="OQ96" s="38"/>
      <c r="OR96" s="38"/>
      <c r="OS96" s="38"/>
      <c r="OT96" s="38"/>
      <c r="OU96" s="38"/>
      <c r="OV96" s="38"/>
      <c r="OW96" s="38"/>
      <c r="OX96" s="38"/>
      <c r="OY96" s="38"/>
      <c r="OZ96" s="38"/>
      <c r="PA96" s="38"/>
      <c r="PB96" s="38"/>
      <c r="PC96" s="38"/>
      <c r="PD96" s="38"/>
      <c r="PE96" s="38"/>
      <c r="PF96" s="38"/>
      <c r="PG96" s="38"/>
      <c r="PH96" s="38"/>
      <c r="PI96" s="38"/>
      <c r="PJ96" s="38"/>
      <c r="PK96" s="38"/>
      <c r="PL96" s="38"/>
      <c r="PM96" s="38"/>
      <c r="PN96" s="38"/>
      <c r="PO96" s="38"/>
      <c r="PP96" s="38"/>
      <c r="PQ96" s="38"/>
      <c r="PR96" s="38"/>
      <c r="PS96" s="38"/>
      <c r="PT96" s="38"/>
      <c r="PU96" s="38"/>
      <c r="PV96" s="38"/>
      <c r="PW96" s="38"/>
      <c r="PX96" s="38"/>
      <c r="PY96" s="38"/>
      <c r="PZ96" s="38"/>
      <c r="QA96" s="38"/>
      <c r="QB96" s="38"/>
      <c r="QC96" s="38"/>
      <c r="QD96" s="38"/>
      <c r="QE96" s="38"/>
      <c r="QF96" s="38"/>
      <c r="QG96" s="38"/>
      <c r="QH96" s="38"/>
      <c r="QI96" s="38"/>
      <c r="QJ96" s="38"/>
      <c r="QK96" s="38"/>
      <c r="QL96" s="38"/>
      <c r="QM96" s="38"/>
      <c r="QN96" s="38"/>
      <c r="QO96" s="38"/>
      <c r="QP96" s="38"/>
      <c r="QQ96" s="38"/>
      <c r="QR96" s="38"/>
      <c r="QS96" s="38"/>
      <c r="QT96" s="38"/>
      <c r="QU96" s="38"/>
      <c r="QV96" s="38"/>
      <c r="QW96" s="38"/>
      <c r="QX96" s="38"/>
      <c r="QY96" s="38"/>
      <c r="QZ96" s="38"/>
      <c r="RA96" s="38"/>
      <c r="RB96" s="38"/>
      <c r="RC96" s="38"/>
      <c r="RD96" s="38"/>
      <c r="RE96" s="38"/>
      <c r="RF96" s="38"/>
      <c r="RG96" s="38"/>
      <c r="RH96" s="38"/>
      <c r="RI96" s="38"/>
      <c r="RJ96" s="38"/>
      <c r="RK96" s="38"/>
      <c r="RL96" s="38"/>
      <c r="RM96" s="38"/>
      <c r="RN96" s="38"/>
      <c r="RO96" s="38"/>
      <c r="RP96" s="38"/>
      <c r="RQ96" s="38"/>
      <c r="RR96" s="38"/>
      <c r="RS96" s="38"/>
      <c r="RT96" s="38"/>
      <c r="RU96" s="38"/>
      <c r="RV96" s="38"/>
      <c r="RW96" s="38"/>
      <c r="RX96" s="38"/>
      <c r="RY96" s="38"/>
      <c r="RZ96" s="38"/>
      <c r="SA96" s="38"/>
      <c r="SB96" s="38"/>
      <c r="SC96" s="38"/>
      <c r="SD96" s="38"/>
      <c r="SE96" s="38"/>
      <c r="SF96" s="38"/>
      <c r="SG96" s="38"/>
      <c r="SH96" s="38"/>
      <c r="SI96" s="38"/>
      <c r="SJ96" s="38"/>
      <c r="SK96" s="38"/>
      <c r="SL96" s="38"/>
      <c r="SM96" s="38"/>
      <c r="SN96" s="38"/>
      <c r="SO96" s="38"/>
      <c r="SP96" s="38"/>
      <c r="SQ96" s="38"/>
      <c r="SR96" s="38"/>
      <c r="SS96" s="38"/>
      <c r="ST96" s="38"/>
      <c r="SU96" s="38"/>
      <c r="SV96" s="38"/>
      <c r="SW96" s="38"/>
      <c r="SX96" s="38"/>
      <c r="SY96" s="38"/>
      <c r="SZ96" s="38"/>
      <c r="TA96" s="38"/>
      <c r="TB96" s="38"/>
      <c r="TC96" s="38"/>
      <c r="TD96" s="38"/>
      <c r="TE96" s="38"/>
      <c r="TF96" s="38"/>
      <c r="TG96" s="38"/>
      <c r="TH96" s="38"/>
      <c r="TI96" s="38"/>
    </row>
    <row r="97" spans="1:529" s="40" customFormat="1" ht="32.25" customHeight="1" x14ac:dyDescent="0.25">
      <c r="A97" s="77" t="s">
        <v>216</v>
      </c>
      <c r="B97" s="75"/>
      <c r="C97" s="75"/>
      <c r="D97" s="33" t="s">
        <v>51</v>
      </c>
      <c r="E97" s="68">
        <f>E98+E99+E100+E101+E102+E103+E104+E105+E106+E107+E108+E109+E110+E111+E112+E113+E114+E115+E116+E117</f>
        <v>169909726.63</v>
      </c>
      <c r="F97" s="68">
        <f t="shared" ref="F97:P97" si="35">F98+F99+F100+F101+F102+F103+F104+F105+F106+F107+F108+F109+F110+F111+F112+F113+F114+F115+F116+F117</f>
        <v>169909726.63</v>
      </c>
      <c r="G97" s="68">
        <f t="shared" si="35"/>
        <v>55579225</v>
      </c>
      <c r="H97" s="68">
        <f t="shared" si="35"/>
        <v>1574490</v>
      </c>
      <c r="I97" s="68">
        <f t="shared" si="35"/>
        <v>0</v>
      </c>
      <c r="J97" s="68">
        <f t="shared" si="35"/>
        <v>1267640</v>
      </c>
      <c r="K97" s="68">
        <f>K98+K99+K100+K101+K102+K103+K104+K105+K106+K107+K108+K109+K110+K111+K112+K113+K114+K115+K116+K117</f>
        <v>1159540</v>
      </c>
      <c r="L97" s="68">
        <f t="shared" si="35"/>
        <v>108100</v>
      </c>
      <c r="M97" s="68">
        <f t="shared" si="35"/>
        <v>85100</v>
      </c>
      <c r="N97" s="68">
        <f t="shared" si="35"/>
        <v>0</v>
      </c>
      <c r="O97" s="68">
        <f t="shared" si="35"/>
        <v>1159540</v>
      </c>
      <c r="P97" s="68">
        <f t="shared" si="35"/>
        <v>171177366.63</v>
      </c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  <c r="IW97" s="39"/>
      <c r="IX97" s="39"/>
      <c r="IY97" s="39"/>
      <c r="IZ97" s="39"/>
      <c r="JA97" s="39"/>
      <c r="JB97" s="39"/>
      <c r="JC97" s="39"/>
      <c r="JD97" s="39"/>
      <c r="JE97" s="39"/>
      <c r="JF97" s="39"/>
      <c r="JG97" s="39"/>
      <c r="JH97" s="39"/>
      <c r="JI97" s="39"/>
      <c r="JJ97" s="39"/>
      <c r="JK97" s="39"/>
      <c r="JL97" s="39"/>
      <c r="JM97" s="39"/>
      <c r="JN97" s="39"/>
      <c r="JO97" s="39"/>
      <c r="JP97" s="39"/>
      <c r="JQ97" s="39"/>
      <c r="JR97" s="39"/>
      <c r="JS97" s="39"/>
      <c r="JT97" s="39"/>
      <c r="JU97" s="39"/>
      <c r="JV97" s="39"/>
      <c r="JW97" s="39"/>
      <c r="JX97" s="39"/>
      <c r="JY97" s="39"/>
      <c r="JZ97" s="39"/>
      <c r="KA97" s="39"/>
      <c r="KB97" s="39"/>
      <c r="KC97" s="39"/>
      <c r="KD97" s="39"/>
      <c r="KE97" s="39"/>
      <c r="KF97" s="39"/>
      <c r="KG97" s="39"/>
      <c r="KH97" s="39"/>
      <c r="KI97" s="39"/>
      <c r="KJ97" s="39"/>
      <c r="KK97" s="39"/>
      <c r="KL97" s="39"/>
      <c r="KM97" s="39"/>
      <c r="KN97" s="39"/>
      <c r="KO97" s="39"/>
      <c r="KP97" s="39"/>
      <c r="KQ97" s="39"/>
      <c r="KR97" s="39"/>
      <c r="KS97" s="39"/>
      <c r="KT97" s="39"/>
      <c r="KU97" s="39"/>
      <c r="KV97" s="39"/>
      <c r="KW97" s="39"/>
      <c r="KX97" s="39"/>
      <c r="KY97" s="39"/>
      <c r="KZ97" s="39"/>
      <c r="LA97" s="39"/>
      <c r="LB97" s="39"/>
      <c r="LC97" s="39"/>
      <c r="LD97" s="39"/>
      <c r="LE97" s="39"/>
      <c r="LF97" s="39"/>
      <c r="LG97" s="39"/>
      <c r="LH97" s="39"/>
      <c r="LI97" s="39"/>
      <c r="LJ97" s="39"/>
      <c r="LK97" s="39"/>
      <c r="LL97" s="39"/>
      <c r="LM97" s="39"/>
      <c r="LN97" s="39"/>
      <c r="LO97" s="39"/>
      <c r="LP97" s="39"/>
      <c r="LQ97" s="39"/>
      <c r="LR97" s="39"/>
      <c r="LS97" s="39"/>
      <c r="LT97" s="39"/>
      <c r="LU97" s="39"/>
      <c r="LV97" s="39"/>
      <c r="LW97" s="39"/>
      <c r="LX97" s="39"/>
      <c r="LY97" s="39"/>
      <c r="LZ97" s="39"/>
      <c r="MA97" s="39"/>
      <c r="MB97" s="39"/>
      <c r="MC97" s="39"/>
      <c r="MD97" s="39"/>
      <c r="ME97" s="39"/>
      <c r="MF97" s="39"/>
      <c r="MG97" s="39"/>
      <c r="MH97" s="39"/>
      <c r="MI97" s="39"/>
      <c r="MJ97" s="39"/>
      <c r="MK97" s="39"/>
      <c r="ML97" s="39"/>
      <c r="MM97" s="39"/>
      <c r="MN97" s="39"/>
      <c r="MO97" s="39"/>
      <c r="MP97" s="39"/>
      <c r="MQ97" s="39"/>
      <c r="MR97" s="39"/>
      <c r="MS97" s="39"/>
      <c r="MT97" s="39"/>
      <c r="MU97" s="39"/>
      <c r="MV97" s="39"/>
      <c r="MW97" s="39"/>
      <c r="MX97" s="39"/>
      <c r="MY97" s="39"/>
      <c r="MZ97" s="39"/>
      <c r="NA97" s="39"/>
      <c r="NB97" s="39"/>
      <c r="NC97" s="39"/>
      <c r="ND97" s="39"/>
      <c r="NE97" s="39"/>
      <c r="NF97" s="39"/>
      <c r="NG97" s="39"/>
      <c r="NH97" s="39"/>
      <c r="NI97" s="39"/>
      <c r="NJ97" s="39"/>
      <c r="NK97" s="39"/>
      <c r="NL97" s="39"/>
      <c r="NM97" s="39"/>
      <c r="NN97" s="39"/>
      <c r="NO97" s="39"/>
      <c r="NP97" s="39"/>
      <c r="NQ97" s="39"/>
      <c r="NR97" s="39"/>
      <c r="NS97" s="39"/>
      <c r="NT97" s="39"/>
      <c r="NU97" s="39"/>
      <c r="NV97" s="39"/>
      <c r="NW97" s="39"/>
      <c r="NX97" s="39"/>
      <c r="NY97" s="39"/>
      <c r="NZ97" s="39"/>
      <c r="OA97" s="39"/>
      <c r="OB97" s="39"/>
      <c r="OC97" s="39"/>
      <c r="OD97" s="39"/>
      <c r="OE97" s="39"/>
      <c r="OF97" s="39"/>
      <c r="OG97" s="39"/>
      <c r="OH97" s="39"/>
      <c r="OI97" s="39"/>
      <c r="OJ97" s="39"/>
      <c r="OK97" s="39"/>
      <c r="OL97" s="39"/>
      <c r="OM97" s="39"/>
      <c r="ON97" s="39"/>
      <c r="OO97" s="39"/>
      <c r="OP97" s="39"/>
      <c r="OQ97" s="39"/>
      <c r="OR97" s="39"/>
      <c r="OS97" s="39"/>
      <c r="OT97" s="39"/>
      <c r="OU97" s="39"/>
      <c r="OV97" s="39"/>
      <c r="OW97" s="39"/>
      <c r="OX97" s="39"/>
      <c r="OY97" s="39"/>
      <c r="OZ97" s="39"/>
      <c r="PA97" s="39"/>
      <c r="PB97" s="39"/>
      <c r="PC97" s="39"/>
      <c r="PD97" s="39"/>
      <c r="PE97" s="39"/>
      <c r="PF97" s="39"/>
      <c r="PG97" s="39"/>
      <c r="PH97" s="39"/>
      <c r="PI97" s="39"/>
      <c r="PJ97" s="39"/>
      <c r="PK97" s="39"/>
      <c r="PL97" s="39"/>
      <c r="PM97" s="39"/>
      <c r="PN97" s="39"/>
      <c r="PO97" s="39"/>
      <c r="PP97" s="39"/>
      <c r="PQ97" s="39"/>
      <c r="PR97" s="39"/>
      <c r="PS97" s="39"/>
      <c r="PT97" s="39"/>
      <c r="PU97" s="39"/>
      <c r="PV97" s="39"/>
      <c r="PW97" s="39"/>
      <c r="PX97" s="39"/>
      <c r="PY97" s="39"/>
      <c r="PZ97" s="39"/>
      <c r="QA97" s="39"/>
      <c r="QB97" s="39"/>
      <c r="QC97" s="39"/>
      <c r="QD97" s="39"/>
      <c r="QE97" s="39"/>
      <c r="QF97" s="39"/>
      <c r="QG97" s="39"/>
      <c r="QH97" s="39"/>
      <c r="QI97" s="39"/>
      <c r="QJ97" s="39"/>
      <c r="QK97" s="39"/>
      <c r="QL97" s="39"/>
      <c r="QM97" s="39"/>
      <c r="QN97" s="39"/>
      <c r="QO97" s="39"/>
      <c r="QP97" s="39"/>
      <c r="QQ97" s="39"/>
      <c r="QR97" s="39"/>
      <c r="QS97" s="39"/>
      <c r="QT97" s="39"/>
      <c r="QU97" s="39"/>
      <c r="QV97" s="39"/>
      <c r="QW97" s="39"/>
      <c r="QX97" s="39"/>
      <c r="QY97" s="39"/>
      <c r="QZ97" s="39"/>
      <c r="RA97" s="39"/>
      <c r="RB97" s="39"/>
      <c r="RC97" s="39"/>
      <c r="RD97" s="39"/>
      <c r="RE97" s="39"/>
      <c r="RF97" s="39"/>
      <c r="RG97" s="39"/>
      <c r="RH97" s="39"/>
      <c r="RI97" s="39"/>
      <c r="RJ97" s="39"/>
      <c r="RK97" s="39"/>
      <c r="RL97" s="39"/>
      <c r="RM97" s="39"/>
      <c r="RN97" s="39"/>
      <c r="RO97" s="39"/>
      <c r="RP97" s="39"/>
      <c r="RQ97" s="39"/>
      <c r="RR97" s="39"/>
      <c r="RS97" s="39"/>
      <c r="RT97" s="39"/>
      <c r="RU97" s="39"/>
      <c r="RV97" s="39"/>
      <c r="RW97" s="39"/>
      <c r="RX97" s="39"/>
      <c r="RY97" s="39"/>
      <c r="RZ97" s="39"/>
      <c r="SA97" s="39"/>
      <c r="SB97" s="39"/>
      <c r="SC97" s="39"/>
      <c r="SD97" s="39"/>
      <c r="SE97" s="39"/>
      <c r="SF97" s="39"/>
      <c r="SG97" s="39"/>
      <c r="SH97" s="39"/>
      <c r="SI97" s="39"/>
      <c r="SJ97" s="39"/>
      <c r="SK97" s="39"/>
      <c r="SL97" s="39"/>
      <c r="SM97" s="39"/>
      <c r="SN97" s="39"/>
      <c r="SO97" s="39"/>
      <c r="SP97" s="39"/>
      <c r="SQ97" s="39"/>
      <c r="SR97" s="39"/>
      <c r="SS97" s="39"/>
      <c r="ST97" s="39"/>
      <c r="SU97" s="39"/>
      <c r="SV97" s="39"/>
      <c r="SW97" s="39"/>
      <c r="SX97" s="39"/>
      <c r="SY97" s="39"/>
      <c r="SZ97" s="39"/>
      <c r="TA97" s="39"/>
      <c r="TB97" s="39"/>
      <c r="TC97" s="39"/>
      <c r="TD97" s="39"/>
      <c r="TE97" s="39"/>
      <c r="TF97" s="39"/>
      <c r="TG97" s="39"/>
      <c r="TH97" s="39"/>
      <c r="TI97" s="39"/>
    </row>
    <row r="98" spans="1:529" s="23" customFormat="1" ht="45.75" customHeight="1" x14ac:dyDescent="0.25">
      <c r="A98" s="43" t="s">
        <v>217</v>
      </c>
      <c r="B98" s="44" t="str">
        <f>'дод 3'!A20</f>
        <v>0160</v>
      </c>
      <c r="C98" s="44" t="str">
        <f>'дод 3'!B20</f>
        <v>0111</v>
      </c>
      <c r="D98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98" s="69">
        <f t="shared" ref="E98:E117" si="36">F98+I98</f>
        <v>53425100</v>
      </c>
      <c r="F98" s="69">
        <f>55432800+254000-2496600+234900</f>
        <v>53425100</v>
      </c>
      <c r="G98" s="69">
        <f>43728800-2046400</f>
        <v>41682400</v>
      </c>
      <c r="H98" s="69">
        <v>841800</v>
      </c>
      <c r="I98" s="69"/>
      <c r="J98" s="69">
        <f>L98+O98</f>
        <v>0</v>
      </c>
      <c r="K98" s="69"/>
      <c r="L98" s="69"/>
      <c r="M98" s="69"/>
      <c r="N98" s="69"/>
      <c r="O98" s="69"/>
      <c r="P98" s="69">
        <f t="shared" ref="P98:P117" si="37">E98+J98</f>
        <v>53425100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</row>
    <row r="99" spans="1:529" s="26" customFormat="1" ht="36" customHeight="1" x14ac:dyDescent="0.25">
      <c r="A99" s="43" t="s">
        <v>218</v>
      </c>
      <c r="B99" s="44" t="str">
        <f>'дод 3'!A53</f>
        <v>3031</v>
      </c>
      <c r="C99" s="44" t="str">
        <f>'дод 3'!B53</f>
        <v>1030</v>
      </c>
      <c r="D99" s="24" t="str">
        <f>'дод 3'!C53</f>
        <v>Надання інших пільг окремим категоріям громадян відповідно до законодавства</v>
      </c>
      <c r="E99" s="69">
        <f t="shared" si="36"/>
        <v>582400</v>
      </c>
      <c r="F99" s="69">
        <v>582400</v>
      </c>
      <c r="G99" s="69"/>
      <c r="H99" s="69"/>
      <c r="I99" s="69"/>
      <c r="J99" s="69">
        <f t="shared" ref="J99:J114" si="38">L99+O99</f>
        <v>0</v>
      </c>
      <c r="K99" s="69">
        <f>232600-190600-42000</f>
        <v>0</v>
      </c>
      <c r="L99" s="69"/>
      <c r="M99" s="69"/>
      <c r="N99" s="69"/>
      <c r="O99" s="69">
        <f>232600-190600-42000</f>
        <v>0</v>
      </c>
      <c r="P99" s="69">
        <f t="shared" si="37"/>
        <v>582400</v>
      </c>
    </row>
    <row r="100" spans="1:529" s="26" customFormat="1" ht="42.75" customHeight="1" x14ac:dyDescent="0.25">
      <c r="A100" s="43" t="s">
        <v>219</v>
      </c>
      <c r="B100" s="44" t="str">
        <f>'дод 3'!A54</f>
        <v>3032</v>
      </c>
      <c r="C100" s="44" t="str">
        <f>'дод 3'!B54</f>
        <v>1070</v>
      </c>
      <c r="D100" s="24" t="str">
        <f>'дод 3'!C54</f>
        <v>Надання пільг окремим категоріям громадян з оплати послуг зв'язку</v>
      </c>
      <c r="E100" s="69">
        <f t="shared" si="36"/>
        <v>1295124</v>
      </c>
      <c r="F100" s="69">
        <f>1300000-4876</f>
        <v>1295124</v>
      </c>
      <c r="G100" s="69"/>
      <c r="H100" s="69"/>
      <c r="I100" s="69"/>
      <c r="J100" s="69">
        <f t="shared" si="38"/>
        <v>0</v>
      </c>
      <c r="K100" s="69"/>
      <c r="L100" s="69"/>
      <c r="M100" s="69"/>
      <c r="N100" s="69"/>
      <c r="O100" s="69"/>
      <c r="P100" s="69">
        <f t="shared" si="37"/>
        <v>1295124</v>
      </c>
    </row>
    <row r="101" spans="1:529" s="26" customFormat="1" ht="51.75" customHeight="1" x14ac:dyDescent="0.25">
      <c r="A101" s="43" t="s">
        <v>413</v>
      </c>
      <c r="B101" s="44" t="str">
        <f>'дод 3'!A55</f>
        <v>3033</v>
      </c>
      <c r="C101" s="44" t="str">
        <f>'дод 3'!B55</f>
        <v>1070</v>
      </c>
      <c r="D101" s="24" t="str">
        <f>'дод 3'!C55</f>
        <v>Компенсаційні виплати на пільговий проїзд автомобільним транспортом окремим категоріям громадян</v>
      </c>
      <c r="E101" s="69">
        <f t="shared" si="36"/>
        <v>24021763.129999999</v>
      </c>
      <c r="F101" s="69">
        <f>24500000+97100+2184757.11+39906.02-2800000</f>
        <v>24021763.129999999</v>
      </c>
      <c r="G101" s="69"/>
      <c r="H101" s="69"/>
      <c r="I101" s="69"/>
      <c r="J101" s="69">
        <f t="shared" si="38"/>
        <v>0</v>
      </c>
      <c r="K101" s="69"/>
      <c r="L101" s="69"/>
      <c r="M101" s="69"/>
      <c r="N101" s="69"/>
      <c r="O101" s="69"/>
      <c r="P101" s="69">
        <f t="shared" si="37"/>
        <v>24021763.129999999</v>
      </c>
    </row>
    <row r="102" spans="1:529" s="26" customFormat="1" ht="30" x14ac:dyDescent="0.25">
      <c r="A102" s="43" t="s">
        <v>381</v>
      </c>
      <c r="B102" s="44" t="str">
        <f>'дод 3'!A56</f>
        <v>3035</v>
      </c>
      <c r="C102" s="44" t="str">
        <f>'дод 3'!B56</f>
        <v>1070</v>
      </c>
      <c r="D102" s="24" t="str">
        <f>'дод 3'!C56</f>
        <v>Компенсаційні виплати за пільговий проїзд окремих категорій громадян на залізничному транспорті</v>
      </c>
      <c r="E102" s="69">
        <f t="shared" si="36"/>
        <v>1000000</v>
      </c>
      <c r="F102" s="69">
        <v>1000000</v>
      </c>
      <c r="G102" s="69"/>
      <c r="H102" s="69"/>
      <c r="I102" s="69"/>
      <c r="J102" s="69">
        <f t="shared" si="38"/>
        <v>0</v>
      </c>
      <c r="K102" s="69"/>
      <c r="L102" s="69"/>
      <c r="M102" s="69"/>
      <c r="N102" s="69"/>
      <c r="O102" s="69"/>
      <c r="P102" s="69">
        <f t="shared" si="37"/>
        <v>1000000</v>
      </c>
    </row>
    <row r="103" spans="1:529" s="26" customFormat="1" ht="36" customHeight="1" x14ac:dyDescent="0.25">
      <c r="A103" s="43" t="s">
        <v>220</v>
      </c>
      <c r="B103" s="44" t="str">
        <f>'дод 3'!A57</f>
        <v>3036</v>
      </c>
      <c r="C103" s="44" t="str">
        <f>'дод 3'!B57</f>
        <v>1070</v>
      </c>
      <c r="D103" s="24" t="str">
        <f>'дод 3'!C57</f>
        <v>Компенсаційні виплати на пільговий проїзд електротранспортом окремим категоріям громадян</v>
      </c>
      <c r="E103" s="69">
        <f t="shared" si="36"/>
        <v>26077955.5</v>
      </c>
      <c r="F103" s="69">
        <f>39098112+1372388+807455.5-15200000</f>
        <v>26077955.5</v>
      </c>
      <c r="G103" s="69"/>
      <c r="H103" s="69"/>
      <c r="I103" s="69"/>
      <c r="J103" s="69">
        <f t="shared" si="38"/>
        <v>0</v>
      </c>
      <c r="K103" s="69"/>
      <c r="L103" s="69"/>
      <c r="M103" s="69"/>
      <c r="N103" s="69"/>
      <c r="O103" s="69"/>
      <c r="P103" s="69">
        <f t="shared" si="37"/>
        <v>26077955.5</v>
      </c>
    </row>
    <row r="104" spans="1:529" s="23" customFormat="1" ht="44.25" customHeight="1" x14ac:dyDescent="0.25">
      <c r="A104" s="43" t="s">
        <v>411</v>
      </c>
      <c r="B104" s="44" t="str">
        <f>'дод 3'!A58</f>
        <v>3050</v>
      </c>
      <c r="C104" s="44" t="str">
        <f>'дод 3'!B58</f>
        <v>1070</v>
      </c>
      <c r="D104" s="24" t="str">
        <f>'дод 3'!C58</f>
        <v>Пільгове медичне обслуговування осіб, які постраждали внаслідок Чорнобильської катастрофи</v>
      </c>
      <c r="E104" s="69">
        <f t="shared" si="36"/>
        <v>853000</v>
      </c>
      <c r="F104" s="69">
        <v>853000</v>
      </c>
      <c r="G104" s="69"/>
      <c r="H104" s="69"/>
      <c r="I104" s="69"/>
      <c r="J104" s="69">
        <f t="shared" si="38"/>
        <v>0</v>
      </c>
      <c r="K104" s="69"/>
      <c r="L104" s="69"/>
      <c r="M104" s="69"/>
      <c r="N104" s="69"/>
      <c r="O104" s="69"/>
      <c r="P104" s="69">
        <f t="shared" si="37"/>
        <v>853000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</row>
    <row r="105" spans="1:529" s="23" customFormat="1" ht="38.25" customHeight="1" x14ac:dyDescent="0.25">
      <c r="A105" s="43" t="s">
        <v>412</v>
      </c>
      <c r="B105" s="44" t="str">
        <f>'дод 3'!A59</f>
        <v>3090</v>
      </c>
      <c r="C105" s="44" t="str">
        <f>'дод 3'!B59</f>
        <v>1030</v>
      </c>
      <c r="D105" s="24" t="str">
        <f>'дод 3'!C59</f>
        <v>Видатки на поховання учасників бойових дій та осіб з інвалідністю внаслідок війни</v>
      </c>
      <c r="E105" s="69">
        <f t="shared" si="36"/>
        <v>228400</v>
      </c>
      <c r="F105" s="69">
        <v>228400</v>
      </c>
      <c r="G105" s="69"/>
      <c r="H105" s="69"/>
      <c r="I105" s="69"/>
      <c r="J105" s="69">
        <f t="shared" si="38"/>
        <v>0</v>
      </c>
      <c r="K105" s="69"/>
      <c r="L105" s="69"/>
      <c r="M105" s="69"/>
      <c r="N105" s="69"/>
      <c r="O105" s="69"/>
      <c r="P105" s="69">
        <f t="shared" si="37"/>
        <v>228400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</row>
    <row r="106" spans="1:529" s="23" customFormat="1" ht="60.75" customHeight="1" x14ac:dyDescent="0.25">
      <c r="A106" s="43" t="s">
        <v>221</v>
      </c>
      <c r="B106" s="44" t="str">
        <f>'дод 3'!A60</f>
        <v>3104</v>
      </c>
      <c r="C106" s="44" t="str">
        <f>'дод 3'!B60</f>
        <v>1020</v>
      </c>
      <c r="D106" s="24" t="str">
        <f>'дод 3'!C60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06" s="69">
        <f t="shared" si="36"/>
        <v>13559330</v>
      </c>
      <c r="F106" s="69">
        <f>13527630+2100+29600</f>
        <v>13559330</v>
      </c>
      <c r="G106" s="69">
        <v>10389550</v>
      </c>
      <c r="H106" s="69">
        <v>230060</v>
      </c>
      <c r="I106" s="69"/>
      <c r="J106" s="69">
        <f t="shared" si="38"/>
        <v>471000</v>
      </c>
      <c r="K106" s="69">
        <f>342900+20000</f>
        <v>362900</v>
      </c>
      <c r="L106" s="69">
        <v>108100</v>
      </c>
      <c r="M106" s="69">
        <v>85100</v>
      </c>
      <c r="N106" s="69"/>
      <c r="O106" s="69">
        <f>342900+20000</f>
        <v>362900</v>
      </c>
      <c r="P106" s="69">
        <f t="shared" si="37"/>
        <v>14030330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</row>
    <row r="107" spans="1:529" s="23" customFormat="1" ht="87" customHeight="1" x14ac:dyDescent="0.25">
      <c r="A107" s="43" t="s">
        <v>222</v>
      </c>
      <c r="B107" s="44" t="str">
        <f>'дод 3'!A66</f>
        <v>3160</v>
      </c>
      <c r="C107" s="44">
        <f>'дод 3'!B66</f>
        <v>1010</v>
      </c>
      <c r="D107" s="24" t="str">
        <f>'дод 3'!C66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07" s="69">
        <f t="shared" si="36"/>
        <v>1895000</v>
      </c>
      <c r="F107" s="69">
        <f>1911000-16000</f>
        <v>1895000</v>
      </c>
      <c r="G107" s="69"/>
      <c r="H107" s="69"/>
      <c r="I107" s="69"/>
      <c r="J107" s="69">
        <f t="shared" si="38"/>
        <v>0</v>
      </c>
      <c r="K107" s="69"/>
      <c r="L107" s="69"/>
      <c r="M107" s="69"/>
      <c r="N107" s="69"/>
      <c r="O107" s="69"/>
      <c r="P107" s="69">
        <f t="shared" si="37"/>
        <v>1895000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</row>
    <row r="108" spans="1:529" s="23" customFormat="1" ht="63.75" customHeight="1" x14ac:dyDescent="0.25">
      <c r="A108" s="43" t="s">
        <v>414</v>
      </c>
      <c r="B108" s="44" t="str">
        <f>'дод 3'!A67</f>
        <v>3171</v>
      </c>
      <c r="C108" s="44">
        <f>'дод 3'!B67</f>
        <v>1010</v>
      </c>
      <c r="D108" s="24" t="str">
        <f>'дод 3'!C67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08" s="69">
        <f t="shared" si="36"/>
        <v>228095</v>
      </c>
      <c r="F108" s="69">
        <v>228095</v>
      </c>
      <c r="G108" s="69"/>
      <c r="H108" s="69"/>
      <c r="I108" s="69"/>
      <c r="J108" s="69">
        <f t="shared" si="38"/>
        <v>0</v>
      </c>
      <c r="K108" s="69"/>
      <c r="L108" s="69"/>
      <c r="M108" s="69"/>
      <c r="N108" s="69"/>
      <c r="O108" s="69"/>
      <c r="P108" s="69">
        <f t="shared" si="37"/>
        <v>228095</v>
      </c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</row>
    <row r="109" spans="1:529" s="23" customFormat="1" ht="43.5" customHeight="1" x14ac:dyDescent="0.25">
      <c r="A109" s="43" t="s">
        <v>415</v>
      </c>
      <c r="B109" s="44" t="str">
        <f>'дод 3'!A68</f>
        <v>3172</v>
      </c>
      <c r="C109" s="44">
        <f>'дод 3'!B68</f>
        <v>1010</v>
      </c>
      <c r="D109" s="24" t="str">
        <f>'дод 3'!C68</f>
        <v>Встановлення телефонів особам з інвалідністю I і II груп</v>
      </c>
      <c r="E109" s="69">
        <f t="shared" si="36"/>
        <v>90</v>
      </c>
      <c r="F109" s="69">
        <v>90</v>
      </c>
      <c r="G109" s="69"/>
      <c r="H109" s="69"/>
      <c r="I109" s="69"/>
      <c r="J109" s="69">
        <f t="shared" si="38"/>
        <v>0</v>
      </c>
      <c r="K109" s="69"/>
      <c r="L109" s="69"/>
      <c r="M109" s="69"/>
      <c r="N109" s="69"/>
      <c r="O109" s="69"/>
      <c r="P109" s="69">
        <f t="shared" si="37"/>
        <v>90</v>
      </c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</row>
    <row r="110" spans="1:529" s="23" customFormat="1" ht="77.25" customHeight="1" x14ac:dyDescent="0.25">
      <c r="A110" s="43" t="s">
        <v>223</v>
      </c>
      <c r="B110" s="44" t="str">
        <f>'дод 3'!A69</f>
        <v>3180</v>
      </c>
      <c r="C110" s="44" t="str">
        <f>'дод 3'!B69</f>
        <v>1060</v>
      </c>
      <c r="D110" s="24" t="str">
        <f>'дод 3'!C69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10" s="69">
        <f t="shared" si="36"/>
        <v>2075000</v>
      </c>
      <c r="F110" s="69">
        <f>1876300+198700</f>
        <v>2075000</v>
      </c>
      <c r="G110" s="69"/>
      <c r="H110" s="69"/>
      <c r="I110" s="69"/>
      <c r="J110" s="69">
        <f t="shared" si="38"/>
        <v>0</v>
      </c>
      <c r="K110" s="69"/>
      <c r="L110" s="69"/>
      <c r="M110" s="69"/>
      <c r="N110" s="69"/>
      <c r="O110" s="69"/>
      <c r="P110" s="69">
        <f t="shared" si="37"/>
        <v>2075000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</row>
    <row r="111" spans="1:529" s="23" customFormat="1" ht="27" customHeight="1" x14ac:dyDescent="0.25">
      <c r="A111" s="43" t="s">
        <v>360</v>
      </c>
      <c r="B111" s="44" t="str">
        <f>'дод 3'!A70</f>
        <v>3191</v>
      </c>
      <c r="C111" s="44" t="str">
        <f>'дод 3'!B70</f>
        <v>1030</v>
      </c>
      <c r="D111" s="24" t="str">
        <f>'дод 3'!C70</f>
        <v>Інші видатки на соціальний захист ветеранів війни та праці</v>
      </c>
      <c r="E111" s="69">
        <f t="shared" si="36"/>
        <v>2178000</v>
      </c>
      <c r="F111" s="69">
        <v>2178000</v>
      </c>
      <c r="G111" s="69"/>
      <c r="H111" s="69"/>
      <c r="I111" s="69"/>
      <c r="J111" s="69">
        <f t="shared" si="38"/>
        <v>0</v>
      </c>
      <c r="K111" s="69"/>
      <c r="L111" s="69"/>
      <c r="M111" s="69"/>
      <c r="N111" s="69"/>
      <c r="O111" s="69"/>
      <c r="P111" s="69">
        <f t="shared" si="37"/>
        <v>2178000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</row>
    <row r="112" spans="1:529" s="23" customFormat="1" ht="45" x14ac:dyDescent="0.25">
      <c r="A112" s="43" t="s">
        <v>361</v>
      </c>
      <c r="B112" s="44" t="str">
        <f>'дод 3'!A71</f>
        <v>3192</v>
      </c>
      <c r="C112" s="44" t="str">
        <f>'дод 3'!B71</f>
        <v>1030</v>
      </c>
      <c r="D112" s="24" t="str">
        <f>'дод 3'!C71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12" s="69">
        <f t="shared" si="36"/>
        <v>1892237</v>
      </c>
      <c r="F112" s="69">
        <f>1478776+413461</f>
        <v>1892237</v>
      </c>
      <c r="G112" s="69"/>
      <c r="H112" s="69"/>
      <c r="I112" s="69"/>
      <c r="J112" s="69">
        <f t="shared" si="38"/>
        <v>0</v>
      </c>
      <c r="K112" s="69"/>
      <c r="L112" s="69"/>
      <c r="M112" s="69"/>
      <c r="N112" s="69"/>
      <c r="O112" s="69"/>
      <c r="P112" s="69">
        <f t="shared" si="37"/>
        <v>1892237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</row>
    <row r="113" spans="1:529" s="23" customFormat="1" ht="41.25" customHeight="1" x14ac:dyDescent="0.25">
      <c r="A113" s="43" t="s">
        <v>224</v>
      </c>
      <c r="B113" s="44" t="str">
        <f>'дод 3'!A72</f>
        <v>3200</v>
      </c>
      <c r="C113" s="44" t="str">
        <f>'дод 3'!B72</f>
        <v>1090</v>
      </c>
      <c r="D113" s="24" t="str">
        <f>'дод 3'!C72</f>
        <v>Забезпечення обробки інформації з нарахування та виплати допомог і компенсацій</v>
      </c>
      <c r="E113" s="69">
        <f t="shared" si="36"/>
        <v>86500</v>
      </c>
      <c r="F113" s="69">
        <v>86500</v>
      </c>
      <c r="G113" s="69"/>
      <c r="H113" s="69"/>
      <c r="I113" s="69"/>
      <c r="J113" s="69">
        <f t="shared" si="38"/>
        <v>0</v>
      </c>
      <c r="K113" s="69"/>
      <c r="L113" s="69"/>
      <c r="M113" s="69"/>
      <c r="N113" s="69"/>
      <c r="O113" s="69"/>
      <c r="P113" s="69">
        <f t="shared" si="37"/>
        <v>86500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</row>
    <row r="114" spans="1:529" s="23" customFormat="1" ht="19.5" customHeight="1" x14ac:dyDescent="0.25">
      <c r="A114" s="52" t="s">
        <v>362</v>
      </c>
      <c r="B114" s="45" t="str">
        <f>'дод 3'!A73</f>
        <v>3210</v>
      </c>
      <c r="C114" s="45" t="str">
        <f>'дод 3'!B73</f>
        <v>1050</v>
      </c>
      <c r="D114" s="22" t="str">
        <f>'дод 3'!C73</f>
        <v>Організація та проведення громадських робіт</v>
      </c>
      <c r="E114" s="69">
        <f t="shared" si="36"/>
        <v>200000</v>
      </c>
      <c r="F114" s="69">
        <v>200000</v>
      </c>
      <c r="G114" s="69">
        <v>163935</v>
      </c>
      <c r="H114" s="69"/>
      <c r="I114" s="69"/>
      <c r="J114" s="69">
        <f t="shared" si="38"/>
        <v>0</v>
      </c>
      <c r="K114" s="69"/>
      <c r="L114" s="69"/>
      <c r="M114" s="69"/>
      <c r="N114" s="69"/>
      <c r="O114" s="69"/>
      <c r="P114" s="69">
        <f t="shared" si="37"/>
        <v>200000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</row>
    <row r="115" spans="1:529" s="23" customFormat="1" ht="31.5" customHeight="1" x14ac:dyDescent="0.25">
      <c r="A115" s="43" t="s">
        <v>359</v>
      </c>
      <c r="B115" s="44" t="str">
        <f>'дод 3'!A74</f>
        <v>3241</v>
      </c>
      <c r="C115" s="44" t="str">
        <f>'дод 3'!B74</f>
        <v>1090</v>
      </c>
      <c r="D115" s="24" t="str">
        <f>'дод 3'!C74</f>
        <v>Забезпечення діяльності інших закладів у сфері соціального захисту і соціального забезпечення</v>
      </c>
      <c r="E115" s="69">
        <f t="shared" si="36"/>
        <v>5497906</v>
      </c>
      <c r="F115" s="69">
        <f>5445830+31200-41000+61876</f>
        <v>5497906</v>
      </c>
      <c r="G115" s="69">
        <v>3343340</v>
      </c>
      <c r="H115" s="69">
        <f>543630-41000</f>
        <v>502630</v>
      </c>
      <c r="I115" s="69"/>
      <c r="J115" s="69">
        <f t="shared" ref="J115:J117" si="39">L115+O115</f>
        <v>761000</v>
      </c>
      <c r="K115" s="69">
        <f>200000+500000+40000+21000</f>
        <v>761000</v>
      </c>
      <c r="L115" s="69"/>
      <c r="M115" s="69"/>
      <c r="N115" s="69"/>
      <c r="O115" s="69">
        <f>200000+500000+40000+21000</f>
        <v>761000</v>
      </c>
      <c r="P115" s="69">
        <f t="shared" si="37"/>
        <v>6258906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</row>
    <row r="116" spans="1:529" s="23" customFormat="1" ht="33" customHeight="1" x14ac:dyDescent="0.25">
      <c r="A116" s="43" t="s">
        <v>416</v>
      </c>
      <c r="B116" s="44" t="str">
        <f>'дод 3'!A75</f>
        <v>3242</v>
      </c>
      <c r="C116" s="44" t="str">
        <f>'дод 3'!B75</f>
        <v>1090</v>
      </c>
      <c r="D116" s="24" t="str">
        <f>'дод 3'!C75</f>
        <v>Інші заходи у сфері соціального захисту і соціального забезпечення</v>
      </c>
      <c r="E116" s="69">
        <f t="shared" si="36"/>
        <v>33743826</v>
      </c>
      <c r="F116" s="69">
        <f>29645360-11+360800-350000+439024+43903+350000+2246300+418550+70000-29600+470500+63000+16000</f>
        <v>33743826</v>
      </c>
      <c r="G116" s="69"/>
      <c r="H116" s="69"/>
      <c r="I116" s="69"/>
      <c r="J116" s="69">
        <f t="shared" si="39"/>
        <v>35640</v>
      </c>
      <c r="K116" s="69">
        <v>35640</v>
      </c>
      <c r="L116" s="69"/>
      <c r="M116" s="69"/>
      <c r="N116" s="69"/>
      <c r="O116" s="69">
        <v>35640</v>
      </c>
      <c r="P116" s="69">
        <f t="shared" si="37"/>
        <v>33779466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</row>
    <row r="117" spans="1:529" s="23" customFormat="1" ht="31.5" customHeight="1" x14ac:dyDescent="0.25">
      <c r="A117" s="43" t="s">
        <v>307</v>
      </c>
      <c r="B117" s="44" t="str">
        <f>'дод 3'!A150</f>
        <v>9770</v>
      </c>
      <c r="C117" s="44" t="str">
        <f>'дод 3'!B150</f>
        <v>0180</v>
      </c>
      <c r="D117" s="24" t="str">
        <f>'дод 3'!C150</f>
        <v>Інші субвенції з місцевого бюджету</v>
      </c>
      <c r="E117" s="69">
        <f t="shared" si="36"/>
        <v>1070000</v>
      </c>
      <c r="F117" s="69">
        <v>1070000</v>
      </c>
      <c r="G117" s="69"/>
      <c r="H117" s="69"/>
      <c r="I117" s="69"/>
      <c r="J117" s="69">
        <f t="shared" si="39"/>
        <v>0</v>
      </c>
      <c r="K117" s="69"/>
      <c r="L117" s="69"/>
      <c r="M117" s="69"/>
      <c r="N117" s="69"/>
      <c r="O117" s="69"/>
      <c r="P117" s="69">
        <f t="shared" si="37"/>
        <v>1070000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</row>
    <row r="118" spans="1:529" s="31" customFormat="1" ht="28.5" customHeight="1" x14ac:dyDescent="0.2">
      <c r="A118" s="88" t="s">
        <v>225</v>
      </c>
      <c r="B118" s="72"/>
      <c r="C118" s="72"/>
      <c r="D118" s="30" t="s">
        <v>427</v>
      </c>
      <c r="E118" s="66">
        <f>E119</f>
        <v>5088200</v>
      </c>
      <c r="F118" s="66">
        <f t="shared" ref="F118:J118" si="40">F119</f>
        <v>5088200</v>
      </c>
      <c r="G118" s="66">
        <f t="shared" si="40"/>
        <v>3942800</v>
      </c>
      <c r="H118" s="66">
        <f t="shared" si="40"/>
        <v>57500</v>
      </c>
      <c r="I118" s="66">
        <f t="shared" si="40"/>
        <v>0</v>
      </c>
      <c r="J118" s="66">
        <f t="shared" si="40"/>
        <v>20000</v>
      </c>
      <c r="K118" s="66">
        <f t="shared" ref="K118" si="41">K119</f>
        <v>20000</v>
      </c>
      <c r="L118" s="66">
        <f t="shared" ref="L118" si="42">L119</f>
        <v>0</v>
      </c>
      <c r="M118" s="66">
        <f t="shared" ref="M118" si="43">M119</f>
        <v>0</v>
      </c>
      <c r="N118" s="66">
        <f t="shared" ref="N118" si="44">N119</f>
        <v>0</v>
      </c>
      <c r="O118" s="66">
        <f t="shared" ref="O118:P118" si="45">O119</f>
        <v>20000</v>
      </c>
      <c r="P118" s="66">
        <f t="shared" si="45"/>
        <v>5108200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  <c r="MC118" s="38"/>
      <c r="MD118" s="38"/>
      <c r="ME118" s="38"/>
      <c r="MF118" s="38"/>
      <c r="MG118" s="38"/>
      <c r="MH118" s="38"/>
      <c r="MI118" s="38"/>
      <c r="MJ118" s="38"/>
      <c r="MK118" s="38"/>
      <c r="ML118" s="38"/>
      <c r="MM118" s="38"/>
      <c r="MN118" s="38"/>
      <c r="MO118" s="38"/>
      <c r="MP118" s="38"/>
      <c r="MQ118" s="38"/>
      <c r="MR118" s="38"/>
      <c r="MS118" s="38"/>
      <c r="MT118" s="38"/>
      <c r="MU118" s="38"/>
      <c r="MV118" s="38"/>
      <c r="MW118" s="38"/>
      <c r="MX118" s="38"/>
      <c r="MY118" s="38"/>
      <c r="MZ118" s="38"/>
      <c r="NA118" s="38"/>
      <c r="NB118" s="38"/>
      <c r="NC118" s="38"/>
      <c r="ND118" s="38"/>
      <c r="NE118" s="38"/>
      <c r="NF118" s="38"/>
      <c r="NG118" s="38"/>
      <c r="NH118" s="38"/>
      <c r="NI118" s="38"/>
      <c r="NJ118" s="38"/>
      <c r="NK118" s="38"/>
      <c r="NL118" s="38"/>
      <c r="NM118" s="38"/>
      <c r="NN118" s="38"/>
      <c r="NO118" s="38"/>
      <c r="NP118" s="38"/>
      <c r="NQ118" s="38"/>
      <c r="NR118" s="38"/>
      <c r="NS118" s="38"/>
      <c r="NT118" s="38"/>
      <c r="NU118" s="38"/>
      <c r="NV118" s="38"/>
      <c r="NW118" s="38"/>
      <c r="NX118" s="38"/>
      <c r="NY118" s="38"/>
      <c r="NZ118" s="38"/>
      <c r="OA118" s="38"/>
      <c r="OB118" s="38"/>
      <c r="OC118" s="38"/>
      <c r="OD118" s="38"/>
      <c r="OE118" s="38"/>
      <c r="OF118" s="38"/>
      <c r="OG118" s="38"/>
      <c r="OH118" s="38"/>
      <c r="OI118" s="38"/>
      <c r="OJ118" s="38"/>
      <c r="OK118" s="38"/>
      <c r="OL118" s="38"/>
      <c r="OM118" s="38"/>
      <c r="ON118" s="38"/>
      <c r="OO118" s="38"/>
      <c r="OP118" s="38"/>
      <c r="OQ118" s="38"/>
      <c r="OR118" s="38"/>
      <c r="OS118" s="38"/>
      <c r="OT118" s="38"/>
      <c r="OU118" s="38"/>
      <c r="OV118" s="38"/>
      <c r="OW118" s="38"/>
      <c r="OX118" s="38"/>
      <c r="OY118" s="38"/>
      <c r="OZ118" s="38"/>
      <c r="PA118" s="38"/>
      <c r="PB118" s="38"/>
      <c r="PC118" s="38"/>
      <c r="PD118" s="38"/>
      <c r="PE118" s="38"/>
      <c r="PF118" s="38"/>
      <c r="PG118" s="38"/>
      <c r="PH118" s="38"/>
      <c r="PI118" s="38"/>
      <c r="PJ118" s="38"/>
      <c r="PK118" s="38"/>
      <c r="PL118" s="38"/>
      <c r="PM118" s="38"/>
      <c r="PN118" s="38"/>
      <c r="PO118" s="38"/>
      <c r="PP118" s="38"/>
      <c r="PQ118" s="38"/>
      <c r="PR118" s="38"/>
      <c r="PS118" s="38"/>
      <c r="PT118" s="38"/>
      <c r="PU118" s="38"/>
      <c r="PV118" s="38"/>
      <c r="PW118" s="38"/>
      <c r="PX118" s="38"/>
      <c r="PY118" s="38"/>
      <c r="PZ118" s="38"/>
      <c r="QA118" s="38"/>
      <c r="QB118" s="38"/>
      <c r="QC118" s="38"/>
      <c r="QD118" s="38"/>
      <c r="QE118" s="38"/>
      <c r="QF118" s="38"/>
      <c r="QG118" s="38"/>
      <c r="QH118" s="38"/>
      <c r="QI118" s="38"/>
      <c r="QJ118" s="38"/>
      <c r="QK118" s="38"/>
      <c r="QL118" s="38"/>
      <c r="QM118" s="38"/>
      <c r="QN118" s="38"/>
      <c r="QO118" s="38"/>
      <c r="QP118" s="38"/>
      <c r="QQ118" s="38"/>
      <c r="QR118" s="38"/>
      <c r="QS118" s="38"/>
      <c r="QT118" s="38"/>
      <c r="QU118" s="38"/>
      <c r="QV118" s="38"/>
      <c r="QW118" s="38"/>
      <c r="QX118" s="38"/>
      <c r="QY118" s="38"/>
      <c r="QZ118" s="38"/>
      <c r="RA118" s="38"/>
      <c r="RB118" s="38"/>
      <c r="RC118" s="38"/>
      <c r="RD118" s="38"/>
      <c r="RE118" s="38"/>
      <c r="RF118" s="38"/>
      <c r="RG118" s="38"/>
      <c r="RH118" s="38"/>
      <c r="RI118" s="38"/>
      <c r="RJ118" s="38"/>
      <c r="RK118" s="38"/>
      <c r="RL118" s="38"/>
      <c r="RM118" s="38"/>
      <c r="RN118" s="38"/>
      <c r="RO118" s="38"/>
      <c r="RP118" s="38"/>
      <c r="RQ118" s="38"/>
      <c r="RR118" s="38"/>
      <c r="RS118" s="38"/>
      <c r="RT118" s="38"/>
      <c r="RU118" s="38"/>
      <c r="RV118" s="38"/>
      <c r="RW118" s="38"/>
      <c r="RX118" s="38"/>
      <c r="RY118" s="38"/>
      <c r="RZ118" s="38"/>
      <c r="SA118" s="38"/>
      <c r="SB118" s="38"/>
      <c r="SC118" s="38"/>
      <c r="SD118" s="38"/>
      <c r="SE118" s="38"/>
      <c r="SF118" s="38"/>
      <c r="SG118" s="38"/>
      <c r="SH118" s="38"/>
      <c r="SI118" s="38"/>
      <c r="SJ118" s="38"/>
      <c r="SK118" s="38"/>
      <c r="SL118" s="38"/>
      <c r="SM118" s="38"/>
      <c r="SN118" s="38"/>
      <c r="SO118" s="38"/>
      <c r="SP118" s="38"/>
      <c r="SQ118" s="38"/>
      <c r="SR118" s="38"/>
      <c r="SS118" s="38"/>
      <c r="ST118" s="38"/>
      <c r="SU118" s="38"/>
      <c r="SV118" s="38"/>
      <c r="SW118" s="38"/>
      <c r="SX118" s="38"/>
      <c r="SY118" s="38"/>
      <c r="SZ118" s="38"/>
      <c r="TA118" s="38"/>
      <c r="TB118" s="38"/>
      <c r="TC118" s="38"/>
      <c r="TD118" s="38"/>
      <c r="TE118" s="38"/>
      <c r="TF118" s="38"/>
      <c r="TG118" s="38"/>
      <c r="TH118" s="38"/>
      <c r="TI118" s="38"/>
    </row>
    <row r="119" spans="1:529" s="40" customFormat="1" ht="29.25" customHeight="1" x14ac:dyDescent="0.25">
      <c r="A119" s="89" t="s">
        <v>226</v>
      </c>
      <c r="B119" s="73"/>
      <c r="C119" s="73"/>
      <c r="D119" s="33" t="s">
        <v>427</v>
      </c>
      <c r="E119" s="68">
        <f>E120+E121+E122</f>
        <v>5088200</v>
      </c>
      <c r="F119" s="68">
        <f t="shared" ref="F119:P119" si="46">F120+F121+F122</f>
        <v>5088200</v>
      </c>
      <c r="G119" s="68">
        <f t="shared" si="46"/>
        <v>3942800</v>
      </c>
      <c r="H119" s="68">
        <f t="shared" si="46"/>
        <v>57500</v>
      </c>
      <c r="I119" s="68">
        <f t="shared" si="46"/>
        <v>0</v>
      </c>
      <c r="J119" s="68">
        <f t="shared" si="46"/>
        <v>20000</v>
      </c>
      <c r="K119" s="68">
        <f t="shared" si="46"/>
        <v>20000</v>
      </c>
      <c r="L119" s="68">
        <f t="shared" si="46"/>
        <v>0</v>
      </c>
      <c r="M119" s="68">
        <f t="shared" si="46"/>
        <v>0</v>
      </c>
      <c r="N119" s="68">
        <f t="shared" si="46"/>
        <v>0</v>
      </c>
      <c r="O119" s="68">
        <f t="shared" si="46"/>
        <v>20000</v>
      </c>
      <c r="P119" s="68">
        <f t="shared" si="46"/>
        <v>5108200</v>
      </c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/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/>
      <c r="LL119" s="39"/>
      <c r="LM119" s="39"/>
      <c r="LN119" s="39"/>
      <c r="LO119" s="39"/>
      <c r="LP119" s="39"/>
      <c r="LQ119" s="39"/>
      <c r="LR119" s="39"/>
      <c r="LS119" s="39"/>
      <c r="LT119" s="39"/>
      <c r="LU119" s="39"/>
      <c r="LV119" s="39"/>
      <c r="LW119" s="39"/>
      <c r="LX119" s="39"/>
      <c r="LY119" s="39"/>
      <c r="LZ119" s="39"/>
      <c r="MA119" s="39"/>
      <c r="MB119" s="39"/>
      <c r="MC119" s="39"/>
      <c r="MD119" s="39"/>
      <c r="ME119" s="39"/>
      <c r="MF119" s="39"/>
      <c r="MG119" s="39"/>
      <c r="MH119" s="39"/>
      <c r="MI119" s="39"/>
      <c r="MJ119" s="39"/>
      <c r="MK119" s="39"/>
      <c r="ML119" s="39"/>
      <c r="MM119" s="39"/>
      <c r="MN119" s="39"/>
      <c r="MO119" s="39"/>
      <c r="MP119" s="39"/>
      <c r="MQ119" s="39"/>
      <c r="MR119" s="39"/>
      <c r="MS119" s="39"/>
      <c r="MT119" s="39"/>
      <c r="MU119" s="39"/>
      <c r="MV119" s="39"/>
      <c r="MW119" s="39"/>
      <c r="MX119" s="39"/>
      <c r="MY119" s="39"/>
      <c r="MZ119" s="39"/>
      <c r="NA119" s="39"/>
      <c r="NB119" s="39"/>
      <c r="NC119" s="39"/>
      <c r="ND119" s="39"/>
      <c r="NE119" s="39"/>
      <c r="NF119" s="39"/>
      <c r="NG119" s="39"/>
      <c r="NH119" s="39"/>
      <c r="NI119" s="39"/>
      <c r="NJ119" s="39"/>
      <c r="NK119" s="39"/>
      <c r="NL119" s="39"/>
      <c r="NM119" s="39"/>
      <c r="NN119" s="39"/>
      <c r="NO119" s="39"/>
      <c r="NP119" s="39"/>
      <c r="NQ119" s="39"/>
      <c r="NR119" s="39"/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/>
      <c r="OI119" s="39"/>
      <c r="OJ119" s="39"/>
      <c r="OK119" s="39"/>
      <c r="OL119" s="39"/>
      <c r="OM119" s="39"/>
      <c r="ON119" s="39"/>
      <c r="OO119" s="39"/>
      <c r="OP119" s="39"/>
      <c r="OQ119" s="39"/>
      <c r="OR119" s="39"/>
      <c r="OS119" s="39"/>
      <c r="OT119" s="39"/>
      <c r="OU119" s="39"/>
      <c r="OV119" s="39"/>
      <c r="OW119" s="39"/>
      <c r="OX119" s="39"/>
      <c r="OY119" s="39"/>
      <c r="OZ119" s="39"/>
      <c r="PA119" s="39"/>
      <c r="PB119" s="39"/>
      <c r="PC119" s="39"/>
      <c r="PD119" s="39"/>
      <c r="PE119" s="39"/>
      <c r="PF119" s="39"/>
      <c r="PG119" s="39"/>
      <c r="PH119" s="39"/>
      <c r="PI119" s="39"/>
      <c r="PJ119" s="39"/>
      <c r="PK119" s="39"/>
      <c r="PL119" s="39"/>
      <c r="PM119" s="39"/>
      <c r="PN119" s="39"/>
      <c r="PO119" s="39"/>
      <c r="PP119" s="39"/>
      <c r="PQ119" s="39"/>
      <c r="PR119" s="39"/>
      <c r="PS119" s="39"/>
      <c r="PT119" s="39"/>
      <c r="PU119" s="39"/>
      <c r="PV119" s="39"/>
      <c r="PW119" s="39"/>
      <c r="PX119" s="39"/>
      <c r="PY119" s="39"/>
      <c r="PZ119" s="39"/>
      <c r="QA119" s="39"/>
      <c r="QB119" s="39"/>
      <c r="QC119" s="39"/>
      <c r="QD119" s="39"/>
      <c r="QE119" s="39"/>
      <c r="QF119" s="39"/>
      <c r="QG119" s="39"/>
      <c r="QH119" s="39"/>
      <c r="QI119" s="39"/>
      <c r="QJ119" s="39"/>
      <c r="QK119" s="39"/>
      <c r="QL119" s="39"/>
      <c r="QM119" s="39"/>
      <c r="QN119" s="39"/>
      <c r="QO119" s="39"/>
      <c r="QP119" s="39"/>
      <c r="QQ119" s="39"/>
      <c r="QR119" s="39"/>
      <c r="QS119" s="39"/>
      <c r="QT119" s="39"/>
      <c r="QU119" s="39"/>
      <c r="QV119" s="39"/>
      <c r="QW119" s="39"/>
      <c r="QX119" s="39"/>
      <c r="QY119" s="39"/>
      <c r="QZ119" s="39"/>
      <c r="RA119" s="39"/>
      <c r="RB119" s="39"/>
      <c r="RC119" s="39"/>
      <c r="RD119" s="39"/>
      <c r="RE119" s="39"/>
      <c r="RF119" s="39"/>
      <c r="RG119" s="39"/>
      <c r="RH119" s="39"/>
      <c r="RI119" s="39"/>
      <c r="RJ119" s="39"/>
      <c r="RK119" s="39"/>
      <c r="RL119" s="39"/>
      <c r="RM119" s="39"/>
      <c r="RN119" s="39"/>
      <c r="RO119" s="39"/>
      <c r="RP119" s="39"/>
      <c r="RQ119" s="39"/>
      <c r="RR119" s="39"/>
      <c r="RS119" s="39"/>
      <c r="RT119" s="39"/>
      <c r="RU119" s="39"/>
      <c r="RV119" s="39"/>
      <c r="RW119" s="39"/>
      <c r="RX119" s="39"/>
      <c r="RY119" s="39"/>
      <c r="RZ119" s="39"/>
      <c r="SA119" s="39"/>
      <c r="SB119" s="39"/>
      <c r="SC119" s="39"/>
      <c r="SD119" s="39"/>
      <c r="SE119" s="39"/>
      <c r="SF119" s="39"/>
      <c r="SG119" s="39"/>
      <c r="SH119" s="39"/>
      <c r="SI119" s="39"/>
      <c r="SJ119" s="39"/>
      <c r="SK119" s="39"/>
      <c r="SL119" s="39"/>
      <c r="SM119" s="39"/>
      <c r="SN119" s="39"/>
      <c r="SO119" s="39"/>
      <c r="SP119" s="39"/>
      <c r="SQ119" s="39"/>
      <c r="SR119" s="39"/>
      <c r="SS119" s="39"/>
      <c r="ST119" s="39"/>
      <c r="SU119" s="39"/>
      <c r="SV119" s="39"/>
      <c r="SW119" s="39"/>
      <c r="SX119" s="39"/>
      <c r="SY119" s="39"/>
      <c r="SZ119" s="39"/>
      <c r="TA119" s="39"/>
      <c r="TB119" s="39"/>
      <c r="TC119" s="39"/>
      <c r="TD119" s="39"/>
      <c r="TE119" s="39"/>
      <c r="TF119" s="39"/>
      <c r="TG119" s="39"/>
      <c r="TH119" s="39"/>
      <c r="TI119" s="39"/>
    </row>
    <row r="120" spans="1:529" s="23" customFormat="1" ht="42.75" customHeight="1" x14ac:dyDescent="0.25">
      <c r="A120" s="43" t="s">
        <v>227</v>
      </c>
      <c r="B120" s="44" t="str">
        <f>'дод 3'!A20</f>
        <v>0160</v>
      </c>
      <c r="C120" s="44" t="str">
        <f>'дод 3'!B20</f>
        <v>0111</v>
      </c>
      <c r="D120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20" s="69">
        <f>F120+I120</f>
        <v>4997700</v>
      </c>
      <c r="F120" s="69">
        <f>5240600+10300-253200</f>
        <v>4997700</v>
      </c>
      <c r="G120" s="69">
        <f>4150400-207600</f>
        <v>3942800</v>
      </c>
      <c r="H120" s="69">
        <v>57500</v>
      </c>
      <c r="I120" s="69"/>
      <c r="J120" s="69">
        <f>L120+O120</f>
        <v>0</v>
      </c>
      <c r="K120" s="69"/>
      <c r="L120" s="69"/>
      <c r="M120" s="69"/>
      <c r="N120" s="69"/>
      <c r="O120" s="69"/>
      <c r="P120" s="69">
        <f>E120+J120</f>
        <v>4997700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</row>
    <row r="121" spans="1:529" s="23" customFormat="1" ht="60" x14ac:dyDescent="0.25">
      <c r="A121" s="43" t="s">
        <v>394</v>
      </c>
      <c r="B121" s="44">
        <v>3111</v>
      </c>
      <c r="C121" s="44">
        <v>1040</v>
      </c>
      <c r="D121" s="22" t="str">
        <f>'дод 3'!C61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21" s="69">
        <f>F121+I121</f>
        <v>0</v>
      </c>
      <c r="F121" s="69"/>
      <c r="G121" s="69"/>
      <c r="H121" s="69"/>
      <c r="I121" s="69"/>
      <c r="J121" s="69">
        <f t="shared" ref="J121:J122" si="47">L121+O121</f>
        <v>20000</v>
      </c>
      <c r="K121" s="69">
        <v>20000</v>
      </c>
      <c r="L121" s="69"/>
      <c r="M121" s="69"/>
      <c r="N121" s="69"/>
      <c r="O121" s="69">
        <v>20000</v>
      </c>
      <c r="P121" s="69">
        <f>E121+J121</f>
        <v>20000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</row>
    <row r="122" spans="1:529" s="23" customFormat="1" ht="36.75" customHeight="1" x14ac:dyDescent="0.25">
      <c r="A122" s="43" t="s">
        <v>228</v>
      </c>
      <c r="B122" s="44" t="str">
        <f>'дод 3'!A62</f>
        <v>3112</v>
      </c>
      <c r="C122" s="44" t="str">
        <f>'дод 3'!B62</f>
        <v>1040</v>
      </c>
      <c r="D122" s="24" t="str">
        <f>'дод 3'!C62</f>
        <v>Заходи державної політики з питань дітей та їх соціального захисту</v>
      </c>
      <c r="E122" s="69">
        <f>F122+I122</f>
        <v>90500</v>
      </c>
      <c r="F122" s="69">
        <v>90500</v>
      </c>
      <c r="G122" s="69"/>
      <c r="H122" s="69"/>
      <c r="I122" s="69"/>
      <c r="J122" s="69">
        <f t="shared" si="47"/>
        <v>0</v>
      </c>
      <c r="K122" s="69"/>
      <c r="L122" s="69"/>
      <c r="M122" s="69"/>
      <c r="N122" s="69"/>
      <c r="O122" s="69"/>
      <c r="P122" s="69">
        <f>E122+J122</f>
        <v>90500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</row>
    <row r="123" spans="1:529" s="31" customFormat="1" ht="22.5" customHeight="1" x14ac:dyDescent="0.2">
      <c r="A123" s="76" t="s">
        <v>35</v>
      </c>
      <c r="B123" s="74"/>
      <c r="C123" s="74"/>
      <c r="D123" s="30" t="s">
        <v>396</v>
      </c>
      <c r="E123" s="66">
        <f>E124</f>
        <v>65219215</v>
      </c>
      <c r="F123" s="66">
        <f t="shared" ref="F123:J123" si="48">F124</f>
        <v>65219215</v>
      </c>
      <c r="G123" s="66">
        <f t="shared" si="48"/>
        <v>47809400</v>
      </c>
      <c r="H123" s="66">
        <f t="shared" si="48"/>
        <v>2201760</v>
      </c>
      <c r="I123" s="66">
        <f t="shared" si="48"/>
        <v>0</v>
      </c>
      <c r="J123" s="66">
        <f t="shared" si="48"/>
        <v>4094635</v>
      </c>
      <c r="K123" s="66">
        <f t="shared" ref="K123" si="49">K124</f>
        <v>1275995</v>
      </c>
      <c r="L123" s="66">
        <f t="shared" ref="L123" si="50">L124</f>
        <v>2813920</v>
      </c>
      <c r="M123" s="66">
        <f t="shared" ref="M123" si="51">M124</f>
        <v>2279416</v>
      </c>
      <c r="N123" s="66">
        <f t="shared" ref="N123" si="52">N124</f>
        <v>3300</v>
      </c>
      <c r="O123" s="66">
        <f t="shared" ref="O123:P123" si="53">O124</f>
        <v>1280715</v>
      </c>
      <c r="P123" s="66">
        <f t="shared" si="53"/>
        <v>69313850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8"/>
      <c r="JO123" s="38"/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8"/>
      <c r="KK123" s="38"/>
      <c r="KL123" s="38"/>
      <c r="KM123" s="38"/>
      <c r="KN123" s="38"/>
      <c r="KO123" s="38"/>
      <c r="KP123" s="38"/>
      <c r="KQ123" s="38"/>
      <c r="KR123" s="38"/>
      <c r="KS123" s="38"/>
      <c r="KT123" s="38"/>
      <c r="KU123" s="38"/>
      <c r="KV123" s="38"/>
      <c r="KW123" s="38"/>
      <c r="KX123" s="38"/>
      <c r="KY123" s="38"/>
      <c r="KZ123" s="38"/>
      <c r="LA123" s="38"/>
      <c r="LB123" s="38"/>
      <c r="LC123" s="38"/>
      <c r="LD123" s="38"/>
      <c r="LE123" s="38"/>
      <c r="LF123" s="38"/>
      <c r="LG123" s="38"/>
      <c r="LH123" s="38"/>
      <c r="LI123" s="38"/>
      <c r="LJ123" s="38"/>
      <c r="LK123" s="38"/>
      <c r="LL123" s="38"/>
      <c r="LM123" s="38"/>
      <c r="LN123" s="38"/>
      <c r="LO123" s="38"/>
      <c r="LP123" s="38"/>
      <c r="LQ123" s="38"/>
      <c r="LR123" s="38"/>
      <c r="LS123" s="38"/>
      <c r="LT123" s="38"/>
      <c r="LU123" s="38"/>
      <c r="LV123" s="38"/>
      <c r="LW123" s="38"/>
      <c r="LX123" s="38"/>
      <c r="LY123" s="38"/>
      <c r="LZ123" s="38"/>
      <c r="MA123" s="38"/>
      <c r="MB123" s="38"/>
      <c r="MC123" s="38"/>
      <c r="MD123" s="38"/>
      <c r="ME123" s="38"/>
      <c r="MF123" s="38"/>
      <c r="MG123" s="38"/>
      <c r="MH123" s="38"/>
      <c r="MI123" s="38"/>
      <c r="MJ123" s="38"/>
      <c r="MK123" s="38"/>
      <c r="ML123" s="38"/>
      <c r="MM123" s="38"/>
      <c r="MN123" s="38"/>
      <c r="MO123" s="38"/>
      <c r="MP123" s="38"/>
      <c r="MQ123" s="38"/>
      <c r="MR123" s="38"/>
      <c r="MS123" s="38"/>
      <c r="MT123" s="38"/>
      <c r="MU123" s="38"/>
      <c r="MV123" s="38"/>
      <c r="MW123" s="38"/>
      <c r="MX123" s="38"/>
      <c r="MY123" s="38"/>
      <c r="MZ123" s="38"/>
      <c r="NA123" s="38"/>
      <c r="NB123" s="38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38"/>
      <c r="OI123" s="38"/>
      <c r="OJ123" s="38"/>
      <c r="OK123" s="38"/>
      <c r="OL123" s="38"/>
      <c r="OM123" s="38"/>
      <c r="ON123" s="38"/>
      <c r="OO123" s="38"/>
      <c r="OP123" s="38"/>
      <c r="OQ123" s="38"/>
      <c r="OR123" s="38"/>
      <c r="OS123" s="38"/>
      <c r="OT123" s="38"/>
      <c r="OU123" s="38"/>
      <c r="OV123" s="38"/>
      <c r="OW123" s="38"/>
      <c r="OX123" s="38"/>
      <c r="OY123" s="38"/>
      <c r="OZ123" s="38"/>
      <c r="PA123" s="38"/>
      <c r="PB123" s="38"/>
      <c r="PC123" s="38"/>
      <c r="PD123" s="38"/>
      <c r="PE123" s="38"/>
      <c r="PF123" s="38"/>
      <c r="PG123" s="38"/>
      <c r="PH123" s="38"/>
      <c r="PI123" s="38"/>
      <c r="PJ123" s="38"/>
      <c r="PK123" s="38"/>
      <c r="PL123" s="38"/>
      <c r="PM123" s="38"/>
      <c r="PN123" s="38"/>
      <c r="PO123" s="38"/>
      <c r="PP123" s="38"/>
      <c r="PQ123" s="38"/>
      <c r="PR123" s="38"/>
      <c r="PS123" s="38"/>
      <c r="PT123" s="38"/>
      <c r="PU123" s="38"/>
      <c r="PV123" s="38"/>
      <c r="PW123" s="38"/>
      <c r="PX123" s="38"/>
      <c r="PY123" s="38"/>
      <c r="PZ123" s="38"/>
      <c r="QA123" s="38"/>
      <c r="QB123" s="38"/>
      <c r="QC123" s="38"/>
      <c r="QD123" s="38"/>
      <c r="QE123" s="38"/>
      <c r="QF123" s="38"/>
      <c r="QG123" s="38"/>
      <c r="QH123" s="38"/>
      <c r="QI123" s="38"/>
      <c r="QJ123" s="38"/>
      <c r="QK123" s="38"/>
      <c r="QL123" s="38"/>
      <c r="QM123" s="38"/>
      <c r="QN123" s="38"/>
      <c r="QO123" s="38"/>
      <c r="QP123" s="38"/>
      <c r="QQ123" s="38"/>
      <c r="QR123" s="38"/>
      <c r="QS123" s="38"/>
      <c r="QT123" s="38"/>
      <c r="QU123" s="38"/>
      <c r="QV123" s="38"/>
      <c r="QW123" s="38"/>
      <c r="QX123" s="38"/>
      <c r="QY123" s="38"/>
      <c r="QZ123" s="38"/>
      <c r="RA123" s="38"/>
      <c r="RB123" s="38"/>
      <c r="RC123" s="38"/>
      <c r="RD123" s="38"/>
      <c r="RE123" s="38"/>
      <c r="RF123" s="38"/>
      <c r="RG123" s="38"/>
      <c r="RH123" s="38"/>
      <c r="RI123" s="38"/>
      <c r="RJ123" s="38"/>
      <c r="RK123" s="38"/>
      <c r="RL123" s="38"/>
      <c r="RM123" s="38"/>
      <c r="RN123" s="38"/>
      <c r="RO123" s="38"/>
      <c r="RP123" s="38"/>
      <c r="RQ123" s="38"/>
      <c r="RR123" s="38"/>
      <c r="RS123" s="38"/>
      <c r="RT123" s="38"/>
      <c r="RU123" s="38"/>
      <c r="RV123" s="38"/>
      <c r="RW123" s="38"/>
      <c r="RX123" s="38"/>
      <c r="RY123" s="38"/>
      <c r="RZ123" s="38"/>
      <c r="SA123" s="38"/>
      <c r="SB123" s="38"/>
      <c r="SC123" s="38"/>
      <c r="SD123" s="38"/>
      <c r="SE123" s="38"/>
      <c r="SF123" s="38"/>
      <c r="SG123" s="38"/>
      <c r="SH123" s="38"/>
      <c r="SI123" s="38"/>
      <c r="SJ123" s="38"/>
      <c r="SK123" s="38"/>
      <c r="SL123" s="38"/>
      <c r="SM123" s="38"/>
      <c r="SN123" s="38"/>
      <c r="SO123" s="38"/>
      <c r="SP123" s="38"/>
      <c r="SQ123" s="38"/>
      <c r="SR123" s="38"/>
      <c r="SS123" s="38"/>
      <c r="ST123" s="38"/>
      <c r="SU123" s="38"/>
      <c r="SV123" s="38"/>
      <c r="SW123" s="38"/>
      <c r="SX123" s="38"/>
      <c r="SY123" s="38"/>
      <c r="SZ123" s="38"/>
      <c r="TA123" s="38"/>
      <c r="TB123" s="38"/>
      <c r="TC123" s="38"/>
      <c r="TD123" s="38"/>
      <c r="TE123" s="38"/>
      <c r="TF123" s="38"/>
      <c r="TG123" s="38"/>
      <c r="TH123" s="38"/>
      <c r="TI123" s="38"/>
    </row>
    <row r="124" spans="1:529" s="40" customFormat="1" ht="21.75" customHeight="1" x14ac:dyDescent="0.25">
      <c r="A124" s="77" t="s">
        <v>229</v>
      </c>
      <c r="B124" s="75"/>
      <c r="C124" s="75"/>
      <c r="D124" s="33" t="s">
        <v>396</v>
      </c>
      <c r="E124" s="68">
        <f>E125+E126+E127+E129+E130++E131+E128+E132</f>
        <v>65219215</v>
      </c>
      <c r="F124" s="68">
        <f t="shared" ref="F124:P124" si="54">F125+F126+F127+F129+F130++F131+F128+F132</f>
        <v>65219215</v>
      </c>
      <c r="G124" s="68">
        <f t="shared" si="54"/>
        <v>47809400</v>
      </c>
      <c r="H124" s="68">
        <f t="shared" si="54"/>
        <v>2201760</v>
      </c>
      <c r="I124" s="68">
        <f t="shared" si="54"/>
        <v>0</v>
      </c>
      <c r="J124" s="68">
        <f t="shared" si="54"/>
        <v>4094635</v>
      </c>
      <c r="K124" s="68">
        <f>K125+K126+K127+K129+K130++K131+K128+K132</f>
        <v>1275995</v>
      </c>
      <c r="L124" s="68">
        <f t="shared" si="54"/>
        <v>2813920</v>
      </c>
      <c r="M124" s="68">
        <f t="shared" si="54"/>
        <v>2279416</v>
      </c>
      <c r="N124" s="68">
        <f t="shared" si="54"/>
        <v>3300</v>
      </c>
      <c r="O124" s="68">
        <f t="shared" si="54"/>
        <v>1280715</v>
      </c>
      <c r="P124" s="68">
        <f t="shared" si="54"/>
        <v>69313850</v>
      </c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/>
      <c r="RB124" s="39"/>
      <c r="RC124" s="39"/>
      <c r="RD124" s="39"/>
      <c r="RE124" s="39"/>
      <c r="RF124" s="39"/>
      <c r="RG124" s="39"/>
      <c r="RH124" s="39"/>
      <c r="RI124" s="39"/>
      <c r="RJ124" s="39"/>
      <c r="RK124" s="39"/>
      <c r="RL124" s="39"/>
      <c r="RM124" s="39"/>
      <c r="RN124" s="39"/>
      <c r="RO124" s="39"/>
      <c r="RP124" s="39"/>
      <c r="RQ124" s="39"/>
      <c r="RR124" s="39"/>
      <c r="RS124" s="39"/>
      <c r="RT124" s="39"/>
      <c r="RU124" s="39"/>
      <c r="RV124" s="39"/>
      <c r="RW124" s="39"/>
      <c r="RX124" s="39"/>
      <c r="RY124" s="39"/>
      <c r="RZ124" s="39"/>
      <c r="SA124" s="39"/>
      <c r="SB124" s="39"/>
      <c r="SC124" s="39"/>
      <c r="SD124" s="39"/>
      <c r="SE124" s="39"/>
      <c r="SF124" s="39"/>
      <c r="SG124" s="39"/>
      <c r="SH124" s="39"/>
      <c r="SI124" s="39"/>
      <c r="SJ124" s="39"/>
      <c r="SK124" s="39"/>
      <c r="SL124" s="39"/>
      <c r="SM124" s="39"/>
      <c r="SN124" s="39"/>
      <c r="SO124" s="39"/>
      <c r="SP124" s="39"/>
      <c r="SQ124" s="39"/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/>
      <c r="TC124" s="39"/>
      <c r="TD124" s="39"/>
      <c r="TE124" s="39"/>
      <c r="TF124" s="39"/>
      <c r="TG124" s="39"/>
      <c r="TH124" s="39"/>
      <c r="TI124" s="39"/>
    </row>
    <row r="125" spans="1:529" s="23" customFormat="1" ht="48" customHeight="1" x14ac:dyDescent="0.25">
      <c r="A125" s="43" t="s">
        <v>169</v>
      </c>
      <c r="B125" s="44" t="str">
        <f>'дод 3'!A20</f>
        <v>0160</v>
      </c>
      <c r="C125" s="44" t="str">
        <f>'дод 3'!B20</f>
        <v>0111</v>
      </c>
      <c r="D125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25" s="69">
        <f t="shared" ref="E125:E132" si="55">F125+I125</f>
        <v>1910700</v>
      </c>
      <c r="F125" s="69">
        <f>1862800+4400-90500+134000</f>
        <v>1910700</v>
      </c>
      <c r="G125" s="69">
        <f>1461200-74200</f>
        <v>1387000</v>
      </c>
      <c r="H125" s="69">
        <v>17700</v>
      </c>
      <c r="I125" s="69"/>
      <c r="J125" s="69">
        <f>L125+O125</f>
        <v>0</v>
      </c>
      <c r="K125" s="69"/>
      <c r="L125" s="69"/>
      <c r="M125" s="69"/>
      <c r="N125" s="69"/>
      <c r="O125" s="69"/>
      <c r="P125" s="69">
        <f t="shared" ref="P125:P132" si="56">E125+J125</f>
        <v>1910700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</row>
    <row r="126" spans="1:529" s="23" customFormat="1" ht="48.75" customHeight="1" x14ac:dyDescent="0.25">
      <c r="A126" s="43" t="s">
        <v>260</v>
      </c>
      <c r="B126" s="44" t="str">
        <f>'дод 3'!A31</f>
        <v>1100</v>
      </c>
      <c r="C126" s="44" t="str">
        <f>'дод 3'!B31</f>
        <v>0960</v>
      </c>
      <c r="D126" s="24" t="str">
        <f>'дод 3'!C31</f>
        <v>Надання спеціальної освіти мистецькими школами</v>
      </c>
      <c r="E126" s="69">
        <f t="shared" si="55"/>
        <v>39101600</v>
      </c>
      <c r="F126" s="69">
        <f>38963600+75000+63000</f>
        <v>39101600</v>
      </c>
      <c r="G126" s="69">
        <v>30830000</v>
      </c>
      <c r="H126" s="69">
        <v>793600</v>
      </c>
      <c r="I126" s="69"/>
      <c r="J126" s="69">
        <f t="shared" ref="J126:J132" si="57">L126+O126</f>
        <v>3321640</v>
      </c>
      <c r="K126" s="69">
        <f>100000+400000+7000+5000+30000</f>
        <v>542000</v>
      </c>
      <c r="L126" s="69">
        <v>2774920</v>
      </c>
      <c r="M126" s="69">
        <v>2267316</v>
      </c>
      <c r="N126" s="69"/>
      <c r="O126" s="69">
        <f>4720+500000+7000+5000+30000</f>
        <v>546720</v>
      </c>
      <c r="P126" s="69">
        <f t="shared" si="56"/>
        <v>42423240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  <c r="MA126" s="26"/>
      <c r="MB126" s="26"/>
      <c r="MC126" s="26"/>
      <c r="MD126" s="26"/>
      <c r="ME126" s="26"/>
      <c r="MF126" s="26"/>
      <c r="MG126" s="26"/>
      <c r="MH126" s="26"/>
      <c r="MI126" s="26"/>
      <c r="MJ126" s="26"/>
      <c r="MK126" s="26"/>
      <c r="ML126" s="26"/>
      <c r="MM126" s="26"/>
      <c r="MN126" s="26"/>
      <c r="MO126" s="26"/>
      <c r="MP126" s="26"/>
      <c r="MQ126" s="26"/>
      <c r="MR126" s="26"/>
      <c r="MS126" s="26"/>
      <c r="MT126" s="26"/>
      <c r="MU126" s="26"/>
      <c r="MV126" s="26"/>
      <c r="MW126" s="26"/>
      <c r="MX126" s="26"/>
      <c r="MY126" s="26"/>
      <c r="MZ126" s="26"/>
      <c r="NA126" s="26"/>
      <c r="NB126" s="26"/>
      <c r="NC126" s="26"/>
      <c r="ND126" s="26"/>
      <c r="NE126" s="26"/>
      <c r="NF126" s="26"/>
      <c r="NG126" s="26"/>
      <c r="NH126" s="26"/>
      <c r="NI126" s="26"/>
      <c r="NJ126" s="26"/>
      <c r="NK126" s="26"/>
      <c r="NL126" s="26"/>
      <c r="NM126" s="26"/>
      <c r="NN126" s="26"/>
      <c r="NO126" s="26"/>
      <c r="NP126" s="26"/>
      <c r="NQ126" s="26"/>
      <c r="NR126" s="26"/>
      <c r="NS126" s="26"/>
      <c r="NT126" s="26"/>
      <c r="NU126" s="26"/>
      <c r="NV126" s="26"/>
      <c r="NW126" s="26"/>
      <c r="NX126" s="26"/>
      <c r="NY126" s="26"/>
      <c r="NZ126" s="26"/>
      <c r="OA126" s="26"/>
      <c r="OB126" s="26"/>
      <c r="OC126" s="26"/>
      <c r="OD126" s="26"/>
      <c r="OE126" s="26"/>
      <c r="OF126" s="26"/>
      <c r="OG126" s="26"/>
      <c r="OH126" s="26"/>
      <c r="OI126" s="26"/>
      <c r="OJ126" s="26"/>
      <c r="OK126" s="26"/>
      <c r="OL126" s="26"/>
      <c r="OM126" s="26"/>
      <c r="ON126" s="26"/>
      <c r="OO126" s="26"/>
      <c r="OP126" s="26"/>
      <c r="OQ126" s="26"/>
      <c r="OR126" s="26"/>
      <c r="OS126" s="26"/>
      <c r="OT126" s="26"/>
      <c r="OU126" s="26"/>
      <c r="OV126" s="26"/>
      <c r="OW126" s="26"/>
      <c r="OX126" s="26"/>
      <c r="OY126" s="26"/>
      <c r="OZ126" s="26"/>
      <c r="PA126" s="26"/>
      <c r="PB126" s="26"/>
      <c r="PC126" s="26"/>
      <c r="PD126" s="26"/>
      <c r="PE126" s="26"/>
      <c r="PF126" s="26"/>
      <c r="PG126" s="26"/>
      <c r="PH126" s="26"/>
      <c r="PI126" s="26"/>
      <c r="PJ126" s="26"/>
      <c r="PK126" s="26"/>
      <c r="PL126" s="26"/>
      <c r="PM126" s="26"/>
      <c r="PN126" s="26"/>
      <c r="PO126" s="26"/>
      <c r="PP126" s="26"/>
      <c r="PQ126" s="26"/>
      <c r="PR126" s="26"/>
      <c r="PS126" s="26"/>
      <c r="PT126" s="26"/>
      <c r="PU126" s="26"/>
      <c r="PV126" s="26"/>
      <c r="PW126" s="26"/>
      <c r="PX126" s="26"/>
      <c r="PY126" s="26"/>
      <c r="PZ126" s="26"/>
      <c r="QA126" s="26"/>
      <c r="QB126" s="26"/>
      <c r="QC126" s="26"/>
      <c r="QD126" s="26"/>
      <c r="QE126" s="26"/>
      <c r="QF126" s="26"/>
      <c r="QG126" s="26"/>
      <c r="QH126" s="26"/>
      <c r="QI126" s="26"/>
      <c r="QJ126" s="26"/>
      <c r="QK126" s="26"/>
      <c r="QL126" s="26"/>
      <c r="QM126" s="26"/>
      <c r="QN126" s="26"/>
      <c r="QO126" s="26"/>
      <c r="QP126" s="26"/>
      <c r="QQ126" s="26"/>
      <c r="QR126" s="26"/>
      <c r="QS126" s="26"/>
      <c r="QT126" s="26"/>
      <c r="QU126" s="26"/>
      <c r="QV126" s="26"/>
      <c r="QW126" s="26"/>
      <c r="QX126" s="26"/>
      <c r="QY126" s="26"/>
      <c r="QZ126" s="26"/>
      <c r="RA126" s="26"/>
      <c r="RB126" s="26"/>
      <c r="RC126" s="26"/>
      <c r="RD126" s="26"/>
      <c r="RE126" s="26"/>
      <c r="RF126" s="26"/>
      <c r="RG126" s="26"/>
      <c r="RH126" s="26"/>
      <c r="RI126" s="26"/>
      <c r="RJ126" s="26"/>
      <c r="RK126" s="26"/>
      <c r="RL126" s="26"/>
      <c r="RM126" s="26"/>
      <c r="RN126" s="26"/>
      <c r="RO126" s="26"/>
      <c r="RP126" s="26"/>
      <c r="RQ126" s="26"/>
      <c r="RR126" s="26"/>
      <c r="RS126" s="26"/>
      <c r="RT126" s="26"/>
      <c r="RU126" s="26"/>
      <c r="RV126" s="26"/>
      <c r="RW126" s="26"/>
      <c r="RX126" s="26"/>
      <c r="RY126" s="26"/>
      <c r="RZ126" s="26"/>
      <c r="SA126" s="26"/>
      <c r="SB126" s="26"/>
      <c r="SC126" s="26"/>
      <c r="SD126" s="26"/>
      <c r="SE126" s="26"/>
      <c r="SF126" s="26"/>
      <c r="SG126" s="26"/>
      <c r="SH126" s="26"/>
      <c r="SI126" s="26"/>
      <c r="SJ126" s="26"/>
      <c r="SK126" s="26"/>
      <c r="SL126" s="26"/>
      <c r="SM126" s="26"/>
      <c r="SN126" s="26"/>
      <c r="SO126" s="26"/>
      <c r="SP126" s="26"/>
      <c r="SQ126" s="26"/>
      <c r="SR126" s="26"/>
      <c r="SS126" s="26"/>
      <c r="ST126" s="26"/>
      <c r="SU126" s="26"/>
      <c r="SV126" s="26"/>
      <c r="SW126" s="26"/>
      <c r="SX126" s="26"/>
      <c r="SY126" s="26"/>
      <c r="SZ126" s="26"/>
      <c r="TA126" s="26"/>
      <c r="TB126" s="26"/>
      <c r="TC126" s="26"/>
      <c r="TD126" s="26"/>
      <c r="TE126" s="26"/>
      <c r="TF126" s="26"/>
      <c r="TG126" s="26"/>
      <c r="TH126" s="26"/>
      <c r="TI126" s="26"/>
    </row>
    <row r="127" spans="1:529" s="23" customFormat="1" ht="21" customHeight="1" x14ac:dyDescent="0.25">
      <c r="A127" s="43" t="s">
        <v>230</v>
      </c>
      <c r="B127" s="44" t="str">
        <f>'дод 3'!A77</f>
        <v>4030</v>
      </c>
      <c r="C127" s="44" t="str">
        <f>'дод 3'!B77</f>
        <v>0824</v>
      </c>
      <c r="D127" s="24" t="str">
        <f>'дод 3'!C77</f>
        <v>Забезпечення діяльності бібліотек</v>
      </c>
      <c r="E127" s="69">
        <f t="shared" si="55"/>
        <v>19294735</v>
      </c>
      <c r="F127" s="69">
        <f>19098200+20000+169535+7000</f>
        <v>19294735</v>
      </c>
      <c r="G127" s="69">
        <v>13804000</v>
      </c>
      <c r="H127" s="69">
        <v>1346200</v>
      </c>
      <c r="I127" s="69"/>
      <c r="J127" s="69">
        <f t="shared" si="57"/>
        <v>346795</v>
      </c>
      <c r="K127" s="69">
        <f>100000+216795</f>
        <v>316795</v>
      </c>
      <c r="L127" s="69">
        <v>30000</v>
      </c>
      <c r="M127" s="69">
        <v>12100</v>
      </c>
      <c r="N127" s="69"/>
      <c r="O127" s="69">
        <f>100000+216795</f>
        <v>316795</v>
      </c>
      <c r="P127" s="69">
        <f t="shared" si="56"/>
        <v>19641530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</row>
    <row r="128" spans="1:529" s="23" customFormat="1" ht="27.75" customHeight="1" x14ac:dyDescent="0.25">
      <c r="A128" s="43">
        <v>1014060</v>
      </c>
      <c r="B128" s="44" t="str">
        <f>'дод 3'!A78</f>
        <v>4060</v>
      </c>
      <c r="C128" s="44" t="str">
        <f>'дод 3'!B78</f>
        <v>0828</v>
      </c>
      <c r="D128" s="24" t="str">
        <f>'дод 3'!C78</f>
        <v>Забезпечення діяльності палаців i будинків культури, клубів, центрів дозвілля та iнших клубних закладів</v>
      </c>
      <c r="E128" s="69">
        <f t="shared" si="55"/>
        <v>608480</v>
      </c>
      <c r="F128" s="69">
        <f>546680+61800</f>
        <v>608480</v>
      </c>
      <c r="G128" s="69">
        <v>424400</v>
      </c>
      <c r="H128" s="69">
        <v>11360</v>
      </c>
      <c r="I128" s="69"/>
      <c r="J128" s="69">
        <f t="shared" si="57"/>
        <v>27200</v>
      </c>
      <c r="K128" s="69">
        <v>21200</v>
      </c>
      <c r="L128" s="69">
        <v>6000</v>
      </c>
      <c r="M128" s="69"/>
      <c r="N128" s="69">
        <v>3300</v>
      </c>
      <c r="O128" s="69">
        <v>21200</v>
      </c>
      <c r="P128" s="69">
        <f t="shared" si="56"/>
        <v>635680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</row>
    <row r="129" spans="1:529" s="27" customFormat="1" ht="33.75" customHeight="1" x14ac:dyDescent="0.25">
      <c r="A129" s="43">
        <v>1014081</v>
      </c>
      <c r="B129" s="44" t="str">
        <f>'дод 3'!A79</f>
        <v>4081</v>
      </c>
      <c r="C129" s="44" t="str">
        <f>'дод 3'!B79</f>
        <v>0829</v>
      </c>
      <c r="D129" s="24" t="str">
        <f>'дод 3'!C79</f>
        <v>Забезпечення діяльності інших закладів в галузі культури і мистецтва</v>
      </c>
      <c r="E129" s="69">
        <f t="shared" si="55"/>
        <v>1803000</v>
      </c>
      <c r="F129" s="69">
        <v>1803000</v>
      </c>
      <c r="G129" s="69">
        <v>1364000</v>
      </c>
      <c r="H129" s="69">
        <v>32900</v>
      </c>
      <c r="I129" s="69"/>
      <c r="J129" s="69">
        <f t="shared" si="57"/>
        <v>0</v>
      </c>
      <c r="K129" s="69"/>
      <c r="L129" s="69"/>
      <c r="M129" s="69"/>
      <c r="N129" s="69"/>
      <c r="O129" s="69"/>
      <c r="P129" s="69">
        <f t="shared" si="56"/>
        <v>1803000</v>
      </c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  <c r="JD129" s="36"/>
      <c r="JE129" s="36"/>
      <c r="JF129" s="36"/>
      <c r="JG129" s="36"/>
      <c r="JH129" s="36"/>
      <c r="JI129" s="36"/>
      <c r="JJ129" s="36"/>
      <c r="JK129" s="36"/>
      <c r="JL129" s="36"/>
      <c r="JM129" s="36"/>
      <c r="JN129" s="36"/>
      <c r="JO129" s="36"/>
      <c r="JP129" s="36"/>
      <c r="JQ129" s="36"/>
      <c r="JR129" s="36"/>
      <c r="JS129" s="36"/>
      <c r="JT129" s="36"/>
      <c r="JU129" s="36"/>
      <c r="JV129" s="36"/>
      <c r="JW129" s="36"/>
      <c r="JX129" s="36"/>
      <c r="JY129" s="36"/>
      <c r="JZ129" s="36"/>
      <c r="KA129" s="36"/>
      <c r="KB129" s="36"/>
      <c r="KC129" s="36"/>
      <c r="KD129" s="36"/>
      <c r="KE129" s="36"/>
      <c r="KF129" s="36"/>
      <c r="KG129" s="36"/>
      <c r="KH129" s="36"/>
      <c r="KI129" s="36"/>
      <c r="KJ129" s="36"/>
      <c r="KK129" s="36"/>
      <c r="KL129" s="36"/>
      <c r="KM129" s="36"/>
      <c r="KN129" s="36"/>
      <c r="KO129" s="36"/>
      <c r="KP129" s="36"/>
      <c r="KQ129" s="36"/>
      <c r="KR129" s="36"/>
      <c r="KS129" s="36"/>
      <c r="KT129" s="36"/>
      <c r="KU129" s="36"/>
      <c r="KV129" s="36"/>
      <c r="KW129" s="36"/>
      <c r="KX129" s="36"/>
      <c r="KY129" s="36"/>
      <c r="KZ129" s="36"/>
      <c r="LA129" s="36"/>
      <c r="LB129" s="36"/>
      <c r="LC129" s="36"/>
      <c r="LD129" s="36"/>
      <c r="LE129" s="36"/>
      <c r="LF129" s="36"/>
      <c r="LG129" s="36"/>
      <c r="LH129" s="36"/>
      <c r="LI129" s="36"/>
      <c r="LJ129" s="36"/>
      <c r="LK129" s="36"/>
      <c r="LL129" s="36"/>
      <c r="LM129" s="36"/>
      <c r="LN129" s="36"/>
      <c r="LO129" s="36"/>
      <c r="LP129" s="36"/>
      <c r="LQ129" s="36"/>
      <c r="LR129" s="36"/>
      <c r="LS129" s="36"/>
      <c r="LT129" s="36"/>
      <c r="LU129" s="36"/>
      <c r="LV129" s="36"/>
      <c r="LW129" s="36"/>
      <c r="LX129" s="36"/>
      <c r="LY129" s="36"/>
      <c r="LZ129" s="36"/>
      <c r="MA129" s="36"/>
      <c r="MB129" s="36"/>
      <c r="MC129" s="36"/>
      <c r="MD129" s="36"/>
      <c r="ME129" s="36"/>
      <c r="MF129" s="36"/>
      <c r="MG129" s="36"/>
      <c r="MH129" s="36"/>
      <c r="MI129" s="36"/>
      <c r="MJ129" s="36"/>
      <c r="MK129" s="36"/>
      <c r="ML129" s="36"/>
      <c r="MM129" s="36"/>
      <c r="MN129" s="36"/>
      <c r="MO129" s="36"/>
      <c r="MP129" s="36"/>
      <c r="MQ129" s="36"/>
      <c r="MR129" s="36"/>
      <c r="MS129" s="36"/>
      <c r="MT129" s="36"/>
      <c r="MU129" s="36"/>
      <c r="MV129" s="36"/>
      <c r="MW129" s="36"/>
      <c r="MX129" s="36"/>
      <c r="MY129" s="36"/>
      <c r="MZ129" s="36"/>
      <c r="NA129" s="36"/>
      <c r="NB129" s="36"/>
      <c r="NC129" s="36"/>
      <c r="ND129" s="36"/>
      <c r="NE129" s="36"/>
      <c r="NF129" s="36"/>
      <c r="NG129" s="36"/>
      <c r="NH129" s="36"/>
      <c r="NI129" s="36"/>
      <c r="NJ129" s="36"/>
      <c r="NK129" s="36"/>
      <c r="NL129" s="36"/>
      <c r="NM129" s="36"/>
      <c r="NN129" s="36"/>
      <c r="NO129" s="36"/>
      <c r="NP129" s="36"/>
      <c r="NQ129" s="36"/>
      <c r="NR129" s="36"/>
      <c r="NS129" s="36"/>
      <c r="NT129" s="36"/>
      <c r="NU129" s="36"/>
      <c r="NV129" s="36"/>
      <c r="NW129" s="36"/>
      <c r="NX129" s="36"/>
      <c r="NY129" s="36"/>
      <c r="NZ129" s="36"/>
      <c r="OA129" s="36"/>
      <c r="OB129" s="36"/>
      <c r="OC129" s="36"/>
      <c r="OD129" s="36"/>
      <c r="OE129" s="36"/>
      <c r="OF129" s="36"/>
      <c r="OG129" s="36"/>
      <c r="OH129" s="36"/>
      <c r="OI129" s="36"/>
      <c r="OJ129" s="36"/>
      <c r="OK129" s="36"/>
      <c r="OL129" s="36"/>
      <c r="OM129" s="36"/>
      <c r="ON129" s="36"/>
      <c r="OO129" s="36"/>
      <c r="OP129" s="36"/>
      <c r="OQ129" s="36"/>
      <c r="OR129" s="36"/>
      <c r="OS129" s="36"/>
      <c r="OT129" s="36"/>
      <c r="OU129" s="36"/>
      <c r="OV129" s="36"/>
      <c r="OW129" s="36"/>
      <c r="OX129" s="36"/>
      <c r="OY129" s="36"/>
      <c r="OZ129" s="36"/>
      <c r="PA129" s="36"/>
      <c r="PB129" s="36"/>
      <c r="PC129" s="36"/>
      <c r="PD129" s="36"/>
      <c r="PE129" s="36"/>
      <c r="PF129" s="36"/>
      <c r="PG129" s="36"/>
      <c r="PH129" s="36"/>
      <c r="PI129" s="36"/>
      <c r="PJ129" s="36"/>
      <c r="PK129" s="36"/>
      <c r="PL129" s="36"/>
      <c r="PM129" s="36"/>
      <c r="PN129" s="36"/>
      <c r="PO129" s="36"/>
      <c r="PP129" s="36"/>
      <c r="PQ129" s="36"/>
      <c r="PR129" s="36"/>
      <c r="PS129" s="36"/>
      <c r="PT129" s="36"/>
      <c r="PU129" s="36"/>
      <c r="PV129" s="36"/>
      <c r="PW129" s="36"/>
      <c r="PX129" s="36"/>
      <c r="PY129" s="36"/>
      <c r="PZ129" s="36"/>
      <c r="QA129" s="36"/>
      <c r="QB129" s="36"/>
      <c r="QC129" s="36"/>
      <c r="QD129" s="36"/>
      <c r="QE129" s="36"/>
      <c r="QF129" s="36"/>
      <c r="QG129" s="36"/>
      <c r="QH129" s="36"/>
      <c r="QI129" s="36"/>
      <c r="QJ129" s="36"/>
      <c r="QK129" s="36"/>
      <c r="QL129" s="36"/>
      <c r="QM129" s="36"/>
      <c r="QN129" s="36"/>
      <c r="QO129" s="36"/>
      <c r="QP129" s="36"/>
      <c r="QQ129" s="36"/>
      <c r="QR129" s="36"/>
      <c r="QS129" s="36"/>
      <c r="QT129" s="36"/>
      <c r="QU129" s="36"/>
      <c r="QV129" s="36"/>
      <c r="QW129" s="36"/>
      <c r="QX129" s="36"/>
      <c r="QY129" s="36"/>
      <c r="QZ129" s="36"/>
      <c r="RA129" s="36"/>
      <c r="RB129" s="36"/>
      <c r="RC129" s="36"/>
      <c r="RD129" s="36"/>
      <c r="RE129" s="36"/>
      <c r="RF129" s="36"/>
      <c r="RG129" s="36"/>
      <c r="RH129" s="36"/>
      <c r="RI129" s="36"/>
      <c r="RJ129" s="36"/>
      <c r="RK129" s="36"/>
      <c r="RL129" s="36"/>
      <c r="RM129" s="36"/>
      <c r="RN129" s="36"/>
      <c r="RO129" s="36"/>
      <c r="RP129" s="36"/>
      <c r="RQ129" s="36"/>
      <c r="RR129" s="36"/>
      <c r="RS129" s="36"/>
      <c r="RT129" s="36"/>
      <c r="RU129" s="36"/>
      <c r="RV129" s="36"/>
      <c r="RW129" s="36"/>
      <c r="RX129" s="36"/>
      <c r="RY129" s="36"/>
      <c r="RZ129" s="36"/>
      <c r="SA129" s="36"/>
      <c r="SB129" s="36"/>
      <c r="SC129" s="36"/>
      <c r="SD129" s="36"/>
      <c r="SE129" s="36"/>
      <c r="SF129" s="36"/>
      <c r="SG129" s="36"/>
      <c r="SH129" s="36"/>
      <c r="SI129" s="36"/>
      <c r="SJ129" s="36"/>
      <c r="SK129" s="36"/>
      <c r="SL129" s="36"/>
      <c r="SM129" s="36"/>
      <c r="SN129" s="36"/>
      <c r="SO129" s="36"/>
      <c r="SP129" s="36"/>
      <c r="SQ129" s="36"/>
      <c r="SR129" s="36"/>
      <c r="SS129" s="36"/>
      <c r="ST129" s="36"/>
      <c r="SU129" s="36"/>
      <c r="SV129" s="36"/>
      <c r="SW129" s="36"/>
      <c r="SX129" s="36"/>
      <c r="SY129" s="36"/>
      <c r="SZ129" s="36"/>
      <c r="TA129" s="36"/>
      <c r="TB129" s="36"/>
      <c r="TC129" s="36"/>
      <c r="TD129" s="36"/>
      <c r="TE129" s="36"/>
      <c r="TF129" s="36"/>
      <c r="TG129" s="36"/>
      <c r="TH129" s="36"/>
      <c r="TI129" s="36"/>
    </row>
    <row r="130" spans="1:529" s="27" customFormat="1" ht="25.5" customHeight="1" x14ac:dyDescent="0.25">
      <c r="A130" s="43">
        <v>1014082</v>
      </c>
      <c r="B130" s="44" t="str">
        <f>'дод 3'!A80</f>
        <v>4082</v>
      </c>
      <c r="C130" s="44" t="str">
        <f>'дод 3'!B80</f>
        <v>0829</v>
      </c>
      <c r="D130" s="24" t="str">
        <f>'дод 3'!C80</f>
        <v>Інші заходи в галузі культури і мистецтва</v>
      </c>
      <c r="E130" s="69">
        <f t="shared" si="55"/>
        <v>2500700</v>
      </c>
      <c r="F130" s="69">
        <f>2265700+15000+100000+120000</f>
        <v>2500700</v>
      </c>
      <c r="G130" s="69"/>
      <c r="H130" s="69"/>
      <c r="I130" s="69"/>
      <c r="J130" s="69">
        <f t="shared" si="57"/>
        <v>0</v>
      </c>
      <c r="K130" s="69"/>
      <c r="L130" s="69"/>
      <c r="M130" s="69"/>
      <c r="N130" s="69"/>
      <c r="O130" s="69"/>
      <c r="P130" s="69">
        <f t="shared" si="56"/>
        <v>2500700</v>
      </c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  <c r="IW130" s="36"/>
      <c r="IX130" s="36"/>
      <c r="IY130" s="36"/>
      <c r="IZ130" s="36"/>
      <c r="JA130" s="36"/>
      <c r="JB130" s="36"/>
      <c r="JC130" s="36"/>
      <c r="JD130" s="36"/>
      <c r="JE130" s="36"/>
      <c r="JF130" s="36"/>
      <c r="JG130" s="36"/>
      <c r="JH130" s="36"/>
      <c r="JI130" s="36"/>
      <c r="JJ130" s="36"/>
      <c r="JK130" s="36"/>
      <c r="JL130" s="36"/>
      <c r="JM130" s="36"/>
      <c r="JN130" s="36"/>
      <c r="JO130" s="36"/>
      <c r="JP130" s="36"/>
      <c r="JQ130" s="36"/>
      <c r="JR130" s="36"/>
      <c r="JS130" s="36"/>
      <c r="JT130" s="36"/>
      <c r="JU130" s="36"/>
      <c r="JV130" s="36"/>
      <c r="JW130" s="36"/>
      <c r="JX130" s="36"/>
      <c r="JY130" s="36"/>
      <c r="JZ130" s="36"/>
      <c r="KA130" s="36"/>
      <c r="KB130" s="36"/>
      <c r="KC130" s="36"/>
      <c r="KD130" s="36"/>
      <c r="KE130" s="36"/>
      <c r="KF130" s="36"/>
      <c r="KG130" s="36"/>
      <c r="KH130" s="36"/>
      <c r="KI130" s="36"/>
      <c r="KJ130" s="36"/>
      <c r="KK130" s="36"/>
      <c r="KL130" s="36"/>
      <c r="KM130" s="36"/>
      <c r="KN130" s="36"/>
      <c r="KO130" s="36"/>
      <c r="KP130" s="36"/>
      <c r="KQ130" s="36"/>
      <c r="KR130" s="36"/>
      <c r="KS130" s="36"/>
      <c r="KT130" s="36"/>
      <c r="KU130" s="36"/>
      <c r="KV130" s="36"/>
      <c r="KW130" s="36"/>
      <c r="KX130" s="36"/>
      <c r="KY130" s="36"/>
      <c r="KZ130" s="36"/>
      <c r="LA130" s="36"/>
      <c r="LB130" s="36"/>
      <c r="LC130" s="36"/>
      <c r="LD130" s="36"/>
      <c r="LE130" s="36"/>
      <c r="LF130" s="36"/>
      <c r="LG130" s="36"/>
      <c r="LH130" s="36"/>
      <c r="LI130" s="36"/>
      <c r="LJ130" s="36"/>
      <c r="LK130" s="36"/>
      <c r="LL130" s="36"/>
      <c r="LM130" s="36"/>
      <c r="LN130" s="36"/>
      <c r="LO130" s="36"/>
      <c r="LP130" s="36"/>
      <c r="LQ130" s="36"/>
      <c r="LR130" s="36"/>
      <c r="LS130" s="36"/>
      <c r="LT130" s="36"/>
      <c r="LU130" s="36"/>
      <c r="LV130" s="36"/>
      <c r="LW130" s="36"/>
      <c r="LX130" s="36"/>
      <c r="LY130" s="36"/>
      <c r="LZ130" s="36"/>
      <c r="MA130" s="36"/>
      <c r="MB130" s="36"/>
      <c r="MC130" s="36"/>
      <c r="MD130" s="36"/>
      <c r="ME130" s="36"/>
      <c r="MF130" s="36"/>
      <c r="MG130" s="36"/>
      <c r="MH130" s="36"/>
      <c r="MI130" s="36"/>
      <c r="MJ130" s="36"/>
      <c r="MK130" s="36"/>
      <c r="ML130" s="36"/>
      <c r="MM130" s="36"/>
      <c r="MN130" s="36"/>
      <c r="MO130" s="36"/>
      <c r="MP130" s="36"/>
      <c r="MQ130" s="36"/>
      <c r="MR130" s="36"/>
      <c r="MS130" s="36"/>
      <c r="MT130" s="36"/>
      <c r="MU130" s="36"/>
      <c r="MV130" s="36"/>
      <c r="MW130" s="36"/>
      <c r="MX130" s="36"/>
      <c r="MY130" s="36"/>
      <c r="MZ130" s="36"/>
      <c r="NA130" s="36"/>
      <c r="NB130" s="36"/>
      <c r="NC130" s="36"/>
      <c r="ND130" s="36"/>
      <c r="NE130" s="36"/>
      <c r="NF130" s="36"/>
      <c r="NG130" s="36"/>
      <c r="NH130" s="36"/>
      <c r="NI130" s="36"/>
      <c r="NJ130" s="36"/>
      <c r="NK130" s="36"/>
      <c r="NL130" s="36"/>
      <c r="NM130" s="36"/>
      <c r="NN130" s="36"/>
      <c r="NO130" s="36"/>
      <c r="NP130" s="36"/>
      <c r="NQ130" s="36"/>
      <c r="NR130" s="36"/>
      <c r="NS130" s="36"/>
      <c r="NT130" s="36"/>
      <c r="NU130" s="36"/>
      <c r="NV130" s="36"/>
      <c r="NW130" s="36"/>
      <c r="NX130" s="36"/>
      <c r="NY130" s="36"/>
      <c r="NZ130" s="36"/>
      <c r="OA130" s="36"/>
      <c r="OB130" s="36"/>
      <c r="OC130" s="36"/>
      <c r="OD130" s="36"/>
      <c r="OE130" s="36"/>
      <c r="OF130" s="36"/>
      <c r="OG130" s="36"/>
      <c r="OH130" s="36"/>
      <c r="OI130" s="36"/>
      <c r="OJ130" s="36"/>
      <c r="OK130" s="36"/>
      <c r="OL130" s="36"/>
      <c r="OM130" s="36"/>
      <c r="ON130" s="36"/>
      <c r="OO130" s="36"/>
      <c r="OP130" s="36"/>
      <c r="OQ130" s="36"/>
      <c r="OR130" s="36"/>
      <c r="OS130" s="36"/>
      <c r="OT130" s="36"/>
      <c r="OU130" s="36"/>
      <c r="OV130" s="36"/>
      <c r="OW130" s="36"/>
      <c r="OX130" s="36"/>
      <c r="OY130" s="36"/>
      <c r="OZ130" s="36"/>
      <c r="PA130" s="36"/>
      <c r="PB130" s="36"/>
      <c r="PC130" s="36"/>
      <c r="PD130" s="36"/>
      <c r="PE130" s="36"/>
      <c r="PF130" s="36"/>
      <c r="PG130" s="36"/>
      <c r="PH130" s="36"/>
      <c r="PI130" s="36"/>
      <c r="PJ130" s="36"/>
      <c r="PK130" s="36"/>
      <c r="PL130" s="36"/>
      <c r="PM130" s="36"/>
      <c r="PN130" s="36"/>
      <c r="PO130" s="36"/>
      <c r="PP130" s="36"/>
      <c r="PQ130" s="36"/>
      <c r="PR130" s="36"/>
      <c r="PS130" s="36"/>
      <c r="PT130" s="36"/>
      <c r="PU130" s="36"/>
      <c r="PV130" s="36"/>
      <c r="PW130" s="36"/>
      <c r="PX130" s="36"/>
      <c r="PY130" s="36"/>
      <c r="PZ130" s="36"/>
      <c r="QA130" s="36"/>
      <c r="QB130" s="36"/>
      <c r="QC130" s="36"/>
      <c r="QD130" s="36"/>
      <c r="QE130" s="36"/>
      <c r="QF130" s="36"/>
      <c r="QG130" s="36"/>
      <c r="QH130" s="36"/>
      <c r="QI130" s="36"/>
      <c r="QJ130" s="36"/>
      <c r="QK130" s="36"/>
      <c r="QL130" s="36"/>
      <c r="QM130" s="36"/>
      <c r="QN130" s="36"/>
      <c r="QO130" s="36"/>
      <c r="QP130" s="36"/>
      <c r="QQ130" s="36"/>
      <c r="QR130" s="36"/>
      <c r="QS130" s="36"/>
      <c r="QT130" s="36"/>
      <c r="QU130" s="36"/>
      <c r="QV130" s="36"/>
      <c r="QW130" s="36"/>
      <c r="QX130" s="36"/>
      <c r="QY130" s="36"/>
      <c r="QZ130" s="36"/>
      <c r="RA130" s="36"/>
      <c r="RB130" s="36"/>
      <c r="RC130" s="36"/>
      <c r="RD130" s="36"/>
      <c r="RE130" s="36"/>
      <c r="RF130" s="36"/>
      <c r="RG130" s="36"/>
      <c r="RH130" s="36"/>
      <c r="RI130" s="36"/>
      <c r="RJ130" s="36"/>
      <c r="RK130" s="36"/>
      <c r="RL130" s="36"/>
      <c r="RM130" s="36"/>
      <c r="RN130" s="36"/>
      <c r="RO130" s="36"/>
      <c r="RP130" s="36"/>
      <c r="RQ130" s="36"/>
      <c r="RR130" s="36"/>
      <c r="RS130" s="36"/>
      <c r="RT130" s="36"/>
      <c r="RU130" s="36"/>
      <c r="RV130" s="36"/>
      <c r="RW130" s="36"/>
      <c r="RX130" s="36"/>
      <c r="RY130" s="36"/>
      <c r="RZ130" s="36"/>
      <c r="SA130" s="36"/>
      <c r="SB130" s="36"/>
      <c r="SC130" s="36"/>
      <c r="SD130" s="36"/>
      <c r="SE130" s="36"/>
      <c r="SF130" s="36"/>
      <c r="SG130" s="36"/>
      <c r="SH130" s="36"/>
      <c r="SI130" s="36"/>
      <c r="SJ130" s="36"/>
      <c r="SK130" s="36"/>
      <c r="SL130" s="36"/>
      <c r="SM130" s="36"/>
      <c r="SN130" s="36"/>
      <c r="SO130" s="36"/>
      <c r="SP130" s="36"/>
      <c r="SQ130" s="36"/>
      <c r="SR130" s="36"/>
      <c r="SS130" s="36"/>
      <c r="ST130" s="36"/>
      <c r="SU130" s="36"/>
      <c r="SV130" s="36"/>
      <c r="SW130" s="36"/>
      <c r="SX130" s="36"/>
      <c r="SY130" s="36"/>
      <c r="SZ130" s="36"/>
      <c r="TA130" s="36"/>
      <c r="TB130" s="36"/>
      <c r="TC130" s="36"/>
      <c r="TD130" s="36"/>
      <c r="TE130" s="36"/>
      <c r="TF130" s="36"/>
      <c r="TG130" s="36"/>
      <c r="TH130" s="36"/>
      <c r="TI130" s="36"/>
    </row>
    <row r="131" spans="1:529" s="23" customFormat="1" ht="22.5" customHeight="1" x14ac:dyDescent="0.25">
      <c r="A131" s="43" t="s">
        <v>176</v>
      </c>
      <c r="B131" s="44" t="str">
        <f>'дод 3'!A124</f>
        <v>7640</v>
      </c>
      <c r="C131" s="44" t="str">
        <f>'дод 3'!B124</f>
        <v>0470</v>
      </c>
      <c r="D131" s="24" t="str">
        <f>'дод 3'!C124</f>
        <v>Заходи з енергозбереження</v>
      </c>
      <c r="E131" s="69">
        <f t="shared" si="55"/>
        <v>0</v>
      </c>
      <c r="F131" s="69"/>
      <c r="G131" s="69"/>
      <c r="H131" s="69"/>
      <c r="I131" s="69"/>
      <c r="J131" s="69">
        <f t="shared" si="57"/>
        <v>396000</v>
      </c>
      <c r="K131" s="69">
        <v>396000</v>
      </c>
      <c r="L131" s="69"/>
      <c r="M131" s="69"/>
      <c r="N131" s="69"/>
      <c r="O131" s="69">
        <v>396000</v>
      </c>
      <c r="P131" s="69">
        <f t="shared" si="56"/>
        <v>396000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</row>
    <row r="132" spans="1:529" s="23" customFormat="1" ht="22.5" customHeight="1" x14ac:dyDescent="0.25">
      <c r="A132" s="43">
        <v>1018340</v>
      </c>
      <c r="B132" s="44" t="str">
        <f>'дод 3'!A141</f>
        <v>8340</v>
      </c>
      <c r="C132" s="44" t="str">
        <f>'дод 3'!B141</f>
        <v>0540</v>
      </c>
      <c r="D132" s="78" t="str">
        <f>'дод 3'!C141</f>
        <v>Природоохоронні заходи за рахунок цільових фондів</v>
      </c>
      <c r="E132" s="69">
        <f t="shared" si="55"/>
        <v>0</v>
      </c>
      <c r="F132" s="69"/>
      <c r="G132" s="69"/>
      <c r="H132" s="69"/>
      <c r="I132" s="69"/>
      <c r="J132" s="69">
        <f t="shared" si="57"/>
        <v>3000</v>
      </c>
      <c r="K132" s="69"/>
      <c r="L132" s="69">
        <v>3000</v>
      </c>
      <c r="M132" s="69"/>
      <c r="N132" s="69"/>
      <c r="O132" s="69"/>
      <c r="P132" s="69">
        <f t="shared" si="56"/>
        <v>3000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</row>
    <row r="133" spans="1:529" s="31" customFormat="1" ht="34.5" customHeight="1" x14ac:dyDescent="0.2">
      <c r="A133" s="76" t="s">
        <v>231</v>
      </c>
      <c r="B133" s="74"/>
      <c r="C133" s="74"/>
      <c r="D133" s="30" t="s">
        <v>44</v>
      </c>
      <c r="E133" s="66">
        <f>E134</f>
        <v>260066551.95999998</v>
      </c>
      <c r="F133" s="66">
        <f t="shared" ref="F133:J133" si="58">F134</f>
        <v>223967019.95999998</v>
      </c>
      <c r="G133" s="66">
        <f t="shared" si="58"/>
        <v>10434500</v>
      </c>
      <c r="H133" s="66">
        <f t="shared" si="58"/>
        <v>28061106</v>
      </c>
      <c r="I133" s="66">
        <f t="shared" si="58"/>
        <v>36099532</v>
      </c>
      <c r="J133" s="66">
        <f t="shared" si="58"/>
        <v>193085189.63999999</v>
      </c>
      <c r="K133" s="66">
        <f t="shared" ref="K133" si="59">K134</f>
        <v>107116055.92</v>
      </c>
      <c r="L133" s="66">
        <f t="shared" ref="L133" si="60">L134</f>
        <v>82026890.269999996</v>
      </c>
      <c r="M133" s="66">
        <f t="shared" ref="M133" si="61">M134</f>
        <v>0</v>
      </c>
      <c r="N133" s="66">
        <f t="shared" ref="N133" si="62">N134</f>
        <v>540000</v>
      </c>
      <c r="O133" s="66">
        <f t="shared" ref="O133:P133" si="63">O134</f>
        <v>111058299.37</v>
      </c>
      <c r="P133" s="66">
        <f t="shared" si="63"/>
        <v>453151741.59999996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  <c r="IW133" s="38"/>
      <c r="IX133" s="38"/>
      <c r="IY133" s="38"/>
      <c r="IZ133" s="38"/>
      <c r="JA133" s="38"/>
      <c r="JB133" s="38"/>
      <c r="JC133" s="38"/>
      <c r="JD133" s="38"/>
      <c r="JE133" s="38"/>
      <c r="JF133" s="38"/>
      <c r="JG133" s="38"/>
      <c r="JH133" s="38"/>
      <c r="JI133" s="38"/>
      <c r="JJ133" s="38"/>
      <c r="JK133" s="38"/>
      <c r="JL133" s="38"/>
      <c r="JM133" s="38"/>
      <c r="JN133" s="38"/>
      <c r="JO133" s="38"/>
      <c r="JP133" s="38"/>
      <c r="JQ133" s="38"/>
      <c r="JR133" s="38"/>
      <c r="JS133" s="38"/>
      <c r="JT133" s="38"/>
      <c r="JU133" s="38"/>
      <c r="JV133" s="38"/>
      <c r="JW133" s="38"/>
      <c r="JX133" s="38"/>
      <c r="JY133" s="38"/>
      <c r="JZ133" s="38"/>
      <c r="KA133" s="38"/>
      <c r="KB133" s="38"/>
      <c r="KC133" s="38"/>
      <c r="KD133" s="38"/>
      <c r="KE133" s="38"/>
      <c r="KF133" s="38"/>
      <c r="KG133" s="38"/>
      <c r="KH133" s="38"/>
      <c r="KI133" s="38"/>
      <c r="KJ133" s="38"/>
      <c r="KK133" s="38"/>
      <c r="KL133" s="38"/>
      <c r="KM133" s="38"/>
      <c r="KN133" s="38"/>
      <c r="KO133" s="38"/>
      <c r="KP133" s="38"/>
      <c r="KQ133" s="38"/>
      <c r="KR133" s="38"/>
      <c r="KS133" s="38"/>
      <c r="KT133" s="38"/>
      <c r="KU133" s="38"/>
      <c r="KV133" s="38"/>
      <c r="KW133" s="38"/>
      <c r="KX133" s="38"/>
      <c r="KY133" s="38"/>
      <c r="KZ133" s="38"/>
      <c r="LA133" s="38"/>
      <c r="LB133" s="38"/>
      <c r="LC133" s="38"/>
      <c r="LD133" s="38"/>
      <c r="LE133" s="38"/>
      <c r="LF133" s="38"/>
      <c r="LG133" s="38"/>
      <c r="LH133" s="38"/>
      <c r="LI133" s="38"/>
      <c r="LJ133" s="38"/>
      <c r="LK133" s="38"/>
      <c r="LL133" s="38"/>
      <c r="LM133" s="38"/>
      <c r="LN133" s="38"/>
      <c r="LO133" s="38"/>
      <c r="LP133" s="38"/>
      <c r="LQ133" s="38"/>
      <c r="LR133" s="38"/>
      <c r="LS133" s="38"/>
      <c r="LT133" s="38"/>
      <c r="LU133" s="38"/>
      <c r="LV133" s="38"/>
      <c r="LW133" s="38"/>
      <c r="LX133" s="38"/>
      <c r="LY133" s="38"/>
      <c r="LZ133" s="38"/>
      <c r="MA133" s="38"/>
      <c r="MB133" s="38"/>
      <c r="MC133" s="38"/>
      <c r="MD133" s="38"/>
      <c r="ME133" s="38"/>
      <c r="MF133" s="38"/>
      <c r="MG133" s="38"/>
      <c r="MH133" s="38"/>
      <c r="MI133" s="38"/>
      <c r="MJ133" s="38"/>
      <c r="MK133" s="38"/>
      <c r="ML133" s="38"/>
      <c r="MM133" s="38"/>
      <c r="MN133" s="38"/>
      <c r="MO133" s="38"/>
      <c r="MP133" s="38"/>
      <c r="MQ133" s="38"/>
      <c r="MR133" s="38"/>
      <c r="MS133" s="38"/>
      <c r="MT133" s="38"/>
      <c r="MU133" s="38"/>
      <c r="MV133" s="38"/>
      <c r="MW133" s="38"/>
      <c r="MX133" s="38"/>
      <c r="MY133" s="38"/>
      <c r="MZ133" s="38"/>
      <c r="NA133" s="38"/>
      <c r="NB133" s="38"/>
      <c r="NC133" s="38"/>
      <c r="ND133" s="38"/>
      <c r="NE133" s="38"/>
      <c r="NF133" s="38"/>
      <c r="NG133" s="38"/>
      <c r="NH133" s="38"/>
      <c r="NI133" s="38"/>
      <c r="NJ133" s="38"/>
      <c r="NK133" s="38"/>
      <c r="NL133" s="38"/>
      <c r="NM133" s="38"/>
      <c r="NN133" s="38"/>
      <c r="NO133" s="38"/>
      <c r="NP133" s="38"/>
      <c r="NQ133" s="38"/>
      <c r="NR133" s="38"/>
      <c r="NS133" s="38"/>
      <c r="NT133" s="38"/>
      <c r="NU133" s="38"/>
      <c r="NV133" s="38"/>
      <c r="NW133" s="38"/>
      <c r="NX133" s="38"/>
      <c r="NY133" s="38"/>
      <c r="NZ133" s="38"/>
      <c r="OA133" s="38"/>
      <c r="OB133" s="38"/>
      <c r="OC133" s="38"/>
      <c r="OD133" s="38"/>
      <c r="OE133" s="38"/>
      <c r="OF133" s="38"/>
      <c r="OG133" s="38"/>
      <c r="OH133" s="38"/>
      <c r="OI133" s="38"/>
      <c r="OJ133" s="38"/>
      <c r="OK133" s="38"/>
      <c r="OL133" s="38"/>
      <c r="OM133" s="38"/>
      <c r="ON133" s="38"/>
      <c r="OO133" s="38"/>
      <c r="OP133" s="38"/>
      <c r="OQ133" s="38"/>
      <c r="OR133" s="38"/>
      <c r="OS133" s="38"/>
      <c r="OT133" s="38"/>
      <c r="OU133" s="38"/>
      <c r="OV133" s="38"/>
      <c r="OW133" s="38"/>
      <c r="OX133" s="38"/>
      <c r="OY133" s="38"/>
      <c r="OZ133" s="38"/>
      <c r="PA133" s="38"/>
      <c r="PB133" s="38"/>
      <c r="PC133" s="38"/>
      <c r="PD133" s="38"/>
      <c r="PE133" s="38"/>
      <c r="PF133" s="38"/>
      <c r="PG133" s="38"/>
      <c r="PH133" s="38"/>
      <c r="PI133" s="38"/>
      <c r="PJ133" s="38"/>
      <c r="PK133" s="38"/>
      <c r="PL133" s="38"/>
      <c r="PM133" s="38"/>
      <c r="PN133" s="38"/>
      <c r="PO133" s="38"/>
      <c r="PP133" s="38"/>
      <c r="PQ133" s="38"/>
      <c r="PR133" s="38"/>
      <c r="PS133" s="38"/>
      <c r="PT133" s="38"/>
      <c r="PU133" s="38"/>
      <c r="PV133" s="38"/>
      <c r="PW133" s="38"/>
      <c r="PX133" s="38"/>
      <c r="PY133" s="38"/>
      <c r="PZ133" s="38"/>
      <c r="QA133" s="38"/>
      <c r="QB133" s="38"/>
      <c r="QC133" s="38"/>
      <c r="QD133" s="38"/>
      <c r="QE133" s="38"/>
      <c r="QF133" s="38"/>
      <c r="QG133" s="38"/>
      <c r="QH133" s="38"/>
      <c r="QI133" s="38"/>
      <c r="QJ133" s="38"/>
      <c r="QK133" s="38"/>
      <c r="QL133" s="38"/>
      <c r="QM133" s="38"/>
      <c r="QN133" s="38"/>
      <c r="QO133" s="38"/>
      <c r="QP133" s="38"/>
      <c r="QQ133" s="38"/>
      <c r="QR133" s="38"/>
      <c r="QS133" s="38"/>
      <c r="QT133" s="38"/>
      <c r="QU133" s="38"/>
      <c r="QV133" s="38"/>
      <c r="QW133" s="38"/>
      <c r="QX133" s="38"/>
      <c r="QY133" s="38"/>
      <c r="QZ133" s="38"/>
      <c r="RA133" s="38"/>
      <c r="RB133" s="38"/>
      <c r="RC133" s="38"/>
      <c r="RD133" s="38"/>
      <c r="RE133" s="38"/>
      <c r="RF133" s="38"/>
      <c r="RG133" s="38"/>
      <c r="RH133" s="38"/>
      <c r="RI133" s="38"/>
      <c r="RJ133" s="38"/>
      <c r="RK133" s="38"/>
      <c r="RL133" s="38"/>
      <c r="RM133" s="38"/>
      <c r="RN133" s="38"/>
      <c r="RO133" s="38"/>
      <c r="RP133" s="38"/>
      <c r="RQ133" s="38"/>
      <c r="RR133" s="38"/>
      <c r="RS133" s="38"/>
      <c r="RT133" s="38"/>
      <c r="RU133" s="38"/>
      <c r="RV133" s="38"/>
      <c r="RW133" s="38"/>
      <c r="RX133" s="38"/>
      <c r="RY133" s="38"/>
      <c r="RZ133" s="38"/>
      <c r="SA133" s="38"/>
      <c r="SB133" s="38"/>
      <c r="SC133" s="38"/>
      <c r="SD133" s="38"/>
      <c r="SE133" s="38"/>
      <c r="SF133" s="38"/>
      <c r="SG133" s="38"/>
      <c r="SH133" s="38"/>
      <c r="SI133" s="38"/>
      <c r="SJ133" s="38"/>
      <c r="SK133" s="38"/>
      <c r="SL133" s="38"/>
      <c r="SM133" s="38"/>
      <c r="SN133" s="38"/>
      <c r="SO133" s="38"/>
      <c r="SP133" s="38"/>
      <c r="SQ133" s="38"/>
      <c r="SR133" s="38"/>
      <c r="SS133" s="38"/>
      <c r="ST133" s="38"/>
      <c r="SU133" s="38"/>
      <c r="SV133" s="38"/>
      <c r="SW133" s="38"/>
      <c r="SX133" s="38"/>
      <c r="SY133" s="38"/>
      <c r="SZ133" s="38"/>
      <c r="TA133" s="38"/>
      <c r="TB133" s="38"/>
      <c r="TC133" s="38"/>
      <c r="TD133" s="38"/>
      <c r="TE133" s="38"/>
      <c r="TF133" s="38"/>
      <c r="TG133" s="38"/>
      <c r="TH133" s="38"/>
      <c r="TI133" s="38"/>
    </row>
    <row r="134" spans="1:529" s="40" customFormat="1" ht="36.75" customHeight="1" x14ac:dyDescent="0.25">
      <c r="A134" s="77" t="s">
        <v>232</v>
      </c>
      <c r="B134" s="75"/>
      <c r="C134" s="75"/>
      <c r="D134" s="33" t="s">
        <v>44</v>
      </c>
      <c r="E134" s="68">
        <f>E136+E137+E138+E139+E140+E141+E142+E143+E144+E145+E146+E147+E148+E150+E154+E155+E156+E159+E160+E149+E152+E158+E157</f>
        <v>260066551.95999998</v>
      </c>
      <c r="F134" s="68">
        <f t="shared" ref="F134:P134" si="64">F136+F137+F138+F139+F140+F141+F142+F143+F144+F145+F146+F147+F148+F150+F154+F155+F156+F159+F160+F149+F152+F158+F157</f>
        <v>223967019.95999998</v>
      </c>
      <c r="G134" s="68">
        <f t="shared" si="64"/>
        <v>10434500</v>
      </c>
      <c r="H134" s="68">
        <f t="shared" si="64"/>
        <v>28061106</v>
      </c>
      <c r="I134" s="68">
        <f t="shared" si="64"/>
        <v>36099532</v>
      </c>
      <c r="J134" s="68">
        <f t="shared" si="64"/>
        <v>193085189.63999999</v>
      </c>
      <c r="K134" s="68">
        <f t="shared" si="64"/>
        <v>107116055.92</v>
      </c>
      <c r="L134" s="68">
        <f t="shared" si="64"/>
        <v>82026890.269999996</v>
      </c>
      <c r="M134" s="68">
        <f t="shared" si="64"/>
        <v>0</v>
      </c>
      <c r="N134" s="68">
        <f t="shared" si="64"/>
        <v>540000</v>
      </c>
      <c r="O134" s="68">
        <f t="shared" si="64"/>
        <v>111058299.37</v>
      </c>
      <c r="P134" s="68">
        <f t="shared" si="64"/>
        <v>453151741.59999996</v>
      </c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  <c r="IQ134" s="39"/>
      <c r="IR134" s="39"/>
      <c r="IS134" s="39"/>
      <c r="IT134" s="39"/>
      <c r="IU134" s="39"/>
      <c r="IV134" s="39"/>
      <c r="IW134" s="39"/>
      <c r="IX134" s="39"/>
      <c r="IY134" s="39"/>
      <c r="IZ134" s="39"/>
      <c r="JA134" s="39"/>
      <c r="JB134" s="39"/>
      <c r="JC134" s="39"/>
      <c r="JD134" s="39"/>
      <c r="JE134" s="39"/>
      <c r="JF134" s="39"/>
      <c r="JG134" s="39"/>
      <c r="JH134" s="39"/>
      <c r="JI134" s="39"/>
      <c r="JJ134" s="39"/>
      <c r="JK134" s="39"/>
      <c r="JL134" s="39"/>
      <c r="JM134" s="39"/>
      <c r="JN134" s="39"/>
      <c r="JO134" s="39"/>
      <c r="JP134" s="39"/>
      <c r="JQ134" s="39"/>
      <c r="JR134" s="39"/>
      <c r="JS134" s="39"/>
      <c r="JT134" s="39"/>
      <c r="JU134" s="39"/>
      <c r="JV134" s="39"/>
      <c r="JW134" s="39"/>
      <c r="JX134" s="39"/>
      <c r="JY134" s="39"/>
      <c r="JZ134" s="39"/>
      <c r="KA134" s="39"/>
      <c r="KB134" s="39"/>
      <c r="KC134" s="39"/>
      <c r="KD134" s="39"/>
      <c r="KE134" s="39"/>
      <c r="KF134" s="39"/>
      <c r="KG134" s="39"/>
      <c r="KH134" s="39"/>
      <c r="KI134" s="39"/>
      <c r="KJ134" s="39"/>
      <c r="KK134" s="39"/>
      <c r="KL134" s="39"/>
      <c r="KM134" s="39"/>
      <c r="KN134" s="39"/>
      <c r="KO134" s="39"/>
      <c r="KP134" s="39"/>
      <c r="KQ134" s="39"/>
      <c r="KR134" s="39"/>
      <c r="KS134" s="39"/>
      <c r="KT134" s="39"/>
      <c r="KU134" s="39"/>
      <c r="KV134" s="39"/>
      <c r="KW134" s="39"/>
      <c r="KX134" s="39"/>
      <c r="KY134" s="39"/>
      <c r="KZ134" s="39"/>
      <c r="LA134" s="39"/>
      <c r="LB134" s="39"/>
      <c r="LC134" s="39"/>
      <c r="LD134" s="39"/>
      <c r="LE134" s="39"/>
      <c r="LF134" s="39"/>
      <c r="LG134" s="39"/>
      <c r="LH134" s="39"/>
      <c r="LI134" s="39"/>
      <c r="LJ134" s="39"/>
      <c r="LK134" s="39"/>
      <c r="LL134" s="39"/>
      <c r="LM134" s="39"/>
      <c r="LN134" s="39"/>
      <c r="LO134" s="39"/>
      <c r="LP134" s="39"/>
      <c r="LQ134" s="39"/>
      <c r="LR134" s="39"/>
      <c r="LS134" s="39"/>
      <c r="LT134" s="39"/>
      <c r="LU134" s="39"/>
      <c r="LV134" s="39"/>
      <c r="LW134" s="39"/>
      <c r="LX134" s="39"/>
      <c r="LY134" s="39"/>
      <c r="LZ134" s="39"/>
      <c r="MA134" s="39"/>
      <c r="MB134" s="39"/>
      <c r="MC134" s="39"/>
      <c r="MD134" s="39"/>
      <c r="ME134" s="39"/>
      <c r="MF134" s="39"/>
      <c r="MG134" s="39"/>
      <c r="MH134" s="39"/>
      <c r="MI134" s="39"/>
      <c r="MJ134" s="39"/>
      <c r="MK134" s="39"/>
      <c r="ML134" s="39"/>
      <c r="MM134" s="39"/>
      <c r="MN134" s="39"/>
      <c r="MO134" s="39"/>
      <c r="MP134" s="39"/>
      <c r="MQ134" s="39"/>
      <c r="MR134" s="39"/>
      <c r="MS134" s="39"/>
      <c r="MT134" s="39"/>
      <c r="MU134" s="39"/>
      <c r="MV134" s="39"/>
      <c r="MW134" s="39"/>
      <c r="MX134" s="39"/>
      <c r="MY134" s="39"/>
      <c r="MZ134" s="39"/>
      <c r="NA134" s="39"/>
      <c r="NB134" s="39"/>
      <c r="NC134" s="39"/>
      <c r="ND134" s="39"/>
      <c r="NE134" s="39"/>
      <c r="NF134" s="39"/>
      <c r="NG134" s="39"/>
      <c r="NH134" s="39"/>
      <c r="NI134" s="39"/>
      <c r="NJ134" s="39"/>
      <c r="NK134" s="39"/>
      <c r="NL134" s="39"/>
      <c r="NM134" s="39"/>
      <c r="NN134" s="39"/>
      <c r="NO134" s="39"/>
      <c r="NP134" s="39"/>
      <c r="NQ134" s="39"/>
      <c r="NR134" s="39"/>
      <c r="NS134" s="39"/>
      <c r="NT134" s="39"/>
      <c r="NU134" s="39"/>
      <c r="NV134" s="39"/>
      <c r="NW134" s="39"/>
      <c r="NX134" s="39"/>
      <c r="NY134" s="39"/>
      <c r="NZ134" s="39"/>
      <c r="OA134" s="39"/>
      <c r="OB134" s="39"/>
      <c r="OC134" s="39"/>
      <c r="OD134" s="39"/>
      <c r="OE134" s="39"/>
      <c r="OF134" s="39"/>
      <c r="OG134" s="39"/>
      <c r="OH134" s="39"/>
      <c r="OI134" s="39"/>
      <c r="OJ134" s="39"/>
      <c r="OK134" s="39"/>
      <c r="OL134" s="39"/>
      <c r="OM134" s="39"/>
      <c r="ON134" s="39"/>
      <c r="OO134" s="39"/>
      <c r="OP134" s="39"/>
      <c r="OQ134" s="39"/>
      <c r="OR134" s="39"/>
      <c r="OS134" s="39"/>
      <c r="OT134" s="39"/>
      <c r="OU134" s="39"/>
      <c r="OV134" s="39"/>
      <c r="OW134" s="39"/>
      <c r="OX134" s="39"/>
      <c r="OY134" s="39"/>
      <c r="OZ134" s="39"/>
      <c r="PA134" s="39"/>
      <c r="PB134" s="39"/>
      <c r="PC134" s="39"/>
      <c r="PD134" s="39"/>
      <c r="PE134" s="39"/>
      <c r="PF134" s="39"/>
      <c r="PG134" s="39"/>
      <c r="PH134" s="39"/>
      <c r="PI134" s="39"/>
      <c r="PJ134" s="39"/>
      <c r="PK134" s="39"/>
      <c r="PL134" s="39"/>
      <c r="PM134" s="39"/>
      <c r="PN134" s="39"/>
      <c r="PO134" s="39"/>
      <c r="PP134" s="39"/>
      <c r="PQ134" s="39"/>
      <c r="PR134" s="39"/>
      <c r="PS134" s="39"/>
      <c r="PT134" s="39"/>
      <c r="PU134" s="39"/>
      <c r="PV134" s="39"/>
      <c r="PW134" s="39"/>
      <c r="PX134" s="39"/>
      <c r="PY134" s="39"/>
      <c r="PZ134" s="39"/>
      <c r="QA134" s="39"/>
      <c r="QB134" s="39"/>
      <c r="QC134" s="39"/>
      <c r="QD134" s="39"/>
      <c r="QE134" s="39"/>
      <c r="QF134" s="39"/>
      <c r="QG134" s="39"/>
      <c r="QH134" s="39"/>
      <c r="QI134" s="39"/>
      <c r="QJ134" s="39"/>
      <c r="QK134" s="39"/>
      <c r="QL134" s="39"/>
      <c r="QM134" s="39"/>
      <c r="QN134" s="39"/>
      <c r="QO134" s="39"/>
      <c r="QP134" s="39"/>
      <c r="QQ134" s="39"/>
      <c r="QR134" s="39"/>
      <c r="QS134" s="39"/>
      <c r="QT134" s="39"/>
      <c r="QU134" s="39"/>
      <c r="QV134" s="39"/>
      <c r="QW134" s="39"/>
      <c r="QX134" s="39"/>
      <c r="QY134" s="39"/>
      <c r="QZ134" s="39"/>
      <c r="RA134" s="39"/>
      <c r="RB134" s="39"/>
      <c r="RC134" s="39"/>
      <c r="RD134" s="39"/>
      <c r="RE134" s="39"/>
      <c r="RF134" s="39"/>
      <c r="RG134" s="39"/>
      <c r="RH134" s="39"/>
      <c r="RI134" s="39"/>
      <c r="RJ134" s="39"/>
      <c r="RK134" s="39"/>
      <c r="RL134" s="39"/>
      <c r="RM134" s="39"/>
      <c r="RN134" s="39"/>
      <c r="RO134" s="39"/>
      <c r="RP134" s="39"/>
      <c r="RQ134" s="39"/>
      <c r="RR134" s="39"/>
      <c r="RS134" s="39"/>
      <c r="RT134" s="39"/>
      <c r="RU134" s="39"/>
      <c r="RV134" s="39"/>
      <c r="RW134" s="39"/>
      <c r="RX134" s="39"/>
      <c r="RY134" s="39"/>
      <c r="RZ134" s="39"/>
      <c r="SA134" s="39"/>
      <c r="SB134" s="39"/>
      <c r="SC134" s="39"/>
      <c r="SD134" s="39"/>
      <c r="SE134" s="39"/>
      <c r="SF134" s="39"/>
      <c r="SG134" s="39"/>
      <c r="SH134" s="39"/>
      <c r="SI134" s="39"/>
      <c r="SJ134" s="39"/>
      <c r="SK134" s="39"/>
      <c r="SL134" s="39"/>
      <c r="SM134" s="39"/>
      <c r="SN134" s="39"/>
      <c r="SO134" s="39"/>
      <c r="SP134" s="39"/>
      <c r="SQ134" s="39"/>
      <c r="SR134" s="39"/>
      <c r="SS134" s="39"/>
      <c r="ST134" s="39"/>
      <c r="SU134" s="39"/>
      <c r="SV134" s="39"/>
      <c r="SW134" s="39"/>
      <c r="SX134" s="39"/>
      <c r="SY134" s="39"/>
      <c r="SZ134" s="39"/>
      <c r="TA134" s="39"/>
      <c r="TB134" s="39"/>
      <c r="TC134" s="39"/>
      <c r="TD134" s="39"/>
      <c r="TE134" s="39"/>
      <c r="TF134" s="39"/>
      <c r="TG134" s="39"/>
      <c r="TH134" s="39"/>
      <c r="TI134" s="39"/>
    </row>
    <row r="135" spans="1:529" s="40" customFormat="1" ht="15" customHeight="1" x14ac:dyDescent="0.25">
      <c r="A135" s="77"/>
      <c r="B135" s="75"/>
      <c r="C135" s="75"/>
      <c r="D135" s="33" t="s">
        <v>308</v>
      </c>
      <c r="E135" s="68">
        <f>E151+E153</f>
        <v>0</v>
      </c>
      <c r="F135" s="68">
        <f t="shared" ref="F135:P135" si="65">F151+F153</f>
        <v>0</v>
      </c>
      <c r="G135" s="68">
        <f t="shared" si="65"/>
        <v>0</v>
      </c>
      <c r="H135" s="68">
        <f t="shared" si="65"/>
        <v>0</v>
      </c>
      <c r="I135" s="68">
        <f t="shared" si="65"/>
        <v>0</v>
      </c>
      <c r="J135" s="68">
        <f t="shared" si="65"/>
        <v>80937420.379999995</v>
      </c>
      <c r="K135" s="68">
        <f t="shared" si="65"/>
        <v>937420.38</v>
      </c>
      <c r="L135" s="68">
        <f t="shared" si="65"/>
        <v>80000000</v>
      </c>
      <c r="M135" s="68">
        <f t="shared" si="65"/>
        <v>0</v>
      </c>
      <c r="N135" s="68">
        <f t="shared" si="65"/>
        <v>0</v>
      </c>
      <c r="O135" s="68">
        <f t="shared" si="65"/>
        <v>937420.38</v>
      </c>
      <c r="P135" s="68">
        <f t="shared" si="65"/>
        <v>80937420.379999995</v>
      </c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/>
      <c r="IR135" s="39"/>
      <c r="IS135" s="39"/>
      <c r="IT135" s="39"/>
      <c r="IU135" s="39"/>
      <c r="IV135" s="39"/>
      <c r="IW135" s="39"/>
      <c r="IX135" s="39"/>
      <c r="IY135" s="39"/>
      <c r="IZ135" s="39"/>
      <c r="JA135" s="39"/>
      <c r="JB135" s="39"/>
      <c r="JC135" s="39"/>
      <c r="JD135" s="39"/>
      <c r="JE135" s="39"/>
      <c r="JF135" s="39"/>
      <c r="JG135" s="39"/>
      <c r="JH135" s="39"/>
      <c r="JI135" s="39"/>
      <c r="JJ135" s="39"/>
      <c r="JK135" s="39"/>
      <c r="JL135" s="39"/>
      <c r="JM135" s="39"/>
      <c r="JN135" s="39"/>
      <c r="JO135" s="39"/>
      <c r="JP135" s="39"/>
      <c r="JQ135" s="39"/>
      <c r="JR135" s="39"/>
      <c r="JS135" s="39"/>
      <c r="JT135" s="39"/>
      <c r="JU135" s="39"/>
      <c r="JV135" s="39"/>
      <c r="JW135" s="39"/>
      <c r="JX135" s="39"/>
      <c r="JY135" s="39"/>
      <c r="JZ135" s="39"/>
      <c r="KA135" s="39"/>
      <c r="KB135" s="39"/>
      <c r="KC135" s="39"/>
      <c r="KD135" s="39"/>
      <c r="KE135" s="39"/>
      <c r="KF135" s="39"/>
      <c r="KG135" s="39"/>
      <c r="KH135" s="39"/>
      <c r="KI135" s="39"/>
      <c r="KJ135" s="39"/>
      <c r="KK135" s="39"/>
      <c r="KL135" s="39"/>
      <c r="KM135" s="39"/>
      <c r="KN135" s="39"/>
      <c r="KO135" s="39"/>
      <c r="KP135" s="39"/>
      <c r="KQ135" s="39"/>
      <c r="KR135" s="39"/>
      <c r="KS135" s="39"/>
      <c r="KT135" s="39"/>
      <c r="KU135" s="39"/>
      <c r="KV135" s="39"/>
      <c r="KW135" s="39"/>
      <c r="KX135" s="39"/>
      <c r="KY135" s="39"/>
      <c r="KZ135" s="39"/>
      <c r="LA135" s="39"/>
      <c r="LB135" s="39"/>
      <c r="LC135" s="39"/>
      <c r="LD135" s="39"/>
      <c r="LE135" s="39"/>
      <c r="LF135" s="39"/>
      <c r="LG135" s="39"/>
      <c r="LH135" s="39"/>
      <c r="LI135" s="39"/>
      <c r="LJ135" s="39"/>
      <c r="LK135" s="39"/>
      <c r="LL135" s="39"/>
      <c r="LM135" s="39"/>
      <c r="LN135" s="39"/>
      <c r="LO135" s="39"/>
      <c r="LP135" s="39"/>
      <c r="LQ135" s="39"/>
      <c r="LR135" s="39"/>
      <c r="LS135" s="39"/>
      <c r="LT135" s="39"/>
      <c r="LU135" s="39"/>
      <c r="LV135" s="39"/>
      <c r="LW135" s="39"/>
      <c r="LX135" s="39"/>
      <c r="LY135" s="39"/>
      <c r="LZ135" s="39"/>
      <c r="MA135" s="39"/>
      <c r="MB135" s="39"/>
      <c r="MC135" s="39"/>
      <c r="MD135" s="39"/>
      <c r="ME135" s="39"/>
      <c r="MF135" s="39"/>
      <c r="MG135" s="39"/>
      <c r="MH135" s="39"/>
      <c r="MI135" s="39"/>
      <c r="MJ135" s="39"/>
      <c r="MK135" s="39"/>
      <c r="ML135" s="39"/>
      <c r="MM135" s="39"/>
      <c r="MN135" s="39"/>
      <c r="MO135" s="39"/>
      <c r="MP135" s="39"/>
      <c r="MQ135" s="39"/>
      <c r="MR135" s="39"/>
      <c r="MS135" s="39"/>
      <c r="MT135" s="39"/>
      <c r="MU135" s="39"/>
      <c r="MV135" s="39"/>
      <c r="MW135" s="39"/>
      <c r="MX135" s="39"/>
      <c r="MY135" s="39"/>
      <c r="MZ135" s="39"/>
      <c r="NA135" s="39"/>
      <c r="NB135" s="39"/>
      <c r="NC135" s="39"/>
      <c r="ND135" s="39"/>
      <c r="NE135" s="39"/>
      <c r="NF135" s="39"/>
      <c r="NG135" s="39"/>
      <c r="NH135" s="39"/>
      <c r="NI135" s="39"/>
      <c r="NJ135" s="39"/>
      <c r="NK135" s="39"/>
      <c r="NL135" s="39"/>
      <c r="NM135" s="39"/>
      <c r="NN135" s="39"/>
      <c r="NO135" s="39"/>
      <c r="NP135" s="39"/>
      <c r="NQ135" s="39"/>
      <c r="NR135" s="39"/>
      <c r="NS135" s="39"/>
      <c r="NT135" s="39"/>
      <c r="NU135" s="39"/>
      <c r="NV135" s="39"/>
      <c r="NW135" s="39"/>
      <c r="NX135" s="39"/>
      <c r="NY135" s="39"/>
      <c r="NZ135" s="39"/>
      <c r="OA135" s="39"/>
      <c r="OB135" s="39"/>
      <c r="OC135" s="39"/>
      <c r="OD135" s="39"/>
      <c r="OE135" s="39"/>
      <c r="OF135" s="39"/>
      <c r="OG135" s="39"/>
      <c r="OH135" s="39"/>
      <c r="OI135" s="39"/>
      <c r="OJ135" s="39"/>
      <c r="OK135" s="39"/>
      <c r="OL135" s="39"/>
      <c r="OM135" s="39"/>
      <c r="ON135" s="39"/>
      <c r="OO135" s="39"/>
      <c r="OP135" s="39"/>
      <c r="OQ135" s="39"/>
      <c r="OR135" s="39"/>
      <c r="OS135" s="39"/>
      <c r="OT135" s="39"/>
      <c r="OU135" s="39"/>
      <c r="OV135" s="39"/>
      <c r="OW135" s="39"/>
      <c r="OX135" s="39"/>
      <c r="OY135" s="39"/>
      <c r="OZ135" s="39"/>
      <c r="PA135" s="39"/>
      <c r="PB135" s="39"/>
      <c r="PC135" s="39"/>
      <c r="PD135" s="39"/>
      <c r="PE135" s="39"/>
      <c r="PF135" s="39"/>
      <c r="PG135" s="39"/>
      <c r="PH135" s="39"/>
      <c r="PI135" s="39"/>
      <c r="PJ135" s="39"/>
      <c r="PK135" s="39"/>
      <c r="PL135" s="39"/>
      <c r="PM135" s="39"/>
      <c r="PN135" s="39"/>
      <c r="PO135" s="39"/>
      <c r="PP135" s="39"/>
      <c r="PQ135" s="39"/>
      <c r="PR135" s="39"/>
      <c r="PS135" s="39"/>
      <c r="PT135" s="39"/>
      <c r="PU135" s="39"/>
      <c r="PV135" s="39"/>
      <c r="PW135" s="39"/>
      <c r="PX135" s="39"/>
      <c r="PY135" s="39"/>
      <c r="PZ135" s="39"/>
      <c r="QA135" s="39"/>
      <c r="QB135" s="39"/>
      <c r="QC135" s="39"/>
      <c r="QD135" s="39"/>
      <c r="QE135" s="39"/>
      <c r="QF135" s="39"/>
      <c r="QG135" s="39"/>
      <c r="QH135" s="39"/>
      <c r="QI135" s="39"/>
      <c r="QJ135" s="39"/>
      <c r="QK135" s="39"/>
      <c r="QL135" s="39"/>
      <c r="QM135" s="39"/>
      <c r="QN135" s="39"/>
      <c r="QO135" s="39"/>
      <c r="QP135" s="39"/>
      <c r="QQ135" s="39"/>
      <c r="QR135" s="39"/>
      <c r="QS135" s="39"/>
      <c r="QT135" s="39"/>
      <c r="QU135" s="39"/>
      <c r="QV135" s="39"/>
      <c r="QW135" s="39"/>
      <c r="QX135" s="39"/>
      <c r="QY135" s="39"/>
      <c r="QZ135" s="39"/>
      <c r="RA135" s="39"/>
      <c r="RB135" s="39"/>
      <c r="RC135" s="39"/>
      <c r="RD135" s="39"/>
      <c r="RE135" s="39"/>
      <c r="RF135" s="39"/>
      <c r="RG135" s="39"/>
      <c r="RH135" s="39"/>
      <c r="RI135" s="39"/>
      <c r="RJ135" s="39"/>
      <c r="RK135" s="39"/>
      <c r="RL135" s="39"/>
      <c r="RM135" s="39"/>
      <c r="RN135" s="39"/>
      <c r="RO135" s="39"/>
      <c r="RP135" s="39"/>
      <c r="RQ135" s="39"/>
      <c r="RR135" s="39"/>
      <c r="RS135" s="39"/>
      <c r="RT135" s="39"/>
      <c r="RU135" s="39"/>
      <c r="RV135" s="39"/>
      <c r="RW135" s="39"/>
      <c r="RX135" s="39"/>
      <c r="RY135" s="39"/>
      <c r="RZ135" s="39"/>
      <c r="SA135" s="39"/>
      <c r="SB135" s="39"/>
      <c r="SC135" s="39"/>
      <c r="SD135" s="39"/>
      <c r="SE135" s="39"/>
      <c r="SF135" s="39"/>
      <c r="SG135" s="39"/>
      <c r="SH135" s="39"/>
      <c r="SI135" s="39"/>
      <c r="SJ135" s="39"/>
      <c r="SK135" s="39"/>
      <c r="SL135" s="39"/>
      <c r="SM135" s="39"/>
      <c r="SN135" s="39"/>
      <c r="SO135" s="39"/>
      <c r="SP135" s="39"/>
      <c r="SQ135" s="39"/>
      <c r="SR135" s="39"/>
      <c r="SS135" s="39"/>
      <c r="ST135" s="39"/>
      <c r="SU135" s="39"/>
      <c r="SV135" s="39"/>
      <c r="SW135" s="39"/>
      <c r="SX135" s="39"/>
      <c r="SY135" s="39"/>
      <c r="SZ135" s="39"/>
      <c r="TA135" s="39"/>
      <c r="TB135" s="39"/>
      <c r="TC135" s="39"/>
      <c r="TD135" s="39"/>
      <c r="TE135" s="39"/>
      <c r="TF135" s="39"/>
      <c r="TG135" s="39"/>
      <c r="TH135" s="39"/>
      <c r="TI135" s="39"/>
    </row>
    <row r="136" spans="1:529" s="23" customFormat="1" ht="48.75" customHeight="1" x14ac:dyDescent="0.25">
      <c r="A136" s="43" t="s">
        <v>233</v>
      </c>
      <c r="B136" s="44" t="str">
        <f>'дод 3'!A20</f>
        <v>0160</v>
      </c>
      <c r="C136" s="44" t="str">
        <f>'дод 3'!B20</f>
        <v>0111</v>
      </c>
      <c r="D136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36" s="69">
        <f t="shared" ref="E136:E160" si="66">F136+I136</f>
        <v>13530800</v>
      </c>
      <c r="F136" s="69">
        <f>13873900+90800-678700+244800</f>
        <v>13530800</v>
      </c>
      <c r="G136" s="69">
        <f>10990800-556300</f>
        <v>10434500</v>
      </c>
      <c r="H136" s="69">
        <v>164000</v>
      </c>
      <c r="I136" s="69"/>
      <c r="J136" s="69">
        <f>L136+O136</f>
        <v>0</v>
      </c>
      <c r="K136" s="69"/>
      <c r="L136" s="69"/>
      <c r="M136" s="69"/>
      <c r="N136" s="69"/>
      <c r="O136" s="69"/>
      <c r="P136" s="69">
        <f t="shared" ref="P136:P160" si="67">E136+J136</f>
        <v>13530800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</row>
    <row r="137" spans="1:529" s="23" customFormat="1" ht="19.5" customHeight="1" x14ac:dyDescent="0.25">
      <c r="A137" s="52" t="s">
        <v>352</v>
      </c>
      <c r="B137" s="45" t="str">
        <f>'дод 3'!A73</f>
        <v>3210</v>
      </c>
      <c r="C137" s="45" t="str">
        <f>'дод 3'!B73</f>
        <v>1050</v>
      </c>
      <c r="D137" s="22" t="str">
        <f>'дод 3'!C73</f>
        <v>Організація та проведення громадських робіт</v>
      </c>
      <c r="E137" s="69">
        <f t="shared" si="66"/>
        <v>400000</v>
      </c>
      <c r="F137" s="69">
        <v>400000</v>
      </c>
      <c r="G137" s="69"/>
      <c r="H137" s="69"/>
      <c r="I137" s="69"/>
      <c r="J137" s="69">
        <f t="shared" ref="J137:J160" si="68">L137+O137</f>
        <v>0</v>
      </c>
      <c r="K137" s="69"/>
      <c r="L137" s="69"/>
      <c r="M137" s="69"/>
      <c r="N137" s="69"/>
      <c r="O137" s="69"/>
      <c r="P137" s="69">
        <f t="shared" si="67"/>
        <v>400000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</row>
    <row r="138" spans="1:529" s="23" customFormat="1" ht="38.25" customHeight="1" x14ac:dyDescent="0.25">
      <c r="A138" s="43" t="s">
        <v>234</v>
      </c>
      <c r="B138" s="44" t="str">
        <f>'дод 3'!A89</f>
        <v>6011</v>
      </c>
      <c r="C138" s="44" t="str">
        <f>'дод 3'!B89</f>
        <v>0610</v>
      </c>
      <c r="D138" s="24" t="str">
        <f>'дод 3'!C89</f>
        <v>Експлуатація та технічне обслуговування житлового фонду</v>
      </c>
      <c r="E138" s="69">
        <f t="shared" si="66"/>
        <v>0</v>
      </c>
      <c r="F138" s="69"/>
      <c r="G138" s="69"/>
      <c r="H138" s="69"/>
      <c r="I138" s="69"/>
      <c r="J138" s="69">
        <f t="shared" si="68"/>
        <v>10918067.93</v>
      </c>
      <c r="K138" s="69">
        <f>20000000-4500000-5000000-1188215.76-766.31+827545+291000+100000+309505+49000</f>
        <v>10888067.93</v>
      </c>
      <c r="L138" s="69"/>
      <c r="M138" s="69"/>
      <c r="N138" s="69"/>
      <c r="O138" s="69">
        <f>20000000+30000-4500000-5000000-1188215.76-766.31+827545+291000+100000+309505+49000</f>
        <v>10918067.93</v>
      </c>
      <c r="P138" s="69">
        <f t="shared" si="67"/>
        <v>10918067.93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</row>
    <row r="139" spans="1:529" s="23" customFormat="1" ht="33" customHeight="1" x14ac:dyDescent="0.25">
      <c r="A139" s="43" t="s">
        <v>235</v>
      </c>
      <c r="B139" s="44" t="str">
        <f>'дод 3'!A90</f>
        <v>6013</v>
      </c>
      <c r="C139" s="44" t="str">
        <f>'дод 3'!B90</f>
        <v>0620</v>
      </c>
      <c r="D139" s="24" t="str">
        <f>'дод 3'!C90</f>
        <v>Забезпечення діяльності водопровідно-каналізаційного господарства</v>
      </c>
      <c r="E139" s="69">
        <f t="shared" si="66"/>
        <v>30925000</v>
      </c>
      <c r="F139" s="69">
        <f>775000-350000</f>
        <v>425000</v>
      </c>
      <c r="G139" s="69"/>
      <c r="H139" s="69"/>
      <c r="I139" s="69">
        <f>30150000+350000</f>
        <v>30500000</v>
      </c>
      <c r="J139" s="69">
        <f t="shared" si="68"/>
        <v>1721000</v>
      </c>
      <c r="K139" s="69">
        <f>1700000+20000+1000</f>
        <v>1721000</v>
      </c>
      <c r="L139" s="69"/>
      <c r="M139" s="69"/>
      <c r="N139" s="69"/>
      <c r="O139" s="69">
        <f>1700000+20000+1000</f>
        <v>1721000</v>
      </c>
      <c r="P139" s="69">
        <f t="shared" si="67"/>
        <v>32646000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</row>
    <row r="140" spans="1:529" s="23" customFormat="1" ht="27.75" customHeight="1" x14ac:dyDescent="0.25">
      <c r="A140" s="43" t="s">
        <v>301</v>
      </c>
      <c r="B140" s="44" t="str">
        <f>'дод 3'!A91</f>
        <v>6015</v>
      </c>
      <c r="C140" s="44" t="str">
        <f>'дод 3'!B91</f>
        <v>0620</v>
      </c>
      <c r="D140" s="24" t="str">
        <f>'дод 3'!C91</f>
        <v>Забезпечення надійної та безперебійної експлуатації ліфтів</v>
      </c>
      <c r="E140" s="69">
        <f t="shared" si="66"/>
        <v>193887</v>
      </c>
      <c r="F140" s="69">
        <f>200000-6113</f>
        <v>193887</v>
      </c>
      <c r="G140" s="69"/>
      <c r="H140" s="69"/>
      <c r="I140" s="69"/>
      <c r="J140" s="69">
        <f t="shared" si="68"/>
        <v>13408448.83</v>
      </c>
      <c r="K140" s="69">
        <f>15000000+9-1500000-405560.17+164000+100000</f>
        <v>13358448.83</v>
      </c>
      <c r="L140" s="69"/>
      <c r="M140" s="69"/>
      <c r="N140" s="69"/>
      <c r="O140" s="69">
        <f>15000000+50000+9-1500000-405560.17+164000+100000</f>
        <v>13408448.83</v>
      </c>
      <c r="P140" s="69">
        <f t="shared" si="67"/>
        <v>13602335.83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</row>
    <row r="141" spans="1:529" s="23" customFormat="1" ht="38.25" customHeight="1" x14ac:dyDescent="0.25">
      <c r="A141" s="43" t="s">
        <v>304</v>
      </c>
      <c r="B141" s="44" t="str">
        <f>'дод 3'!A92</f>
        <v>6017</v>
      </c>
      <c r="C141" s="44" t="str">
        <f>'дод 3'!B92</f>
        <v>0620</v>
      </c>
      <c r="D141" s="24" t="str">
        <f>'дод 3'!C92</f>
        <v>Інша діяльність, пов’язана з експлуатацією об’єктів житлово-комунального господарства</v>
      </c>
      <c r="E141" s="69">
        <f t="shared" si="66"/>
        <v>100000</v>
      </c>
      <c r="F141" s="69">
        <f>100000+1500000-1500000</f>
        <v>100000</v>
      </c>
      <c r="G141" s="69"/>
      <c r="H141" s="69"/>
      <c r="I141" s="69"/>
      <c r="J141" s="69">
        <f t="shared" si="68"/>
        <v>0</v>
      </c>
      <c r="K141" s="69"/>
      <c r="L141" s="69"/>
      <c r="M141" s="69"/>
      <c r="N141" s="69"/>
      <c r="O141" s="69"/>
      <c r="P141" s="69">
        <f t="shared" si="67"/>
        <v>100000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</row>
    <row r="142" spans="1:529" s="23" customFormat="1" ht="45" x14ac:dyDescent="0.25">
      <c r="A142" s="43" t="s">
        <v>236</v>
      </c>
      <c r="B142" s="44" t="str">
        <f>'дод 3'!A93</f>
        <v>6020</v>
      </c>
      <c r="C142" s="44" t="str">
        <f>'дод 3'!B93</f>
        <v>0620</v>
      </c>
      <c r="D142" s="24" t="str">
        <f>'дод 3'!C93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42" s="69">
        <f t="shared" si="66"/>
        <v>4595232</v>
      </c>
      <c r="F142" s="69"/>
      <c r="G142" s="69"/>
      <c r="H142" s="69"/>
      <c r="I142" s="69">
        <f>2595232+2000000</f>
        <v>4595232</v>
      </c>
      <c r="J142" s="69">
        <f t="shared" si="68"/>
        <v>0</v>
      </c>
      <c r="K142" s="69">
        <f>2000000-2000000</f>
        <v>0</v>
      </c>
      <c r="L142" s="69"/>
      <c r="M142" s="69"/>
      <c r="N142" s="69"/>
      <c r="O142" s="69">
        <f>2000000-2000000</f>
        <v>0</v>
      </c>
      <c r="P142" s="69">
        <f t="shared" si="67"/>
        <v>4595232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</row>
    <row r="143" spans="1:529" s="23" customFormat="1" ht="21.75" customHeight="1" x14ac:dyDescent="0.25">
      <c r="A143" s="43" t="s">
        <v>237</v>
      </c>
      <c r="B143" s="44" t="str">
        <f>'дод 3'!A94</f>
        <v>6030</v>
      </c>
      <c r="C143" s="44" t="str">
        <f>'дод 3'!B94</f>
        <v>0620</v>
      </c>
      <c r="D143" s="24" t="str">
        <f>'дод 3'!C94</f>
        <v>Організація благоустрою населених пунктів</v>
      </c>
      <c r="E143" s="69">
        <f t="shared" si="66"/>
        <v>191566286.56999999</v>
      </c>
      <c r="F143" s="69">
        <f>191911836-108000-2000000-100000-2000000+2907700+786500+575000+788511.57-2000000+199000-300000-100000+489939+100000-95000+377000+150000-16200</f>
        <v>191566286.56999999</v>
      </c>
      <c r="G143" s="69"/>
      <c r="H143" s="69">
        <f>27870906-16200</f>
        <v>27854706</v>
      </c>
      <c r="I143" s="69"/>
      <c r="J143" s="69">
        <f t="shared" si="68"/>
        <v>35624304.150000006</v>
      </c>
      <c r="K143" s="69">
        <f>27800000+1000000+5000000+5550000-5000000+150000+100000-4000000+10112784.63-4629526.59+12715677.07-18000+75000+110000-575000+163369.04+569000-199000-6600000-6700000</f>
        <v>35624304.150000006</v>
      </c>
      <c r="L143" s="71"/>
      <c r="M143" s="69"/>
      <c r="N143" s="69"/>
      <c r="O143" s="69">
        <f>27800000+1000000+5000000+5550000-5000000+150000+100000-4000000+10112784.63-4629526.59+12715677.07-18000+75000+110000-575000+163369.04+569000-199000-6600000-6700000</f>
        <v>35624304.150000006</v>
      </c>
      <c r="P143" s="69">
        <f t="shared" si="67"/>
        <v>227190590.72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</row>
    <row r="144" spans="1:529" s="23" customFormat="1" ht="31.5" customHeight="1" x14ac:dyDescent="0.25">
      <c r="A144" s="43" t="s">
        <v>294</v>
      </c>
      <c r="B144" s="44" t="str">
        <f>'дод 3'!A96</f>
        <v>6090</v>
      </c>
      <c r="C144" s="44" t="str">
        <f>'дод 3'!B96</f>
        <v>0640</v>
      </c>
      <c r="D144" s="24" t="str">
        <f>'дод 3'!C96</f>
        <v>Інша діяльність у сфері житлово-комунального господарства</v>
      </c>
      <c r="E144" s="69">
        <f t="shared" si="66"/>
        <v>13834346.390000001</v>
      </c>
      <c r="F144" s="69">
        <f>16709746+579084+27300000-4300-19001249-1991050-1006880.61-569000-70000-70000-100000-5170304-100000-2351000-49000-166000-110000</f>
        <v>13830046.390000001</v>
      </c>
      <c r="G144" s="69"/>
      <c r="H144" s="69">
        <v>42400</v>
      </c>
      <c r="I144" s="69">
        <v>4300</v>
      </c>
      <c r="J144" s="69">
        <f t="shared" si="68"/>
        <v>800708.78999999911</v>
      </c>
      <c r="K144" s="69">
        <f>21793738-10545638.97-1288734.74-6359655.5-305000-2494000</f>
        <v>800708.78999999911</v>
      </c>
      <c r="L144" s="69"/>
      <c r="M144" s="69"/>
      <c r="N144" s="69"/>
      <c r="O144" s="69">
        <f>21793738-10545638.97-1288734.74-6359655.5-305000-2494000</f>
        <v>800708.78999999911</v>
      </c>
      <c r="P144" s="69">
        <f t="shared" si="67"/>
        <v>14635055.18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</row>
    <row r="145" spans="1:529" s="23" customFormat="1" ht="33" customHeight="1" x14ac:dyDescent="0.25">
      <c r="A145" s="43" t="s">
        <v>314</v>
      </c>
      <c r="B145" s="44" t="str">
        <f>'дод 3'!A103</f>
        <v>7310</v>
      </c>
      <c r="C145" s="44" t="str">
        <f>'дод 3'!B103</f>
        <v>0443</v>
      </c>
      <c r="D145" s="24" t="str">
        <f>'дод 3'!C103</f>
        <v>Будівництво об'єктів житлово-комунального господарства</v>
      </c>
      <c r="E145" s="69">
        <f t="shared" si="66"/>
        <v>0</v>
      </c>
      <c r="F145" s="69"/>
      <c r="G145" s="69"/>
      <c r="H145" s="69"/>
      <c r="I145" s="69"/>
      <c r="J145" s="69">
        <f t="shared" si="68"/>
        <v>8872297.7599999979</v>
      </c>
      <c r="K145" s="69">
        <f>12540000-60000+40000+8953612-4000000+2338215.76-3000+2000-8410000-1200000-494730+230000-1380000+300000+16200</f>
        <v>8872297.7599999979</v>
      </c>
      <c r="L145" s="69"/>
      <c r="M145" s="69"/>
      <c r="N145" s="69"/>
      <c r="O145" s="69">
        <f>12540000-60000+40000+8953612-4000000+2338215.76-3000+2000-8410000-1200000-494730+230000-1380000+300000+16200</f>
        <v>8872297.7599999979</v>
      </c>
      <c r="P145" s="69">
        <f t="shared" si="67"/>
        <v>8872297.7599999979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</row>
    <row r="146" spans="1:529" s="23" customFormat="1" ht="21.75" customHeight="1" x14ac:dyDescent="0.25">
      <c r="A146" s="43" t="s">
        <v>316</v>
      </c>
      <c r="B146" s="44" t="str">
        <f>'дод 3'!A107</f>
        <v>7330</v>
      </c>
      <c r="C146" s="44" t="str">
        <f>'дод 3'!B107</f>
        <v>0443</v>
      </c>
      <c r="D146" s="24" t="str">
        <f>'дод 3'!C107</f>
        <v>Будівництво інших об'єктів комунальної власності</v>
      </c>
      <c r="E146" s="69">
        <f t="shared" si="66"/>
        <v>0</v>
      </c>
      <c r="F146" s="69"/>
      <c r="G146" s="69"/>
      <c r="H146" s="69"/>
      <c r="I146" s="69"/>
      <c r="J146" s="69">
        <f t="shared" si="68"/>
        <v>5758998.7699999996</v>
      </c>
      <c r="K146" s="69">
        <f>15750000+4777000+3000-50000-100000-5550000-700000+550000-4000000+432854.34-1950000+4818144.43+210000+68000-8500000</f>
        <v>5758998.7699999996</v>
      </c>
      <c r="L146" s="69"/>
      <c r="M146" s="69"/>
      <c r="N146" s="69"/>
      <c r="O146" s="69">
        <f>15750000+4777000+3000-50000-100000-5550000-700000+550000-4000000+432854.34-1950000+4818144.43+210000+68000-8500000</f>
        <v>5758998.7699999996</v>
      </c>
      <c r="P146" s="69">
        <f t="shared" si="67"/>
        <v>5758998.7699999996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</row>
    <row r="147" spans="1:529" s="23" customFormat="1" ht="49.5" customHeight="1" x14ac:dyDescent="0.25">
      <c r="A147" s="43" t="s">
        <v>447</v>
      </c>
      <c r="B147" s="44">
        <f>'дод 3'!A109</f>
        <v>7361</v>
      </c>
      <c r="C147" s="44" t="str">
        <f>'дод 3'!B109</f>
        <v>0490</v>
      </c>
      <c r="D147" s="24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47" s="69">
        <f t="shared" si="66"/>
        <v>0</v>
      </c>
      <c r="F147" s="69"/>
      <c r="G147" s="69"/>
      <c r="H147" s="69"/>
      <c r="I147" s="69"/>
      <c r="J147" s="69">
        <f t="shared" si="68"/>
        <v>1386113</v>
      </c>
      <c r="K147" s="69">
        <v>1386113</v>
      </c>
      <c r="L147" s="69"/>
      <c r="M147" s="69"/>
      <c r="N147" s="69"/>
      <c r="O147" s="69">
        <v>1386113</v>
      </c>
      <c r="P147" s="69">
        <f t="shared" si="67"/>
        <v>1386113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</row>
    <row r="148" spans="1:529" s="23" customFormat="1" ht="29.25" customHeight="1" x14ac:dyDescent="0.25">
      <c r="A148" s="43" t="s">
        <v>238</v>
      </c>
      <c r="B148" s="44" t="str">
        <f>'дод 3'!A108</f>
        <v>7340</v>
      </c>
      <c r="C148" s="44" t="str">
        <f>'дод 3'!B108</f>
        <v>0443</v>
      </c>
      <c r="D148" s="24" t="str">
        <f>'дод 3'!C108</f>
        <v>Проектування, реставрація та охорона пам'яток архітектури</v>
      </c>
      <c r="E148" s="69">
        <f t="shared" si="66"/>
        <v>0</v>
      </c>
      <c r="F148" s="69"/>
      <c r="G148" s="69"/>
      <c r="H148" s="69"/>
      <c r="I148" s="69"/>
      <c r="J148" s="69">
        <f t="shared" si="68"/>
        <v>3000000</v>
      </c>
      <c r="K148" s="69">
        <v>3000000</v>
      </c>
      <c r="L148" s="69"/>
      <c r="M148" s="69"/>
      <c r="N148" s="69"/>
      <c r="O148" s="69">
        <v>3000000</v>
      </c>
      <c r="P148" s="69">
        <f t="shared" si="67"/>
        <v>3000000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</row>
    <row r="149" spans="1:529" s="23" customFormat="1" ht="30" x14ac:dyDescent="0.25">
      <c r="A149" s="43">
        <v>1217362</v>
      </c>
      <c r="B149" s="44">
        <f>'дод 3'!A110</f>
        <v>7362</v>
      </c>
      <c r="C149" s="44" t="str">
        <f>'дод 3'!B110</f>
        <v>0490</v>
      </c>
      <c r="D149" s="24" t="str">
        <f>'дод 3'!C110</f>
        <v>Виконання інвестиційних проектів в рамках підтримки розвитку об'єднаних територіальних громад</v>
      </c>
      <c r="E149" s="69">
        <f t="shared" si="66"/>
        <v>0</v>
      </c>
      <c r="F149" s="69"/>
      <c r="G149" s="69"/>
      <c r="H149" s="69"/>
      <c r="I149" s="69"/>
      <c r="J149" s="69">
        <f t="shared" si="68"/>
        <v>75600</v>
      </c>
      <c r="K149" s="69">
        <v>75600</v>
      </c>
      <c r="L149" s="69"/>
      <c r="M149" s="69"/>
      <c r="N149" s="69"/>
      <c r="O149" s="69">
        <v>75600</v>
      </c>
      <c r="P149" s="69">
        <f t="shared" si="67"/>
        <v>75600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</row>
    <row r="150" spans="1:529" s="23" customFormat="1" ht="45" x14ac:dyDescent="0.25">
      <c r="A150" s="43" t="s">
        <v>442</v>
      </c>
      <c r="B150" s="44">
        <v>7363</v>
      </c>
      <c r="C150" s="117" t="s">
        <v>102</v>
      </c>
      <c r="D150" s="118" t="s">
        <v>438</v>
      </c>
      <c r="E150" s="69">
        <f t="shared" si="66"/>
        <v>0</v>
      </c>
      <c r="F150" s="69"/>
      <c r="G150" s="69"/>
      <c r="H150" s="69"/>
      <c r="I150" s="69"/>
      <c r="J150" s="69">
        <f t="shared" si="68"/>
        <v>956186.69000000006</v>
      </c>
      <c r="K150" s="69">
        <f>18766.31+937420.38</f>
        <v>956186.69000000006</v>
      </c>
      <c r="L150" s="69"/>
      <c r="M150" s="69"/>
      <c r="N150" s="69"/>
      <c r="O150" s="69">
        <f>18766.31+937420.38</f>
        <v>956186.69000000006</v>
      </c>
      <c r="P150" s="69">
        <f t="shared" si="67"/>
        <v>956186.69000000006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</row>
    <row r="151" spans="1:529" s="23" customFormat="1" x14ac:dyDescent="0.25">
      <c r="A151" s="43"/>
      <c r="B151" s="44"/>
      <c r="C151" s="44"/>
      <c r="D151" s="22" t="s">
        <v>308</v>
      </c>
      <c r="E151" s="69">
        <f t="shared" si="66"/>
        <v>0</v>
      </c>
      <c r="F151" s="69"/>
      <c r="G151" s="69"/>
      <c r="H151" s="69"/>
      <c r="I151" s="69"/>
      <c r="J151" s="69">
        <f t="shared" si="68"/>
        <v>937420.38</v>
      </c>
      <c r="K151" s="69">
        <v>937420.38</v>
      </c>
      <c r="L151" s="69"/>
      <c r="M151" s="69"/>
      <c r="N151" s="69"/>
      <c r="O151" s="69">
        <v>937420.38</v>
      </c>
      <c r="P151" s="69">
        <f t="shared" si="67"/>
        <v>937420.38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</row>
    <row r="152" spans="1:529" s="134" customFormat="1" ht="47.25" customHeight="1" x14ac:dyDescent="0.25">
      <c r="A152" s="43" t="s">
        <v>453</v>
      </c>
      <c r="B152" s="44">
        <f>'дод 3'!A118</f>
        <v>7462</v>
      </c>
      <c r="C152" s="44">
        <f>'дод 3'!B118</f>
        <v>456</v>
      </c>
      <c r="D152" s="78" t="str">
        <f>'дод 3'!C118</f>
        <v>Утримання та розвиток автомобільних доріг та дорожньої інфраструктури за рахунок субвенції з державного бюджету</v>
      </c>
      <c r="E152" s="69">
        <f t="shared" ref="E152:E153" si="69">F152+I152</f>
        <v>0</v>
      </c>
      <c r="F152" s="69"/>
      <c r="G152" s="69"/>
      <c r="H152" s="69"/>
      <c r="I152" s="69"/>
      <c r="J152" s="69">
        <f t="shared" ref="J152:J153" si="70">L152+O152</f>
        <v>80000000</v>
      </c>
      <c r="K152" s="69"/>
      <c r="L152" s="69">
        <v>80000000</v>
      </c>
      <c r="M152" s="69"/>
      <c r="N152" s="69"/>
      <c r="O152" s="69"/>
      <c r="P152" s="69">
        <f t="shared" ref="P152:P153" si="71">E152+J152</f>
        <v>80000000</v>
      </c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133"/>
      <c r="CB152" s="133"/>
      <c r="CC152" s="133"/>
      <c r="CD152" s="133"/>
      <c r="CE152" s="133"/>
      <c r="CF152" s="133"/>
      <c r="CG152" s="133"/>
      <c r="CH152" s="133"/>
      <c r="CI152" s="133"/>
      <c r="CJ152" s="133"/>
      <c r="CK152" s="133"/>
      <c r="CL152" s="133"/>
      <c r="CM152" s="133"/>
      <c r="CN152" s="133"/>
      <c r="CO152" s="133"/>
      <c r="CP152" s="133"/>
      <c r="CQ152" s="133"/>
      <c r="CR152" s="133"/>
      <c r="CS152" s="133"/>
      <c r="CT152" s="133"/>
      <c r="CU152" s="133"/>
      <c r="CV152" s="133"/>
      <c r="CW152" s="133"/>
      <c r="CX152" s="133"/>
      <c r="CY152" s="133"/>
      <c r="CZ152" s="133"/>
      <c r="DA152" s="133"/>
      <c r="DB152" s="133"/>
      <c r="DC152" s="133"/>
      <c r="DD152" s="133"/>
      <c r="DE152" s="133"/>
      <c r="DF152" s="133"/>
      <c r="DG152" s="133"/>
      <c r="DH152" s="133"/>
      <c r="DI152" s="133"/>
      <c r="DJ152" s="133"/>
      <c r="DK152" s="133"/>
      <c r="DL152" s="133"/>
      <c r="DM152" s="133"/>
      <c r="DN152" s="133"/>
      <c r="DO152" s="133"/>
      <c r="DP152" s="133"/>
      <c r="DQ152" s="133"/>
      <c r="DR152" s="133"/>
      <c r="DS152" s="133"/>
      <c r="DT152" s="133"/>
      <c r="DU152" s="133"/>
      <c r="DV152" s="133"/>
      <c r="DW152" s="133"/>
      <c r="DX152" s="133"/>
      <c r="DY152" s="133"/>
      <c r="DZ152" s="133"/>
      <c r="EA152" s="133"/>
      <c r="EB152" s="133"/>
      <c r="EC152" s="133"/>
      <c r="ED152" s="133"/>
      <c r="EE152" s="133"/>
      <c r="EF152" s="133"/>
      <c r="EG152" s="133"/>
      <c r="EH152" s="133"/>
      <c r="EI152" s="133"/>
      <c r="EJ152" s="133"/>
      <c r="EK152" s="133"/>
      <c r="EL152" s="133"/>
      <c r="EM152" s="133"/>
      <c r="EN152" s="133"/>
      <c r="EO152" s="133"/>
      <c r="EP152" s="133"/>
      <c r="EQ152" s="133"/>
      <c r="ER152" s="133"/>
      <c r="ES152" s="133"/>
      <c r="ET152" s="133"/>
      <c r="EU152" s="133"/>
      <c r="EV152" s="133"/>
      <c r="EW152" s="133"/>
      <c r="EX152" s="133"/>
      <c r="EY152" s="133"/>
      <c r="EZ152" s="133"/>
      <c r="FA152" s="133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133"/>
      <c r="GD152" s="133"/>
      <c r="GE152" s="133"/>
      <c r="GF152" s="133"/>
      <c r="GG152" s="133"/>
      <c r="GH152" s="133"/>
      <c r="GI152" s="133"/>
      <c r="GJ152" s="133"/>
      <c r="GK152" s="133"/>
      <c r="GL152" s="133"/>
      <c r="GM152" s="133"/>
      <c r="GN152" s="133"/>
      <c r="GO152" s="133"/>
      <c r="GP152" s="133"/>
      <c r="GQ152" s="133"/>
      <c r="GR152" s="133"/>
      <c r="GS152" s="133"/>
      <c r="GT152" s="133"/>
      <c r="GU152" s="133"/>
      <c r="GV152" s="133"/>
      <c r="GW152" s="133"/>
      <c r="GX152" s="133"/>
      <c r="GY152" s="133"/>
      <c r="GZ152" s="133"/>
      <c r="HA152" s="133"/>
      <c r="HB152" s="133"/>
      <c r="HC152" s="133"/>
      <c r="HD152" s="133"/>
      <c r="HE152" s="133"/>
      <c r="HF152" s="133"/>
      <c r="HG152" s="133"/>
      <c r="HH152" s="133"/>
      <c r="HI152" s="133"/>
      <c r="HJ152" s="133"/>
      <c r="HK152" s="133"/>
      <c r="HL152" s="133"/>
      <c r="HM152" s="133"/>
      <c r="HN152" s="133"/>
      <c r="HO152" s="133"/>
      <c r="HP152" s="133"/>
      <c r="HQ152" s="133"/>
      <c r="HR152" s="133"/>
      <c r="HS152" s="133"/>
      <c r="HT152" s="133"/>
      <c r="HU152" s="133"/>
      <c r="HV152" s="133"/>
      <c r="HW152" s="133"/>
      <c r="HX152" s="133"/>
      <c r="HY152" s="133"/>
      <c r="HZ152" s="133"/>
      <c r="IA152" s="133"/>
      <c r="IB152" s="133"/>
      <c r="IC152" s="133"/>
      <c r="ID152" s="133"/>
      <c r="IE152" s="133"/>
      <c r="IF152" s="133"/>
      <c r="IG152" s="133"/>
      <c r="IH152" s="133"/>
      <c r="II152" s="133"/>
      <c r="IJ152" s="133"/>
      <c r="IK152" s="133"/>
      <c r="IL152" s="133"/>
      <c r="IM152" s="133"/>
      <c r="IN152" s="133"/>
      <c r="IO152" s="133"/>
      <c r="IP152" s="133"/>
      <c r="IQ152" s="133"/>
      <c r="IR152" s="133"/>
      <c r="IS152" s="133"/>
      <c r="IT152" s="133"/>
      <c r="IU152" s="133"/>
      <c r="IV152" s="133"/>
      <c r="IW152" s="133"/>
      <c r="IX152" s="133"/>
      <c r="IY152" s="133"/>
      <c r="IZ152" s="133"/>
      <c r="JA152" s="133"/>
      <c r="JB152" s="133"/>
      <c r="JC152" s="133"/>
      <c r="JD152" s="133"/>
      <c r="JE152" s="133"/>
      <c r="JF152" s="133"/>
      <c r="JG152" s="133"/>
      <c r="JH152" s="133"/>
      <c r="JI152" s="133"/>
      <c r="JJ152" s="133"/>
      <c r="JK152" s="133"/>
      <c r="JL152" s="133"/>
      <c r="JM152" s="133"/>
      <c r="JN152" s="133"/>
      <c r="JO152" s="133"/>
      <c r="JP152" s="133"/>
      <c r="JQ152" s="133"/>
      <c r="JR152" s="133"/>
      <c r="JS152" s="133"/>
      <c r="JT152" s="133"/>
      <c r="JU152" s="133"/>
      <c r="JV152" s="133"/>
      <c r="JW152" s="133"/>
      <c r="JX152" s="133"/>
      <c r="JY152" s="133"/>
      <c r="JZ152" s="133"/>
      <c r="KA152" s="133"/>
      <c r="KB152" s="133"/>
      <c r="KC152" s="133"/>
      <c r="KD152" s="133"/>
      <c r="KE152" s="133"/>
      <c r="KF152" s="133"/>
      <c r="KG152" s="133"/>
      <c r="KH152" s="133"/>
      <c r="KI152" s="133"/>
      <c r="KJ152" s="133"/>
      <c r="KK152" s="133"/>
      <c r="KL152" s="133"/>
      <c r="KM152" s="133"/>
      <c r="KN152" s="133"/>
      <c r="KO152" s="133"/>
      <c r="KP152" s="133"/>
      <c r="KQ152" s="133"/>
      <c r="KR152" s="133"/>
      <c r="KS152" s="133"/>
      <c r="KT152" s="133"/>
      <c r="KU152" s="133"/>
      <c r="KV152" s="133"/>
      <c r="KW152" s="133"/>
      <c r="KX152" s="133"/>
      <c r="KY152" s="133"/>
      <c r="KZ152" s="133"/>
      <c r="LA152" s="133"/>
      <c r="LB152" s="133"/>
      <c r="LC152" s="133"/>
      <c r="LD152" s="133"/>
      <c r="LE152" s="133"/>
      <c r="LF152" s="133"/>
      <c r="LG152" s="133"/>
      <c r="LH152" s="133"/>
      <c r="LI152" s="133"/>
      <c r="LJ152" s="133"/>
      <c r="LK152" s="133"/>
      <c r="LL152" s="133"/>
      <c r="LM152" s="133"/>
      <c r="LN152" s="133"/>
      <c r="LO152" s="133"/>
      <c r="LP152" s="133"/>
      <c r="LQ152" s="133"/>
      <c r="LR152" s="133"/>
      <c r="LS152" s="133"/>
      <c r="LT152" s="133"/>
      <c r="LU152" s="133"/>
      <c r="LV152" s="133"/>
      <c r="LW152" s="133"/>
      <c r="LX152" s="133"/>
      <c r="LY152" s="133"/>
      <c r="LZ152" s="133"/>
      <c r="MA152" s="133"/>
      <c r="MB152" s="133"/>
      <c r="MC152" s="133"/>
      <c r="MD152" s="133"/>
      <c r="ME152" s="133"/>
      <c r="MF152" s="133"/>
      <c r="MG152" s="133"/>
      <c r="MH152" s="133"/>
      <c r="MI152" s="133"/>
      <c r="MJ152" s="133"/>
      <c r="MK152" s="133"/>
      <c r="ML152" s="133"/>
      <c r="MM152" s="133"/>
      <c r="MN152" s="133"/>
      <c r="MO152" s="133"/>
      <c r="MP152" s="133"/>
      <c r="MQ152" s="133"/>
      <c r="MR152" s="133"/>
      <c r="MS152" s="133"/>
      <c r="MT152" s="133"/>
      <c r="MU152" s="133"/>
      <c r="MV152" s="133"/>
      <c r="MW152" s="133"/>
      <c r="MX152" s="133"/>
      <c r="MY152" s="133"/>
      <c r="MZ152" s="133"/>
      <c r="NA152" s="133"/>
      <c r="NB152" s="133"/>
      <c r="NC152" s="133"/>
      <c r="ND152" s="133"/>
      <c r="NE152" s="133"/>
      <c r="NF152" s="133"/>
      <c r="NG152" s="133"/>
      <c r="NH152" s="133"/>
      <c r="NI152" s="133"/>
      <c r="NJ152" s="133"/>
      <c r="NK152" s="133"/>
      <c r="NL152" s="133"/>
      <c r="NM152" s="133"/>
      <c r="NN152" s="133"/>
      <c r="NO152" s="133"/>
      <c r="NP152" s="133"/>
      <c r="NQ152" s="133"/>
      <c r="NR152" s="133"/>
      <c r="NS152" s="133"/>
      <c r="NT152" s="133"/>
      <c r="NU152" s="133"/>
      <c r="NV152" s="133"/>
      <c r="NW152" s="133"/>
      <c r="NX152" s="133"/>
      <c r="NY152" s="133"/>
      <c r="NZ152" s="133"/>
      <c r="OA152" s="133"/>
      <c r="OB152" s="133"/>
      <c r="OC152" s="133"/>
      <c r="OD152" s="133"/>
      <c r="OE152" s="133"/>
      <c r="OF152" s="133"/>
      <c r="OG152" s="133"/>
      <c r="OH152" s="133"/>
      <c r="OI152" s="133"/>
      <c r="OJ152" s="133"/>
      <c r="OK152" s="133"/>
      <c r="OL152" s="133"/>
      <c r="OM152" s="133"/>
      <c r="ON152" s="133"/>
      <c r="OO152" s="133"/>
      <c r="OP152" s="133"/>
      <c r="OQ152" s="133"/>
      <c r="OR152" s="133"/>
      <c r="OS152" s="133"/>
      <c r="OT152" s="133"/>
      <c r="OU152" s="133"/>
      <c r="OV152" s="133"/>
      <c r="OW152" s="133"/>
      <c r="OX152" s="133"/>
      <c r="OY152" s="133"/>
      <c r="OZ152" s="133"/>
      <c r="PA152" s="133"/>
      <c r="PB152" s="133"/>
      <c r="PC152" s="133"/>
      <c r="PD152" s="133"/>
      <c r="PE152" s="133"/>
      <c r="PF152" s="133"/>
      <c r="PG152" s="133"/>
      <c r="PH152" s="133"/>
      <c r="PI152" s="133"/>
      <c r="PJ152" s="133"/>
      <c r="PK152" s="133"/>
      <c r="PL152" s="133"/>
      <c r="PM152" s="133"/>
      <c r="PN152" s="133"/>
      <c r="PO152" s="133"/>
      <c r="PP152" s="133"/>
      <c r="PQ152" s="133"/>
      <c r="PR152" s="133"/>
      <c r="PS152" s="133"/>
      <c r="PT152" s="133"/>
      <c r="PU152" s="133"/>
      <c r="PV152" s="133"/>
      <c r="PW152" s="133"/>
      <c r="PX152" s="133"/>
      <c r="PY152" s="133"/>
      <c r="PZ152" s="133"/>
      <c r="QA152" s="133"/>
      <c r="QB152" s="133"/>
      <c r="QC152" s="133"/>
      <c r="QD152" s="133"/>
      <c r="QE152" s="133"/>
      <c r="QF152" s="133"/>
      <c r="QG152" s="133"/>
      <c r="QH152" s="133"/>
      <c r="QI152" s="133"/>
      <c r="QJ152" s="133"/>
      <c r="QK152" s="133"/>
      <c r="QL152" s="133"/>
      <c r="QM152" s="133"/>
      <c r="QN152" s="133"/>
      <c r="QO152" s="133"/>
      <c r="QP152" s="133"/>
      <c r="QQ152" s="133"/>
      <c r="QR152" s="133"/>
      <c r="QS152" s="133"/>
      <c r="QT152" s="133"/>
      <c r="QU152" s="133"/>
      <c r="QV152" s="133"/>
      <c r="QW152" s="133"/>
      <c r="QX152" s="133"/>
      <c r="QY152" s="133"/>
      <c r="QZ152" s="133"/>
      <c r="RA152" s="133"/>
      <c r="RB152" s="133"/>
      <c r="RC152" s="133"/>
      <c r="RD152" s="133"/>
      <c r="RE152" s="133"/>
      <c r="RF152" s="133"/>
      <c r="RG152" s="133"/>
      <c r="RH152" s="133"/>
      <c r="RI152" s="133"/>
      <c r="RJ152" s="133"/>
      <c r="RK152" s="133"/>
      <c r="RL152" s="133"/>
      <c r="RM152" s="133"/>
      <c r="RN152" s="133"/>
      <c r="RO152" s="133"/>
      <c r="RP152" s="133"/>
      <c r="RQ152" s="133"/>
      <c r="RR152" s="133"/>
      <c r="RS152" s="133"/>
      <c r="RT152" s="133"/>
      <c r="RU152" s="133"/>
      <c r="RV152" s="133"/>
      <c r="RW152" s="133"/>
      <c r="RX152" s="133"/>
      <c r="RY152" s="133"/>
      <c r="RZ152" s="133"/>
      <c r="SA152" s="133"/>
      <c r="SB152" s="133"/>
      <c r="SC152" s="133"/>
      <c r="SD152" s="133"/>
      <c r="SE152" s="133"/>
      <c r="SF152" s="133"/>
      <c r="SG152" s="133"/>
      <c r="SH152" s="133"/>
      <c r="SI152" s="133"/>
      <c r="SJ152" s="133"/>
      <c r="SK152" s="133"/>
      <c r="SL152" s="133"/>
      <c r="SM152" s="133"/>
      <c r="SN152" s="133"/>
      <c r="SO152" s="133"/>
      <c r="SP152" s="133"/>
      <c r="SQ152" s="133"/>
      <c r="SR152" s="133"/>
      <c r="SS152" s="133"/>
      <c r="ST152" s="133"/>
      <c r="SU152" s="133"/>
      <c r="SV152" s="133"/>
      <c r="SW152" s="133"/>
      <c r="SX152" s="133"/>
      <c r="SY152" s="133"/>
      <c r="SZ152" s="133"/>
      <c r="TA152" s="133"/>
      <c r="TB152" s="133"/>
      <c r="TC152" s="133"/>
      <c r="TD152" s="133"/>
      <c r="TE152" s="133"/>
      <c r="TF152" s="133"/>
      <c r="TG152" s="133"/>
      <c r="TH152" s="133"/>
      <c r="TI152" s="133"/>
    </row>
    <row r="153" spans="1:529" s="134" customFormat="1" x14ac:dyDescent="0.25">
      <c r="A153" s="43"/>
      <c r="B153" s="44"/>
      <c r="C153" s="44"/>
      <c r="D153" s="22" t="s">
        <v>308</v>
      </c>
      <c r="E153" s="69">
        <f t="shared" si="69"/>
        <v>0</v>
      </c>
      <c r="F153" s="69"/>
      <c r="G153" s="69"/>
      <c r="H153" s="69"/>
      <c r="I153" s="69"/>
      <c r="J153" s="69">
        <f t="shared" si="70"/>
        <v>80000000</v>
      </c>
      <c r="K153" s="69"/>
      <c r="L153" s="69">
        <v>80000000</v>
      </c>
      <c r="M153" s="69"/>
      <c r="N153" s="69"/>
      <c r="O153" s="69"/>
      <c r="P153" s="69">
        <f t="shared" si="71"/>
        <v>80000000</v>
      </c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  <c r="CL153" s="133"/>
      <c r="CM153" s="133"/>
      <c r="CN153" s="133"/>
      <c r="CO153" s="133"/>
      <c r="CP153" s="133"/>
      <c r="CQ153" s="133"/>
      <c r="CR153" s="133"/>
      <c r="CS153" s="133"/>
      <c r="CT153" s="133"/>
      <c r="CU153" s="133"/>
      <c r="CV153" s="133"/>
      <c r="CW153" s="133"/>
      <c r="CX153" s="133"/>
      <c r="CY153" s="133"/>
      <c r="CZ153" s="133"/>
      <c r="DA153" s="133"/>
      <c r="DB153" s="133"/>
      <c r="DC153" s="133"/>
      <c r="DD153" s="133"/>
      <c r="DE153" s="133"/>
      <c r="DF153" s="133"/>
      <c r="DG153" s="133"/>
      <c r="DH153" s="133"/>
      <c r="DI153" s="133"/>
      <c r="DJ153" s="133"/>
      <c r="DK153" s="133"/>
      <c r="DL153" s="133"/>
      <c r="DM153" s="133"/>
      <c r="DN153" s="133"/>
      <c r="DO153" s="133"/>
      <c r="DP153" s="133"/>
      <c r="DQ153" s="133"/>
      <c r="DR153" s="133"/>
      <c r="DS153" s="133"/>
      <c r="DT153" s="133"/>
      <c r="DU153" s="133"/>
      <c r="DV153" s="133"/>
      <c r="DW153" s="133"/>
      <c r="DX153" s="133"/>
      <c r="DY153" s="133"/>
      <c r="DZ153" s="133"/>
      <c r="EA153" s="133"/>
      <c r="EB153" s="133"/>
      <c r="EC153" s="133"/>
      <c r="ED153" s="133"/>
      <c r="EE153" s="133"/>
      <c r="EF153" s="133"/>
      <c r="EG153" s="133"/>
      <c r="EH153" s="133"/>
      <c r="EI153" s="133"/>
      <c r="EJ153" s="133"/>
      <c r="EK153" s="133"/>
      <c r="EL153" s="133"/>
      <c r="EM153" s="133"/>
      <c r="EN153" s="133"/>
      <c r="EO153" s="133"/>
      <c r="EP153" s="133"/>
      <c r="EQ153" s="133"/>
      <c r="ER153" s="133"/>
      <c r="ES153" s="133"/>
      <c r="ET153" s="133"/>
      <c r="EU153" s="133"/>
      <c r="EV153" s="133"/>
      <c r="EW153" s="133"/>
      <c r="EX153" s="133"/>
      <c r="EY153" s="133"/>
      <c r="EZ153" s="133"/>
      <c r="FA153" s="133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E153" s="133"/>
      <c r="GF153" s="133"/>
      <c r="GG153" s="133"/>
      <c r="GH153" s="133"/>
      <c r="GI153" s="133"/>
      <c r="GJ153" s="133"/>
      <c r="GK153" s="133"/>
      <c r="GL153" s="133"/>
      <c r="GM153" s="133"/>
      <c r="GN153" s="133"/>
      <c r="GO153" s="133"/>
      <c r="GP153" s="133"/>
      <c r="GQ153" s="133"/>
      <c r="GR153" s="133"/>
      <c r="GS153" s="133"/>
      <c r="GT153" s="133"/>
      <c r="GU153" s="133"/>
      <c r="GV153" s="133"/>
      <c r="GW153" s="133"/>
      <c r="GX153" s="133"/>
      <c r="GY153" s="133"/>
      <c r="GZ153" s="133"/>
      <c r="HA153" s="133"/>
      <c r="HB153" s="133"/>
      <c r="HC153" s="133"/>
      <c r="HD153" s="133"/>
      <c r="HE153" s="133"/>
      <c r="HF153" s="133"/>
      <c r="HG153" s="133"/>
      <c r="HH153" s="133"/>
      <c r="HI153" s="133"/>
      <c r="HJ153" s="133"/>
      <c r="HK153" s="133"/>
      <c r="HL153" s="133"/>
      <c r="HM153" s="133"/>
      <c r="HN153" s="133"/>
      <c r="HO153" s="133"/>
      <c r="HP153" s="133"/>
      <c r="HQ153" s="133"/>
      <c r="HR153" s="133"/>
      <c r="HS153" s="133"/>
      <c r="HT153" s="133"/>
      <c r="HU153" s="133"/>
      <c r="HV153" s="133"/>
      <c r="HW153" s="133"/>
      <c r="HX153" s="133"/>
      <c r="HY153" s="133"/>
      <c r="HZ153" s="133"/>
      <c r="IA153" s="133"/>
      <c r="IB153" s="133"/>
      <c r="IC153" s="133"/>
      <c r="ID153" s="133"/>
      <c r="IE153" s="133"/>
      <c r="IF153" s="133"/>
      <c r="IG153" s="133"/>
      <c r="IH153" s="133"/>
      <c r="II153" s="133"/>
      <c r="IJ153" s="133"/>
      <c r="IK153" s="133"/>
      <c r="IL153" s="133"/>
      <c r="IM153" s="133"/>
      <c r="IN153" s="133"/>
      <c r="IO153" s="133"/>
      <c r="IP153" s="133"/>
      <c r="IQ153" s="133"/>
      <c r="IR153" s="133"/>
      <c r="IS153" s="133"/>
      <c r="IT153" s="133"/>
      <c r="IU153" s="133"/>
      <c r="IV153" s="133"/>
      <c r="IW153" s="133"/>
      <c r="IX153" s="133"/>
      <c r="IY153" s="133"/>
      <c r="IZ153" s="133"/>
      <c r="JA153" s="133"/>
      <c r="JB153" s="133"/>
      <c r="JC153" s="133"/>
      <c r="JD153" s="133"/>
      <c r="JE153" s="133"/>
      <c r="JF153" s="133"/>
      <c r="JG153" s="133"/>
      <c r="JH153" s="133"/>
      <c r="JI153" s="133"/>
      <c r="JJ153" s="133"/>
      <c r="JK153" s="133"/>
      <c r="JL153" s="133"/>
      <c r="JM153" s="133"/>
      <c r="JN153" s="133"/>
      <c r="JO153" s="133"/>
      <c r="JP153" s="133"/>
      <c r="JQ153" s="133"/>
      <c r="JR153" s="133"/>
      <c r="JS153" s="133"/>
      <c r="JT153" s="133"/>
      <c r="JU153" s="133"/>
      <c r="JV153" s="133"/>
      <c r="JW153" s="133"/>
      <c r="JX153" s="133"/>
      <c r="JY153" s="133"/>
      <c r="JZ153" s="133"/>
      <c r="KA153" s="133"/>
      <c r="KB153" s="133"/>
      <c r="KC153" s="133"/>
      <c r="KD153" s="133"/>
      <c r="KE153" s="133"/>
      <c r="KF153" s="133"/>
      <c r="KG153" s="133"/>
      <c r="KH153" s="133"/>
      <c r="KI153" s="133"/>
      <c r="KJ153" s="133"/>
      <c r="KK153" s="133"/>
      <c r="KL153" s="133"/>
      <c r="KM153" s="133"/>
      <c r="KN153" s="133"/>
      <c r="KO153" s="133"/>
      <c r="KP153" s="133"/>
      <c r="KQ153" s="133"/>
      <c r="KR153" s="133"/>
      <c r="KS153" s="133"/>
      <c r="KT153" s="133"/>
      <c r="KU153" s="133"/>
      <c r="KV153" s="133"/>
      <c r="KW153" s="133"/>
      <c r="KX153" s="133"/>
      <c r="KY153" s="133"/>
      <c r="KZ153" s="133"/>
      <c r="LA153" s="133"/>
      <c r="LB153" s="133"/>
      <c r="LC153" s="133"/>
      <c r="LD153" s="133"/>
      <c r="LE153" s="133"/>
      <c r="LF153" s="133"/>
      <c r="LG153" s="133"/>
      <c r="LH153" s="133"/>
      <c r="LI153" s="133"/>
      <c r="LJ153" s="133"/>
      <c r="LK153" s="133"/>
      <c r="LL153" s="133"/>
      <c r="LM153" s="133"/>
      <c r="LN153" s="133"/>
      <c r="LO153" s="133"/>
      <c r="LP153" s="133"/>
      <c r="LQ153" s="133"/>
      <c r="LR153" s="133"/>
      <c r="LS153" s="133"/>
      <c r="LT153" s="133"/>
      <c r="LU153" s="133"/>
      <c r="LV153" s="133"/>
      <c r="LW153" s="133"/>
      <c r="LX153" s="133"/>
      <c r="LY153" s="133"/>
      <c r="LZ153" s="133"/>
      <c r="MA153" s="133"/>
      <c r="MB153" s="133"/>
      <c r="MC153" s="133"/>
      <c r="MD153" s="133"/>
      <c r="ME153" s="133"/>
      <c r="MF153" s="133"/>
      <c r="MG153" s="133"/>
      <c r="MH153" s="133"/>
      <c r="MI153" s="133"/>
      <c r="MJ153" s="133"/>
      <c r="MK153" s="133"/>
      <c r="ML153" s="133"/>
      <c r="MM153" s="133"/>
      <c r="MN153" s="133"/>
      <c r="MO153" s="133"/>
      <c r="MP153" s="133"/>
      <c r="MQ153" s="133"/>
      <c r="MR153" s="133"/>
      <c r="MS153" s="133"/>
      <c r="MT153" s="133"/>
      <c r="MU153" s="133"/>
      <c r="MV153" s="133"/>
      <c r="MW153" s="133"/>
      <c r="MX153" s="133"/>
      <c r="MY153" s="133"/>
      <c r="MZ153" s="133"/>
      <c r="NA153" s="133"/>
      <c r="NB153" s="133"/>
      <c r="NC153" s="133"/>
      <c r="ND153" s="133"/>
      <c r="NE153" s="133"/>
      <c r="NF153" s="133"/>
      <c r="NG153" s="133"/>
      <c r="NH153" s="133"/>
      <c r="NI153" s="133"/>
      <c r="NJ153" s="133"/>
      <c r="NK153" s="133"/>
      <c r="NL153" s="133"/>
      <c r="NM153" s="133"/>
      <c r="NN153" s="133"/>
      <c r="NO153" s="133"/>
      <c r="NP153" s="133"/>
      <c r="NQ153" s="133"/>
      <c r="NR153" s="133"/>
      <c r="NS153" s="133"/>
      <c r="NT153" s="133"/>
      <c r="NU153" s="133"/>
      <c r="NV153" s="133"/>
      <c r="NW153" s="133"/>
      <c r="NX153" s="133"/>
      <c r="NY153" s="133"/>
      <c r="NZ153" s="133"/>
      <c r="OA153" s="133"/>
      <c r="OB153" s="133"/>
      <c r="OC153" s="133"/>
      <c r="OD153" s="133"/>
      <c r="OE153" s="133"/>
      <c r="OF153" s="133"/>
      <c r="OG153" s="133"/>
      <c r="OH153" s="133"/>
      <c r="OI153" s="133"/>
      <c r="OJ153" s="133"/>
      <c r="OK153" s="133"/>
      <c r="OL153" s="133"/>
      <c r="OM153" s="133"/>
      <c r="ON153" s="133"/>
      <c r="OO153" s="133"/>
      <c r="OP153" s="133"/>
      <c r="OQ153" s="133"/>
      <c r="OR153" s="133"/>
      <c r="OS153" s="133"/>
      <c r="OT153" s="133"/>
      <c r="OU153" s="133"/>
      <c r="OV153" s="133"/>
      <c r="OW153" s="133"/>
      <c r="OX153" s="133"/>
      <c r="OY153" s="133"/>
      <c r="OZ153" s="133"/>
      <c r="PA153" s="133"/>
      <c r="PB153" s="133"/>
      <c r="PC153" s="133"/>
      <c r="PD153" s="133"/>
      <c r="PE153" s="133"/>
      <c r="PF153" s="133"/>
      <c r="PG153" s="133"/>
      <c r="PH153" s="133"/>
      <c r="PI153" s="133"/>
      <c r="PJ153" s="133"/>
      <c r="PK153" s="133"/>
      <c r="PL153" s="133"/>
      <c r="PM153" s="133"/>
      <c r="PN153" s="133"/>
      <c r="PO153" s="133"/>
      <c r="PP153" s="133"/>
      <c r="PQ153" s="133"/>
      <c r="PR153" s="133"/>
      <c r="PS153" s="133"/>
      <c r="PT153" s="133"/>
      <c r="PU153" s="133"/>
      <c r="PV153" s="133"/>
      <c r="PW153" s="133"/>
      <c r="PX153" s="133"/>
      <c r="PY153" s="133"/>
      <c r="PZ153" s="133"/>
      <c r="QA153" s="133"/>
      <c r="QB153" s="133"/>
      <c r="QC153" s="133"/>
      <c r="QD153" s="133"/>
      <c r="QE153" s="133"/>
      <c r="QF153" s="133"/>
      <c r="QG153" s="133"/>
      <c r="QH153" s="133"/>
      <c r="QI153" s="133"/>
      <c r="QJ153" s="133"/>
      <c r="QK153" s="133"/>
      <c r="QL153" s="133"/>
      <c r="QM153" s="133"/>
      <c r="QN153" s="133"/>
      <c r="QO153" s="133"/>
      <c r="QP153" s="133"/>
      <c r="QQ153" s="133"/>
      <c r="QR153" s="133"/>
      <c r="QS153" s="133"/>
      <c r="QT153" s="133"/>
      <c r="QU153" s="133"/>
      <c r="QV153" s="133"/>
      <c r="QW153" s="133"/>
      <c r="QX153" s="133"/>
      <c r="QY153" s="133"/>
      <c r="QZ153" s="133"/>
      <c r="RA153" s="133"/>
      <c r="RB153" s="133"/>
      <c r="RC153" s="133"/>
      <c r="RD153" s="133"/>
      <c r="RE153" s="133"/>
      <c r="RF153" s="133"/>
      <c r="RG153" s="133"/>
      <c r="RH153" s="133"/>
      <c r="RI153" s="133"/>
      <c r="RJ153" s="133"/>
      <c r="RK153" s="133"/>
      <c r="RL153" s="133"/>
      <c r="RM153" s="133"/>
      <c r="RN153" s="133"/>
      <c r="RO153" s="133"/>
      <c r="RP153" s="133"/>
      <c r="RQ153" s="133"/>
      <c r="RR153" s="133"/>
      <c r="RS153" s="133"/>
      <c r="RT153" s="133"/>
      <c r="RU153" s="133"/>
      <c r="RV153" s="133"/>
      <c r="RW153" s="133"/>
      <c r="RX153" s="133"/>
      <c r="RY153" s="133"/>
      <c r="RZ153" s="133"/>
      <c r="SA153" s="133"/>
      <c r="SB153" s="133"/>
      <c r="SC153" s="133"/>
      <c r="SD153" s="133"/>
      <c r="SE153" s="133"/>
      <c r="SF153" s="133"/>
      <c r="SG153" s="133"/>
      <c r="SH153" s="133"/>
      <c r="SI153" s="133"/>
      <c r="SJ153" s="133"/>
      <c r="SK153" s="133"/>
      <c r="SL153" s="133"/>
      <c r="SM153" s="133"/>
      <c r="SN153" s="133"/>
      <c r="SO153" s="133"/>
      <c r="SP153" s="133"/>
      <c r="SQ153" s="133"/>
      <c r="SR153" s="133"/>
      <c r="SS153" s="133"/>
      <c r="ST153" s="133"/>
      <c r="SU153" s="133"/>
      <c r="SV153" s="133"/>
      <c r="SW153" s="133"/>
      <c r="SX153" s="133"/>
      <c r="SY153" s="133"/>
      <c r="SZ153" s="133"/>
      <c r="TA153" s="133"/>
      <c r="TB153" s="133"/>
      <c r="TC153" s="133"/>
      <c r="TD153" s="133"/>
      <c r="TE153" s="133"/>
      <c r="TF153" s="133"/>
      <c r="TG153" s="133"/>
      <c r="TH153" s="133"/>
      <c r="TI153" s="133"/>
    </row>
    <row r="154" spans="1:529" s="23" customFormat="1" ht="20.25" customHeight="1" x14ac:dyDescent="0.25">
      <c r="A154" s="43" t="s">
        <v>239</v>
      </c>
      <c r="B154" s="44" t="str">
        <f>'дод 3'!A124</f>
        <v>7640</v>
      </c>
      <c r="C154" s="44" t="str">
        <f>'дод 3'!B124</f>
        <v>0470</v>
      </c>
      <c r="D154" s="24" t="str">
        <f>'дод 3'!C124</f>
        <v>Заходи з енергозбереження</v>
      </c>
      <c r="E154" s="69">
        <f t="shared" si="66"/>
        <v>1500000</v>
      </c>
      <c r="F154" s="69">
        <f>750000-250000</f>
        <v>500000</v>
      </c>
      <c r="G154" s="69"/>
      <c r="H154" s="69"/>
      <c r="I154" s="69">
        <f>750000+250000</f>
        <v>1000000</v>
      </c>
      <c r="J154" s="69">
        <f t="shared" si="68"/>
        <v>0</v>
      </c>
      <c r="K154" s="69"/>
      <c r="L154" s="69"/>
      <c r="M154" s="69"/>
      <c r="N154" s="69"/>
      <c r="O154" s="69"/>
      <c r="P154" s="69">
        <f t="shared" si="67"/>
        <v>1500000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</row>
    <row r="155" spans="1:529" s="23" customFormat="1" ht="23.25" customHeight="1" x14ac:dyDescent="0.25">
      <c r="A155" s="43" t="s">
        <v>388</v>
      </c>
      <c r="B155" s="44" t="str">
        <f>'дод 3'!A127</f>
        <v>7670</v>
      </c>
      <c r="C155" s="44" t="str">
        <f>'дод 3'!B127</f>
        <v>0490</v>
      </c>
      <c r="D155" s="24" t="str">
        <f>'дод 3'!C127</f>
        <v>Внески до статутного капіталу суб’єктів господарювання</v>
      </c>
      <c r="E155" s="69">
        <f t="shared" si="66"/>
        <v>0</v>
      </c>
      <c r="F155" s="69"/>
      <c r="G155" s="69"/>
      <c r="H155" s="69"/>
      <c r="I155" s="69"/>
      <c r="J155" s="69">
        <f t="shared" si="68"/>
        <v>17042330</v>
      </c>
      <c r="K155" s="69">
        <f>7042330+10000000</f>
        <v>17042330</v>
      </c>
      <c r="L155" s="69"/>
      <c r="M155" s="69"/>
      <c r="N155" s="69"/>
      <c r="O155" s="69">
        <f>7042330+10000000</f>
        <v>17042330</v>
      </c>
      <c r="P155" s="69">
        <f t="shared" si="67"/>
        <v>17042330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</row>
    <row r="156" spans="1:529" s="23" customFormat="1" ht="102" customHeight="1" x14ac:dyDescent="0.25">
      <c r="A156" s="52" t="s">
        <v>350</v>
      </c>
      <c r="B156" s="45">
        <v>7691</v>
      </c>
      <c r="C156" s="45" t="s">
        <v>102</v>
      </c>
      <c r="D156" s="22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56" s="69">
        <f t="shared" si="66"/>
        <v>0</v>
      </c>
      <c r="F156" s="69"/>
      <c r="G156" s="69"/>
      <c r="H156" s="69"/>
      <c r="I156" s="69"/>
      <c r="J156" s="69">
        <f t="shared" si="68"/>
        <v>290090.27</v>
      </c>
      <c r="K156" s="69"/>
      <c r="L156" s="69">
        <f>41000+115890.27</f>
        <v>156890.27000000002</v>
      </c>
      <c r="M156" s="69"/>
      <c r="N156" s="69"/>
      <c r="O156" s="69">
        <v>133200</v>
      </c>
      <c r="P156" s="69">
        <f t="shared" si="67"/>
        <v>290090.27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</row>
    <row r="157" spans="1:529" s="23" customFormat="1" ht="42" customHeight="1" x14ac:dyDescent="0.25">
      <c r="A157" s="52" t="s">
        <v>474</v>
      </c>
      <c r="B157" s="45" t="str">
        <f>'дод 3'!A135</f>
        <v>8110</v>
      </c>
      <c r="C157" s="45" t="str">
        <f>'дод 3'!B135</f>
        <v>0320</v>
      </c>
      <c r="D157" s="150" t="str">
        <f>'дод 3'!C135</f>
        <v>Заходи із запобігання та ліквідації надзвичайних ситуацій та наслідків стихійного лиха</v>
      </c>
      <c r="E157" s="69">
        <f t="shared" ref="E157" si="72">F157+I157</f>
        <v>3053000</v>
      </c>
      <c r="F157" s="69">
        <f>1610000+1443000</f>
        <v>3053000</v>
      </c>
      <c r="G157" s="69"/>
      <c r="H157" s="69"/>
      <c r="I157" s="69"/>
      <c r="J157" s="69">
        <f t="shared" ref="J157" si="73">L157+O157</f>
        <v>0</v>
      </c>
      <c r="K157" s="69"/>
      <c r="L157" s="69"/>
      <c r="M157" s="69"/>
      <c r="N157" s="69"/>
      <c r="O157" s="69"/>
      <c r="P157" s="69">
        <f t="shared" ref="P157" si="74">E157+J157</f>
        <v>3053000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</row>
    <row r="158" spans="1:529" s="23" customFormat="1" ht="33.75" hidden="1" customHeight="1" x14ac:dyDescent="0.25">
      <c r="A158" s="52" t="s">
        <v>471</v>
      </c>
      <c r="B158" s="45" t="str">
        <f>'дод 3'!A138</f>
        <v>8230</v>
      </c>
      <c r="C158" s="45" t="str">
        <f>'дод 3'!B138</f>
        <v>0380</v>
      </c>
      <c r="D158" s="150" t="str">
        <f>'дод 3'!C138</f>
        <v>Інші заходи громадського порядку та безпеки</v>
      </c>
      <c r="E158" s="69">
        <f t="shared" ref="E158" si="75">F158+I158</f>
        <v>0</v>
      </c>
      <c r="F158" s="69">
        <f>110000-110000</f>
        <v>0</v>
      </c>
      <c r="G158" s="69"/>
      <c r="H158" s="69"/>
      <c r="I158" s="69"/>
      <c r="J158" s="69">
        <f t="shared" ref="J158" si="76">L158+O158</f>
        <v>0</v>
      </c>
      <c r="K158" s="69"/>
      <c r="L158" s="69"/>
      <c r="M158" s="69"/>
      <c r="N158" s="69"/>
      <c r="O158" s="69"/>
      <c r="P158" s="69">
        <f t="shared" ref="P158" si="77">E158+J158</f>
        <v>0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</row>
    <row r="159" spans="1:529" s="23" customFormat="1" ht="24.75" customHeight="1" x14ac:dyDescent="0.25">
      <c r="A159" s="43" t="s">
        <v>240</v>
      </c>
      <c r="B159" s="44" t="str">
        <f>'дод 3'!A141</f>
        <v>8340</v>
      </c>
      <c r="C159" s="44" t="str">
        <f>'дод 3'!B141</f>
        <v>0540</v>
      </c>
      <c r="D159" s="24" t="str">
        <f>'дод 3'!C141</f>
        <v>Природоохоронні заходи за рахунок цільових фондів</v>
      </c>
      <c r="E159" s="69">
        <f t="shared" si="66"/>
        <v>0</v>
      </c>
      <c r="F159" s="69"/>
      <c r="G159" s="69"/>
      <c r="H159" s="69"/>
      <c r="I159" s="69"/>
      <c r="J159" s="69">
        <f t="shared" si="68"/>
        <v>5599043.4500000002</v>
      </c>
      <c r="K159" s="69"/>
      <c r="L159" s="69">
        <v>1870000</v>
      </c>
      <c r="M159" s="69"/>
      <c r="N159" s="69">
        <v>540000</v>
      </c>
      <c r="O159" s="69">
        <f>1946500+1782543.45</f>
        <v>3729043.45</v>
      </c>
      <c r="P159" s="69">
        <f t="shared" si="67"/>
        <v>5599043.4500000002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</row>
    <row r="160" spans="1:529" s="23" customFormat="1" ht="23.25" customHeight="1" x14ac:dyDescent="0.25">
      <c r="A160" s="43" t="s">
        <v>241</v>
      </c>
      <c r="B160" s="44" t="str">
        <f>'дод 3'!A150</f>
        <v>9770</v>
      </c>
      <c r="C160" s="44" t="str">
        <f>'дод 3'!B150</f>
        <v>0180</v>
      </c>
      <c r="D160" s="24" t="str">
        <f>'дод 3'!C150</f>
        <v>Інші субвенції з місцевого бюджету</v>
      </c>
      <c r="E160" s="69">
        <f t="shared" si="66"/>
        <v>368000</v>
      </c>
      <c r="F160" s="69">
        <v>368000</v>
      </c>
      <c r="G160" s="69"/>
      <c r="H160" s="69"/>
      <c r="I160" s="69"/>
      <c r="J160" s="69">
        <f t="shared" si="68"/>
        <v>7632000</v>
      </c>
      <c r="K160" s="69">
        <f>8000000-368000</f>
        <v>7632000</v>
      </c>
      <c r="L160" s="69"/>
      <c r="M160" s="69"/>
      <c r="N160" s="69"/>
      <c r="O160" s="69">
        <f>8000000-368000</f>
        <v>7632000</v>
      </c>
      <c r="P160" s="69">
        <f t="shared" si="67"/>
        <v>8000000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</row>
    <row r="161" spans="1:529" s="31" customFormat="1" ht="33.75" customHeight="1" x14ac:dyDescent="0.2">
      <c r="A161" s="76" t="s">
        <v>37</v>
      </c>
      <c r="B161" s="74"/>
      <c r="C161" s="74"/>
      <c r="D161" s="30" t="s">
        <v>47</v>
      </c>
      <c r="E161" s="66">
        <f>E162</f>
        <v>6157500</v>
      </c>
      <c r="F161" s="66">
        <f t="shared" ref="F161:J162" si="78">F162</f>
        <v>6157500</v>
      </c>
      <c r="G161" s="66">
        <f t="shared" si="78"/>
        <v>4788800</v>
      </c>
      <c r="H161" s="66">
        <f t="shared" si="78"/>
        <v>98300</v>
      </c>
      <c r="I161" s="66">
        <f t="shared" si="78"/>
        <v>0</v>
      </c>
      <c r="J161" s="66">
        <f t="shared" si="78"/>
        <v>160000</v>
      </c>
      <c r="K161" s="66">
        <f t="shared" ref="K161:K162" si="79">K162</f>
        <v>160000</v>
      </c>
      <c r="L161" s="66">
        <f t="shared" ref="L161:L162" si="80">L162</f>
        <v>0</v>
      </c>
      <c r="M161" s="66">
        <f t="shared" ref="M161:M162" si="81">M162</f>
        <v>0</v>
      </c>
      <c r="N161" s="66">
        <f t="shared" ref="N161:N162" si="82">N162</f>
        <v>0</v>
      </c>
      <c r="O161" s="66">
        <f t="shared" ref="O161:P162" si="83">O162</f>
        <v>160000</v>
      </c>
      <c r="P161" s="66">
        <f t="shared" si="83"/>
        <v>6317500</v>
      </c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8"/>
      <c r="GM161" s="38"/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  <c r="HI161" s="38"/>
      <c r="HJ161" s="38"/>
      <c r="HK161" s="38"/>
      <c r="HL161" s="38"/>
      <c r="HM161" s="38"/>
      <c r="HN161" s="38"/>
      <c r="HO161" s="38"/>
      <c r="HP161" s="38"/>
      <c r="HQ161" s="38"/>
      <c r="HR161" s="38"/>
      <c r="HS161" s="38"/>
      <c r="HT161" s="38"/>
      <c r="HU161" s="38"/>
      <c r="HV161" s="38"/>
      <c r="HW161" s="38"/>
      <c r="HX161" s="38"/>
      <c r="HY161" s="38"/>
      <c r="HZ161" s="38"/>
      <c r="IA161" s="38"/>
      <c r="IB161" s="38"/>
      <c r="IC161" s="38"/>
      <c r="ID161" s="38"/>
      <c r="IE161" s="38"/>
      <c r="IF161" s="38"/>
      <c r="IG161" s="38"/>
      <c r="IH161" s="38"/>
      <c r="II161" s="38"/>
      <c r="IJ161" s="38"/>
      <c r="IK161" s="38"/>
      <c r="IL161" s="38"/>
      <c r="IM161" s="38"/>
      <c r="IN161" s="38"/>
      <c r="IO161" s="38"/>
      <c r="IP161" s="38"/>
      <c r="IQ161" s="38"/>
      <c r="IR161" s="38"/>
      <c r="IS161" s="38"/>
      <c r="IT161" s="38"/>
      <c r="IU161" s="38"/>
      <c r="IV161" s="38"/>
      <c r="IW161" s="38"/>
      <c r="IX161" s="38"/>
      <c r="IY161" s="38"/>
      <c r="IZ161" s="38"/>
      <c r="JA161" s="38"/>
      <c r="JB161" s="38"/>
      <c r="JC161" s="38"/>
      <c r="JD161" s="38"/>
      <c r="JE161" s="38"/>
      <c r="JF161" s="38"/>
      <c r="JG161" s="38"/>
      <c r="JH161" s="38"/>
      <c r="JI161" s="38"/>
      <c r="JJ161" s="38"/>
      <c r="JK161" s="38"/>
      <c r="JL161" s="38"/>
      <c r="JM161" s="38"/>
      <c r="JN161" s="38"/>
      <c r="JO161" s="38"/>
      <c r="JP161" s="38"/>
      <c r="JQ161" s="38"/>
      <c r="JR161" s="38"/>
      <c r="JS161" s="38"/>
      <c r="JT161" s="38"/>
      <c r="JU161" s="38"/>
      <c r="JV161" s="38"/>
      <c r="JW161" s="38"/>
      <c r="JX161" s="38"/>
      <c r="JY161" s="38"/>
      <c r="JZ161" s="38"/>
      <c r="KA161" s="38"/>
      <c r="KB161" s="38"/>
      <c r="KC161" s="38"/>
      <c r="KD161" s="38"/>
      <c r="KE161" s="38"/>
      <c r="KF161" s="38"/>
      <c r="KG161" s="38"/>
      <c r="KH161" s="38"/>
      <c r="KI161" s="38"/>
      <c r="KJ161" s="38"/>
      <c r="KK161" s="38"/>
      <c r="KL161" s="38"/>
      <c r="KM161" s="38"/>
      <c r="KN161" s="38"/>
      <c r="KO161" s="38"/>
      <c r="KP161" s="38"/>
      <c r="KQ161" s="38"/>
      <c r="KR161" s="38"/>
      <c r="KS161" s="38"/>
      <c r="KT161" s="38"/>
      <c r="KU161" s="38"/>
      <c r="KV161" s="38"/>
      <c r="KW161" s="38"/>
      <c r="KX161" s="38"/>
      <c r="KY161" s="38"/>
      <c r="KZ161" s="38"/>
      <c r="LA161" s="38"/>
      <c r="LB161" s="38"/>
      <c r="LC161" s="38"/>
      <c r="LD161" s="38"/>
      <c r="LE161" s="38"/>
      <c r="LF161" s="38"/>
      <c r="LG161" s="38"/>
      <c r="LH161" s="38"/>
      <c r="LI161" s="38"/>
      <c r="LJ161" s="38"/>
      <c r="LK161" s="38"/>
      <c r="LL161" s="38"/>
      <c r="LM161" s="38"/>
      <c r="LN161" s="38"/>
      <c r="LO161" s="38"/>
      <c r="LP161" s="38"/>
      <c r="LQ161" s="38"/>
      <c r="LR161" s="38"/>
      <c r="LS161" s="38"/>
      <c r="LT161" s="38"/>
      <c r="LU161" s="38"/>
      <c r="LV161" s="38"/>
      <c r="LW161" s="38"/>
      <c r="LX161" s="38"/>
      <c r="LY161" s="38"/>
      <c r="LZ161" s="38"/>
      <c r="MA161" s="38"/>
      <c r="MB161" s="38"/>
      <c r="MC161" s="38"/>
      <c r="MD161" s="38"/>
      <c r="ME161" s="38"/>
      <c r="MF161" s="38"/>
      <c r="MG161" s="38"/>
      <c r="MH161" s="38"/>
      <c r="MI161" s="38"/>
      <c r="MJ161" s="38"/>
      <c r="MK161" s="38"/>
      <c r="ML161" s="38"/>
      <c r="MM161" s="38"/>
      <c r="MN161" s="38"/>
      <c r="MO161" s="38"/>
      <c r="MP161" s="38"/>
      <c r="MQ161" s="38"/>
      <c r="MR161" s="38"/>
      <c r="MS161" s="38"/>
      <c r="MT161" s="38"/>
      <c r="MU161" s="38"/>
      <c r="MV161" s="38"/>
      <c r="MW161" s="38"/>
      <c r="MX161" s="38"/>
      <c r="MY161" s="38"/>
      <c r="MZ161" s="38"/>
      <c r="NA161" s="38"/>
      <c r="NB161" s="38"/>
      <c r="NC161" s="38"/>
      <c r="ND161" s="38"/>
      <c r="NE161" s="38"/>
      <c r="NF161" s="38"/>
      <c r="NG161" s="38"/>
      <c r="NH161" s="38"/>
      <c r="NI161" s="38"/>
      <c r="NJ161" s="38"/>
      <c r="NK161" s="38"/>
      <c r="NL161" s="38"/>
      <c r="NM161" s="38"/>
      <c r="NN161" s="38"/>
      <c r="NO161" s="38"/>
      <c r="NP161" s="38"/>
      <c r="NQ161" s="38"/>
      <c r="NR161" s="38"/>
      <c r="NS161" s="38"/>
      <c r="NT161" s="38"/>
      <c r="NU161" s="38"/>
      <c r="NV161" s="38"/>
      <c r="NW161" s="38"/>
      <c r="NX161" s="38"/>
      <c r="NY161" s="38"/>
      <c r="NZ161" s="38"/>
      <c r="OA161" s="38"/>
      <c r="OB161" s="38"/>
      <c r="OC161" s="38"/>
      <c r="OD161" s="38"/>
      <c r="OE161" s="38"/>
      <c r="OF161" s="38"/>
      <c r="OG161" s="38"/>
      <c r="OH161" s="38"/>
      <c r="OI161" s="38"/>
      <c r="OJ161" s="38"/>
      <c r="OK161" s="38"/>
      <c r="OL161" s="38"/>
      <c r="OM161" s="38"/>
      <c r="ON161" s="38"/>
      <c r="OO161" s="38"/>
      <c r="OP161" s="38"/>
      <c r="OQ161" s="38"/>
      <c r="OR161" s="38"/>
      <c r="OS161" s="38"/>
      <c r="OT161" s="38"/>
      <c r="OU161" s="38"/>
      <c r="OV161" s="38"/>
      <c r="OW161" s="38"/>
      <c r="OX161" s="38"/>
      <c r="OY161" s="38"/>
      <c r="OZ161" s="38"/>
      <c r="PA161" s="38"/>
      <c r="PB161" s="38"/>
      <c r="PC161" s="38"/>
      <c r="PD161" s="38"/>
      <c r="PE161" s="38"/>
      <c r="PF161" s="38"/>
      <c r="PG161" s="38"/>
      <c r="PH161" s="38"/>
      <c r="PI161" s="38"/>
      <c r="PJ161" s="38"/>
      <c r="PK161" s="38"/>
      <c r="PL161" s="38"/>
      <c r="PM161" s="38"/>
      <c r="PN161" s="38"/>
      <c r="PO161" s="38"/>
      <c r="PP161" s="38"/>
      <c r="PQ161" s="38"/>
      <c r="PR161" s="38"/>
      <c r="PS161" s="38"/>
      <c r="PT161" s="38"/>
      <c r="PU161" s="38"/>
      <c r="PV161" s="38"/>
      <c r="PW161" s="38"/>
      <c r="PX161" s="38"/>
      <c r="PY161" s="38"/>
      <c r="PZ161" s="38"/>
      <c r="QA161" s="38"/>
      <c r="QB161" s="38"/>
      <c r="QC161" s="38"/>
      <c r="QD161" s="38"/>
      <c r="QE161" s="38"/>
      <c r="QF161" s="38"/>
      <c r="QG161" s="38"/>
      <c r="QH161" s="38"/>
      <c r="QI161" s="38"/>
      <c r="QJ161" s="38"/>
      <c r="QK161" s="38"/>
      <c r="QL161" s="38"/>
      <c r="QM161" s="38"/>
      <c r="QN161" s="38"/>
      <c r="QO161" s="38"/>
      <c r="QP161" s="38"/>
      <c r="QQ161" s="38"/>
      <c r="QR161" s="38"/>
      <c r="QS161" s="38"/>
      <c r="QT161" s="38"/>
      <c r="QU161" s="38"/>
      <c r="QV161" s="38"/>
      <c r="QW161" s="38"/>
      <c r="QX161" s="38"/>
      <c r="QY161" s="38"/>
      <c r="QZ161" s="38"/>
      <c r="RA161" s="38"/>
      <c r="RB161" s="38"/>
      <c r="RC161" s="38"/>
      <c r="RD161" s="38"/>
      <c r="RE161" s="38"/>
      <c r="RF161" s="38"/>
      <c r="RG161" s="38"/>
      <c r="RH161" s="38"/>
      <c r="RI161" s="38"/>
      <c r="RJ161" s="38"/>
      <c r="RK161" s="38"/>
      <c r="RL161" s="38"/>
      <c r="RM161" s="38"/>
      <c r="RN161" s="38"/>
      <c r="RO161" s="38"/>
      <c r="RP161" s="38"/>
      <c r="RQ161" s="38"/>
      <c r="RR161" s="38"/>
      <c r="RS161" s="38"/>
      <c r="RT161" s="38"/>
      <c r="RU161" s="38"/>
      <c r="RV161" s="38"/>
      <c r="RW161" s="38"/>
      <c r="RX161" s="38"/>
      <c r="RY161" s="38"/>
      <c r="RZ161" s="38"/>
      <c r="SA161" s="38"/>
      <c r="SB161" s="38"/>
      <c r="SC161" s="38"/>
      <c r="SD161" s="38"/>
      <c r="SE161" s="38"/>
      <c r="SF161" s="38"/>
      <c r="SG161" s="38"/>
      <c r="SH161" s="38"/>
      <c r="SI161" s="38"/>
      <c r="SJ161" s="38"/>
      <c r="SK161" s="38"/>
      <c r="SL161" s="38"/>
      <c r="SM161" s="38"/>
      <c r="SN161" s="38"/>
      <c r="SO161" s="38"/>
      <c r="SP161" s="38"/>
      <c r="SQ161" s="38"/>
      <c r="SR161" s="38"/>
      <c r="SS161" s="38"/>
      <c r="ST161" s="38"/>
      <c r="SU161" s="38"/>
      <c r="SV161" s="38"/>
      <c r="SW161" s="38"/>
      <c r="SX161" s="38"/>
      <c r="SY161" s="38"/>
      <c r="SZ161" s="38"/>
      <c r="TA161" s="38"/>
      <c r="TB161" s="38"/>
      <c r="TC161" s="38"/>
      <c r="TD161" s="38"/>
      <c r="TE161" s="38"/>
      <c r="TF161" s="38"/>
      <c r="TG161" s="38"/>
      <c r="TH161" s="38"/>
      <c r="TI161" s="38"/>
    </row>
    <row r="162" spans="1:529" s="40" customFormat="1" ht="36.75" customHeight="1" x14ac:dyDescent="0.25">
      <c r="A162" s="77" t="s">
        <v>139</v>
      </c>
      <c r="B162" s="75"/>
      <c r="C162" s="75"/>
      <c r="D162" s="33" t="s">
        <v>47</v>
      </c>
      <c r="E162" s="68">
        <f>E163</f>
        <v>6157500</v>
      </c>
      <c r="F162" s="68">
        <f t="shared" si="78"/>
        <v>6157500</v>
      </c>
      <c r="G162" s="68">
        <f t="shared" si="78"/>
        <v>4788800</v>
      </c>
      <c r="H162" s="68">
        <f t="shared" si="78"/>
        <v>98300</v>
      </c>
      <c r="I162" s="68">
        <f t="shared" si="78"/>
        <v>0</v>
      </c>
      <c r="J162" s="68">
        <f t="shared" si="78"/>
        <v>160000</v>
      </c>
      <c r="K162" s="68">
        <f t="shared" si="79"/>
        <v>160000</v>
      </c>
      <c r="L162" s="68">
        <f t="shared" si="80"/>
        <v>0</v>
      </c>
      <c r="M162" s="68">
        <f t="shared" si="81"/>
        <v>0</v>
      </c>
      <c r="N162" s="68">
        <f t="shared" si="82"/>
        <v>0</v>
      </c>
      <c r="O162" s="68">
        <f t="shared" si="83"/>
        <v>160000</v>
      </c>
      <c r="P162" s="68">
        <f t="shared" si="83"/>
        <v>6317500</v>
      </c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/>
      <c r="GX162" s="39"/>
      <c r="GY162" s="39"/>
      <c r="GZ162" s="39"/>
      <c r="HA162" s="39"/>
      <c r="HB162" s="39"/>
      <c r="HC162" s="39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/>
      <c r="HN162" s="39"/>
      <c r="HO162" s="39"/>
      <c r="HP162" s="39"/>
      <c r="HQ162" s="39"/>
      <c r="HR162" s="39"/>
      <c r="HS162" s="39"/>
      <c r="HT162" s="39"/>
      <c r="HU162" s="39"/>
      <c r="HV162" s="39"/>
      <c r="HW162" s="39"/>
      <c r="HX162" s="39"/>
      <c r="HY162" s="39"/>
      <c r="HZ162" s="39"/>
      <c r="IA162" s="39"/>
      <c r="IB162" s="39"/>
      <c r="IC162" s="39"/>
      <c r="ID162" s="39"/>
      <c r="IE162" s="39"/>
      <c r="IF162" s="39"/>
      <c r="IG162" s="39"/>
      <c r="IH162" s="39"/>
      <c r="II162" s="39"/>
      <c r="IJ162" s="39"/>
      <c r="IK162" s="39"/>
      <c r="IL162" s="39"/>
      <c r="IM162" s="39"/>
      <c r="IN162" s="39"/>
      <c r="IO162" s="39"/>
      <c r="IP162" s="39"/>
      <c r="IQ162" s="39"/>
      <c r="IR162" s="39"/>
      <c r="IS162" s="39"/>
      <c r="IT162" s="39"/>
      <c r="IU162" s="39"/>
      <c r="IV162" s="39"/>
      <c r="IW162" s="39"/>
      <c r="IX162" s="39"/>
      <c r="IY162" s="39"/>
      <c r="IZ162" s="39"/>
      <c r="JA162" s="39"/>
      <c r="JB162" s="39"/>
      <c r="JC162" s="39"/>
      <c r="JD162" s="39"/>
      <c r="JE162" s="39"/>
      <c r="JF162" s="39"/>
      <c r="JG162" s="39"/>
      <c r="JH162" s="39"/>
      <c r="JI162" s="39"/>
      <c r="JJ162" s="39"/>
      <c r="JK162" s="39"/>
      <c r="JL162" s="39"/>
      <c r="JM162" s="39"/>
      <c r="JN162" s="39"/>
      <c r="JO162" s="39"/>
      <c r="JP162" s="39"/>
      <c r="JQ162" s="39"/>
      <c r="JR162" s="39"/>
      <c r="JS162" s="39"/>
      <c r="JT162" s="39"/>
      <c r="JU162" s="39"/>
      <c r="JV162" s="39"/>
      <c r="JW162" s="39"/>
      <c r="JX162" s="39"/>
      <c r="JY162" s="39"/>
      <c r="JZ162" s="39"/>
      <c r="KA162" s="39"/>
      <c r="KB162" s="39"/>
      <c r="KC162" s="39"/>
      <c r="KD162" s="39"/>
      <c r="KE162" s="39"/>
      <c r="KF162" s="39"/>
      <c r="KG162" s="39"/>
      <c r="KH162" s="39"/>
      <c r="KI162" s="39"/>
      <c r="KJ162" s="39"/>
      <c r="KK162" s="39"/>
      <c r="KL162" s="39"/>
      <c r="KM162" s="39"/>
      <c r="KN162" s="39"/>
      <c r="KO162" s="39"/>
      <c r="KP162" s="39"/>
      <c r="KQ162" s="39"/>
      <c r="KR162" s="39"/>
      <c r="KS162" s="39"/>
      <c r="KT162" s="39"/>
      <c r="KU162" s="39"/>
      <c r="KV162" s="39"/>
      <c r="KW162" s="39"/>
      <c r="KX162" s="39"/>
      <c r="KY162" s="39"/>
      <c r="KZ162" s="39"/>
      <c r="LA162" s="39"/>
      <c r="LB162" s="39"/>
      <c r="LC162" s="39"/>
      <c r="LD162" s="39"/>
      <c r="LE162" s="39"/>
      <c r="LF162" s="39"/>
      <c r="LG162" s="39"/>
      <c r="LH162" s="39"/>
      <c r="LI162" s="39"/>
      <c r="LJ162" s="39"/>
      <c r="LK162" s="39"/>
      <c r="LL162" s="39"/>
      <c r="LM162" s="39"/>
      <c r="LN162" s="39"/>
      <c r="LO162" s="39"/>
      <c r="LP162" s="39"/>
      <c r="LQ162" s="39"/>
      <c r="LR162" s="39"/>
      <c r="LS162" s="39"/>
      <c r="LT162" s="39"/>
      <c r="LU162" s="39"/>
      <c r="LV162" s="39"/>
      <c r="LW162" s="39"/>
      <c r="LX162" s="39"/>
      <c r="LY162" s="39"/>
      <c r="LZ162" s="39"/>
      <c r="MA162" s="39"/>
      <c r="MB162" s="39"/>
      <c r="MC162" s="39"/>
      <c r="MD162" s="39"/>
      <c r="ME162" s="39"/>
      <c r="MF162" s="39"/>
      <c r="MG162" s="39"/>
      <c r="MH162" s="39"/>
      <c r="MI162" s="39"/>
      <c r="MJ162" s="39"/>
      <c r="MK162" s="39"/>
      <c r="ML162" s="39"/>
      <c r="MM162" s="39"/>
      <c r="MN162" s="39"/>
      <c r="MO162" s="39"/>
      <c r="MP162" s="39"/>
      <c r="MQ162" s="39"/>
      <c r="MR162" s="39"/>
      <c r="MS162" s="39"/>
      <c r="MT162" s="39"/>
      <c r="MU162" s="39"/>
      <c r="MV162" s="39"/>
      <c r="MW162" s="39"/>
      <c r="MX162" s="39"/>
      <c r="MY162" s="39"/>
      <c r="MZ162" s="39"/>
      <c r="NA162" s="39"/>
      <c r="NB162" s="39"/>
      <c r="NC162" s="39"/>
      <c r="ND162" s="39"/>
      <c r="NE162" s="39"/>
      <c r="NF162" s="39"/>
      <c r="NG162" s="39"/>
      <c r="NH162" s="39"/>
      <c r="NI162" s="39"/>
      <c r="NJ162" s="39"/>
      <c r="NK162" s="39"/>
      <c r="NL162" s="39"/>
      <c r="NM162" s="39"/>
      <c r="NN162" s="39"/>
      <c r="NO162" s="39"/>
      <c r="NP162" s="39"/>
      <c r="NQ162" s="39"/>
      <c r="NR162" s="39"/>
      <c r="NS162" s="39"/>
      <c r="NT162" s="39"/>
      <c r="NU162" s="39"/>
      <c r="NV162" s="39"/>
      <c r="NW162" s="39"/>
      <c r="NX162" s="39"/>
      <c r="NY162" s="39"/>
      <c r="NZ162" s="39"/>
      <c r="OA162" s="39"/>
      <c r="OB162" s="39"/>
      <c r="OC162" s="39"/>
      <c r="OD162" s="39"/>
      <c r="OE162" s="39"/>
      <c r="OF162" s="39"/>
      <c r="OG162" s="39"/>
      <c r="OH162" s="39"/>
      <c r="OI162" s="39"/>
      <c r="OJ162" s="39"/>
      <c r="OK162" s="39"/>
      <c r="OL162" s="39"/>
      <c r="OM162" s="39"/>
      <c r="ON162" s="39"/>
      <c r="OO162" s="39"/>
      <c r="OP162" s="39"/>
      <c r="OQ162" s="39"/>
      <c r="OR162" s="39"/>
      <c r="OS162" s="39"/>
      <c r="OT162" s="39"/>
      <c r="OU162" s="39"/>
      <c r="OV162" s="39"/>
      <c r="OW162" s="39"/>
      <c r="OX162" s="39"/>
      <c r="OY162" s="39"/>
      <c r="OZ162" s="39"/>
      <c r="PA162" s="39"/>
      <c r="PB162" s="39"/>
      <c r="PC162" s="39"/>
      <c r="PD162" s="39"/>
      <c r="PE162" s="39"/>
      <c r="PF162" s="39"/>
      <c r="PG162" s="39"/>
      <c r="PH162" s="39"/>
      <c r="PI162" s="39"/>
      <c r="PJ162" s="39"/>
      <c r="PK162" s="39"/>
      <c r="PL162" s="39"/>
      <c r="PM162" s="39"/>
      <c r="PN162" s="39"/>
      <c r="PO162" s="39"/>
      <c r="PP162" s="39"/>
      <c r="PQ162" s="39"/>
      <c r="PR162" s="39"/>
      <c r="PS162" s="39"/>
      <c r="PT162" s="39"/>
      <c r="PU162" s="39"/>
      <c r="PV162" s="39"/>
      <c r="PW162" s="39"/>
      <c r="PX162" s="39"/>
      <c r="PY162" s="39"/>
      <c r="PZ162" s="39"/>
      <c r="QA162" s="39"/>
      <c r="QB162" s="39"/>
      <c r="QC162" s="39"/>
      <c r="QD162" s="39"/>
      <c r="QE162" s="39"/>
      <c r="QF162" s="39"/>
      <c r="QG162" s="39"/>
      <c r="QH162" s="39"/>
      <c r="QI162" s="39"/>
      <c r="QJ162" s="39"/>
      <c r="QK162" s="39"/>
      <c r="QL162" s="39"/>
      <c r="QM162" s="39"/>
      <c r="QN162" s="39"/>
      <c r="QO162" s="39"/>
      <c r="QP162" s="39"/>
      <c r="QQ162" s="39"/>
      <c r="QR162" s="39"/>
      <c r="QS162" s="39"/>
      <c r="QT162" s="39"/>
      <c r="QU162" s="39"/>
      <c r="QV162" s="39"/>
      <c r="QW162" s="39"/>
      <c r="QX162" s="39"/>
      <c r="QY162" s="39"/>
      <c r="QZ162" s="39"/>
      <c r="RA162" s="39"/>
      <c r="RB162" s="39"/>
      <c r="RC162" s="39"/>
      <c r="RD162" s="39"/>
      <c r="RE162" s="39"/>
      <c r="RF162" s="39"/>
      <c r="RG162" s="39"/>
      <c r="RH162" s="39"/>
      <c r="RI162" s="39"/>
      <c r="RJ162" s="39"/>
      <c r="RK162" s="39"/>
      <c r="RL162" s="39"/>
      <c r="RM162" s="39"/>
      <c r="RN162" s="39"/>
      <c r="RO162" s="39"/>
      <c r="RP162" s="39"/>
      <c r="RQ162" s="39"/>
      <c r="RR162" s="39"/>
      <c r="RS162" s="39"/>
      <c r="RT162" s="39"/>
      <c r="RU162" s="39"/>
      <c r="RV162" s="39"/>
      <c r="RW162" s="39"/>
      <c r="RX162" s="39"/>
      <c r="RY162" s="39"/>
      <c r="RZ162" s="39"/>
      <c r="SA162" s="39"/>
      <c r="SB162" s="39"/>
      <c r="SC162" s="39"/>
      <c r="SD162" s="39"/>
      <c r="SE162" s="39"/>
      <c r="SF162" s="39"/>
      <c r="SG162" s="39"/>
      <c r="SH162" s="39"/>
      <c r="SI162" s="39"/>
      <c r="SJ162" s="39"/>
      <c r="SK162" s="39"/>
      <c r="SL162" s="39"/>
      <c r="SM162" s="39"/>
      <c r="SN162" s="39"/>
      <c r="SO162" s="39"/>
      <c r="SP162" s="39"/>
      <c r="SQ162" s="39"/>
      <c r="SR162" s="39"/>
      <c r="SS162" s="39"/>
      <c r="ST162" s="39"/>
      <c r="SU162" s="39"/>
      <c r="SV162" s="39"/>
      <c r="SW162" s="39"/>
      <c r="SX162" s="39"/>
      <c r="SY162" s="39"/>
      <c r="SZ162" s="39"/>
      <c r="TA162" s="39"/>
      <c r="TB162" s="39"/>
      <c r="TC162" s="39"/>
      <c r="TD162" s="39"/>
      <c r="TE162" s="39"/>
      <c r="TF162" s="39"/>
      <c r="TG162" s="39"/>
      <c r="TH162" s="39"/>
      <c r="TI162" s="39"/>
    </row>
    <row r="163" spans="1:529" s="23" customFormat="1" ht="45" x14ac:dyDescent="0.25">
      <c r="A163" s="43" t="s">
        <v>0</v>
      </c>
      <c r="B163" s="44" t="str">
        <f>'дод 3'!A20</f>
        <v>0160</v>
      </c>
      <c r="C163" s="44" t="str">
        <f>'дод 3'!B20</f>
        <v>0111</v>
      </c>
      <c r="D163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63" s="69">
        <f>F163+I163</f>
        <v>6157500</v>
      </c>
      <c r="F163" s="69">
        <f>6462800+10100-315400</f>
        <v>6157500</v>
      </c>
      <c r="G163" s="69">
        <f>5047300-258500</f>
        <v>4788800</v>
      </c>
      <c r="H163" s="69">
        <v>98300</v>
      </c>
      <c r="I163" s="69"/>
      <c r="J163" s="69">
        <f>L163+O163</f>
        <v>160000</v>
      </c>
      <c r="K163" s="69">
        <v>160000</v>
      </c>
      <c r="L163" s="69"/>
      <c r="M163" s="69"/>
      <c r="N163" s="69"/>
      <c r="O163" s="69">
        <v>160000</v>
      </c>
      <c r="P163" s="69">
        <f>E163+J163</f>
        <v>6317500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</row>
    <row r="164" spans="1:529" s="31" customFormat="1" ht="34.5" customHeight="1" x14ac:dyDescent="0.2">
      <c r="A164" s="76" t="s">
        <v>39</v>
      </c>
      <c r="B164" s="74"/>
      <c r="C164" s="74"/>
      <c r="D164" s="30" t="s">
        <v>46</v>
      </c>
      <c r="E164" s="66">
        <f>E165</f>
        <v>3706717</v>
      </c>
      <c r="F164" s="66">
        <f t="shared" ref="F164:J164" si="84">F165</f>
        <v>3621811</v>
      </c>
      <c r="G164" s="66">
        <f t="shared" si="84"/>
        <v>1552300</v>
      </c>
      <c r="H164" s="66">
        <f t="shared" si="84"/>
        <v>0</v>
      </c>
      <c r="I164" s="66">
        <f t="shared" si="84"/>
        <v>84906</v>
      </c>
      <c r="J164" s="66">
        <f t="shared" si="84"/>
        <v>172874492.18000001</v>
      </c>
      <c r="K164" s="66">
        <f t="shared" ref="K164" si="85">K165</f>
        <v>159027220</v>
      </c>
      <c r="L164" s="66">
        <f t="shared" ref="L164" si="86">L165</f>
        <v>3200000</v>
      </c>
      <c r="M164" s="66">
        <f t="shared" ref="M164" si="87">M165</f>
        <v>2348000</v>
      </c>
      <c r="N164" s="66">
        <f t="shared" ref="N164" si="88">N165</f>
        <v>90600</v>
      </c>
      <c r="O164" s="66">
        <f t="shared" ref="O164:P164" si="89">O165</f>
        <v>169674492.18000001</v>
      </c>
      <c r="P164" s="66">
        <f t="shared" si="89"/>
        <v>176581209.18000001</v>
      </c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  <c r="HV164" s="38"/>
      <c r="HW164" s="38"/>
      <c r="HX164" s="38"/>
      <c r="HY164" s="38"/>
      <c r="HZ164" s="38"/>
      <c r="IA164" s="38"/>
      <c r="IB164" s="38"/>
      <c r="IC164" s="38"/>
      <c r="ID164" s="38"/>
      <c r="IE164" s="38"/>
      <c r="IF164" s="38"/>
      <c r="IG164" s="38"/>
      <c r="IH164" s="38"/>
      <c r="II164" s="38"/>
      <c r="IJ164" s="38"/>
      <c r="IK164" s="38"/>
      <c r="IL164" s="38"/>
      <c r="IM164" s="38"/>
      <c r="IN164" s="38"/>
      <c r="IO164" s="38"/>
      <c r="IP164" s="38"/>
      <c r="IQ164" s="38"/>
      <c r="IR164" s="38"/>
      <c r="IS164" s="38"/>
      <c r="IT164" s="38"/>
      <c r="IU164" s="38"/>
      <c r="IV164" s="38"/>
      <c r="IW164" s="38"/>
      <c r="IX164" s="38"/>
      <c r="IY164" s="38"/>
      <c r="IZ164" s="38"/>
      <c r="JA164" s="38"/>
      <c r="JB164" s="38"/>
      <c r="JC164" s="38"/>
      <c r="JD164" s="38"/>
      <c r="JE164" s="38"/>
      <c r="JF164" s="38"/>
      <c r="JG164" s="38"/>
      <c r="JH164" s="38"/>
      <c r="JI164" s="38"/>
      <c r="JJ164" s="38"/>
      <c r="JK164" s="38"/>
      <c r="JL164" s="38"/>
      <c r="JM164" s="38"/>
      <c r="JN164" s="38"/>
      <c r="JO164" s="38"/>
      <c r="JP164" s="38"/>
      <c r="JQ164" s="38"/>
      <c r="JR164" s="38"/>
      <c r="JS164" s="38"/>
      <c r="JT164" s="38"/>
      <c r="JU164" s="38"/>
      <c r="JV164" s="38"/>
      <c r="JW164" s="38"/>
      <c r="JX164" s="38"/>
      <c r="JY164" s="38"/>
      <c r="JZ164" s="38"/>
      <c r="KA164" s="38"/>
      <c r="KB164" s="38"/>
      <c r="KC164" s="38"/>
      <c r="KD164" s="38"/>
      <c r="KE164" s="38"/>
      <c r="KF164" s="38"/>
      <c r="KG164" s="38"/>
      <c r="KH164" s="38"/>
      <c r="KI164" s="38"/>
      <c r="KJ164" s="38"/>
      <c r="KK164" s="38"/>
      <c r="KL164" s="38"/>
      <c r="KM164" s="38"/>
      <c r="KN164" s="38"/>
      <c r="KO164" s="38"/>
      <c r="KP164" s="38"/>
      <c r="KQ164" s="38"/>
      <c r="KR164" s="38"/>
      <c r="KS164" s="38"/>
      <c r="KT164" s="38"/>
      <c r="KU164" s="38"/>
      <c r="KV164" s="38"/>
      <c r="KW164" s="38"/>
      <c r="KX164" s="38"/>
      <c r="KY164" s="38"/>
      <c r="KZ164" s="38"/>
      <c r="LA164" s="38"/>
      <c r="LB164" s="38"/>
      <c r="LC164" s="38"/>
      <c r="LD164" s="38"/>
      <c r="LE164" s="38"/>
      <c r="LF164" s="38"/>
      <c r="LG164" s="38"/>
      <c r="LH164" s="38"/>
      <c r="LI164" s="38"/>
      <c r="LJ164" s="38"/>
      <c r="LK164" s="38"/>
      <c r="LL164" s="38"/>
      <c r="LM164" s="38"/>
      <c r="LN164" s="38"/>
      <c r="LO164" s="38"/>
      <c r="LP164" s="38"/>
      <c r="LQ164" s="38"/>
      <c r="LR164" s="38"/>
      <c r="LS164" s="38"/>
      <c r="LT164" s="38"/>
      <c r="LU164" s="38"/>
      <c r="LV164" s="38"/>
      <c r="LW164" s="38"/>
      <c r="LX164" s="38"/>
      <c r="LY164" s="38"/>
      <c r="LZ164" s="38"/>
      <c r="MA164" s="38"/>
      <c r="MB164" s="38"/>
      <c r="MC164" s="38"/>
      <c r="MD164" s="38"/>
      <c r="ME164" s="38"/>
      <c r="MF164" s="38"/>
      <c r="MG164" s="38"/>
      <c r="MH164" s="38"/>
      <c r="MI164" s="38"/>
      <c r="MJ164" s="38"/>
      <c r="MK164" s="38"/>
      <c r="ML164" s="38"/>
      <c r="MM164" s="38"/>
      <c r="MN164" s="38"/>
      <c r="MO164" s="38"/>
      <c r="MP164" s="38"/>
      <c r="MQ164" s="38"/>
      <c r="MR164" s="38"/>
      <c r="MS164" s="38"/>
      <c r="MT164" s="38"/>
      <c r="MU164" s="38"/>
      <c r="MV164" s="38"/>
      <c r="MW164" s="38"/>
      <c r="MX164" s="38"/>
      <c r="MY164" s="38"/>
      <c r="MZ164" s="38"/>
      <c r="NA164" s="38"/>
      <c r="NB164" s="38"/>
      <c r="NC164" s="38"/>
      <c r="ND164" s="38"/>
      <c r="NE164" s="38"/>
      <c r="NF164" s="38"/>
      <c r="NG164" s="38"/>
      <c r="NH164" s="38"/>
      <c r="NI164" s="38"/>
      <c r="NJ164" s="38"/>
      <c r="NK164" s="38"/>
      <c r="NL164" s="38"/>
      <c r="NM164" s="38"/>
      <c r="NN164" s="38"/>
      <c r="NO164" s="38"/>
      <c r="NP164" s="38"/>
      <c r="NQ164" s="38"/>
      <c r="NR164" s="38"/>
      <c r="NS164" s="38"/>
      <c r="NT164" s="38"/>
      <c r="NU164" s="38"/>
      <c r="NV164" s="38"/>
      <c r="NW164" s="38"/>
      <c r="NX164" s="38"/>
      <c r="NY164" s="38"/>
      <c r="NZ164" s="38"/>
      <c r="OA164" s="38"/>
      <c r="OB164" s="38"/>
      <c r="OC164" s="38"/>
      <c r="OD164" s="38"/>
      <c r="OE164" s="38"/>
      <c r="OF164" s="38"/>
      <c r="OG164" s="38"/>
      <c r="OH164" s="38"/>
      <c r="OI164" s="38"/>
      <c r="OJ164" s="38"/>
      <c r="OK164" s="38"/>
      <c r="OL164" s="38"/>
      <c r="OM164" s="38"/>
      <c r="ON164" s="38"/>
      <c r="OO164" s="38"/>
      <c r="OP164" s="38"/>
      <c r="OQ164" s="38"/>
      <c r="OR164" s="38"/>
      <c r="OS164" s="38"/>
      <c r="OT164" s="38"/>
      <c r="OU164" s="38"/>
      <c r="OV164" s="38"/>
      <c r="OW164" s="38"/>
      <c r="OX164" s="38"/>
      <c r="OY164" s="38"/>
      <c r="OZ164" s="38"/>
      <c r="PA164" s="38"/>
      <c r="PB164" s="38"/>
      <c r="PC164" s="38"/>
      <c r="PD164" s="38"/>
      <c r="PE164" s="38"/>
      <c r="PF164" s="38"/>
      <c r="PG164" s="38"/>
      <c r="PH164" s="38"/>
      <c r="PI164" s="38"/>
      <c r="PJ164" s="38"/>
      <c r="PK164" s="38"/>
      <c r="PL164" s="38"/>
      <c r="PM164" s="38"/>
      <c r="PN164" s="38"/>
      <c r="PO164" s="38"/>
      <c r="PP164" s="38"/>
      <c r="PQ164" s="38"/>
      <c r="PR164" s="38"/>
      <c r="PS164" s="38"/>
      <c r="PT164" s="38"/>
      <c r="PU164" s="38"/>
      <c r="PV164" s="38"/>
      <c r="PW164" s="38"/>
      <c r="PX164" s="38"/>
      <c r="PY164" s="38"/>
      <c r="PZ164" s="38"/>
      <c r="QA164" s="38"/>
      <c r="QB164" s="38"/>
      <c r="QC164" s="38"/>
      <c r="QD164" s="38"/>
      <c r="QE164" s="38"/>
      <c r="QF164" s="38"/>
      <c r="QG164" s="38"/>
      <c r="QH164" s="38"/>
      <c r="QI164" s="38"/>
      <c r="QJ164" s="38"/>
      <c r="QK164" s="38"/>
      <c r="QL164" s="38"/>
      <c r="QM164" s="38"/>
      <c r="QN164" s="38"/>
      <c r="QO164" s="38"/>
      <c r="QP164" s="38"/>
      <c r="QQ164" s="38"/>
      <c r="QR164" s="38"/>
      <c r="QS164" s="38"/>
      <c r="QT164" s="38"/>
      <c r="QU164" s="38"/>
      <c r="QV164" s="38"/>
      <c r="QW164" s="38"/>
      <c r="QX164" s="38"/>
      <c r="QY164" s="38"/>
      <c r="QZ164" s="38"/>
      <c r="RA164" s="38"/>
      <c r="RB164" s="38"/>
      <c r="RC164" s="38"/>
      <c r="RD164" s="38"/>
      <c r="RE164" s="38"/>
      <c r="RF164" s="38"/>
      <c r="RG164" s="38"/>
      <c r="RH164" s="38"/>
      <c r="RI164" s="38"/>
      <c r="RJ164" s="38"/>
      <c r="RK164" s="38"/>
      <c r="RL164" s="38"/>
      <c r="RM164" s="38"/>
      <c r="RN164" s="38"/>
      <c r="RO164" s="38"/>
      <c r="RP164" s="38"/>
      <c r="RQ164" s="38"/>
      <c r="RR164" s="38"/>
      <c r="RS164" s="38"/>
      <c r="RT164" s="38"/>
      <c r="RU164" s="38"/>
      <c r="RV164" s="38"/>
      <c r="RW164" s="38"/>
      <c r="RX164" s="38"/>
      <c r="RY164" s="38"/>
      <c r="RZ164" s="38"/>
      <c r="SA164" s="38"/>
      <c r="SB164" s="38"/>
      <c r="SC164" s="38"/>
      <c r="SD164" s="38"/>
      <c r="SE164" s="38"/>
      <c r="SF164" s="38"/>
      <c r="SG164" s="38"/>
      <c r="SH164" s="38"/>
      <c r="SI164" s="38"/>
      <c r="SJ164" s="38"/>
      <c r="SK164" s="38"/>
      <c r="SL164" s="38"/>
      <c r="SM164" s="38"/>
      <c r="SN164" s="38"/>
      <c r="SO164" s="38"/>
      <c r="SP164" s="38"/>
      <c r="SQ164" s="38"/>
      <c r="SR164" s="38"/>
      <c r="SS164" s="38"/>
      <c r="ST164" s="38"/>
      <c r="SU164" s="38"/>
      <c r="SV164" s="38"/>
      <c r="SW164" s="38"/>
      <c r="SX164" s="38"/>
      <c r="SY164" s="38"/>
      <c r="SZ164" s="38"/>
      <c r="TA164" s="38"/>
      <c r="TB164" s="38"/>
      <c r="TC164" s="38"/>
      <c r="TD164" s="38"/>
      <c r="TE164" s="38"/>
      <c r="TF164" s="38"/>
      <c r="TG164" s="38"/>
      <c r="TH164" s="38"/>
      <c r="TI164" s="38"/>
    </row>
    <row r="165" spans="1:529" s="40" customFormat="1" ht="38.25" customHeight="1" x14ac:dyDescent="0.25">
      <c r="A165" s="77" t="s">
        <v>40</v>
      </c>
      <c r="B165" s="75"/>
      <c r="C165" s="75"/>
      <c r="D165" s="33" t="s">
        <v>46</v>
      </c>
      <c r="E165" s="68">
        <f>SUM(E166+E167+E168+E169+E170+E171+E173+E174+E175+E176+E172+E177)</f>
        <v>3706717</v>
      </c>
      <c r="F165" s="68">
        <f t="shared" ref="F165:P165" si="90">SUM(F166+F167+F168+F169+F170+F171+F173+F174+F175+F176+F172+F177)</f>
        <v>3621811</v>
      </c>
      <c r="G165" s="68">
        <f t="shared" si="90"/>
        <v>1552300</v>
      </c>
      <c r="H165" s="68">
        <f t="shared" si="90"/>
        <v>0</v>
      </c>
      <c r="I165" s="68">
        <f t="shared" si="90"/>
        <v>84906</v>
      </c>
      <c r="J165" s="68">
        <f t="shared" si="90"/>
        <v>172874492.18000001</v>
      </c>
      <c r="K165" s="68">
        <f t="shared" si="90"/>
        <v>159027220</v>
      </c>
      <c r="L165" s="68">
        <f t="shared" si="90"/>
        <v>3200000</v>
      </c>
      <c r="M165" s="68">
        <f t="shared" si="90"/>
        <v>2348000</v>
      </c>
      <c r="N165" s="68">
        <f t="shared" si="90"/>
        <v>90600</v>
      </c>
      <c r="O165" s="68">
        <f t="shared" si="90"/>
        <v>169674492.18000001</v>
      </c>
      <c r="P165" s="68">
        <f t="shared" si="90"/>
        <v>176581209.18000001</v>
      </c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/>
      <c r="HY165" s="39"/>
      <c r="HZ165" s="39"/>
      <c r="IA165" s="39"/>
      <c r="IB165" s="39"/>
      <c r="IC165" s="39"/>
      <c r="ID165" s="39"/>
      <c r="IE165" s="39"/>
      <c r="IF165" s="39"/>
      <c r="IG165" s="39"/>
      <c r="IH165" s="39"/>
      <c r="II165" s="39"/>
      <c r="IJ165" s="39"/>
      <c r="IK165" s="39"/>
      <c r="IL165" s="39"/>
      <c r="IM165" s="39"/>
      <c r="IN165" s="39"/>
      <c r="IO165" s="39"/>
      <c r="IP165" s="39"/>
      <c r="IQ165" s="39"/>
      <c r="IR165" s="39"/>
      <c r="IS165" s="39"/>
      <c r="IT165" s="39"/>
      <c r="IU165" s="39"/>
      <c r="IV165" s="39"/>
      <c r="IW165" s="39"/>
      <c r="IX165" s="39"/>
      <c r="IY165" s="39"/>
      <c r="IZ165" s="39"/>
      <c r="JA165" s="39"/>
      <c r="JB165" s="39"/>
      <c r="JC165" s="39"/>
      <c r="JD165" s="39"/>
      <c r="JE165" s="39"/>
      <c r="JF165" s="39"/>
      <c r="JG165" s="39"/>
      <c r="JH165" s="39"/>
      <c r="JI165" s="39"/>
      <c r="JJ165" s="39"/>
      <c r="JK165" s="39"/>
      <c r="JL165" s="39"/>
      <c r="JM165" s="39"/>
      <c r="JN165" s="39"/>
      <c r="JO165" s="39"/>
      <c r="JP165" s="39"/>
      <c r="JQ165" s="39"/>
      <c r="JR165" s="39"/>
      <c r="JS165" s="39"/>
      <c r="JT165" s="39"/>
      <c r="JU165" s="39"/>
      <c r="JV165" s="39"/>
      <c r="JW165" s="39"/>
      <c r="JX165" s="39"/>
      <c r="JY165" s="39"/>
      <c r="JZ165" s="39"/>
      <c r="KA165" s="39"/>
      <c r="KB165" s="39"/>
      <c r="KC165" s="39"/>
      <c r="KD165" s="39"/>
      <c r="KE165" s="39"/>
      <c r="KF165" s="39"/>
      <c r="KG165" s="39"/>
      <c r="KH165" s="39"/>
      <c r="KI165" s="39"/>
      <c r="KJ165" s="39"/>
      <c r="KK165" s="39"/>
      <c r="KL165" s="39"/>
      <c r="KM165" s="39"/>
      <c r="KN165" s="39"/>
      <c r="KO165" s="39"/>
      <c r="KP165" s="39"/>
      <c r="KQ165" s="39"/>
      <c r="KR165" s="39"/>
      <c r="KS165" s="39"/>
      <c r="KT165" s="39"/>
      <c r="KU165" s="39"/>
      <c r="KV165" s="39"/>
      <c r="KW165" s="39"/>
      <c r="KX165" s="39"/>
      <c r="KY165" s="39"/>
      <c r="KZ165" s="39"/>
      <c r="LA165" s="39"/>
      <c r="LB165" s="39"/>
      <c r="LC165" s="39"/>
      <c r="LD165" s="39"/>
      <c r="LE165" s="39"/>
      <c r="LF165" s="39"/>
      <c r="LG165" s="39"/>
      <c r="LH165" s="39"/>
      <c r="LI165" s="39"/>
      <c r="LJ165" s="39"/>
      <c r="LK165" s="39"/>
      <c r="LL165" s="39"/>
      <c r="LM165" s="39"/>
      <c r="LN165" s="39"/>
      <c r="LO165" s="39"/>
      <c r="LP165" s="39"/>
      <c r="LQ165" s="39"/>
      <c r="LR165" s="39"/>
      <c r="LS165" s="39"/>
      <c r="LT165" s="39"/>
      <c r="LU165" s="39"/>
      <c r="LV165" s="39"/>
      <c r="LW165" s="39"/>
      <c r="LX165" s="39"/>
      <c r="LY165" s="39"/>
      <c r="LZ165" s="39"/>
      <c r="MA165" s="39"/>
      <c r="MB165" s="39"/>
      <c r="MC165" s="39"/>
      <c r="MD165" s="39"/>
      <c r="ME165" s="39"/>
      <c r="MF165" s="39"/>
      <c r="MG165" s="39"/>
      <c r="MH165" s="39"/>
      <c r="MI165" s="39"/>
      <c r="MJ165" s="39"/>
      <c r="MK165" s="39"/>
      <c r="ML165" s="39"/>
      <c r="MM165" s="39"/>
      <c r="MN165" s="39"/>
      <c r="MO165" s="39"/>
      <c r="MP165" s="39"/>
      <c r="MQ165" s="39"/>
      <c r="MR165" s="39"/>
      <c r="MS165" s="39"/>
      <c r="MT165" s="39"/>
      <c r="MU165" s="39"/>
      <c r="MV165" s="39"/>
      <c r="MW165" s="39"/>
      <c r="MX165" s="39"/>
      <c r="MY165" s="39"/>
      <c r="MZ165" s="39"/>
      <c r="NA165" s="39"/>
      <c r="NB165" s="39"/>
      <c r="NC165" s="39"/>
      <c r="ND165" s="39"/>
      <c r="NE165" s="39"/>
      <c r="NF165" s="39"/>
      <c r="NG165" s="39"/>
      <c r="NH165" s="39"/>
      <c r="NI165" s="39"/>
      <c r="NJ165" s="39"/>
      <c r="NK165" s="39"/>
      <c r="NL165" s="39"/>
      <c r="NM165" s="39"/>
      <c r="NN165" s="39"/>
      <c r="NO165" s="39"/>
      <c r="NP165" s="39"/>
      <c r="NQ165" s="39"/>
      <c r="NR165" s="39"/>
      <c r="NS165" s="39"/>
      <c r="NT165" s="39"/>
      <c r="NU165" s="39"/>
      <c r="NV165" s="39"/>
      <c r="NW165" s="39"/>
      <c r="NX165" s="39"/>
      <c r="NY165" s="39"/>
      <c r="NZ165" s="39"/>
      <c r="OA165" s="39"/>
      <c r="OB165" s="39"/>
      <c r="OC165" s="39"/>
      <c r="OD165" s="39"/>
      <c r="OE165" s="39"/>
      <c r="OF165" s="39"/>
      <c r="OG165" s="39"/>
      <c r="OH165" s="39"/>
      <c r="OI165" s="39"/>
      <c r="OJ165" s="39"/>
      <c r="OK165" s="39"/>
      <c r="OL165" s="39"/>
      <c r="OM165" s="39"/>
      <c r="ON165" s="39"/>
      <c r="OO165" s="39"/>
      <c r="OP165" s="39"/>
      <c r="OQ165" s="39"/>
      <c r="OR165" s="39"/>
      <c r="OS165" s="39"/>
      <c r="OT165" s="39"/>
      <c r="OU165" s="39"/>
      <c r="OV165" s="39"/>
      <c r="OW165" s="39"/>
      <c r="OX165" s="39"/>
      <c r="OY165" s="39"/>
      <c r="OZ165" s="39"/>
      <c r="PA165" s="39"/>
      <c r="PB165" s="39"/>
      <c r="PC165" s="39"/>
      <c r="PD165" s="39"/>
      <c r="PE165" s="39"/>
      <c r="PF165" s="39"/>
      <c r="PG165" s="39"/>
      <c r="PH165" s="39"/>
      <c r="PI165" s="39"/>
      <c r="PJ165" s="39"/>
      <c r="PK165" s="39"/>
      <c r="PL165" s="39"/>
      <c r="PM165" s="39"/>
      <c r="PN165" s="39"/>
      <c r="PO165" s="39"/>
      <c r="PP165" s="39"/>
      <c r="PQ165" s="39"/>
      <c r="PR165" s="39"/>
      <c r="PS165" s="39"/>
      <c r="PT165" s="39"/>
      <c r="PU165" s="39"/>
      <c r="PV165" s="39"/>
      <c r="PW165" s="39"/>
      <c r="PX165" s="39"/>
      <c r="PY165" s="39"/>
      <c r="PZ165" s="39"/>
      <c r="QA165" s="39"/>
      <c r="QB165" s="39"/>
      <c r="QC165" s="39"/>
      <c r="QD165" s="39"/>
      <c r="QE165" s="39"/>
      <c r="QF165" s="39"/>
      <c r="QG165" s="39"/>
      <c r="QH165" s="39"/>
      <c r="QI165" s="39"/>
      <c r="QJ165" s="39"/>
      <c r="QK165" s="39"/>
      <c r="QL165" s="39"/>
      <c r="QM165" s="39"/>
      <c r="QN165" s="39"/>
      <c r="QO165" s="39"/>
      <c r="QP165" s="39"/>
      <c r="QQ165" s="39"/>
      <c r="QR165" s="39"/>
      <c r="QS165" s="39"/>
      <c r="QT165" s="39"/>
      <c r="QU165" s="39"/>
      <c r="QV165" s="39"/>
      <c r="QW165" s="39"/>
      <c r="QX165" s="39"/>
      <c r="QY165" s="39"/>
      <c r="QZ165" s="39"/>
      <c r="RA165" s="39"/>
      <c r="RB165" s="39"/>
      <c r="RC165" s="39"/>
      <c r="RD165" s="39"/>
      <c r="RE165" s="39"/>
      <c r="RF165" s="39"/>
      <c r="RG165" s="39"/>
      <c r="RH165" s="39"/>
      <c r="RI165" s="39"/>
      <c r="RJ165" s="39"/>
      <c r="RK165" s="39"/>
      <c r="RL165" s="39"/>
      <c r="RM165" s="39"/>
      <c r="RN165" s="39"/>
      <c r="RO165" s="39"/>
      <c r="RP165" s="39"/>
      <c r="RQ165" s="39"/>
      <c r="RR165" s="39"/>
      <c r="RS165" s="39"/>
      <c r="RT165" s="39"/>
      <c r="RU165" s="39"/>
      <c r="RV165" s="39"/>
      <c r="RW165" s="39"/>
      <c r="RX165" s="39"/>
      <c r="RY165" s="39"/>
      <c r="RZ165" s="39"/>
      <c r="SA165" s="39"/>
      <c r="SB165" s="39"/>
      <c r="SC165" s="39"/>
      <c r="SD165" s="39"/>
      <c r="SE165" s="39"/>
      <c r="SF165" s="39"/>
      <c r="SG165" s="39"/>
      <c r="SH165" s="39"/>
      <c r="SI165" s="39"/>
      <c r="SJ165" s="39"/>
      <c r="SK165" s="39"/>
      <c r="SL165" s="39"/>
      <c r="SM165" s="39"/>
      <c r="SN165" s="39"/>
      <c r="SO165" s="39"/>
      <c r="SP165" s="39"/>
      <c r="SQ165" s="39"/>
      <c r="SR165" s="39"/>
      <c r="SS165" s="39"/>
      <c r="ST165" s="39"/>
      <c r="SU165" s="39"/>
      <c r="SV165" s="39"/>
      <c r="SW165" s="39"/>
      <c r="SX165" s="39"/>
      <c r="SY165" s="39"/>
      <c r="SZ165" s="39"/>
      <c r="TA165" s="39"/>
      <c r="TB165" s="39"/>
      <c r="TC165" s="39"/>
      <c r="TD165" s="39"/>
      <c r="TE165" s="39"/>
      <c r="TF165" s="39"/>
      <c r="TG165" s="39"/>
      <c r="TH165" s="39"/>
      <c r="TI165" s="39"/>
    </row>
    <row r="166" spans="1:529" s="23" customFormat="1" ht="44.25" customHeight="1" x14ac:dyDescent="0.25">
      <c r="A166" s="43" t="s">
        <v>170</v>
      </c>
      <c r="B166" s="44" t="str">
        <f>'дод 3'!A20</f>
        <v>0160</v>
      </c>
      <c r="C166" s="44" t="str">
        <f>'дод 3'!B20</f>
        <v>0111</v>
      </c>
      <c r="D166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66" s="69">
        <f t="shared" ref="E166:E177" si="91">F166+I166</f>
        <v>1893800</v>
      </c>
      <c r="F166" s="69">
        <f>1976700-82900</f>
        <v>1893800</v>
      </c>
      <c r="G166" s="69">
        <f>1620200-67900</f>
        <v>1552300</v>
      </c>
      <c r="H166" s="69"/>
      <c r="I166" s="69"/>
      <c r="J166" s="69">
        <f>L166+O166</f>
        <v>3200000</v>
      </c>
      <c r="K166" s="69"/>
      <c r="L166" s="69">
        <v>3200000</v>
      </c>
      <c r="M166" s="69">
        <v>2348000</v>
      </c>
      <c r="N166" s="69">
        <v>90600</v>
      </c>
      <c r="O166" s="69"/>
      <c r="P166" s="69">
        <f t="shared" ref="P166:P177" si="92">E166+J166</f>
        <v>5093800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</row>
    <row r="167" spans="1:529" s="23" customFormat="1" ht="22.5" customHeight="1" x14ac:dyDescent="0.25">
      <c r="A167" s="43" t="s">
        <v>242</v>
      </c>
      <c r="B167" s="44" t="str">
        <f>'дод 3'!A94</f>
        <v>6030</v>
      </c>
      <c r="C167" s="44" t="str">
        <f>'дод 3'!B94</f>
        <v>0620</v>
      </c>
      <c r="D167" s="24" t="str">
        <f>'дод 3'!C94</f>
        <v>Організація благоустрою населених пунктів</v>
      </c>
      <c r="E167" s="69">
        <f t="shared" si="91"/>
        <v>0</v>
      </c>
      <c r="F167" s="69"/>
      <c r="G167" s="69"/>
      <c r="H167" s="69"/>
      <c r="I167" s="69"/>
      <c r="J167" s="69">
        <f t="shared" ref="J167:J182" si="93">L167+O167</f>
        <v>15454000</v>
      </c>
      <c r="K167" s="69">
        <f>60000000-5000000-3750000-35796000</f>
        <v>15454000</v>
      </c>
      <c r="L167" s="69"/>
      <c r="M167" s="69"/>
      <c r="N167" s="69"/>
      <c r="O167" s="69">
        <f>60000000-5000000-3750000-35796000</f>
        <v>15454000</v>
      </c>
      <c r="P167" s="69">
        <f t="shared" si="92"/>
        <v>15454000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</row>
    <row r="168" spans="1:529" s="23" customFormat="1" ht="54.75" customHeight="1" x14ac:dyDescent="0.25">
      <c r="A168" s="43" t="s">
        <v>243</v>
      </c>
      <c r="B168" s="44" t="str">
        <f>'дод 3'!A95</f>
        <v>6084</v>
      </c>
      <c r="C168" s="44" t="str">
        <f>'дод 3'!B95</f>
        <v>0610</v>
      </c>
      <c r="D168" s="24" t="str">
        <f>'дод 3'!C95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68" s="69">
        <f t="shared" si="91"/>
        <v>84906</v>
      </c>
      <c r="F168" s="69"/>
      <c r="G168" s="69"/>
      <c r="H168" s="69"/>
      <c r="I168" s="69">
        <v>84906</v>
      </c>
      <c r="J168" s="69">
        <f t="shared" si="93"/>
        <v>77703.06</v>
      </c>
      <c r="K168" s="69"/>
      <c r="L168" s="71"/>
      <c r="M168" s="69"/>
      <c r="N168" s="69"/>
      <c r="O168" s="69">
        <f>46724+30979.06</f>
        <v>77703.06</v>
      </c>
      <c r="P168" s="69">
        <f t="shared" si="92"/>
        <v>162609.06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  <c r="IW168" s="26"/>
      <c r="IX168" s="26"/>
      <c r="IY168" s="26"/>
      <c r="IZ168" s="26"/>
      <c r="JA168" s="26"/>
      <c r="JB168" s="26"/>
      <c r="JC168" s="26"/>
      <c r="JD168" s="26"/>
      <c r="JE168" s="26"/>
      <c r="JF168" s="26"/>
      <c r="JG168" s="26"/>
      <c r="JH168" s="26"/>
      <c r="JI168" s="26"/>
      <c r="JJ168" s="26"/>
      <c r="JK168" s="26"/>
      <c r="JL168" s="26"/>
      <c r="JM168" s="26"/>
      <c r="JN168" s="26"/>
      <c r="JO168" s="26"/>
      <c r="JP168" s="26"/>
      <c r="JQ168" s="26"/>
      <c r="JR168" s="26"/>
      <c r="JS168" s="26"/>
      <c r="JT168" s="26"/>
      <c r="JU168" s="26"/>
      <c r="JV168" s="26"/>
      <c r="JW168" s="26"/>
      <c r="JX168" s="26"/>
      <c r="JY168" s="26"/>
      <c r="JZ168" s="26"/>
      <c r="KA168" s="26"/>
      <c r="KB168" s="26"/>
      <c r="KC168" s="26"/>
      <c r="KD168" s="26"/>
      <c r="KE168" s="26"/>
      <c r="KF168" s="26"/>
      <c r="KG168" s="26"/>
      <c r="KH168" s="26"/>
      <c r="KI168" s="26"/>
      <c r="KJ168" s="26"/>
      <c r="KK168" s="26"/>
      <c r="KL168" s="26"/>
      <c r="KM168" s="26"/>
      <c r="KN168" s="26"/>
      <c r="KO168" s="26"/>
      <c r="KP168" s="26"/>
      <c r="KQ168" s="26"/>
      <c r="KR168" s="26"/>
      <c r="KS168" s="26"/>
      <c r="KT168" s="26"/>
      <c r="KU168" s="26"/>
      <c r="KV168" s="26"/>
      <c r="KW168" s="26"/>
      <c r="KX168" s="26"/>
      <c r="KY168" s="26"/>
      <c r="KZ168" s="26"/>
      <c r="LA168" s="26"/>
      <c r="LB168" s="26"/>
      <c r="LC168" s="26"/>
      <c r="LD168" s="26"/>
      <c r="LE168" s="26"/>
      <c r="LF168" s="26"/>
      <c r="LG168" s="26"/>
      <c r="LH168" s="26"/>
      <c r="LI168" s="26"/>
      <c r="LJ168" s="26"/>
      <c r="LK168" s="26"/>
      <c r="LL168" s="26"/>
      <c r="LM168" s="26"/>
      <c r="LN168" s="26"/>
      <c r="LO168" s="26"/>
      <c r="LP168" s="26"/>
      <c r="LQ168" s="26"/>
      <c r="LR168" s="26"/>
      <c r="LS168" s="26"/>
      <c r="LT168" s="26"/>
      <c r="LU168" s="26"/>
      <c r="LV168" s="26"/>
      <c r="LW168" s="26"/>
      <c r="LX168" s="26"/>
      <c r="LY168" s="26"/>
      <c r="LZ168" s="26"/>
      <c r="MA168" s="26"/>
      <c r="MB168" s="26"/>
      <c r="MC168" s="26"/>
      <c r="MD168" s="26"/>
      <c r="ME168" s="26"/>
      <c r="MF168" s="26"/>
      <c r="MG168" s="26"/>
      <c r="MH168" s="26"/>
      <c r="MI168" s="26"/>
      <c r="MJ168" s="26"/>
      <c r="MK168" s="26"/>
      <c r="ML168" s="26"/>
      <c r="MM168" s="26"/>
      <c r="MN168" s="26"/>
      <c r="MO168" s="26"/>
      <c r="MP168" s="26"/>
      <c r="MQ168" s="26"/>
      <c r="MR168" s="26"/>
      <c r="MS168" s="26"/>
      <c r="MT168" s="26"/>
      <c r="MU168" s="26"/>
      <c r="MV168" s="26"/>
      <c r="MW168" s="26"/>
      <c r="MX168" s="26"/>
      <c r="MY168" s="26"/>
      <c r="MZ168" s="26"/>
      <c r="NA168" s="26"/>
      <c r="NB168" s="26"/>
      <c r="NC168" s="26"/>
      <c r="ND168" s="26"/>
      <c r="NE168" s="26"/>
      <c r="NF168" s="26"/>
      <c r="NG168" s="26"/>
      <c r="NH168" s="26"/>
      <c r="NI168" s="26"/>
      <c r="NJ168" s="26"/>
      <c r="NK168" s="26"/>
      <c r="NL168" s="26"/>
      <c r="NM168" s="26"/>
      <c r="NN168" s="26"/>
      <c r="NO168" s="26"/>
      <c r="NP168" s="26"/>
      <c r="NQ168" s="26"/>
      <c r="NR168" s="26"/>
      <c r="NS168" s="26"/>
      <c r="NT168" s="26"/>
      <c r="NU168" s="26"/>
      <c r="NV168" s="26"/>
      <c r="NW168" s="26"/>
      <c r="NX168" s="26"/>
      <c r="NY168" s="26"/>
      <c r="NZ168" s="26"/>
      <c r="OA168" s="26"/>
      <c r="OB168" s="26"/>
      <c r="OC168" s="26"/>
      <c r="OD168" s="26"/>
      <c r="OE168" s="26"/>
      <c r="OF168" s="26"/>
      <c r="OG168" s="26"/>
      <c r="OH168" s="26"/>
      <c r="OI168" s="26"/>
      <c r="OJ168" s="26"/>
      <c r="OK168" s="26"/>
      <c r="OL168" s="26"/>
      <c r="OM168" s="26"/>
      <c r="ON168" s="26"/>
      <c r="OO168" s="26"/>
      <c r="OP168" s="26"/>
      <c r="OQ168" s="26"/>
      <c r="OR168" s="26"/>
      <c r="OS168" s="26"/>
      <c r="OT168" s="26"/>
      <c r="OU168" s="26"/>
      <c r="OV168" s="26"/>
      <c r="OW168" s="26"/>
      <c r="OX168" s="26"/>
      <c r="OY168" s="26"/>
      <c r="OZ168" s="26"/>
      <c r="PA168" s="26"/>
      <c r="PB168" s="26"/>
      <c r="PC168" s="26"/>
      <c r="PD168" s="26"/>
      <c r="PE168" s="26"/>
      <c r="PF168" s="26"/>
      <c r="PG168" s="26"/>
      <c r="PH168" s="26"/>
      <c r="PI168" s="26"/>
      <c r="PJ168" s="26"/>
      <c r="PK168" s="26"/>
      <c r="PL168" s="26"/>
      <c r="PM168" s="26"/>
      <c r="PN168" s="26"/>
      <c r="PO168" s="26"/>
      <c r="PP168" s="26"/>
      <c r="PQ168" s="26"/>
      <c r="PR168" s="26"/>
      <c r="PS168" s="26"/>
      <c r="PT168" s="26"/>
      <c r="PU168" s="26"/>
      <c r="PV168" s="26"/>
      <c r="PW168" s="26"/>
      <c r="PX168" s="26"/>
      <c r="PY168" s="26"/>
      <c r="PZ168" s="26"/>
      <c r="QA168" s="26"/>
      <c r="QB168" s="26"/>
      <c r="QC168" s="26"/>
      <c r="QD168" s="26"/>
      <c r="QE168" s="26"/>
      <c r="QF168" s="26"/>
      <c r="QG168" s="26"/>
      <c r="QH168" s="26"/>
      <c r="QI168" s="26"/>
      <c r="QJ168" s="26"/>
      <c r="QK168" s="26"/>
      <c r="QL168" s="26"/>
      <c r="QM168" s="26"/>
      <c r="QN168" s="26"/>
      <c r="QO168" s="26"/>
      <c r="QP168" s="26"/>
      <c r="QQ168" s="26"/>
      <c r="QR168" s="26"/>
      <c r="QS168" s="26"/>
      <c r="QT168" s="26"/>
      <c r="QU168" s="26"/>
      <c r="QV168" s="26"/>
      <c r="QW168" s="26"/>
      <c r="QX168" s="26"/>
      <c r="QY168" s="26"/>
      <c r="QZ168" s="26"/>
      <c r="RA168" s="26"/>
      <c r="RB168" s="26"/>
      <c r="RC168" s="26"/>
      <c r="RD168" s="26"/>
      <c r="RE168" s="26"/>
      <c r="RF168" s="26"/>
      <c r="RG168" s="26"/>
      <c r="RH168" s="26"/>
      <c r="RI168" s="26"/>
      <c r="RJ168" s="26"/>
      <c r="RK168" s="26"/>
      <c r="RL168" s="26"/>
      <c r="RM168" s="26"/>
      <c r="RN168" s="26"/>
      <c r="RO168" s="26"/>
      <c r="RP168" s="26"/>
      <c r="RQ168" s="26"/>
      <c r="RR168" s="26"/>
      <c r="RS168" s="26"/>
      <c r="RT168" s="26"/>
      <c r="RU168" s="26"/>
      <c r="RV168" s="26"/>
      <c r="RW168" s="26"/>
      <c r="RX168" s="26"/>
      <c r="RY168" s="26"/>
      <c r="RZ168" s="26"/>
      <c r="SA168" s="26"/>
      <c r="SB168" s="26"/>
      <c r="SC168" s="26"/>
      <c r="SD168" s="26"/>
      <c r="SE168" s="26"/>
      <c r="SF168" s="26"/>
      <c r="SG168" s="26"/>
      <c r="SH168" s="26"/>
      <c r="SI168" s="26"/>
      <c r="SJ168" s="26"/>
      <c r="SK168" s="26"/>
      <c r="SL168" s="26"/>
      <c r="SM168" s="26"/>
      <c r="SN168" s="26"/>
      <c r="SO168" s="26"/>
      <c r="SP168" s="26"/>
      <c r="SQ168" s="26"/>
      <c r="SR168" s="26"/>
      <c r="SS168" s="26"/>
      <c r="ST168" s="26"/>
      <c r="SU168" s="26"/>
      <c r="SV168" s="26"/>
      <c r="SW168" s="26"/>
      <c r="SX168" s="26"/>
      <c r="SY168" s="26"/>
      <c r="SZ168" s="26"/>
      <c r="TA168" s="26"/>
      <c r="TB168" s="26"/>
      <c r="TC168" s="26"/>
      <c r="TD168" s="26"/>
      <c r="TE168" s="26"/>
      <c r="TF168" s="26"/>
      <c r="TG168" s="26"/>
      <c r="TH168" s="26"/>
      <c r="TI168" s="26"/>
    </row>
    <row r="169" spans="1:529" s="23" customFormat="1" ht="33.75" customHeight="1" x14ac:dyDescent="0.25">
      <c r="A169" s="43" t="s">
        <v>318</v>
      </c>
      <c r="B169" s="44" t="str">
        <f>'дод 3'!A103</f>
        <v>7310</v>
      </c>
      <c r="C169" s="44" t="str">
        <f>'дод 3'!B103</f>
        <v>0443</v>
      </c>
      <c r="D169" s="24" t="str">
        <f>'дод 3'!C103</f>
        <v>Будівництво об'єктів житлово-комунального господарства</v>
      </c>
      <c r="E169" s="69">
        <f t="shared" si="91"/>
        <v>0</v>
      </c>
      <c r="F169" s="69"/>
      <c r="G169" s="69"/>
      <c r="H169" s="69"/>
      <c r="I169" s="69"/>
      <c r="J169" s="69">
        <f t="shared" si="93"/>
        <v>4590000</v>
      </c>
      <c r="K169" s="69">
        <f>3000000+1590000</f>
        <v>4590000</v>
      </c>
      <c r="L169" s="69"/>
      <c r="M169" s="69"/>
      <c r="N169" s="69"/>
      <c r="O169" s="69">
        <f>3000000+1590000</f>
        <v>4590000</v>
      </c>
      <c r="P169" s="69">
        <f t="shared" si="92"/>
        <v>4590000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</row>
    <row r="170" spans="1:529" s="23" customFormat="1" ht="21.75" customHeight="1" x14ac:dyDescent="0.25">
      <c r="A170" s="43" t="s">
        <v>319</v>
      </c>
      <c r="B170" s="44" t="str">
        <f>'дод 3'!A104</f>
        <v>7321</v>
      </c>
      <c r="C170" s="44" t="str">
        <f>'дод 3'!B104</f>
        <v>0443</v>
      </c>
      <c r="D170" s="24" t="str">
        <f>'дод 3'!C104</f>
        <v>Будівництво освітніх установ та закладів</v>
      </c>
      <c r="E170" s="69">
        <f t="shared" si="91"/>
        <v>0</v>
      </c>
      <c r="F170" s="69"/>
      <c r="G170" s="69"/>
      <c r="H170" s="69"/>
      <c r="I170" s="69"/>
      <c r="J170" s="69">
        <f t="shared" si="93"/>
        <v>4000000</v>
      </c>
      <c r="K170" s="69">
        <f>9000000-5000000</f>
        <v>4000000</v>
      </c>
      <c r="L170" s="69"/>
      <c r="M170" s="69"/>
      <c r="N170" s="69"/>
      <c r="O170" s="69">
        <f>9000000-5000000</f>
        <v>4000000</v>
      </c>
      <c r="P170" s="69">
        <f t="shared" si="92"/>
        <v>4000000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</row>
    <row r="171" spans="1:529" s="23" customFormat="1" ht="18" customHeight="1" x14ac:dyDescent="0.25">
      <c r="A171" s="43" t="s">
        <v>321</v>
      </c>
      <c r="B171" s="44" t="str">
        <f>'дод 3'!A105</f>
        <v>7322</v>
      </c>
      <c r="C171" s="44" t="str">
        <f>'дод 3'!B105</f>
        <v>0443</v>
      </c>
      <c r="D171" s="24" t="str">
        <f>'дод 3'!C105</f>
        <v>Будівництво медичних установ та закладів</v>
      </c>
      <c r="E171" s="69">
        <f t="shared" si="91"/>
        <v>0</v>
      </c>
      <c r="F171" s="69"/>
      <c r="G171" s="69"/>
      <c r="H171" s="69"/>
      <c r="I171" s="69"/>
      <c r="J171" s="69">
        <f t="shared" si="93"/>
        <v>12454849</v>
      </c>
      <c r="K171" s="69">
        <f>7000000-3286719+741568+8000000</f>
        <v>12454849</v>
      </c>
      <c r="L171" s="69"/>
      <c r="M171" s="69"/>
      <c r="N171" s="69"/>
      <c r="O171" s="69">
        <f>7000000-3286719+741568+8000000</f>
        <v>12454849</v>
      </c>
      <c r="P171" s="69">
        <f t="shared" si="92"/>
        <v>12454849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</row>
    <row r="172" spans="1:529" s="23" customFormat="1" ht="30" x14ac:dyDescent="0.25">
      <c r="A172" s="43" t="s">
        <v>421</v>
      </c>
      <c r="B172" s="44">
        <f>'дод 3'!A106</f>
        <v>7325</v>
      </c>
      <c r="C172" s="44">
        <f>'дод 3'!B106</f>
        <v>443</v>
      </c>
      <c r="D172" s="24" t="str">
        <f>'дод 3'!C106</f>
        <v>Будівництво споруд, установ та закладів фізичної культури і спорту</v>
      </c>
      <c r="E172" s="69"/>
      <c r="F172" s="69"/>
      <c r="G172" s="69"/>
      <c r="H172" s="69"/>
      <c r="I172" s="69"/>
      <c r="J172" s="69">
        <f t="shared" si="93"/>
        <v>100000</v>
      </c>
      <c r="K172" s="69">
        <f>7000000-7000000+100000</f>
        <v>100000</v>
      </c>
      <c r="L172" s="69"/>
      <c r="M172" s="69"/>
      <c r="N172" s="69"/>
      <c r="O172" s="69">
        <f>7000000-7000000+100000</f>
        <v>100000</v>
      </c>
      <c r="P172" s="69">
        <f t="shared" si="92"/>
        <v>100000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</row>
    <row r="173" spans="1:529" s="23" customFormat="1" ht="23.25" customHeight="1" x14ac:dyDescent="0.25">
      <c r="A173" s="43" t="s">
        <v>323</v>
      </c>
      <c r="B173" s="44" t="str">
        <f>'дод 3'!A107</f>
        <v>7330</v>
      </c>
      <c r="C173" s="44" t="str">
        <f>'дод 3'!B107</f>
        <v>0443</v>
      </c>
      <c r="D173" s="24" t="str">
        <f>'дод 3'!C107</f>
        <v>Будівництво інших об'єктів комунальної власності</v>
      </c>
      <c r="E173" s="69">
        <f t="shared" si="91"/>
        <v>0</v>
      </c>
      <c r="F173" s="69"/>
      <c r="G173" s="69"/>
      <c r="H173" s="69"/>
      <c r="I173" s="69"/>
      <c r="J173" s="69">
        <f t="shared" si="93"/>
        <v>42980823</v>
      </c>
      <c r="K173" s="69">
        <f>41200000+100000-1000000+300000+1000000+1000000-1800000+860151+8034260+1003444+2000000+282968-10000000</f>
        <v>42980823</v>
      </c>
      <c r="L173" s="69"/>
      <c r="M173" s="69"/>
      <c r="N173" s="69"/>
      <c r="O173" s="69">
        <f>41200000+100000-1000000+300000+1000000+1000000-1800000+860151+8034260+1003444+2000000+282968-10000000</f>
        <v>42980823</v>
      </c>
      <c r="P173" s="69">
        <f t="shared" si="92"/>
        <v>42980823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  <c r="JK173" s="26"/>
      <c r="JL173" s="26"/>
      <c r="JM173" s="26"/>
      <c r="JN173" s="26"/>
      <c r="JO173" s="26"/>
      <c r="JP173" s="26"/>
      <c r="JQ173" s="26"/>
      <c r="JR173" s="26"/>
      <c r="JS173" s="26"/>
      <c r="JT173" s="26"/>
      <c r="JU173" s="26"/>
      <c r="JV173" s="26"/>
      <c r="JW173" s="26"/>
      <c r="JX173" s="26"/>
      <c r="JY173" s="26"/>
      <c r="JZ173" s="26"/>
      <c r="KA173" s="26"/>
      <c r="KB173" s="26"/>
      <c r="KC173" s="26"/>
      <c r="KD173" s="26"/>
      <c r="KE173" s="26"/>
      <c r="KF173" s="26"/>
      <c r="KG173" s="26"/>
      <c r="KH173" s="26"/>
      <c r="KI173" s="26"/>
      <c r="KJ173" s="26"/>
      <c r="KK173" s="26"/>
      <c r="KL173" s="26"/>
      <c r="KM173" s="26"/>
      <c r="KN173" s="26"/>
      <c r="KO173" s="26"/>
      <c r="KP173" s="26"/>
      <c r="KQ173" s="26"/>
      <c r="KR173" s="26"/>
      <c r="KS173" s="26"/>
      <c r="KT173" s="26"/>
      <c r="KU173" s="26"/>
      <c r="KV173" s="26"/>
      <c r="KW173" s="26"/>
      <c r="KX173" s="26"/>
      <c r="KY173" s="26"/>
      <c r="KZ173" s="26"/>
      <c r="LA173" s="26"/>
      <c r="LB173" s="26"/>
      <c r="LC173" s="26"/>
      <c r="LD173" s="26"/>
      <c r="LE173" s="26"/>
      <c r="LF173" s="26"/>
      <c r="LG173" s="26"/>
      <c r="LH173" s="26"/>
      <c r="LI173" s="26"/>
      <c r="LJ173" s="26"/>
      <c r="LK173" s="26"/>
      <c r="LL173" s="26"/>
      <c r="LM173" s="26"/>
      <c r="LN173" s="26"/>
      <c r="LO173" s="26"/>
      <c r="LP173" s="26"/>
      <c r="LQ173" s="26"/>
      <c r="LR173" s="26"/>
      <c r="LS173" s="26"/>
      <c r="LT173" s="26"/>
      <c r="LU173" s="26"/>
      <c r="LV173" s="26"/>
      <c r="LW173" s="26"/>
      <c r="LX173" s="26"/>
      <c r="LY173" s="26"/>
      <c r="LZ173" s="26"/>
      <c r="MA173" s="26"/>
      <c r="MB173" s="26"/>
      <c r="MC173" s="26"/>
      <c r="MD173" s="26"/>
      <c r="ME173" s="26"/>
      <c r="MF173" s="26"/>
      <c r="MG173" s="26"/>
      <c r="MH173" s="26"/>
      <c r="MI173" s="26"/>
      <c r="MJ173" s="26"/>
      <c r="MK173" s="26"/>
      <c r="ML173" s="26"/>
      <c r="MM173" s="26"/>
      <c r="MN173" s="26"/>
      <c r="MO173" s="26"/>
      <c r="MP173" s="26"/>
      <c r="MQ173" s="26"/>
      <c r="MR173" s="26"/>
      <c r="MS173" s="26"/>
      <c r="MT173" s="26"/>
      <c r="MU173" s="26"/>
      <c r="MV173" s="26"/>
      <c r="MW173" s="26"/>
      <c r="MX173" s="26"/>
      <c r="MY173" s="26"/>
      <c r="MZ173" s="26"/>
      <c r="NA173" s="26"/>
      <c r="NB173" s="26"/>
      <c r="NC173" s="26"/>
      <c r="ND173" s="26"/>
      <c r="NE173" s="26"/>
      <c r="NF173" s="26"/>
      <c r="NG173" s="26"/>
      <c r="NH173" s="26"/>
      <c r="NI173" s="26"/>
      <c r="NJ173" s="26"/>
      <c r="NK173" s="26"/>
      <c r="NL173" s="26"/>
      <c r="NM173" s="26"/>
      <c r="NN173" s="26"/>
      <c r="NO173" s="26"/>
      <c r="NP173" s="26"/>
      <c r="NQ173" s="26"/>
      <c r="NR173" s="26"/>
      <c r="NS173" s="26"/>
      <c r="NT173" s="26"/>
      <c r="NU173" s="26"/>
      <c r="NV173" s="26"/>
      <c r="NW173" s="26"/>
      <c r="NX173" s="26"/>
      <c r="NY173" s="26"/>
      <c r="NZ173" s="26"/>
      <c r="OA173" s="26"/>
      <c r="OB173" s="26"/>
      <c r="OC173" s="26"/>
      <c r="OD173" s="26"/>
      <c r="OE173" s="26"/>
      <c r="OF173" s="26"/>
      <c r="OG173" s="26"/>
      <c r="OH173" s="26"/>
      <c r="OI173" s="26"/>
      <c r="OJ173" s="26"/>
      <c r="OK173" s="26"/>
      <c r="OL173" s="26"/>
      <c r="OM173" s="26"/>
      <c r="ON173" s="26"/>
      <c r="OO173" s="26"/>
      <c r="OP173" s="26"/>
      <c r="OQ173" s="26"/>
      <c r="OR173" s="26"/>
      <c r="OS173" s="26"/>
      <c r="OT173" s="26"/>
      <c r="OU173" s="26"/>
      <c r="OV173" s="26"/>
      <c r="OW173" s="26"/>
      <c r="OX173" s="26"/>
      <c r="OY173" s="26"/>
      <c r="OZ173" s="26"/>
      <c r="PA173" s="26"/>
      <c r="PB173" s="26"/>
      <c r="PC173" s="26"/>
      <c r="PD173" s="26"/>
      <c r="PE173" s="26"/>
      <c r="PF173" s="26"/>
      <c r="PG173" s="26"/>
      <c r="PH173" s="26"/>
      <c r="PI173" s="26"/>
      <c r="PJ173" s="26"/>
      <c r="PK173" s="26"/>
      <c r="PL173" s="26"/>
      <c r="PM173" s="26"/>
      <c r="PN173" s="26"/>
      <c r="PO173" s="26"/>
      <c r="PP173" s="26"/>
      <c r="PQ173" s="26"/>
      <c r="PR173" s="26"/>
      <c r="PS173" s="26"/>
      <c r="PT173" s="26"/>
      <c r="PU173" s="26"/>
      <c r="PV173" s="26"/>
      <c r="PW173" s="26"/>
      <c r="PX173" s="26"/>
      <c r="PY173" s="26"/>
      <c r="PZ173" s="26"/>
      <c r="QA173" s="26"/>
      <c r="QB173" s="26"/>
      <c r="QC173" s="26"/>
      <c r="QD173" s="26"/>
      <c r="QE173" s="26"/>
      <c r="QF173" s="26"/>
      <c r="QG173" s="26"/>
      <c r="QH173" s="26"/>
      <c r="QI173" s="26"/>
      <c r="QJ173" s="26"/>
      <c r="QK173" s="26"/>
      <c r="QL173" s="26"/>
      <c r="QM173" s="26"/>
      <c r="QN173" s="26"/>
      <c r="QO173" s="26"/>
      <c r="QP173" s="26"/>
      <c r="QQ173" s="26"/>
      <c r="QR173" s="26"/>
      <c r="QS173" s="26"/>
      <c r="QT173" s="26"/>
      <c r="QU173" s="26"/>
      <c r="QV173" s="26"/>
      <c r="QW173" s="26"/>
      <c r="QX173" s="26"/>
      <c r="QY173" s="26"/>
      <c r="QZ173" s="26"/>
      <c r="RA173" s="26"/>
      <c r="RB173" s="26"/>
      <c r="RC173" s="26"/>
      <c r="RD173" s="26"/>
      <c r="RE173" s="26"/>
      <c r="RF173" s="26"/>
      <c r="RG173" s="26"/>
      <c r="RH173" s="26"/>
      <c r="RI173" s="26"/>
      <c r="RJ173" s="26"/>
      <c r="RK173" s="26"/>
      <c r="RL173" s="26"/>
      <c r="RM173" s="26"/>
      <c r="RN173" s="26"/>
      <c r="RO173" s="26"/>
      <c r="RP173" s="26"/>
      <c r="RQ173" s="26"/>
      <c r="RR173" s="26"/>
      <c r="RS173" s="26"/>
      <c r="RT173" s="26"/>
      <c r="RU173" s="26"/>
      <c r="RV173" s="26"/>
      <c r="RW173" s="26"/>
      <c r="RX173" s="26"/>
      <c r="RY173" s="26"/>
      <c r="RZ173" s="26"/>
      <c r="SA173" s="26"/>
      <c r="SB173" s="26"/>
      <c r="SC173" s="26"/>
      <c r="SD173" s="26"/>
      <c r="SE173" s="26"/>
      <c r="SF173" s="26"/>
      <c r="SG173" s="26"/>
      <c r="SH173" s="26"/>
      <c r="SI173" s="26"/>
      <c r="SJ173" s="26"/>
      <c r="SK173" s="26"/>
      <c r="SL173" s="26"/>
      <c r="SM173" s="26"/>
      <c r="SN173" s="26"/>
      <c r="SO173" s="26"/>
      <c r="SP173" s="26"/>
      <c r="SQ173" s="26"/>
      <c r="SR173" s="26"/>
      <c r="SS173" s="26"/>
      <c r="ST173" s="26"/>
      <c r="SU173" s="26"/>
      <c r="SV173" s="26"/>
      <c r="SW173" s="26"/>
      <c r="SX173" s="26"/>
      <c r="SY173" s="26"/>
      <c r="SZ173" s="26"/>
      <c r="TA173" s="26"/>
      <c r="TB173" s="26"/>
      <c r="TC173" s="26"/>
      <c r="TD173" s="26"/>
      <c r="TE173" s="26"/>
      <c r="TF173" s="26"/>
      <c r="TG173" s="26"/>
      <c r="TH173" s="26"/>
      <c r="TI173" s="26"/>
    </row>
    <row r="174" spans="1:529" s="23" customFormat="1" ht="44.25" customHeight="1" x14ac:dyDescent="0.25">
      <c r="A174" s="43" t="s">
        <v>448</v>
      </c>
      <c r="B174" s="44">
        <f>'дод 3'!A109</f>
        <v>7361</v>
      </c>
      <c r="C174" s="44" t="str">
        <f>'дод 3'!B109</f>
        <v>0490</v>
      </c>
      <c r="D174" s="24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74" s="69">
        <f t="shared" ref="E174" si="94">F174+I174</f>
        <v>0</v>
      </c>
      <c r="F174" s="69"/>
      <c r="G174" s="69"/>
      <c r="H174" s="69"/>
      <c r="I174" s="69"/>
      <c r="J174" s="69">
        <f t="shared" ref="J174" si="95">L174+O174</f>
        <v>5000000</v>
      </c>
      <c r="K174" s="69">
        <v>5000000</v>
      </c>
      <c r="L174" s="69"/>
      <c r="M174" s="69"/>
      <c r="N174" s="69"/>
      <c r="O174" s="69">
        <v>5000000</v>
      </c>
      <c r="P174" s="69">
        <f t="shared" si="92"/>
        <v>5000000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  <c r="LB174" s="26"/>
      <c r="LC174" s="26"/>
      <c r="LD174" s="26"/>
      <c r="LE174" s="26"/>
      <c r="LF174" s="26"/>
      <c r="LG174" s="26"/>
      <c r="LH174" s="26"/>
      <c r="LI174" s="26"/>
      <c r="LJ174" s="26"/>
      <c r="LK174" s="26"/>
      <c r="LL174" s="26"/>
      <c r="LM174" s="26"/>
      <c r="LN174" s="26"/>
      <c r="LO174" s="26"/>
      <c r="LP174" s="26"/>
      <c r="LQ174" s="26"/>
      <c r="LR174" s="26"/>
      <c r="LS174" s="26"/>
      <c r="LT174" s="26"/>
      <c r="LU174" s="26"/>
      <c r="LV174" s="26"/>
      <c r="LW174" s="26"/>
      <c r="LX174" s="26"/>
      <c r="LY174" s="26"/>
      <c r="LZ174" s="26"/>
      <c r="MA174" s="26"/>
      <c r="MB174" s="26"/>
      <c r="MC174" s="26"/>
      <c r="MD174" s="26"/>
      <c r="ME174" s="26"/>
      <c r="MF174" s="26"/>
      <c r="MG174" s="26"/>
      <c r="MH174" s="26"/>
      <c r="MI174" s="26"/>
      <c r="MJ174" s="26"/>
      <c r="MK174" s="26"/>
      <c r="ML174" s="26"/>
      <c r="MM174" s="26"/>
      <c r="MN174" s="26"/>
      <c r="MO174" s="26"/>
      <c r="MP174" s="26"/>
      <c r="MQ174" s="26"/>
      <c r="MR174" s="26"/>
      <c r="MS174" s="26"/>
      <c r="MT174" s="26"/>
      <c r="MU174" s="26"/>
      <c r="MV174" s="26"/>
      <c r="MW174" s="26"/>
      <c r="MX174" s="26"/>
      <c r="MY174" s="26"/>
      <c r="MZ174" s="26"/>
      <c r="NA174" s="26"/>
      <c r="NB174" s="26"/>
      <c r="NC174" s="26"/>
      <c r="ND174" s="26"/>
      <c r="NE174" s="26"/>
      <c r="NF174" s="26"/>
      <c r="NG174" s="26"/>
      <c r="NH174" s="26"/>
      <c r="NI174" s="26"/>
      <c r="NJ174" s="26"/>
      <c r="NK174" s="26"/>
      <c r="NL174" s="26"/>
      <c r="NM174" s="26"/>
      <c r="NN174" s="26"/>
      <c r="NO174" s="26"/>
      <c r="NP174" s="26"/>
      <c r="NQ174" s="26"/>
      <c r="NR174" s="26"/>
      <c r="NS174" s="26"/>
      <c r="NT174" s="26"/>
      <c r="NU174" s="26"/>
      <c r="NV174" s="26"/>
      <c r="NW174" s="26"/>
      <c r="NX174" s="26"/>
      <c r="NY174" s="26"/>
      <c r="NZ174" s="26"/>
      <c r="OA174" s="26"/>
      <c r="OB174" s="26"/>
      <c r="OC174" s="26"/>
      <c r="OD174" s="26"/>
      <c r="OE174" s="26"/>
      <c r="OF174" s="26"/>
      <c r="OG174" s="26"/>
      <c r="OH174" s="26"/>
      <c r="OI174" s="26"/>
      <c r="OJ174" s="26"/>
      <c r="OK174" s="26"/>
      <c r="OL174" s="26"/>
      <c r="OM174" s="26"/>
      <c r="ON174" s="26"/>
      <c r="OO174" s="26"/>
      <c r="OP174" s="26"/>
      <c r="OQ174" s="26"/>
      <c r="OR174" s="26"/>
      <c r="OS174" s="26"/>
      <c r="OT174" s="26"/>
      <c r="OU174" s="26"/>
      <c r="OV174" s="26"/>
      <c r="OW174" s="26"/>
      <c r="OX174" s="26"/>
      <c r="OY174" s="26"/>
      <c r="OZ174" s="26"/>
      <c r="PA174" s="26"/>
      <c r="PB174" s="26"/>
      <c r="PC174" s="26"/>
      <c r="PD174" s="26"/>
      <c r="PE174" s="26"/>
      <c r="PF174" s="26"/>
      <c r="PG174" s="26"/>
      <c r="PH174" s="26"/>
      <c r="PI174" s="26"/>
      <c r="PJ174" s="26"/>
      <c r="PK174" s="26"/>
      <c r="PL174" s="26"/>
      <c r="PM174" s="26"/>
      <c r="PN174" s="26"/>
      <c r="PO174" s="26"/>
      <c r="PP174" s="26"/>
      <c r="PQ174" s="26"/>
      <c r="PR174" s="26"/>
      <c r="PS174" s="26"/>
      <c r="PT174" s="26"/>
      <c r="PU174" s="26"/>
      <c r="PV174" s="26"/>
      <c r="PW174" s="26"/>
      <c r="PX174" s="26"/>
      <c r="PY174" s="26"/>
      <c r="PZ174" s="26"/>
      <c r="QA174" s="26"/>
      <c r="QB174" s="26"/>
      <c r="QC174" s="26"/>
      <c r="QD174" s="26"/>
      <c r="QE174" s="26"/>
      <c r="QF174" s="26"/>
      <c r="QG174" s="26"/>
      <c r="QH174" s="26"/>
      <c r="QI174" s="26"/>
      <c r="QJ174" s="26"/>
      <c r="QK174" s="26"/>
      <c r="QL174" s="26"/>
      <c r="QM174" s="26"/>
      <c r="QN174" s="26"/>
      <c r="QO174" s="26"/>
      <c r="QP174" s="26"/>
      <c r="QQ174" s="26"/>
      <c r="QR174" s="26"/>
      <c r="QS174" s="26"/>
      <c r="QT174" s="26"/>
      <c r="QU174" s="26"/>
      <c r="QV174" s="26"/>
      <c r="QW174" s="26"/>
      <c r="QX174" s="26"/>
      <c r="QY174" s="26"/>
      <c r="QZ174" s="26"/>
      <c r="RA174" s="26"/>
      <c r="RB174" s="26"/>
      <c r="RC174" s="26"/>
      <c r="RD174" s="26"/>
      <c r="RE174" s="26"/>
      <c r="RF174" s="26"/>
      <c r="RG174" s="26"/>
      <c r="RH174" s="26"/>
      <c r="RI174" s="26"/>
      <c r="RJ174" s="26"/>
      <c r="RK174" s="26"/>
      <c r="RL174" s="26"/>
      <c r="RM174" s="26"/>
      <c r="RN174" s="26"/>
      <c r="RO174" s="26"/>
      <c r="RP174" s="26"/>
      <c r="RQ174" s="26"/>
      <c r="RR174" s="26"/>
      <c r="RS174" s="26"/>
      <c r="RT174" s="26"/>
      <c r="RU174" s="26"/>
      <c r="RV174" s="26"/>
      <c r="RW174" s="26"/>
      <c r="RX174" s="26"/>
      <c r="RY174" s="26"/>
      <c r="RZ174" s="26"/>
      <c r="SA174" s="26"/>
      <c r="SB174" s="26"/>
      <c r="SC174" s="26"/>
      <c r="SD174" s="26"/>
      <c r="SE174" s="26"/>
      <c r="SF174" s="26"/>
      <c r="SG174" s="26"/>
      <c r="SH174" s="26"/>
      <c r="SI174" s="26"/>
      <c r="SJ174" s="26"/>
      <c r="SK174" s="26"/>
      <c r="SL174" s="26"/>
      <c r="SM174" s="26"/>
      <c r="SN174" s="26"/>
      <c r="SO174" s="26"/>
      <c r="SP174" s="26"/>
      <c r="SQ174" s="26"/>
      <c r="SR174" s="26"/>
      <c r="SS174" s="26"/>
      <c r="ST174" s="26"/>
      <c r="SU174" s="26"/>
      <c r="SV174" s="26"/>
      <c r="SW174" s="26"/>
      <c r="SX174" s="26"/>
      <c r="SY174" s="26"/>
      <c r="SZ174" s="26"/>
      <c r="TA174" s="26"/>
      <c r="TB174" s="26"/>
      <c r="TC174" s="26"/>
      <c r="TD174" s="26"/>
      <c r="TE174" s="26"/>
      <c r="TF174" s="26"/>
      <c r="TG174" s="26"/>
      <c r="TH174" s="26"/>
      <c r="TI174" s="26"/>
    </row>
    <row r="175" spans="1:529" s="23" customFormat="1" ht="42.75" customHeight="1" x14ac:dyDescent="0.25">
      <c r="A175" s="43" t="s">
        <v>437</v>
      </c>
      <c r="B175" s="44">
        <v>7363</v>
      </c>
      <c r="C175" s="43" t="s">
        <v>102</v>
      </c>
      <c r="D175" s="24" t="s">
        <v>438</v>
      </c>
      <c r="E175" s="69">
        <f t="shared" si="91"/>
        <v>0</v>
      </c>
      <c r="F175" s="69"/>
      <c r="G175" s="69"/>
      <c r="H175" s="69"/>
      <c r="I175" s="69"/>
      <c r="J175" s="69">
        <f t="shared" si="93"/>
        <v>95000</v>
      </c>
      <c r="K175" s="69">
        <v>95000</v>
      </c>
      <c r="L175" s="69"/>
      <c r="M175" s="69"/>
      <c r="N175" s="69"/>
      <c r="O175" s="69">
        <v>95000</v>
      </c>
      <c r="P175" s="69">
        <f t="shared" si="92"/>
        <v>95000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</row>
    <row r="176" spans="1:529" s="23" customFormat="1" ht="21.75" customHeight="1" x14ac:dyDescent="0.25">
      <c r="A176" s="43" t="s">
        <v>177</v>
      </c>
      <c r="B176" s="44" t="str">
        <f>'дод 3'!A124</f>
        <v>7640</v>
      </c>
      <c r="C176" s="44" t="str">
        <f>'дод 3'!B124</f>
        <v>0470</v>
      </c>
      <c r="D176" s="24" t="str">
        <f>'дод 3'!C124</f>
        <v>Заходи з енергозбереження</v>
      </c>
      <c r="E176" s="69">
        <f t="shared" si="91"/>
        <v>1728011</v>
      </c>
      <c r="F176" s="69">
        <v>1728011</v>
      </c>
      <c r="G176" s="69"/>
      <c r="H176" s="69"/>
      <c r="I176" s="69"/>
      <c r="J176" s="69">
        <f t="shared" si="93"/>
        <v>84089000</v>
      </c>
      <c r="K176" s="69">
        <v>74352548</v>
      </c>
      <c r="L176" s="71"/>
      <c r="M176" s="69"/>
      <c r="N176" s="69"/>
      <c r="O176" s="69">
        <f>74352548+9736452</f>
        <v>84089000</v>
      </c>
      <c r="P176" s="69">
        <f t="shared" si="92"/>
        <v>85817011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</row>
    <row r="177" spans="1:529" s="23" customFormat="1" ht="116.25" customHeight="1" x14ac:dyDescent="0.25">
      <c r="A177" s="43" t="s">
        <v>443</v>
      </c>
      <c r="B177" s="44">
        <v>7691</v>
      </c>
      <c r="C177" s="46" t="s">
        <v>102</v>
      </c>
      <c r="D177" s="3" t="s">
        <v>367</v>
      </c>
      <c r="E177" s="69">
        <f t="shared" si="91"/>
        <v>0</v>
      </c>
      <c r="F177" s="69"/>
      <c r="G177" s="69"/>
      <c r="H177" s="69"/>
      <c r="I177" s="69"/>
      <c r="J177" s="69">
        <f t="shared" si="93"/>
        <v>833117.12</v>
      </c>
      <c r="K177" s="69"/>
      <c r="L177" s="71"/>
      <c r="M177" s="69"/>
      <c r="N177" s="69"/>
      <c r="O177" s="69">
        <v>833117.12</v>
      </c>
      <c r="P177" s="69">
        <f t="shared" si="92"/>
        <v>833117.12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</row>
    <row r="178" spans="1:529" s="31" customFormat="1" ht="35.25" customHeight="1" x14ac:dyDescent="0.2">
      <c r="A178" s="76" t="s">
        <v>244</v>
      </c>
      <c r="B178" s="74"/>
      <c r="C178" s="74"/>
      <c r="D178" s="30" t="s">
        <v>53</v>
      </c>
      <c r="E178" s="66">
        <f>E179</f>
        <v>9067800</v>
      </c>
      <c r="F178" s="66">
        <f t="shared" ref="F178:J178" si="96">F179</f>
        <v>9067800</v>
      </c>
      <c r="G178" s="66">
        <f t="shared" si="96"/>
        <v>6950200</v>
      </c>
      <c r="H178" s="66">
        <f t="shared" si="96"/>
        <v>92400</v>
      </c>
      <c r="I178" s="66">
        <f t="shared" si="96"/>
        <v>0</v>
      </c>
      <c r="J178" s="66">
        <f t="shared" si="96"/>
        <v>2696249.54</v>
      </c>
      <c r="K178" s="66">
        <f t="shared" ref="K178" si="97">K179</f>
        <v>0</v>
      </c>
      <c r="L178" s="66">
        <f t="shared" ref="L178" si="98">L179</f>
        <v>1946249.54</v>
      </c>
      <c r="M178" s="66">
        <f t="shared" ref="M178" si="99">M179</f>
        <v>0</v>
      </c>
      <c r="N178" s="66">
        <f t="shared" ref="N178" si="100">N179</f>
        <v>0</v>
      </c>
      <c r="O178" s="66">
        <f t="shared" ref="O178:P178" si="101">O179</f>
        <v>750000</v>
      </c>
      <c r="P178" s="66">
        <f t="shared" si="101"/>
        <v>11764049.539999999</v>
      </c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ET178" s="38"/>
      <c r="EU178" s="38"/>
      <c r="EV178" s="38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38"/>
      <c r="FJ178" s="38"/>
      <c r="FK178" s="38"/>
      <c r="FL178" s="38"/>
      <c r="FM178" s="38"/>
      <c r="FN178" s="38"/>
      <c r="FO178" s="38"/>
      <c r="FP178" s="38"/>
      <c r="FQ178" s="38"/>
      <c r="FR178" s="38"/>
      <c r="FS178" s="38"/>
      <c r="FT178" s="38"/>
      <c r="FU178" s="38"/>
      <c r="FV178" s="38"/>
      <c r="FW178" s="38"/>
      <c r="FX178" s="38"/>
      <c r="FY178" s="38"/>
      <c r="FZ178" s="38"/>
      <c r="GA178" s="38"/>
      <c r="GB178" s="38"/>
      <c r="GC178" s="38"/>
      <c r="GD178" s="38"/>
      <c r="GE178" s="38"/>
      <c r="GF178" s="38"/>
      <c r="GG178" s="38"/>
      <c r="GH178" s="38"/>
      <c r="GI178" s="38"/>
      <c r="GJ178" s="38"/>
      <c r="GK178" s="38"/>
      <c r="GL178" s="38"/>
      <c r="GM178" s="38"/>
      <c r="GN178" s="38"/>
      <c r="GO178" s="38"/>
      <c r="GP178" s="38"/>
      <c r="GQ178" s="38"/>
      <c r="GR178" s="38"/>
      <c r="GS178" s="38"/>
      <c r="GT178" s="38"/>
      <c r="GU178" s="38"/>
      <c r="GV178" s="38"/>
      <c r="GW178" s="38"/>
      <c r="GX178" s="38"/>
      <c r="GY178" s="38"/>
      <c r="GZ178" s="38"/>
      <c r="HA178" s="38"/>
      <c r="HB178" s="38"/>
      <c r="HC178" s="38"/>
      <c r="HD178" s="38"/>
      <c r="HE178" s="38"/>
      <c r="HF178" s="38"/>
      <c r="HG178" s="38"/>
      <c r="HH178" s="38"/>
      <c r="HI178" s="38"/>
      <c r="HJ178" s="38"/>
      <c r="HK178" s="38"/>
      <c r="HL178" s="38"/>
      <c r="HM178" s="38"/>
      <c r="HN178" s="38"/>
      <c r="HO178" s="38"/>
      <c r="HP178" s="38"/>
      <c r="HQ178" s="38"/>
      <c r="HR178" s="38"/>
      <c r="HS178" s="38"/>
      <c r="HT178" s="38"/>
      <c r="HU178" s="38"/>
      <c r="HV178" s="38"/>
      <c r="HW178" s="38"/>
      <c r="HX178" s="38"/>
      <c r="HY178" s="38"/>
      <c r="HZ178" s="38"/>
      <c r="IA178" s="38"/>
      <c r="IB178" s="38"/>
      <c r="IC178" s="38"/>
      <c r="ID178" s="38"/>
      <c r="IE178" s="38"/>
      <c r="IF178" s="38"/>
      <c r="IG178" s="38"/>
      <c r="IH178" s="38"/>
      <c r="II178" s="38"/>
      <c r="IJ178" s="38"/>
      <c r="IK178" s="38"/>
      <c r="IL178" s="38"/>
      <c r="IM178" s="38"/>
      <c r="IN178" s="38"/>
      <c r="IO178" s="38"/>
      <c r="IP178" s="38"/>
      <c r="IQ178" s="38"/>
      <c r="IR178" s="38"/>
      <c r="IS178" s="38"/>
      <c r="IT178" s="38"/>
      <c r="IU178" s="38"/>
      <c r="IV178" s="38"/>
      <c r="IW178" s="38"/>
      <c r="IX178" s="38"/>
      <c r="IY178" s="38"/>
      <c r="IZ178" s="38"/>
      <c r="JA178" s="38"/>
      <c r="JB178" s="38"/>
      <c r="JC178" s="38"/>
      <c r="JD178" s="38"/>
      <c r="JE178" s="38"/>
      <c r="JF178" s="38"/>
      <c r="JG178" s="38"/>
      <c r="JH178" s="38"/>
      <c r="JI178" s="38"/>
      <c r="JJ178" s="38"/>
      <c r="JK178" s="38"/>
      <c r="JL178" s="38"/>
      <c r="JM178" s="38"/>
      <c r="JN178" s="38"/>
      <c r="JO178" s="38"/>
      <c r="JP178" s="38"/>
      <c r="JQ178" s="38"/>
      <c r="JR178" s="38"/>
      <c r="JS178" s="38"/>
      <c r="JT178" s="38"/>
      <c r="JU178" s="38"/>
      <c r="JV178" s="38"/>
      <c r="JW178" s="38"/>
      <c r="JX178" s="38"/>
      <c r="JY178" s="38"/>
      <c r="JZ178" s="38"/>
      <c r="KA178" s="38"/>
      <c r="KB178" s="38"/>
      <c r="KC178" s="38"/>
      <c r="KD178" s="38"/>
      <c r="KE178" s="38"/>
      <c r="KF178" s="38"/>
      <c r="KG178" s="38"/>
      <c r="KH178" s="38"/>
      <c r="KI178" s="38"/>
      <c r="KJ178" s="38"/>
      <c r="KK178" s="38"/>
      <c r="KL178" s="38"/>
      <c r="KM178" s="38"/>
      <c r="KN178" s="38"/>
      <c r="KO178" s="38"/>
      <c r="KP178" s="38"/>
      <c r="KQ178" s="38"/>
      <c r="KR178" s="38"/>
      <c r="KS178" s="38"/>
      <c r="KT178" s="38"/>
      <c r="KU178" s="38"/>
      <c r="KV178" s="38"/>
      <c r="KW178" s="38"/>
      <c r="KX178" s="38"/>
      <c r="KY178" s="38"/>
      <c r="KZ178" s="38"/>
      <c r="LA178" s="38"/>
      <c r="LB178" s="38"/>
      <c r="LC178" s="38"/>
      <c r="LD178" s="38"/>
      <c r="LE178" s="38"/>
      <c r="LF178" s="38"/>
      <c r="LG178" s="38"/>
      <c r="LH178" s="38"/>
      <c r="LI178" s="38"/>
      <c r="LJ178" s="38"/>
      <c r="LK178" s="38"/>
      <c r="LL178" s="38"/>
      <c r="LM178" s="38"/>
      <c r="LN178" s="38"/>
      <c r="LO178" s="38"/>
      <c r="LP178" s="38"/>
      <c r="LQ178" s="38"/>
      <c r="LR178" s="38"/>
      <c r="LS178" s="38"/>
      <c r="LT178" s="38"/>
      <c r="LU178" s="38"/>
      <c r="LV178" s="38"/>
      <c r="LW178" s="38"/>
      <c r="LX178" s="38"/>
      <c r="LY178" s="38"/>
      <c r="LZ178" s="38"/>
      <c r="MA178" s="38"/>
      <c r="MB178" s="38"/>
      <c r="MC178" s="38"/>
      <c r="MD178" s="38"/>
      <c r="ME178" s="38"/>
      <c r="MF178" s="38"/>
      <c r="MG178" s="38"/>
      <c r="MH178" s="38"/>
      <c r="MI178" s="38"/>
      <c r="MJ178" s="38"/>
      <c r="MK178" s="38"/>
      <c r="ML178" s="38"/>
      <c r="MM178" s="38"/>
      <c r="MN178" s="38"/>
      <c r="MO178" s="38"/>
      <c r="MP178" s="38"/>
      <c r="MQ178" s="38"/>
      <c r="MR178" s="38"/>
      <c r="MS178" s="38"/>
      <c r="MT178" s="38"/>
      <c r="MU178" s="38"/>
      <c r="MV178" s="38"/>
      <c r="MW178" s="38"/>
      <c r="MX178" s="38"/>
      <c r="MY178" s="38"/>
      <c r="MZ178" s="38"/>
      <c r="NA178" s="38"/>
      <c r="NB178" s="38"/>
      <c r="NC178" s="38"/>
      <c r="ND178" s="38"/>
      <c r="NE178" s="38"/>
      <c r="NF178" s="38"/>
      <c r="NG178" s="38"/>
      <c r="NH178" s="38"/>
      <c r="NI178" s="38"/>
      <c r="NJ178" s="38"/>
      <c r="NK178" s="38"/>
      <c r="NL178" s="38"/>
      <c r="NM178" s="38"/>
      <c r="NN178" s="38"/>
      <c r="NO178" s="38"/>
      <c r="NP178" s="38"/>
      <c r="NQ178" s="38"/>
      <c r="NR178" s="38"/>
      <c r="NS178" s="38"/>
      <c r="NT178" s="38"/>
      <c r="NU178" s="38"/>
      <c r="NV178" s="38"/>
      <c r="NW178" s="38"/>
      <c r="NX178" s="38"/>
      <c r="NY178" s="38"/>
      <c r="NZ178" s="38"/>
      <c r="OA178" s="38"/>
      <c r="OB178" s="38"/>
      <c r="OC178" s="38"/>
      <c r="OD178" s="38"/>
      <c r="OE178" s="38"/>
      <c r="OF178" s="38"/>
      <c r="OG178" s="38"/>
      <c r="OH178" s="38"/>
      <c r="OI178" s="38"/>
      <c r="OJ178" s="38"/>
      <c r="OK178" s="38"/>
      <c r="OL178" s="38"/>
      <c r="OM178" s="38"/>
      <c r="ON178" s="38"/>
      <c r="OO178" s="38"/>
      <c r="OP178" s="38"/>
      <c r="OQ178" s="38"/>
      <c r="OR178" s="38"/>
      <c r="OS178" s="38"/>
      <c r="OT178" s="38"/>
      <c r="OU178" s="38"/>
      <c r="OV178" s="38"/>
      <c r="OW178" s="38"/>
      <c r="OX178" s="38"/>
      <c r="OY178" s="38"/>
      <c r="OZ178" s="38"/>
      <c r="PA178" s="38"/>
      <c r="PB178" s="38"/>
      <c r="PC178" s="38"/>
      <c r="PD178" s="38"/>
      <c r="PE178" s="38"/>
      <c r="PF178" s="38"/>
      <c r="PG178" s="38"/>
      <c r="PH178" s="38"/>
      <c r="PI178" s="38"/>
      <c r="PJ178" s="38"/>
      <c r="PK178" s="38"/>
      <c r="PL178" s="38"/>
      <c r="PM178" s="38"/>
      <c r="PN178" s="38"/>
      <c r="PO178" s="38"/>
      <c r="PP178" s="38"/>
      <c r="PQ178" s="38"/>
      <c r="PR178" s="38"/>
      <c r="PS178" s="38"/>
      <c r="PT178" s="38"/>
      <c r="PU178" s="38"/>
      <c r="PV178" s="38"/>
      <c r="PW178" s="38"/>
      <c r="PX178" s="38"/>
      <c r="PY178" s="38"/>
      <c r="PZ178" s="38"/>
      <c r="QA178" s="38"/>
      <c r="QB178" s="38"/>
      <c r="QC178" s="38"/>
      <c r="QD178" s="38"/>
      <c r="QE178" s="38"/>
      <c r="QF178" s="38"/>
      <c r="QG178" s="38"/>
      <c r="QH178" s="38"/>
      <c r="QI178" s="38"/>
      <c r="QJ178" s="38"/>
      <c r="QK178" s="38"/>
      <c r="QL178" s="38"/>
      <c r="QM178" s="38"/>
      <c r="QN178" s="38"/>
      <c r="QO178" s="38"/>
      <c r="QP178" s="38"/>
      <c r="QQ178" s="38"/>
      <c r="QR178" s="38"/>
      <c r="QS178" s="38"/>
      <c r="QT178" s="38"/>
      <c r="QU178" s="38"/>
      <c r="QV178" s="38"/>
      <c r="QW178" s="38"/>
      <c r="QX178" s="38"/>
      <c r="QY178" s="38"/>
      <c r="QZ178" s="38"/>
      <c r="RA178" s="38"/>
      <c r="RB178" s="38"/>
      <c r="RC178" s="38"/>
      <c r="RD178" s="38"/>
      <c r="RE178" s="38"/>
      <c r="RF178" s="38"/>
      <c r="RG178" s="38"/>
      <c r="RH178" s="38"/>
      <c r="RI178" s="38"/>
      <c r="RJ178" s="38"/>
      <c r="RK178" s="38"/>
      <c r="RL178" s="38"/>
      <c r="RM178" s="38"/>
      <c r="RN178" s="38"/>
      <c r="RO178" s="38"/>
      <c r="RP178" s="38"/>
      <c r="RQ178" s="38"/>
      <c r="RR178" s="38"/>
      <c r="RS178" s="38"/>
      <c r="RT178" s="38"/>
      <c r="RU178" s="38"/>
      <c r="RV178" s="38"/>
      <c r="RW178" s="38"/>
      <c r="RX178" s="38"/>
      <c r="RY178" s="38"/>
      <c r="RZ178" s="38"/>
      <c r="SA178" s="38"/>
      <c r="SB178" s="38"/>
      <c r="SC178" s="38"/>
      <c r="SD178" s="38"/>
      <c r="SE178" s="38"/>
      <c r="SF178" s="38"/>
      <c r="SG178" s="38"/>
      <c r="SH178" s="38"/>
      <c r="SI178" s="38"/>
      <c r="SJ178" s="38"/>
      <c r="SK178" s="38"/>
      <c r="SL178" s="38"/>
      <c r="SM178" s="38"/>
      <c r="SN178" s="38"/>
      <c r="SO178" s="38"/>
      <c r="SP178" s="38"/>
      <c r="SQ178" s="38"/>
      <c r="SR178" s="38"/>
      <c r="SS178" s="38"/>
      <c r="ST178" s="38"/>
      <c r="SU178" s="38"/>
      <c r="SV178" s="38"/>
      <c r="SW178" s="38"/>
      <c r="SX178" s="38"/>
      <c r="SY178" s="38"/>
      <c r="SZ178" s="38"/>
      <c r="TA178" s="38"/>
      <c r="TB178" s="38"/>
      <c r="TC178" s="38"/>
      <c r="TD178" s="38"/>
      <c r="TE178" s="38"/>
      <c r="TF178" s="38"/>
      <c r="TG178" s="38"/>
      <c r="TH178" s="38"/>
      <c r="TI178" s="38"/>
    </row>
    <row r="179" spans="1:529" s="40" customFormat="1" ht="41.25" customHeight="1" x14ac:dyDescent="0.25">
      <c r="A179" s="77" t="s">
        <v>245</v>
      </c>
      <c r="B179" s="75"/>
      <c r="C179" s="75"/>
      <c r="D179" s="33" t="s">
        <v>53</v>
      </c>
      <c r="E179" s="68">
        <f>E180+E181+E182</f>
        <v>9067800</v>
      </c>
      <c r="F179" s="68">
        <f t="shared" ref="F179:P179" si="102">F180+F181+F182</f>
        <v>9067800</v>
      </c>
      <c r="G179" s="68">
        <f t="shared" si="102"/>
        <v>6950200</v>
      </c>
      <c r="H179" s="68">
        <f t="shared" si="102"/>
        <v>92400</v>
      </c>
      <c r="I179" s="68">
        <f t="shared" si="102"/>
        <v>0</v>
      </c>
      <c r="J179" s="68">
        <f t="shared" si="102"/>
        <v>2696249.54</v>
      </c>
      <c r="K179" s="68">
        <f t="shared" si="102"/>
        <v>0</v>
      </c>
      <c r="L179" s="68">
        <f>L180+L181+L182</f>
        <v>1946249.54</v>
      </c>
      <c r="M179" s="68">
        <f t="shared" si="102"/>
        <v>0</v>
      </c>
      <c r="N179" s="68">
        <f t="shared" si="102"/>
        <v>0</v>
      </c>
      <c r="O179" s="68">
        <f t="shared" si="102"/>
        <v>750000</v>
      </c>
      <c r="P179" s="68">
        <f t="shared" si="102"/>
        <v>11764049.539999999</v>
      </c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/>
      <c r="HY179" s="39"/>
      <c r="HZ179" s="39"/>
      <c r="IA179" s="39"/>
      <c r="IB179" s="39"/>
      <c r="IC179" s="39"/>
      <c r="ID179" s="39"/>
      <c r="IE179" s="39"/>
      <c r="IF179" s="39"/>
      <c r="IG179" s="39"/>
      <c r="IH179" s="39"/>
      <c r="II179" s="39"/>
      <c r="IJ179" s="39"/>
      <c r="IK179" s="39"/>
      <c r="IL179" s="39"/>
      <c r="IM179" s="39"/>
      <c r="IN179" s="39"/>
      <c r="IO179" s="39"/>
      <c r="IP179" s="39"/>
      <c r="IQ179" s="39"/>
      <c r="IR179" s="39"/>
      <c r="IS179" s="39"/>
      <c r="IT179" s="39"/>
      <c r="IU179" s="39"/>
      <c r="IV179" s="39"/>
      <c r="IW179" s="39"/>
      <c r="IX179" s="39"/>
      <c r="IY179" s="39"/>
      <c r="IZ179" s="39"/>
      <c r="JA179" s="39"/>
      <c r="JB179" s="39"/>
      <c r="JC179" s="39"/>
      <c r="JD179" s="39"/>
      <c r="JE179" s="39"/>
      <c r="JF179" s="39"/>
      <c r="JG179" s="39"/>
      <c r="JH179" s="39"/>
      <c r="JI179" s="39"/>
      <c r="JJ179" s="39"/>
      <c r="JK179" s="39"/>
      <c r="JL179" s="39"/>
      <c r="JM179" s="39"/>
      <c r="JN179" s="39"/>
      <c r="JO179" s="39"/>
      <c r="JP179" s="39"/>
      <c r="JQ179" s="39"/>
      <c r="JR179" s="39"/>
      <c r="JS179" s="39"/>
      <c r="JT179" s="39"/>
      <c r="JU179" s="39"/>
      <c r="JV179" s="39"/>
      <c r="JW179" s="39"/>
      <c r="JX179" s="39"/>
      <c r="JY179" s="39"/>
      <c r="JZ179" s="39"/>
      <c r="KA179" s="39"/>
      <c r="KB179" s="39"/>
      <c r="KC179" s="39"/>
      <c r="KD179" s="39"/>
      <c r="KE179" s="39"/>
      <c r="KF179" s="39"/>
      <c r="KG179" s="39"/>
      <c r="KH179" s="39"/>
      <c r="KI179" s="39"/>
      <c r="KJ179" s="39"/>
      <c r="KK179" s="39"/>
      <c r="KL179" s="39"/>
      <c r="KM179" s="39"/>
      <c r="KN179" s="39"/>
      <c r="KO179" s="39"/>
      <c r="KP179" s="39"/>
      <c r="KQ179" s="39"/>
      <c r="KR179" s="39"/>
      <c r="KS179" s="39"/>
      <c r="KT179" s="39"/>
      <c r="KU179" s="39"/>
      <c r="KV179" s="39"/>
      <c r="KW179" s="39"/>
      <c r="KX179" s="39"/>
      <c r="KY179" s="39"/>
      <c r="KZ179" s="39"/>
      <c r="LA179" s="39"/>
      <c r="LB179" s="39"/>
      <c r="LC179" s="39"/>
      <c r="LD179" s="39"/>
      <c r="LE179" s="39"/>
      <c r="LF179" s="39"/>
      <c r="LG179" s="39"/>
      <c r="LH179" s="39"/>
      <c r="LI179" s="39"/>
      <c r="LJ179" s="39"/>
      <c r="LK179" s="39"/>
      <c r="LL179" s="39"/>
      <c r="LM179" s="39"/>
      <c r="LN179" s="39"/>
      <c r="LO179" s="39"/>
      <c r="LP179" s="39"/>
      <c r="LQ179" s="39"/>
      <c r="LR179" s="39"/>
      <c r="LS179" s="39"/>
      <c r="LT179" s="39"/>
      <c r="LU179" s="39"/>
      <c r="LV179" s="39"/>
      <c r="LW179" s="39"/>
      <c r="LX179" s="39"/>
      <c r="LY179" s="39"/>
      <c r="LZ179" s="39"/>
      <c r="MA179" s="39"/>
      <c r="MB179" s="39"/>
      <c r="MC179" s="39"/>
      <c r="MD179" s="39"/>
      <c r="ME179" s="39"/>
      <c r="MF179" s="39"/>
      <c r="MG179" s="39"/>
      <c r="MH179" s="39"/>
      <c r="MI179" s="39"/>
      <c r="MJ179" s="39"/>
      <c r="MK179" s="39"/>
      <c r="ML179" s="39"/>
      <c r="MM179" s="39"/>
      <c r="MN179" s="39"/>
      <c r="MO179" s="39"/>
      <c r="MP179" s="39"/>
      <c r="MQ179" s="39"/>
      <c r="MR179" s="39"/>
      <c r="MS179" s="39"/>
      <c r="MT179" s="39"/>
      <c r="MU179" s="39"/>
      <c r="MV179" s="39"/>
      <c r="MW179" s="39"/>
      <c r="MX179" s="39"/>
      <c r="MY179" s="39"/>
      <c r="MZ179" s="39"/>
      <c r="NA179" s="39"/>
      <c r="NB179" s="39"/>
      <c r="NC179" s="39"/>
      <c r="ND179" s="39"/>
      <c r="NE179" s="39"/>
      <c r="NF179" s="39"/>
      <c r="NG179" s="39"/>
      <c r="NH179" s="39"/>
      <c r="NI179" s="39"/>
      <c r="NJ179" s="39"/>
      <c r="NK179" s="39"/>
      <c r="NL179" s="39"/>
      <c r="NM179" s="39"/>
      <c r="NN179" s="39"/>
      <c r="NO179" s="39"/>
      <c r="NP179" s="39"/>
      <c r="NQ179" s="39"/>
      <c r="NR179" s="39"/>
      <c r="NS179" s="39"/>
      <c r="NT179" s="39"/>
      <c r="NU179" s="39"/>
      <c r="NV179" s="39"/>
      <c r="NW179" s="39"/>
      <c r="NX179" s="39"/>
      <c r="NY179" s="39"/>
      <c r="NZ179" s="39"/>
      <c r="OA179" s="39"/>
      <c r="OB179" s="39"/>
      <c r="OC179" s="39"/>
      <c r="OD179" s="39"/>
      <c r="OE179" s="39"/>
      <c r="OF179" s="39"/>
      <c r="OG179" s="39"/>
      <c r="OH179" s="39"/>
      <c r="OI179" s="39"/>
      <c r="OJ179" s="39"/>
      <c r="OK179" s="39"/>
      <c r="OL179" s="39"/>
      <c r="OM179" s="39"/>
      <c r="ON179" s="39"/>
      <c r="OO179" s="39"/>
      <c r="OP179" s="39"/>
      <c r="OQ179" s="39"/>
      <c r="OR179" s="39"/>
      <c r="OS179" s="39"/>
      <c r="OT179" s="39"/>
      <c r="OU179" s="39"/>
      <c r="OV179" s="39"/>
      <c r="OW179" s="39"/>
      <c r="OX179" s="39"/>
      <c r="OY179" s="39"/>
      <c r="OZ179" s="39"/>
      <c r="PA179" s="39"/>
      <c r="PB179" s="39"/>
      <c r="PC179" s="39"/>
      <c r="PD179" s="39"/>
      <c r="PE179" s="39"/>
      <c r="PF179" s="39"/>
      <c r="PG179" s="39"/>
      <c r="PH179" s="39"/>
      <c r="PI179" s="39"/>
      <c r="PJ179" s="39"/>
      <c r="PK179" s="39"/>
      <c r="PL179" s="39"/>
      <c r="PM179" s="39"/>
      <c r="PN179" s="39"/>
      <c r="PO179" s="39"/>
      <c r="PP179" s="39"/>
      <c r="PQ179" s="39"/>
      <c r="PR179" s="39"/>
      <c r="PS179" s="39"/>
      <c r="PT179" s="39"/>
      <c r="PU179" s="39"/>
      <c r="PV179" s="39"/>
      <c r="PW179" s="39"/>
      <c r="PX179" s="39"/>
      <c r="PY179" s="39"/>
      <c r="PZ179" s="39"/>
      <c r="QA179" s="39"/>
      <c r="QB179" s="39"/>
      <c r="QC179" s="39"/>
      <c r="QD179" s="39"/>
      <c r="QE179" s="39"/>
      <c r="QF179" s="39"/>
      <c r="QG179" s="39"/>
      <c r="QH179" s="39"/>
      <c r="QI179" s="39"/>
      <c r="QJ179" s="39"/>
      <c r="QK179" s="39"/>
      <c r="QL179" s="39"/>
      <c r="QM179" s="39"/>
      <c r="QN179" s="39"/>
      <c r="QO179" s="39"/>
      <c r="QP179" s="39"/>
      <c r="QQ179" s="39"/>
      <c r="QR179" s="39"/>
      <c r="QS179" s="39"/>
      <c r="QT179" s="39"/>
      <c r="QU179" s="39"/>
      <c r="QV179" s="39"/>
      <c r="QW179" s="39"/>
      <c r="QX179" s="39"/>
      <c r="QY179" s="39"/>
      <c r="QZ179" s="39"/>
      <c r="RA179" s="39"/>
      <c r="RB179" s="39"/>
      <c r="RC179" s="39"/>
      <c r="RD179" s="39"/>
      <c r="RE179" s="39"/>
      <c r="RF179" s="39"/>
      <c r="RG179" s="39"/>
      <c r="RH179" s="39"/>
      <c r="RI179" s="39"/>
      <c r="RJ179" s="39"/>
      <c r="RK179" s="39"/>
      <c r="RL179" s="39"/>
      <c r="RM179" s="39"/>
      <c r="RN179" s="39"/>
      <c r="RO179" s="39"/>
      <c r="RP179" s="39"/>
      <c r="RQ179" s="39"/>
      <c r="RR179" s="39"/>
      <c r="RS179" s="39"/>
      <c r="RT179" s="39"/>
      <c r="RU179" s="39"/>
      <c r="RV179" s="39"/>
      <c r="RW179" s="39"/>
      <c r="RX179" s="39"/>
      <c r="RY179" s="39"/>
      <c r="RZ179" s="39"/>
      <c r="SA179" s="39"/>
      <c r="SB179" s="39"/>
      <c r="SC179" s="39"/>
      <c r="SD179" s="39"/>
      <c r="SE179" s="39"/>
      <c r="SF179" s="39"/>
      <c r="SG179" s="39"/>
      <c r="SH179" s="39"/>
      <c r="SI179" s="39"/>
      <c r="SJ179" s="39"/>
      <c r="SK179" s="39"/>
      <c r="SL179" s="39"/>
      <c r="SM179" s="39"/>
      <c r="SN179" s="39"/>
      <c r="SO179" s="39"/>
      <c r="SP179" s="39"/>
      <c r="SQ179" s="39"/>
      <c r="SR179" s="39"/>
      <c r="SS179" s="39"/>
      <c r="ST179" s="39"/>
      <c r="SU179" s="39"/>
      <c r="SV179" s="39"/>
      <c r="SW179" s="39"/>
      <c r="SX179" s="39"/>
      <c r="SY179" s="39"/>
      <c r="SZ179" s="39"/>
      <c r="TA179" s="39"/>
      <c r="TB179" s="39"/>
      <c r="TC179" s="39"/>
      <c r="TD179" s="39"/>
      <c r="TE179" s="39"/>
      <c r="TF179" s="39"/>
      <c r="TG179" s="39"/>
      <c r="TH179" s="39"/>
      <c r="TI179" s="39"/>
    </row>
    <row r="180" spans="1:529" s="23" customFormat="1" ht="45" customHeight="1" x14ac:dyDescent="0.25">
      <c r="A180" s="43" t="s">
        <v>246</v>
      </c>
      <c r="B180" s="44" t="str">
        <f>'дод 3'!A20</f>
        <v>0160</v>
      </c>
      <c r="C180" s="44" t="str">
        <f>'дод 3'!B20</f>
        <v>0111</v>
      </c>
      <c r="D180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0" s="69">
        <f>F180+I180</f>
        <v>8892800</v>
      </c>
      <c r="F180" s="69">
        <f>8936200+12100+288619-394119+50000</f>
        <v>8892800</v>
      </c>
      <c r="G180" s="69">
        <f>7036700+236573-323073</f>
        <v>6950200</v>
      </c>
      <c r="H180" s="69">
        <v>92400</v>
      </c>
      <c r="I180" s="69"/>
      <c r="J180" s="69">
        <f t="shared" si="93"/>
        <v>0</v>
      </c>
      <c r="K180" s="69"/>
      <c r="L180" s="69"/>
      <c r="M180" s="69"/>
      <c r="N180" s="69"/>
      <c r="O180" s="69"/>
      <c r="P180" s="69">
        <f>E180+J180</f>
        <v>8892800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</row>
    <row r="181" spans="1:529" s="23" customFormat="1" ht="34.5" customHeight="1" x14ac:dyDescent="0.25">
      <c r="A181" s="43" t="s">
        <v>363</v>
      </c>
      <c r="B181" s="44" t="str">
        <f>'дод 3'!A96</f>
        <v>6090</v>
      </c>
      <c r="C181" s="44" t="str">
        <f>'дод 3'!B96</f>
        <v>0640</v>
      </c>
      <c r="D181" s="24" t="str">
        <f>'дод 3'!C96</f>
        <v>Інша діяльність у сфері житлово-комунального господарства</v>
      </c>
      <c r="E181" s="69">
        <f>F181+I181</f>
        <v>175000</v>
      </c>
      <c r="F181" s="69">
        <v>175000</v>
      </c>
      <c r="G181" s="69"/>
      <c r="H181" s="69"/>
      <c r="I181" s="69"/>
      <c r="J181" s="69">
        <f t="shared" si="93"/>
        <v>0</v>
      </c>
      <c r="K181" s="69"/>
      <c r="L181" s="69"/>
      <c r="M181" s="69"/>
      <c r="N181" s="69"/>
      <c r="O181" s="69"/>
      <c r="P181" s="69">
        <f>E181+J181</f>
        <v>175000</v>
      </c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</row>
    <row r="182" spans="1:529" s="23" customFormat="1" ht="87.75" customHeight="1" x14ac:dyDescent="0.25">
      <c r="A182" s="52" t="s">
        <v>349</v>
      </c>
      <c r="B182" s="45" t="str">
        <f>'дод 3'!A129</f>
        <v>7691</v>
      </c>
      <c r="C182" s="45" t="str">
        <f>'дод 3'!B129</f>
        <v>0490</v>
      </c>
      <c r="D182" s="22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2" s="69">
        <f>F182+I182</f>
        <v>0</v>
      </c>
      <c r="F182" s="69"/>
      <c r="G182" s="69"/>
      <c r="H182" s="69"/>
      <c r="I182" s="69"/>
      <c r="J182" s="69">
        <f t="shared" si="93"/>
        <v>2696249.54</v>
      </c>
      <c r="K182" s="69"/>
      <c r="L182" s="69">
        <f>1321371+1074878.54-450000</f>
        <v>1946249.54</v>
      </c>
      <c r="M182" s="69"/>
      <c r="N182" s="69"/>
      <c r="O182" s="69">
        <f>300000+450000</f>
        <v>750000</v>
      </c>
      <c r="P182" s="69">
        <f>E182+J182</f>
        <v>2696249.54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</row>
    <row r="183" spans="1:529" s="31" customFormat="1" ht="36.75" customHeight="1" x14ac:dyDescent="0.2">
      <c r="A183" s="76" t="s">
        <v>249</v>
      </c>
      <c r="B183" s="74"/>
      <c r="C183" s="74"/>
      <c r="D183" s="30" t="s">
        <v>56</v>
      </c>
      <c r="E183" s="66">
        <f>E184</f>
        <v>4531018</v>
      </c>
      <c r="F183" s="66">
        <f t="shared" ref="F183:J184" si="103">F184</f>
        <v>4531018</v>
      </c>
      <c r="G183" s="66">
        <f t="shared" si="103"/>
        <v>3516425</v>
      </c>
      <c r="H183" s="66">
        <f t="shared" si="103"/>
        <v>52700</v>
      </c>
      <c r="I183" s="66">
        <f t="shared" si="103"/>
        <v>0</v>
      </c>
      <c r="J183" s="66">
        <f t="shared" si="103"/>
        <v>0</v>
      </c>
      <c r="K183" s="66">
        <f t="shared" ref="K183:K184" si="104">K184</f>
        <v>0</v>
      </c>
      <c r="L183" s="66">
        <f t="shared" ref="L183:L184" si="105">L184</f>
        <v>0</v>
      </c>
      <c r="M183" s="66">
        <f t="shared" ref="M183:M184" si="106">M184</f>
        <v>0</v>
      </c>
      <c r="N183" s="66">
        <f t="shared" ref="N183:N184" si="107">N184</f>
        <v>0</v>
      </c>
      <c r="O183" s="66">
        <f t="shared" ref="O183:P184" si="108">O184</f>
        <v>0</v>
      </c>
      <c r="P183" s="66">
        <f t="shared" si="108"/>
        <v>4531018</v>
      </c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  <c r="IH183" s="38"/>
      <c r="II183" s="38"/>
      <c r="IJ183" s="38"/>
      <c r="IK183" s="38"/>
      <c r="IL183" s="38"/>
      <c r="IM183" s="38"/>
      <c r="IN183" s="38"/>
      <c r="IO183" s="38"/>
      <c r="IP183" s="38"/>
      <c r="IQ183" s="38"/>
      <c r="IR183" s="38"/>
      <c r="IS183" s="38"/>
      <c r="IT183" s="38"/>
      <c r="IU183" s="38"/>
      <c r="IV183" s="38"/>
      <c r="IW183" s="38"/>
      <c r="IX183" s="38"/>
      <c r="IY183" s="38"/>
      <c r="IZ183" s="38"/>
      <c r="JA183" s="38"/>
      <c r="JB183" s="38"/>
      <c r="JC183" s="38"/>
      <c r="JD183" s="38"/>
      <c r="JE183" s="38"/>
      <c r="JF183" s="38"/>
      <c r="JG183" s="38"/>
      <c r="JH183" s="38"/>
      <c r="JI183" s="38"/>
      <c r="JJ183" s="38"/>
      <c r="JK183" s="38"/>
      <c r="JL183" s="38"/>
      <c r="JM183" s="38"/>
      <c r="JN183" s="38"/>
      <c r="JO183" s="38"/>
      <c r="JP183" s="38"/>
      <c r="JQ183" s="38"/>
      <c r="JR183" s="38"/>
      <c r="JS183" s="38"/>
      <c r="JT183" s="38"/>
      <c r="JU183" s="38"/>
      <c r="JV183" s="38"/>
      <c r="JW183" s="38"/>
      <c r="JX183" s="38"/>
      <c r="JY183" s="38"/>
      <c r="JZ183" s="38"/>
      <c r="KA183" s="38"/>
      <c r="KB183" s="38"/>
      <c r="KC183" s="38"/>
      <c r="KD183" s="38"/>
      <c r="KE183" s="38"/>
      <c r="KF183" s="38"/>
      <c r="KG183" s="38"/>
      <c r="KH183" s="38"/>
      <c r="KI183" s="38"/>
      <c r="KJ183" s="38"/>
      <c r="KK183" s="38"/>
      <c r="KL183" s="38"/>
      <c r="KM183" s="38"/>
      <c r="KN183" s="38"/>
      <c r="KO183" s="38"/>
      <c r="KP183" s="38"/>
      <c r="KQ183" s="38"/>
      <c r="KR183" s="38"/>
      <c r="KS183" s="38"/>
      <c r="KT183" s="38"/>
      <c r="KU183" s="38"/>
      <c r="KV183" s="38"/>
      <c r="KW183" s="38"/>
      <c r="KX183" s="38"/>
      <c r="KY183" s="38"/>
      <c r="KZ183" s="38"/>
      <c r="LA183" s="38"/>
      <c r="LB183" s="38"/>
      <c r="LC183" s="38"/>
      <c r="LD183" s="38"/>
      <c r="LE183" s="38"/>
      <c r="LF183" s="38"/>
      <c r="LG183" s="38"/>
      <c r="LH183" s="38"/>
      <c r="LI183" s="38"/>
      <c r="LJ183" s="38"/>
      <c r="LK183" s="38"/>
      <c r="LL183" s="38"/>
      <c r="LM183" s="38"/>
      <c r="LN183" s="38"/>
      <c r="LO183" s="38"/>
      <c r="LP183" s="38"/>
      <c r="LQ183" s="38"/>
      <c r="LR183" s="38"/>
      <c r="LS183" s="38"/>
      <c r="LT183" s="38"/>
      <c r="LU183" s="38"/>
      <c r="LV183" s="38"/>
      <c r="LW183" s="38"/>
      <c r="LX183" s="38"/>
      <c r="LY183" s="38"/>
      <c r="LZ183" s="38"/>
      <c r="MA183" s="38"/>
      <c r="MB183" s="38"/>
      <c r="MC183" s="38"/>
      <c r="MD183" s="38"/>
      <c r="ME183" s="38"/>
      <c r="MF183" s="38"/>
      <c r="MG183" s="38"/>
      <c r="MH183" s="38"/>
      <c r="MI183" s="38"/>
      <c r="MJ183" s="38"/>
      <c r="MK183" s="38"/>
      <c r="ML183" s="38"/>
      <c r="MM183" s="38"/>
      <c r="MN183" s="38"/>
      <c r="MO183" s="38"/>
      <c r="MP183" s="38"/>
      <c r="MQ183" s="38"/>
      <c r="MR183" s="38"/>
      <c r="MS183" s="38"/>
      <c r="MT183" s="38"/>
      <c r="MU183" s="38"/>
      <c r="MV183" s="38"/>
      <c r="MW183" s="38"/>
      <c r="MX183" s="38"/>
      <c r="MY183" s="38"/>
      <c r="MZ183" s="38"/>
      <c r="NA183" s="38"/>
      <c r="NB183" s="38"/>
      <c r="NC183" s="38"/>
      <c r="ND183" s="38"/>
      <c r="NE183" s="38"/>
      <c r="NF183" s="38"/>
      <c r="NG183" s="38"/>
      <c r="NH183" s="38"/>
      <c r="NI183" s="38"/>
      <c r="NJ183" s="38"/>
      <c r="NK183" s="38"/>
      <c r="NL183" s="38"/>
      <c r="NM183" s="38"/>
      <c r="NN183" s="38"/>
      <c r="NO183" s="38"/>
      <c r="NP183" s="38"/>
      <c r="NQ183" s="38"/>
      <c r="NR183" s="38"/>
      <c r="NS183" s="38"/>
      <c r="NT183" s="38"/>
      <c r="NU183" s="38"/>
      <c r="NV183" s="38"/>
      <c r="NW183" s="38"/>
      <c r="NX183" s="38"/>
      <c r="NY183" s="38"/>
      <c r="NZ183" s="38"/>
      <c r="OA183" s="38"/>
      <c r="OB183" s="38"/>
      <c r="OC183" s="38"/>
      <c r="OD183" s="38"/>
      <c r="OE183" s="38"/>
      <c r="OF183" s="38"/>
      <c r="OG183" s="38"/>
      <c r="OH183" s="38"/>
      <c r="OI183" s="38"/>
      <c r="OJ183" s="38"/>
      <c r="OK183" s="38"/>
      <c r="OL183" s="38"/>
      <c r="OM183" s="38"/>
      <c r="ON183" s="38"/>
      <c r="OO183" s="38"/>
      <c r="OP183" s="38"/>
      <c r="OQ183" s="38"/>
      <c r="OR183" s="38"/>
      <c r="OS183" s="38"/>
      <c r="OT183" s="38"/>
      <c r="OU183" s="38"/>
      <c r="OV183" s="38"/>
      <c r="OW183" s="38"/>
      <c r="OX183" s="38"/>
      <c r="OY183" s="38"/>
      <c r="OZ183" s="38"/>
      <c r="PA183" s="38"/>
      <c r="PB183" s="38"/>
      <c r="PC183" s="38"/>
      <c r="PD183" s="38"/>
      <c r="PE183" s="38"/>
      <c r="PF183" s="38"/>
      <c r="PG183" s="38"/>
      <c r="PH183" s="38"/>
      <c r="PI183" s="38"/>
      <c r="PJ183" s="38"/>
      <c r="PK183" s="38"/>
      <c r="PL183" s="38"/>
      <c r="PM183" s="38"/>
      <c r="PN183" s="38"/>
      <c r="PO183" s="38"/>
      <c r="PP183" s="38"/>
      <c r="PQ183" s="38"/>
      <c r="PR183" s="38"/>
      <c r="PS183" s="38"/>
      <c r="PT183" s="38"/>
      <c r="PU183" s="38"/>
      <c r="PV183" s="38"/>
      <c r="PW183" s="38"/>
      <c r="PX183" s="38"/>
      <c r="PY183" s="38"/>
      <c r="PZ183" s="38"/>
      <c r="QA183" s="38"/>
      <c r="QB183" s="38"/>
      <c r="QC183" s="38"/>
      <c r="QD183" s="38"/>
      <c r="QE183" s="38"/>
      <c r="QF183" s="38"/>
      <c r="QG183" s="38"/>
      <c r="QH183" s="38"/>
      <c r="QI183" s="38"/>
      <c r="QJ183" s="38"/>
      <c r="QK183" s="38"/>
      <c r="QL183" s="38"/>
      <c r="QM183" s="38"/>
      <c r="QN183" s="38"/>
      <c r="QO183" s="38"/>
      <c r="QP183" s="38"/>
      <c r="QQ183" s="38"/>
      <c r="QR183" s="38"/>
      <c r="QS183" s="38"/>
      <c r="QT183" s="38"/>
      <c r="QU183" s="38"/>
      <c r="QV183" s="38"/>
      <c r="QW183" s="38"/>
      <c r="QX183" s="38"/>
      <c r="QY183" s="38"/>
      <c r="QZ183" s="38"/>
      <c r="RA183" s="38"/>
      <c r="RB183" s="38"/>
      <c r="RC183" s="38"/>
      <c r="RD183" s="38"/>
      <c r="RE183" s="38"/>
      <c r="RF183" s="38"/>
      <c r="RG183" s="38"/>
      <c r="RH183" s="38"/>
      <c r="RI183" s="38"/>
      <c r="RJ183" s="38"/>
      <c r="RK183" s="38"/>
      <c r="RL183" s="38"/>
      <c r="RM183" s="38"/>
      <c r="RN183" s="38"/>
      <c r="RO183" s="38"/>
      <c r="RP183" s="38"/>
      <c r="RQ183" s="38"/>
      <c r="RR183" s="38"/>
      <c r="RS183" s="38"/>
      <c r="RT183" s="38"/>
      <c r="RU183" s="38"/>
      <c r="RV183" s="38"/>
      <c r="RW183" s="38"/>
      <c r="RX183" s="38"/>
      <c r="RY183" s="38"/>
      <c r="RZ183" s="38"/>
      <c r="SA183" s="38"/>
      <c r="SB183" s="38"/>
      <c r="SC183" s="38"/>
      <c r="SD183" s="38"/>
      <c r="SE183" s="38"/>
      <c r="SF183" s="38"/>
      <c r="SG183" s="38"/>
      <c r="SH183" s="38"/>
      <c r="SI183" s="38"/>
      <c r="SJ183" s="38"/>
      <c r="SK183" s="38"/>
      <c r="SL183" s="38"/>
      <c r="SM183" s="38"/>
      <c r="SN183" s="38"/>
      <c r="SO183" s="38"/>
      <c r="SP183" s="38"/>
      <c r="SQ183" s="38"/>
      <c r="SR183" s="38"/>
      <c r="SS183" s="38"/>
      <c r="ST183" s="38"/>
      <c r="SU183" s="38"/>
      <c r="SV183" s="38"/>
      <c r="SW183" s="38"/>
      <c r="SX183" s="38"/>
      <c r="SY183" s="38"/>
      <c r="SZ183" s="38"/>
      <c r="TA183" s="38"/>
      <c r="TB183" s="38"/>
      <c r="TC183" s="38"/>
      <c r="TD183" s="38"/>
      <c r="TE183" s="38"/>
      <c r="TF183" s="38"/>
      <c r="TG183" s="38"/>
      <c r="TH183" s="38"/>
      <c r="TI183" s="38"/>
    </row>
    <row r="184" spans="1:529" s="40" customFormat="1" ht="35.25" customHeight="1" x14ac:dyDescent="0.25">
      <c r="A184" s="77" t="s">
        <v>247</v>
      </c>
      <c r="B184" s="75"/>
      <c r="C184" s="75"/>
      <c r="D184" s="33" t="s">
        <v>56</v>
      </c>
      <c r="E184" s="68">
        <f>E185</f>
        <v>4531018</v>
      </c>
      <c r="F184" s="68">
        <f t="shared" si="103"/>
        <v>4531018</v>
      </c>
      <c r="G184" s="68">
        <f t="shared" si="103"/>
        <v>3516425</v>
      </c>
      <c r="H184" s="68">
        <f t="shared" si="103"/>
        <v>52700</v>
      </c>
      <c r="I184" s="68">
        <f t="shared" si="103"/>
        <v>0</v>
      </c>
      <c r="J184" s="68">
        <f t="shared" si="103"/>
        <v>0</v>
      </c>
      <c r="K184" s="68">
        <f t="shared" si="104"/>
        <v>0</v>
      </c>
      <c r="L184" s="68">
        <f t="shared" si="105"/>
        <v>0</v>
      </c>
      <c r="M184" s="68">
        <f t="shared" si="106"/>
        <v>0</v>
      </c>
      <c r="N184" s="68">
        <f t="shared" si="107"/>
        <v>0</v>
      </c>
      <c r="O184" s="68">
        <f t="shared" si="108"/>
        <v>0</v>
      </c>
      <c r="P184" s="68">
        <f t="shared" si="108"/>
        <v>4531018</v>
      </c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/>
      <c r="HA184" s="39"/>
      <c r="HB184" s="39"/>
      <c r="HC184" s="39"/>
      <c r="HD184" s="39"/>
      <c r="HE184" s="39"/>
      <c r="HF184" s="39"/>
      <c r="HG184" s="39"/>
      <c r="HH184" s="39"/>
      <c r="HI184" s="39"/>
      <c r="HJ184" s="39"/>
      <c r="HK184" s="39"/>
      <c r="HL184" s="39"/>
      <c r="HM184" s="39"/>
      <c r="HN184" s="39"/>
      <c r="HO184" s="39"/>
      <c r="HP184" s="39"/>
      <c r="HQ184" s="39"/>
      <c r="HR184" s="39"/>
      <c r="HS184" s="39"/>
      <c r="HT184" s="39"/>
      <c r="HU184" s="39"/>
      <c r="HV184" s="39"/>
      <c r="HW184" s="39"/>
      <c r="HX184" s="39"/>
      <c r="HY184" s="39"/>
      <c r="HZ184" s="39"/>
      <c r="IA184" s="39"/>
      <c r="IB184" s="39"/>
      <c r="IC184" s="39"/>
      <c r="ID184" s="39"/>
      <c r="IE184" s="39"/>
      <c r="IF184" s="39"/>
      <c r="IG184" s="39"/>
      <c r="IH184" s="39"/>
      <c r="II184" s="39"/>
      <c r="IJ184" s="39"/>
      <c r="IK184" s="39"/>
      <c r="IL184" s="39"/>
      <c r="IM184" s="39"/>
      <c r="IN184" s="39"/>
      <c r="IO184" s="39"/>
      <c r="IP184" s="39"/>
      <c r="IQ184" s="39"/>
      <c r="IR184" s="39"/>
      <c r="IS184" s="39"/>
      <c r="IT184" s="39"/>
      <c r="IU184" s="39"/>
      <c r="IV184" s="39"/>
      <c r="IW184" s="39"/>
      <c r="IX184" s="39"/>
      <c r="IY184" s="39"/>
      <c r="IZ184" s="39"/>
      <c r="JA184" s="39"/>
      <c r="JB184" s="39"/>
      <c r="JC184" s="39"/>
      <c r="JD184" s="39"/>
      <c r="JE184" s="39"/>
      <c r="JF184" s="39"/>
      <c r="JG184" s="39"/>
      <c r="JH184" s="39"/>
      <c r="JI184" s="39"/>
      <c r="JJ184" s="39"/>
      <c r="JK184" s="39"/>
      <c r="JL184" s="39"/>
      <c r="JM184" s="39"/>
      <c r="JN184" s="39"/>
      <c r="JO184" s="39"/>
      <c r="JP184" s="39"/>
      <c r="JQ184" s="39"/>
      <c r="JR184" s="39"/>
      <c r="JS184" s="39"/>
      <c r="JT184" s="39"/>
      <c r="JU184" s="39"/>
      <c r="JV184" s="39"/>
      <c r="JW184" s="39"/>
      <c r="JX184" s="39"/>
      <c r="JY184" s="39"/>
      <c r="JZ184" s="39"/>
      <c r="KA184" s="39"/>
      <c r="KB184" s="39"/>
      <c r="KC184" s="39"/>
      <c r="KD184" s="39"/>
      <c r="KE184" s="39"/>
      <c r="KF184" s="39"/>
      <c r="KG184" s="39"/>
      <c r="KH184" s="39"/>
      <c r="KI184" s="39"/>
      <c r="KJ184" s="39"/>
      <c r="KK184" s="39"/>
      <c r="KL184" s="39"/>
      <c r="KM184" s="39"/>
      <c r="KN184" s="39"/>
      <c r="KO184" s="39"/>
      <c r="KP184" s="39"/>
      <c r="KQ184" s="39"/>
      <c r="KR184" s="39"/>
      <c r="KS184" s="39"/>
      <c r="KT184" s="39"/>
      <c r="KU184" s="39"/>
      <c r="KV184" s="39"/>
      <c r="KW184" s="39"/>
      <c r="KX184" s="39"/>
      <c r="KY184" s="39"/>
      <c r="KZ184" s="39"/>
      <c r="LA184" s="39"/>
      <c r="LB184" s="39"/>
      <c r="LC184" s="39"/>
      <c r="LD184" s="39"/>
      <c r="LE184" s="39"/>
      <c r="LF184" s="39"/>
      <c r="LG184" s="39"/>
      <c r="LH184" s="39"/>
      <c r="LI184" s="39"/>
      <c r="LJ184" s="39"/>
      <c r="LK184" s="39"/>
      <c r="LL184" s="39"/>
      <c r="LM184" s="39"/>
      <c r="LN184" s="39"/>
      <c r="LO184" s="39"/>
      <c r="LP184" s="39"/>
      <c r="LQ184" s="39"/>
      <c r="LR184" s="39"/>
      <c r="LS184" s="39"/>
      <c r="LT184" s="39"/>
      <c r="LU184" s="39"/>
      <c r="LV184" s="39"/>
      <c r="LW184" s="39"/>
      <c r="LX184" s="39"/>
      <c r="LY184" s="39"/>
      <c r="LZ184" s="39"/>
      <c r="MA184" s="39"/>
      <c r="MB184" s="39"/>
      <c r="MC184" s="39"/>
      <c r="MD184" s="39"/>
      <c r="ME184" s="39"/>
      <c r="MF184" s="39"/>
      <c r="MG184" s="39"/>
      <c r="MH184" s="39"/>
      <c r="MI184" s="39"/>
      <c r="MJ184" s="39"/>
      <c r="MK184" s="39"/>
      <c r="ML184" s="39"/>
      <c r="MM184" s="39"/>
      <c r="MN184" s="39"/>
      <c r="MO184" s="39"/>
      <c r="MP184" s="39"/>
      <c r="MQ184" s="39"/>
      <c r="MR184" s="39"/>
      <c r="MS184" s="39"/>
      <c r="MT184" s="39"/>
      <c r="MU184" s="39"/>
      <c r="MV184" s="39"/>
      <c r="MW184" s="39"/>
      <c r="MX184" s="39"/>
      <c r="MY184" s="39"/>
      <c r="MZ184" s="39"/>
      <c r="NA184" s="39"/>
      <c r="NB184" s="39"/>
      <c r="NC184" s="39"/>
      <c r="ND184" s="39"/>
      <c r="NE184" s="39"/>
      <c r="NF184" s="39"/>
      <c r="NG184" s="39"/>
      <c r="NH184" s="39"/>
      <c r="NI184" s="39"/>
      <c r="NJ184" s="39"/>
      <c r="NK184" s="39"/>
      <c r="NL184" s="39"/>
      <c r="NM184" s="39"/>
      <c r="NN184" s="39"/>
      <c r="NO184" s="39"/>
      <c r="NP184" s="39"/>
      <c r="NQ184" s="39"/>
      <c r="NR184" s="39"/>
      <c r="NS184" s="39"/>
      <c r="NT184" s="39"/>
      <c r="NU184" s="39"/>
      <c r="NV184" s="39"/>
      <c r="NW184" s="39"/>
      <c r="NX184" s="39"/>
      <c r="NY184" s="39"/>
      <c r="NZ184" s="39"/>
      <c r="OA184" s="39"/>
      <c r="OB184" s="39"/>
      <c r="OC184" s="39"/>
      <c r="OD184" s="39"/>
      <c r="OE184" s="39"/>
      <c r="OF184" s="39"/>
      <c r="OG184" s="39"/>
      <c r="OH184" s="39"/>
      <c r="OI184" s="39"/>
      <c r="OJ184" s="39"/>
      <c r="OK184" s="39"/>
      <c r="OL184" s="39"/>
      <c r="OM184" s="39"/>
      <c r="ON184" s="39"/>
      <c r="OO184" s="39"/>
      <c r="OP184" s="39"/>
      <c r="OQ184" s="39"/>
      <c r="OR184" s="39"/>
      <c r="OS184" s="39"/>
      <c r="OT184" s="39"/>
      <c r="OU184" s="39"/>
      <c r="OV184" s="39"/>
      <c r="OW184" s="39"/>
      <c r="OX184" s="39"/>
      <c r="OY184" s="39"/>
      <c r="OZ184" s="39"/>
      <c r="PA184" s="39"/>
      <c r="PB184" s="39"/>
      <c r="PC184" s="39"/>
      <c r="PD184" s="39"/>
      <c r="PE184" s="39"/>
      <c r="PF184" s="39"/>
      <c r="PG184" s="39"/>
      <c r="PH184" s="39"/>
      <c r="PI184" s="39"/>
      <c r="PJ184" s="39"/>
      <c r="PK184" s="39"/>
      <c r="PL184" s="39"/>
      <c r="PM184" s="39"/>
      <c r="PN184" s="39"/>
      <c r="PO184" s="39"/>
      <c r="PP184" s="39"/>
      <c r="PQ184" s="39"/>
      <c r="PR184" s="39"/>
      <c r="PS184" s="39"/>
      <c r="PT184" s="39"/>
      <c r="PU184" s="39"/>
      <c r="PV184" s="39"/>
      <c r="PW184" s="39"/>
      <c r="PX184" s="39"/>
      <c r="PY184" s="39"/>
      <c r="PZ184" s="39"/>
      <c r="QA184" s="39"/>
      <c r="QB184" s="39"/>
      <c r="QC184" s="39"/>
      <c r="QD184" s="39"/>
      <c r="QE184" s="39"/>
      <c r="QF184" s="39"/>
      <c r="QG184" s="39"/>
      <c r="QH184" s="39"/>
      <c r="QI184" s="39"/>
      <c r="QJ184" s="39"/>
      <c r="QK184" s="39"/>
      <c r="QL184" s="39"/>
      <c r="QM184" s="39"/>
      <c r="QN184" s="39"/>
      <c r="QO184" s="39"/>
      <c r="QP184" s="39"/>
      <c r="QQ184" s="39"/>
      <c r="QR184" s="39"/>
      <c r="QS184" s="39"/>
      <c r="QT184" s="39"/>
      <c r="QU184" s="39"/>
      <c r="QV184" s="39"/>
      <c r="QW184" s="39"/>
      <c r="QX184" s="39"/>
      <c r="QY184" s="39"/>
      <c r="QZ184" s="39"/>
      <c r="RA184" s="39"/>
      <c r="RB184" s="39"/>
      <c r="RC184" s="39"/>
      <c r="RD184" s="39"/>
      <c r="RE184" s="39"/>
      <c r="RF184" s="39"/>
      <c r="RG184" s="39"/>
      <c r="RH184" s="39"/>
      <c r="RI184" s="39"/>
      <c r="RJ184" s="39"/>
      <c r="RK184" s="39"/>
      <c r="RL184" s="39"/>
      <c r="RM184" s="39"/>
      <c r="RN184" s="39"/>
      <c r="RO184" s="39"/>
      <c r="RP184" s="39"/>
      <c r="RQ184" s="39"/>
      <c r="RR184" s="39"/>
      <c r="RS184" s="39"/>
      <c r="RT184" s="39"/>
      <c r="RU184" s="39"/>
      <c r="RV184" s="39"/>
      <c r="RW184" s="39"/>
      <c r="RX184" s="39"/>
      <c r="RY184" s="39"/>
      <c r="RZ184" s="39"/>
      <c r="SA184" s="39"/>
      <c r="SB184" s="39"/>
      <c r="SC184" s="39"/>
      <c r="SD184" s="39"/>
      <c r="SE184" s="39"/>
      <c r="SF184" s="39"/>
      <c r="SG184" s="39"/>
      <c r="SH184" s="39"/>
      <c r="SI184" s="39"/>
      <c r="SJ184" s="39"/>
      <c r="SK184" s="39"/>
      <c r="SL184" s="39"/>
      <c r="SM184" s="39"/>
      <c r="SN184" s="39"/>
      <c r="SO184" s="39"/>
      <c r="SP184" s="39"/>
      <c r="SQ184" s="39"/>
      <c r="SR184" s="39"/>
      <c r="SS184" s="39"/>
      <c r="ST184" s="39"/>
      <c r="SU184" s="39"/>
      <c r="SV184" s="39"/>
      <c r="SW184" s="39"/>
      <c r="SX184" s="39"/>
      <c r="SY184" s="39"/>
      <c r="SZ184" s="39"/>
      <c r="TA184" s="39"/>
      <c r="TB184" s="39"/>
      <c r="TC184" s="39"/>
      <c r="TD184" s="39"/>
      <c r="TE184" s="39"/>
      <c r="TF184" s="39"/>
      <c r="TG184" s="39"/>
      <c r="TH184" s="39"/>
      <c r="TI184" s="39"/>
    </row>
    <row r="185" spans="1:529" s="23" customFormat="1" ht="43.5" customHeight="1" x14ac:dyDescent="0.25">
      <c r="A185" s="43" t="s">
        <v>248</v>
      </c>
      <c r="B185" s="44" t="str">
        <f>'дод 3'!A20</f>
        <v>0160</v>
      </c>
      <c r="C185" s="44" t="str">
        <f>'дод 3'!B20</f>
        <v>0111</v>
      </c>
      <c r="D185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5" s="69">
        <f>F185+I185</f>
        <v>4531018</v>
      </c>
      <c r="F185" s="69">
        <f>4985700+21800-233000-243482</f>
        <v>4531018</v>
      </c>
      <c r="G185" s="69">
        <f>3907000-191000-199575</f>
        <v>3516425</v>
      </c>
      <c r="H185" s="69">
        <v>52700</v>
      </c>
      <c r="I185" s="69"/>
      <c r="J185" s="69">
        <f>L185+O185</f>
        <v>0</v>
      </c>
      <c r="K185" s="69"/>
      <c r="L185" s="69"/>
      <c r="M185" s="69"/>
      <c r="N185" s="69"/>
      <c r="O185" s="69"/>
      <c r="P185" s="69">
        <f>E185+J185</f>
        <v>4531018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  <c r="LB185" s="26"/>
      <c r="LC185" s="26"/>
      <c r="LD185" s="26"/>
      <c r="LE185" s="26"/>
      <c r="LF185" s="26"/>
      <c r="LG185" s="26"/>
      <c r="LH185" s="26"/>
      <c r="LI185" s="26"/>
      <c r="LJ185" s="26"/>
      <c r="LK185" s="26"/>
      <c r="LL185" s="26"/>
      <c r="LM185" s="26"/>
      <c r="LN185" s="26"/>
      <c r="LO185" s="26"/>
      <c r="LP185" s="26"/>
      <c r="LQ185" s="26"/>
      <c r="LR185" s="26"/>
      <c r="LS185" s="26"/>
      <c r="LT185" s="26"/>
      <c r="LU185" s="26"/>
      <c r="LV185" s="26"/>
      <c r="LW185" s="26"/>
      <c r="LX185" s="26"/>
      <c r="LY185" s="26"/>
      <c r="LZ185" s="26"/>
      <c r="MA185" s="26"/>
      <c r="MB185" s="26"/>
      <c r="MC185" s="26"/>
      <c r="MD185" s="26"/>
      <c r="ME185" s="26"/>
      <c r="MF185" s="26"/>
      <c r="MG185" s="26"/>
      <c r="MH185" s="26"/>
      <c r="MI185" s="26"/>
      <c r="MJ185" s="26"/>
      <c r="MK185" s="26"/>
      <c r="ML185" s="26"/>
      <c r="MM185" s="26"/>
      <c r="MN185" s="26"/>
      <c r="MO185" s="26"/>
      <c r="MP185" s="26"/>
      <c r="MQ185" s="26"/>
      <c r="MR185" s="26"/>
      <c r="MS185" s="26"/>
      <c r="MT185" s="26"/>
      <c r="MU185" s="26"/>
      <c r="MV185" s="26"/>
      <c r="MW185" s="26"/>
      <c r="MX185" s="26"/>
      <c r="MY185" s="26"/>
      <c r="MZ185" s="26"/>
      <c r="NA185" s="26"/>
      <c r="NB185" s="26"/>
      <c r="NC185" s="26"/>
      <c r="ND185" s="26"/>
      <c r="NE185" s="26"/>
      <c r="NF185" s="26"/>
      <c r="NG185" s="26"/>
      <c r="NH185" s="26"/>
      <c r="NI185" s="26"/>
      <c r="NJ185" s="26"/>
      <c r="NK185" s="26"/>
      <c r="NL185" s="26"/>
      <c r="NM185" s="26"/>
      <c r="NN185" s="26"/>
      <c r="NO185" s="26"/>
      <c r="NP185" s="26"/>
      <c r="NQ185" s="26"/>
      <c r="NR185" s="26"/>
      <c r="NS185" s="26"/>
      <c r="NT185" s="26"/>
      <c r="NU185" s="26"/>
      <c r="NV185" s="26"/>
      <c r="NW185" s="26"/>
      <c r="NX185" s="26"/>
      <c r="NY185" s="26"/>
      <c r="NZ185" s="26"/>
      <c r="OA185" s="26"/>
      <c r="OB185" s="26"/>
      <c r="OC185" s="26"/>
      <c r="OD185" s="26"/>
      <c r="OE185" s="26"/>
      <c r="OF185" s="26"/>
      <c r="OG185" s="26"/>
      <c r="OH185" s="26"/>
      <c r="OI185" s="26"/>
      <c r="OJ185" s="26"/>
      <c r="OK185" s="26"/>
      <c r="OL185" s="26"/>
      <c r="OM185" s="26"/>
      <c r="ON185" s="26"/>
      <c r="OO185" s="26"/>
      <c r="OP185" s="26"/>
      <c r="OQ185" s="26"/>
      <c r="OR185" s="26"/>
      <c r="OS185" s="26"/>
      <c r="OT185" s="26"/>
      <c r="OU185" s="26"/>
      <c r="OV185" s="26"/>
      <c r="OW185" s="26"/>
      <c r="OX185" s="26"/>
      <c r="OY185" s="26"/>
      <c r="OZ185" s="26"/>
      <c r="PA185" s="26"/>
      <c r="PB185" s="26"/>
      <c r="PC185" s="26"/>
      <c r="PD185" s="26"/>
      <c r="PE185" s="26"/>
      <c r="PF185" s="26"/>
      <c r="PG185" s="26"/>
      <c r="PH185" s="26"/>
      <c r="PI185" s="26"/>
      <c r="PJ185" s="26"/>
      <c r="PK185" s="26"/>
      <c r="PL185" s="26"/>
      <c r="PM185" s="26"/>
      <c r="PN185" s="26"/>
      <c r="PO185" s="26"/>
      <c r="PP185" s="26"/>
      <c r="PQ185" s="26"/>
      <c r="PR185" s="26"/>
      <c r="PS185" s="26"/>
      <c r="PT185" s="26"/>
      <c r="PU185" s="26"/>
      <c r="PV185" s="26"/>
      <c r="PW185" s="26"/>
      <c r="PX185" s="26"/>
      <c r="PY185" s="26"/>
      <c r="PZ185" s="26"/>
      <c r="QA185" s="26"/>
      <c r="QB185" s="26"/>
      <c r="QC185" s="26"/>
      <c r="QD185" s="26"/>
      <c r="QE185" s="26"/>
      <c r="QF185" s="26"/>
      <c r="QG185" s="26"/>
      <c r="QH185" s="26"/>
      <c r="QI185" s="26"/>
      <c r="QJ185" s="26"/>
      <c r="QK185" s="26"/>
      <c r="QL185" s="26"/>
      <c r="QM185" s="26"/>
      <c r="QN185" s="26"/>
      <c r="QO185" s="26"/>
      <c r="QP185" s="26"/>
      <c r="QQ185" s="26"/>
      <c r="QR185" s="26"/>
      <c r="QS185" s="26"/>
      <c r="QT185" s="26"/>
      <c r="QU185" s="26"/>
      <c r="QV185" s="26"/>
      <c r="QW185" s="26"/>
      <c r="QX185" s="26"/>
      <c r="QY185" s="26"/>
      <c r="QZ185" s="26"/>
      <c r="RA185" s="26"/>
      <c r="RB185" s="26"/>
      <c r="RC185" s="26"/>
      <c r="RD185" s="26"/>
      <c r="RE185" s="26"/>
      <c r="RF185" s="26"/>
      <c r="RG185" s="26"/>
      <c r="RH185" s="26"/>
      <c r="RI185" s="26"/>
      <c r="RJ185" s="26"/>
      <c r="RK185" s="26"/>
      <c r="RL185" s="26"/>
      <c r="RM185" s="26"/>
      <c r="RN185" s="26"/>
      <c r="RO185" s="26"/>
      <c r="RP185" s="26"/>
      <c r="RQ185" s="26"/>
      <c r="RR185" s="26"/>
      <c r="RS185" s="26"/>
      <c r="RT185" s="26"/>
      <c r="RU185" s="26"/>
      <c r="RV185" s="26"/>
      <c r="RW185" s="26"/>
      <c r="RX185" s="26"/>
      <c r="RY185" s="26"/>
      <c r="RZ185" s="26"/>
      <c r="SA185" s="26"/>
      <c r="SB185" s="26"/>
      <c r="SC185" s="26"/>
      <c r="SD185" s="26"/>
      <c r="SE185" s="26"/>
      <c r="SF185" s="26"/>
      <c r="SG185" s="26"/>
      <c r="SH185" s="26"/>
      <c r="SI185" s="26"/>
      <c r="SJ185" s="26"/>
      <c r="SK185" s="26"/>
      <c r="SL185" s="26"/>
      <c r="SM185" s="26"/>
      <c r="SN185" s="26"/>
      <c r="SO185" s="26"/>
      <c r="SP185" s="26"/>
      <c r="SQ185" s="26"/>
      <c r="SR185" s="26"/>
      <c r="SS185" s="26"/>
      <c r="ST185" s="26"/>
      <c r="SU185" s="26"/>
      <c r="SV185" s="26"/>
      <c r="SW185" s="26"/>
      <c r="SX185" s="26"/>
      <c r="SY185" s="26"/>
      <c r="SZ185" s="26"/>
      <c r="TA185" s="26"/>
      <c r="TB185" s="26"/>
      <c r="TC185" s="26"/>
      <c r="TD185" s="26"/>
      <c r="TE185" s="26"/>
      <c r="TF185" s="26"/>
      <c r="TG185" s="26"/>
      <c r="TH185" s="26"/>
      <c r="TI185" s="26"/>
    </row>
    <row r="186" spans="1:529" s="31" customFormat="1" ht="37.5" customHeight="1" x14ac:dyDescent="0.2">
      <c r="A186" s="76" t="s">
        <v>250</v>
      </c>
      <c r="B186" s="74"/>
      <c r="C186" s="74"/>
      <c r="D186" s="30" t="s">
        <v>52</v>
      </c>
      <c r="E186" s="66">
        <f>E187</f>
        <v>20393000</v>
      </c>
      <c r="F186" s="66">
        <f t="shared" ref="F186:J186" si="109">F187</f>
        <v>19775000</v>
      </c>
      <c r="G186" s="66">
        <f t="shared" si="109"/>
        <v>13931300</v>
      </c>
      <c r="H186" s="66">
        <f t="shared" si="109"/>
        <v>314600</v>
      </c>
      <c r="I186" s="66">
        <f t="shared" si="109"/>
        <v>618000</v>
      </c>
      <c r="J186" s="66">
        <f t="shared" si="109"/>
        <v>100000</v>
      </c>
      <c r="K186" s="66">
        <f t="shared" ref="K186" si="110">K187</f>
        <v>100000</v>
      </c>
      <c r="L186" s="66">
        <f t="shared" ref="L186" si="111">L187</f>
        <v>0</v>
      </c>
      <c r="M186" s="66">
        <f t="shared" ref="M186" si="112">M187</f>
        <v>0</v>
      </c>
      <c r="N186" s="66">
        <f t="shared" ref="N186" si="113">N187</f>
        <v>0</v>
      </c>
      <c r="O186" s="66">
        <f t="shared" ref="O186" si="114">O187</f>
        <v>100000</v>
      </c>
      <c r="P186" s="66">
        <f>P187</f>
        <v>20493000</v>
      </c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8"/>
      <c r="GE186" s="38"/>
      <c r="GF186" s="38"/>
      <c r="GG186" s="38"/>
      <c r="GH186" s="38"/>
      <c r="GI186" s="38"/>
      <c r="GJ186" s="38"/>
      <c r="GK186" s="38"/>
      <c r="GL186" s="38"/>
      <c r="GM186" s="38"/>
      <c r="GN186" s="38"/>
      <c r="GO186" s="38"/>
      <c r="GP186" s="38"/>
      <c r="GQ186" s="38"/>
      <c r="GR186" s="38"/>
      <c r="GS186" s="38"/>
      <c r="GT186" s="38"/>
      <c r="GU186" s="38"/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  <c r="HI186" s="38"/>
      <c r="HJ186" s="38"/>
      <c r="HK186" s="38"/>
      <c r="HL186" s="38"/>
      <c r="HM186" s="38"/>
      <c r="HN186" s="38"/>
      <c r="HO186" s="38"/>
      <c r="HP186" s="38"/>
      <c r="HQ186" s="38"/>
      <c r="HR186" s="38"/>
      <c r="HS186" s="38"/>
      <c r="HT186" s="38"/>
      <c r="HU186" s="38"/>
      <c r="HV186" s="38"/>
      <c r="HW186" s="38"/>
      <c r="HX186" s="38"/>
      <c r="HY186" s="38"/>
      <c r="HZ186" s="38"/>
      <c r="IA186" s="38"/>
      <c r="IB186" s="38"/>
      <c r="IC186" s="38"/>
      <c r="ID186" s="38"/>
      <c r="IE186" s="38"/>
      <c r="IF186" s="38"/>
      <c r="IG186" s="38"/>
      <c r="IH186" s="38"/>
      <c r="II186" s="38"/>
      <c r="IJ186" s="38"/>
      <c r="IK186" s="38"/>
      <c r="IL186" s="38"/>
      <c r="IM186" s="38"/>
      <c r="IN186" s="38"/>
      <c r="IO186" s="38"/>
      <c r="IP186" s="38"/>
      <c r="IQ186" s="38"/>
      <c r="IR186" s="38"/>
      <c r="IS186" s="38"/>
      <c r="IT186" s="38"/>
      <c r="IU186" s="38"/>
      <c r="IV186" s="38"/>
      <c r="IW186" s="38"/>
      <c r="IX186" s="38"/>
      <c r="IY186" s="38"/>
      <c r="IZ186" s="38"/>
      <c r="JA186" s="38"/>
      <c r="JB186" s="38"/>
      <c r="JC186" s="38"/>
      <c r="JD186" s="38"/>
      <c r="JE186" s="38"/>
      <c r="JF186" s="38"/>
      <c r="JG186" s="38"/>
      <c r="JH186" s="38"/>
      <c r="JI186" s="38"/>
      <c r="JJ186" s="38"/>
      <c r="JK186" s="38"/>
      <c r="JL186" s="38"/>
      <c r="JM186" s="38"/>
      <c r="JN186" s="38"/>
      <c r="JO186" s="38"/>
      <c r="JP186" s="38"/>
      <c r="JQ186" s="38"/>
      <c r="JR186" s="38"/>
      <c r="JS186" s="38"/>
      <c r="JT186" s="38"/>
      <c r="JU186" s="38"/>
      <c r="JV186" s="38"/>
      <c r="JW186" s="38"/>
      <c r="JX186" s="38"/>
      <c r="JY186" s="38"/>
      <c r="JZ186" s="38"/>
      <c r="KA186" s="38"/>
      <c r="KB186" s="38"/>
      <c r="KC186" s="38"/>
      <c r="KD186" s="38"/>
      <c r="KE186" s="38"/>
      <c r="KF186" s="38"/>
      <c r="KG186" s="38"/>
      <c r="KH186" s="38"/>
      <c r="KI186" s="38"/>
      <c r="KJ186" s="38"/>
      <c r="KK186" s="38"/>
      <c r="KL186" s="38"/>
      <c r="KM186" s="38"/>
      <c r="KN186" s="38"/>
      <c r="KO186" s="38"/>
      <c r="KP186" s="38"/>
      <c r="KQ186" s="38"/>
      <c r="KR186" s="38"/>
      <c r="KS186" s="38"/>
      <c r="KT186" s="38"/>
      <c r="KU186" s="38"/>
      <c r="KV186" s="38"/>
      <c r="KW186" s="38"/>
      <c r="KX186" s="38"/>
      <c r="KY186" s="38"/>
      <c r="KZ186" s="38"/>
      <c r="LA186" s="38"/>
      <c r="LB186" s="38"/>
      <c r="LC186" s="38"/>
      <c r="LD186" s="38"/>
      <c r="LE186" s="38"/>
      <c r="LF186" s="38"/>
      <c r="LG186" s="38"/>
      <c r="LH186" s="38"/>
      <c r="LI186" s="38"/>
      <c r="LJ186" s="38"/>
      <c r="LK186" s="38"/>
      <c r="LL186" s="38"/>
      <c r="LM186" s="38"/>
      <c r="LN186" s="38"/>
      <c r="LO186" s="38"/>
      <c r="LP186" s="38"/>
      <c r="LQ186" s="38"/>
      <c r="LR186" s="38"/>
      <c r="LS186" s="38"/>
      <c r="LT186" s="38"/>
      <c r="LU186" s="38"/>
      <c r="LV186" s="38"/>
      <c r="LW186" s="38"/>
      <c r="LX186" s="38"/>
      <c r="LY186" s="38"/>
      <c r="LZ186" s="38"/>
      <c r="MA186" s="38"/>
      <c r="MB186" s="38"/>
      <c r="MC186" s="38"/>
      <c r="MD186" s="38"/>
      <c r="ME186" s="38"/>
      <c r="MF186" s="38"/>
      <c r="MG186" s="38"/>
      <c r="MH186" s="38"/>
      <c r="MI186" s="38"/>
      <c r="MJ186" s="38"/>
      <c r="MK186" s="38"/>
      <c r="ML186" s="38"/>
      <c r="MM186" s="38"/>
      <c r="MN186" s="38"/>
      <c r="MO186" s="38"/>
      <c r="MP186" s="38"/>
      <c r="MQ186" s="38"/>
      <c r="MR186" s="38"/>
      <c r="MS186" s="38"/>
      <c r="MT186" s="38"/>
      <c r="MU186" s="38"/>
      <c r="MV186" s="38"/>
      <c r="MW186" s="38"/>
      <c r="MX186" s="38"/>
      <c r="MY186" s="38"/>
      <c r="MZ186" s="38"/>
      <c r="NA186" s="38"/>
      <c r="NB186" s="38"/>
      <c r="NC186" s="38"/>
      <c r="ND186" s="38"/>
      <c r="NE186" s="38"/>
      <c r="NF186" s="38"/>
      <c r="NG186" s="38"/>
      <c r="NH186" s="38"/>
      <c r="NI186" s="38"/>
      <c r="NJ186" s="38"/>
      <c r="NK186" s="38"/>
      <c r="NL186" s="38"/>
      <c r="NM186" s="38"/>
      <c r="NN186" s="38"/>
      <c r="NO186" s="38"/>
      <c r="NP186" s="38"/>
      <c r="NQ186" s="38"/>
      <c r="NR186" s="38"/>
      <c r="NS186" s="38"/>
      <c r="NT186" s="38"/>
      <c r="NU186" s="38"/>
      <c r="NV186" s="38"/>
      <c r="NW186" s="38"/>
      <c r="NX186" s="38"/>
      <c r="NY186" s="38"/>
      <c r="NZ186" s="38"/>
      <c r="OA186" s="38"/>
      <c r="OB186" s="38"/>
      <c r="OC186" s="38"/>
      <c r="OD186" s="38"/>
      <c r="OE186" s="38"/>
      <c r="OF186" s="38"/>
      <c r="OG186" s="38"/>
      <c r="OH186" s="38"/>
      <c r="OI186" s="38"/>
      <c r="OJ186" s="38"/>
      <c r="OK186" s="38"/>
      <c r="OL186" s="38"/>
      <c r="OM186" s="38"/>
      <c r="ON186" s="38"/>
      <c r="OO186" s="38"/>
      <c r="OP186" s="38"/>
      <c r="OQ186" s="38"/>
      <c r="OR186" s="38"/>
      <c r="OS186" s="38"/>
      <c r="OT186" s="38"/>
      <c r="OU186" s="38"/>
      <c r="OV186" s="38"/>
      <c r="OW186" s="38"/>
      <c r="OX186" s="38"/>
      <c r="OY186" s="38"/>
      <c r="OZ186" s="38"/>
      <c r="PA186" s="38"/>
      <c r="PB186" s="38"/>
      <c r="PC186" s="38"/>
      <c r="PD186" s="38"/>
      <c r="PE186" s="38"/>
      <c r="PF186" s="38"/>
      <c r="PG186" s="38"/>
      <c r="PH186" s="38"/>
      <c r="PI186" s="38"/>
      <c r="PJ186" s="38"/>
      <c r="PK186" s="38"/>
      <c r="PL186" s="38"/>
      <c r="PM186" s="38"/>
      <c r="PN186" s="38"/>
      <c r="PO186" s="38"/>
      <c r="PP186" s="38"/>
      <c r="PQ186" s="38"/>
      <c r="PR186" s="38"/>
      <c r="PS186" s="38"/>
      <c r="PT186" s="38"/>
      <c r="PU186" s="38"/>
      <c r="PV186" s="38"/>
      <c r="PW186" s="38"/>
      <c r="PX186" s="38"/>
      <c r="PY186" s="38"/>
      <c r="PZ186" s="38"/>
      <c r="QA186" s="38"/>
      <c r="QB186" s="38"/>
      <c r="QC186" s="38"/>
      <c r="QD186" s="38"/>
      <c r="QE186" s="38"/>
      <c r="QF186" s="38"/>
      <c r="QG186" s="38"/>
      <c r="QH186" s="38"/>
      <c r="QI186" s="38"/>
      <c r="QJ186" s="38"/>
      <c r="QK186" s="38"/>
      <c r="QL186" s="38"/>
      <c r="QM186" s="38"/>
      <c r="QN186" s="38"/>
      <c r="QO186" s="38"/>
      <c r="QP186" s="38"/>
      <c r="QQ186" s="38"/>
      <c r="QR186" s="38"/>
      <c r="QS186" s="38"/>
      <c r="QT186" s="38"/>
      <c r="QU186" s="38"/>
      <c r="QV186" s="38"/>
      <c r="QW186" s="38"/>
      <c r="QX186" s="38"/>
      <c r="QY186" s="38"/>
      <c r="QZ186" s="38"/>
      <c r="RA186" s="38"/>
      <c r="RB186" s="38"/>
      <c r="RC186" s="38"/>
      <c r="RD186" s="38"/>
      <c r="RE186" s="38"/>
      <c r="RF186" s="38"/>
      <c r="RG186" s="38"/>
      <c r="RH186" s="38"/>
      <c r="RI186" s="38"/>
      <c r="RJ186" s="38"/>
      <c r="RK186" s="38"/>
      <c r="RL186" s="38"/>
      <c r="RM186" s="38"/>
      <c r="RN186" s="38"/>
      <c r="RO186" s="38"/>
      <c r="RP186" s="38"/>
      <c r="RQ186" s="38"/>
      <c r="RR186" s="38"/>
      <c r="RS186" s="38"/>
      <c r="RT186" s="38"/>
      <c r="RU186" s="38"/>
      <c r="RV186" s="38"/>
      <c r="RW186" s="38"/>
      <c r="RX186" s="38"/>
      <c r="RY186" s="38"/>
      <c r="RZ186" s="38"/>
      <c r="SA186" s="38"/>
      <c r="SB186" s="38"/>
      <c r="SC186" s="38"/>
      <c r="SD186" s="38"/>
      <c r="SE186" s="38"/>
      <c r="SF186" s="38"/>
      <c r="SG186" s="38"/>
      <c r="SH186" s="38"/>
      <c r="SI186" s="38"/>
      <c r="SJ186" s="38"/>
      <c r="SK186" s="38"/>
      <c r="SL186" s="38"/>
      <c r="SM186" s="38"/>
      <c r="SN186" s="38"/>
      <c r="SO186" s="38"/>
      <c r="SP186" s="38"/>
      <c r="SQ186" s="38"/>
      <c r="SR186" s="38"/>
      <c r="SS186" s="38"/>
      <c r="ST186" s="38"/>
      <c r="SU186" s="38"/>
      <c r="SV186" s="38"/>
      <c r="SW186" s="38"/>
      <c r="SX186" s="38"/>
      <c r="SY186" s="38"/>
      <c r="SZ186" s="38"/>
      <c r="TA186" s="38"/>
      <c r="TB186" s="38"/>
      <c r="TC186" s="38"/>
      <c r="TD186" s="38"/>
      <c r="TE186" s="38"/>
      <c r="TF186" s="38"/>
      <c r="TG186" s="38"/>
      <c r="TH186" s="38"/>
      <c r="TI186" s="38"/>
    </row>
    <row r="187" spans="1:529" s="40" customFormat="1" ht="37.5" customHeight="1" x14ac:dyDescent="0.25">
      <c r="A187" s="77" t="s">
        <v>251</v>
      </c>
      <c r="B187" s="75"/>
      <c r="C187" s="75"/>
      <c r="D187" s="33" t="s">
        <v>52</v>
      </c>
      <c r="E187" s="68">
        <f>E188+E189++E190+E191+E192+E193</f>
        <v>20393000</v>
      </c>
      <c r="F187" s="68">
        <f t="shared" ref="F187:P187" si="115">F188+F189++F190+F191+F192+F193</f>
        <v>19775000</v>
      </c>
      <c r="G187" s="68">
        <f t="shared" si="115"/>
        <v>13931300</v>
      </c>
      <c r="H187" s="68">
        <f t="shared" si="115"/>
        <v>314600</v>
      </c>
      <c r="I187" s="68">
        <f t="shared" si="115"/>
        <v>618000</v>
      </c>
      <c r="J187" s="68">
        <f t="shared" si="115"/>
        <v>100000</v>
      </c>
      <c r="K187" s="68">
        <f>K188+K189++K190+K191+K192+K193</f>
        <v>100000</v>
      </c>
      <c r="L187" s="68">
        <f t="shared" si="115"/>
        <v>0</v>
      </c>
      <c r="M187" s="68">
        <f t="shared" si="115"/>
        <v>0</v>
      </c>
      <c r="N187" s="68">
        <f t="shared" si="115"/>
        <v>0</v>
      </c>
      <c r="O187" s="68">
        <f t="shared" si="115"/>
        <v>100000</v>
      </c>
      <c r="P187" s="68">
        <f t="shared" si="115"/>
        <v>20493000</v>
      </c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/>
      <c r="IO187" s="39"/>
      <c r="IP187" s="39"/>
      <c r="IQ187" s="39"/>
      <c r="IR187" s="39"/>
      <c r="IS187" s="39"/>
      <c r="IT187" s="39"/>
      <c r="IU187" s="39"/>
      <c r="IV187" s="39"/>
      <c r="IW187" s="39"/>
      <c r="IX187" s="39"/>
      <c r="IY187" s="39"/>
      <c r="IZ187" s="39"/>
      <c r="JA187" s="39"/>
      <c r="JB187" s="39"/>
      <c r="JC187" s="39"/>
      <c r="JD187" s="39"/>
      <c r="JE187" s="39"/>
      <c r="JF187" s="39"/>
      <c r="JG187" s="39"/>
      <c r="JH187" s="39"/>
      <c r="JI187" s="39"/>
      <c r="JJ187" s="39"/>
      <c r="JK187" s="39"/>
      <c r="JL187" s="39"/>
      <c r="JM187" s="39"/>
      <c r="JN187" s="39"/>
      <c r="JO187" s="39"/>
      <c r="JP187" s="39"/>
      <c r="JQ187" s="39"/>
      <c r="JR187" s="39"/>
      <c r="JS187" s="39"/>
      <c r="JT187" s="39"/>
      <c r="JU187" s="39"/>
      <c r="JV187" s="39"/>
      <c r="JW187" s="39"/>
      <c r="JX187" s="39"/>
      <c r="JY187" s="39"/>
      <c r="JZ187" s="39"/>
      <c r="KA187" s="39"/>
      <c r="KB187" s="39"/>
      <c r="KC187" s="39"/>
      <c r="KD187" s="39"/>
      <c r="KE187" s="39"/>
      <c r="KF187" s="39"/>
      <c r="KG187" s="39"/>
      <c r="KH187" s="39"/>
      <c r="KI187" s="39"/>
      <c r="KJ187" s="39"/>
      <c r="KK187" s="39"/>
      <c r="KL187" s="39"/>
      <c r="KM187" s="39"/>
      <c r="KN187" s="39"/>
      <c r="KO187" s="39"/>
      <c r="KP187" s="39"/>
      <c r="KQ187" s="39"/>
      <c r="KR187" s="39"/>
      <c r="KS187" s="39"/>
      <c r="KT187" s="39"/>
      <c r="KU187" s="39"/>
      <c r="KV187" s="39"/>
      <c r="KW187" s="39"/>
      <c r="KX187" s="39"/>
      <c r="KY187" s="39"/>
      <c r="KZ187" s="39"/>
      <c r="LA187" s="39"/>
      <c r="LB187" s="39"/>
      <c r="LC187" s="39"/>
      <c r="LD187" s="39"/>
      <c r="LE187" s="39"/>
      <c r="LF187" s="39"/>
      <c r="LG187" s="39"/>
      <c r="LH187" s="39"/>
      <c r="LI187" s="39"/>
      <c r="LJ187" s="39"/>
      <c r="LK187" s="39"/>
      <c r="LL187" s="39"/>
      <c r="LM187" s="39"/>
      <c r="LN187" s="39"/>
      <c r="LO187" s="39"/>
      <c r="LP187" s="39"/>
      <c r="LQ187" s="39"/>
      <c r="LR187" s="39"/>
      <c r="LS187" s="39"/>
      <c r="LT187" s="39"/>
      <c r="LU187" s="39"/>
      <c r="LV187" s="39"/>
      <c r="LW187" s="39"/>
      <c r="LX187" s="39"/>
      <c r="LY187" s="39"/>
      <c r="LZ187" s="39"/>
      <c r="MA187" s="39"/>
      <c r="MB187" s="39"/>
      <c r="MC187" s="39"/>
      <c r="MD187" s="39"/>
      <c r="ME187" s="39"/>
      <c r="MF187" s="39"/>
      <c r="MG187" s="39"/>
      <c r="MH187" s="39"/>
      <c r="MI187" s="39"/>
      <c r="MJ187" s="39"/>
      <c r="MK187" s="39"/>
      <c r="ML187" s="39"/>
      <c r="MM187" s="39"/>
      <c r="MN187" s="39"/>
      <c r="MO187" s="39"/>
      <c r="MP187" s="39"/>
      <c r="MQ187" s="39"/>
      <c r="MR187" s="39"/>
      <c r="MS187" s="39"/>
      <c r="MT187" s="39"/>
      <c r="MU187" s="39"/>
      <c r="MV187" s="39"/>
      <c r="MW187" s="39"/>
      <c r="MX187" s="39"/>
      <c r="MY187" s="39"/>
      <c r="MZ187" s="39"/>
      <c r="NA187" s="39"/>
      <c r="NB187" s="39"/>
      <c r="NC187" s="39"/>
      <c r="ND187" s="39"/>
      <c r="NE187" s="39"/>
      <c r="NF187" s="39"/>
      <c r="NG187" s="39"/>
      <c r="NH187" s="39"/>
      <c r="NI187" s="39"/>
      <c r="NJ187" s="39"/>
      <c r="NK187" s="39"/>
      <c r="NL187" s="39"/>
      <c r="NM187" s="39"/>
      <c r="NN187" s="39"/>
      <c r="NO187" s="39"/>
      <c r="NP187" s="39"/>
      <c r="NQ187" s="39"/>
      <c r="NR187" s="39"/>
      <c r="NS187" s="39"/>
      <c r="NT187" s="39"/>
      <c r="NU187" s="39"/>
      <c r="NV187" s="39"/>
      <c r="NW187" s="39"/>
      <c r="NX187" s="39"/>
      <c r="NY187" s="39"/>
      <c r="NZ187" s="39"/>
      <c r="OA187" s="39"/>
      <c r="OB187" s="39"/>
      <c r="OC187" s="39"/>
      <c r="OD187" s="39"/>
      <c r="OE187" s="39"/>
      <c r="OF187" s="39"/>
      <c r="OG187" s="39"/>
      <c r="OH187" s="39"/>
      <c r="OI187" s="39"/>
      <c r="OJ187" s="39"/>
      <c r="OK187" s="39"/>
      <c r="OL187" s="39"/>
      <c r="OM187" s="39"/>
      <c r="ON187" s="39"/>
      <c r="OO187" s="39"/>
      <c r="OP187" s="39"/>
      <c r="OQ187" s="39"/>
      <c r="OR187" s="39"/>
      <c r="OS187" s="39"/>
      <c r="OT187" s="39"/>
      <c r="OU187" s="39"/>
      <c r="OV187" s="39"/>
      <c r="OW187" s="39"/>
      <c r="OX187" s="39"/>
      <c r="OY187" s="39"/>
      <c r="OZ187" s="39"/>
      <c r="PA187" s="39"/>
      <c r="PB187" s="39"/>
      <c r="PC187" s="39"/>
      <c r="PD187" s="39"/>
      <c r="PE187" s="39"/>
      <c r="PF187" s="39"/>
      <c r="PG187" s="39"/>
      <c r="PH187" s="39"/>
      <c r="PI187" s="39"/>
      <c r="PJ187" s="39"/>
      <c r="PK187" s="39"/>
      <c r="PL187" s="39"/>
      <c r="PM187" s="39"/>
      <c r="PN187" s="39"/>
      <c r="PO187" s="39"/>
      <c r="PP187" s="39"/>
      <c r="PQ187" s="39"/>
      <c r="PR187" s="39"/>
      <c r="PS187" s="39"/>
      <c r="PT187" s="39"/>
      <c r="PU187" s="39"/>
      <c r="PV187" s="39"/>
      <c r="PW187" s="39"/>
      <c r="PX187" s="39"/>
      <c r="PY187" s="39"/>
      <c r="PZ187" s="39"/>
      <c r="QA187" s="39"/>
      <c r="QB187" s="39"/>
      <c r="QC187" s="39"/>
      <c r="QD187" s="39"/>
      <c r="QE187" s="39"/>
      <c r="QF187" s="39"/>
      <c r="QG187" s="39"/>
      <c r="QH187" s="39"/>
      <c r="QI187" s="39"/>
      <c r="QJ187" s="39"/>
      <c r="QK187" s="39"/>
      <c r="QL187" s="39"/>
      <c r="QM187" s="39"/>
      <c r="QN187" s="39"/>
      <c r="QO187" s="39"/>
      <c r="QP187" s="39"/>
      <c r="QQ187" s="39"/>
      <c r="QR187" s="39"/>
      <c r="QS187" s="39"/>
      <c r="QT187" s="39"/>
      <c r="QU187" s="39"/>
      <c r="QV187" s="39"/>
      <c r="QW187" s="39"/>
      <c r="QX187" s="39"/>
      <c r="QY187" s="39"/>
      <c r="QZ187" s="39"/>
      <c r="RA187" s="39"/>
      <c r="RB187" s="39"/>
      <c r="RC187" s="39"/>
      <c r="RD187" s="39"/>
      <c r="RE187" s="39"/>
      <c r="RF187" s="39"/>
      <c r="RG187" s="39"/>
      <c r="RH187" s="39"/>
      <c r="RI187" s="39"/>
      <c r="RJ187" s="39"/>
      <c r="RK187" s="39"/>
      <c r="RL187" s="39"/>
      <c r="RM187" s="39"/>
      <c r="RN187" s="39"/>
      <c r="RO187" s="39"/>
      <c r="RP187" s="39"/>
      <c r="RQ187" s="39"/>
      <c r="RR187" s="39"/>
      <c r="RS187" s="39"/>
      <c r="RT187" s="39"/>
      <c r="RU187" s="39"/>
      <c r="RV187" s="39"/>
      <c r="RW187" s="39"/>
      <c r="RX187" s="39"/>
      <c r="RY187" s="39"/>
      <c r="RZ187" s="39"/>
      <c r="SA187" s="39"/>
      <c r="SB187" s="39"/>
      <c r="SC187" s="39"/>
      <c r="SD187" s="39"/>
      <c r="SE187" s="39"/>
      <c r="SF187" s="39"/>
      <c r="SG187" s="39"/>
      <c r="SH187" s="39"/>
      <c r="SI187" s="39"/>
      <c r="SJ187" s="39"/>
      <c r="SK187" s="39"/>
      <c r="SL187" s="39"/>
      <c r="SM187" s="39"/>
      <c r="SN187" s="39"/>
      <c r="SO187" s="39"/>
      <c r="SP187" s="39"/>
      <c r="SQ187" s="39"/>
      <c r="SR187" s="39"/>
      <c r="SS187" s="39"/>
      <c r="ST187" s="39"/>
      <c r="SU187" s="39"/>
      <c r="SV187" s="39"/>
      <c r="SW187" s="39"/>
      <c r="SX187" s="39"/>
      <c r="SY187" s="39"/>
      <c r="SZ187" s="39"/>
      <c r="TA187" s="39"/>
      <c r="TB187" s="39"/>
      <c r="TC187" s="39"/>
      <c r="TD187" s="39"/>
      <c r="TE187" s="39"/>
      <c r="TF187" s="39"/>
      <c r="TG187" s="39"/>
      <c r="TH187" s="39"/>
      <c r="TI187" s="39"/>
    </row>
    <row r="188" spans="1:529" s="23" customFormat="1" ht="47.25" customHeight="1" x14ac:dyDescent="0.25">
      <c r="A188" s="43" t="s">
        <v>252</v>
      </c>
      <c r="B188" s="44" t="str">
        <f>'дод 3'!A20</f>
        <v>0160</v>
      </c>
      <c r="C188" s="44" t="str">
        <f>'дод 3'!B20</f>
        <v>0111</v>
      </c>
      <c r="D188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8" s="69">
        <f t="shared" ref="E188:E193" si="116">F188+I188</f>
        <v>17983000</v>
      </c>
      <c r="F188" s="69">
        <f>18803900+108500-929400</f>
        <v>17983000</v>
      </c>
      <c r="G188" s="69">
        <f>14693100-761800</f>
        <v>13931300</v>
      </c>
      <c r="H188" s="69">
        <v>314600</v>
      </c>
      <c r="I188" s="69"/>
      <c r="J188" s="69">
        <f>L188+O188</f>
        <v>25000</v>
      </c>
      <c r="K188" s="69">
        <v>25000</v>
      </c>
      <c r="L188" s="69"/>
      <c r="M188" s="69"/>
      <c r="N188" s="69"/>
      <c r="O188" s="69">
        <v>25000</v>
      </c>
      <c r="P188" s="69">
        <f t="shared" ref="P188:P193" si="117">E188+J188</f>
        <v>18008000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  <c r="MA188" s="26"/>
      <c r="MB188" s="26"/>
      <c r="MC188" s="26"/>
      <c r="MD188" s="26"/>
      <c r="ME188" s="26"/>
      <c r="MF188" s="26"/>
      <c r="MG188" s="26"/>
      <c r="MH188" s="26"/>
      <c r="MI188" s="26"/>
      <c r="MJ188" s="26"/>
      <c r="MK188" s="26"/>
      <c r="ML188" s="26"/>
      <c r="MM188" s="26"/>
      <c r="MN188" s="26"/>
      <c r="MO188" s="26"/>
      <c r="MP188" s="26"/>
      <c r="MQ188" s="26"/>
      <c r="MR188" s="26"/>
      <c r="MS188" s="26"/>
      <c r="MT188" s="26"/>
      <c r="MU188" s="26"/>
      <c r="MV188" s="26"/>
      <c r="MW188" s="26"/>
      <c r="MX188" s="26"/>
      <c r="MY188" s="26"/>
      <c r="MZ188" s="26"/>
      <c r="NA188" s="26"/>
      <c r="NB188" s="26"/>
      <c r="NC188" s="26"/>
      <c r="ND188" s="26"/>
      <c r="NE188" s="26"/>
      <c r="NF188" s="26"/>
      <c r="NG188" s="26"/>
      <c r="NH188" s="26"/>
      <c r="NI188" s="26"/>
      <c r="NJ188" s="26"/>
      <c r="NK188" s="26"/>
      <c r="NL188" s="26"/>
      <c r="NM188" s="26"/>
      <c r="NN188" s="26"/>
      <c r="NO188" s="26"/>
      <c r="NP188" s="26"/>
      <c r="NQ188" s="26"/>
      <c r="NR188" s="26"/>
      <c r="NS188" s="26"/>
      <c r="NT188" s="26"/>
      <c r="NU188" s="26"/>
      <c r="NV188" s="26"/>
      <c r="NW188" s="26"/>
      <c r="NX188" s="26"/>
      <c r="NY188" s="26"/>
      <c r="NZ188" s="26"/>
      <c r="OA188" s="26"/>
      <c r="OB188" s="26"/>
      <c r="OC188" s="26"/>
      <c r="OD188" s="26"/>
      <c r="OE188" s="26"/>
      <c r="OF188" s="26"/>
      <c r="OG188" s="26"/>
      <c r="OH188" s="26"/>
      <c r="OI188" s="26"/>
      <c r="OJ188" s="26"/>
      <c r="OK188" s="26"/>
      <c r="OL188" s="26"/>
      <c r="OM188" s="26"/>
      <c r="ON188" s="26"/>
      <c r="OO188" s="26"/>
      <c r="OP188" s="26"/>
      <c r="OQ188" s="26"/>
      <c r="OR188" s="26"/>
      <c r="OS188" s="26"/>
      <c r="OT188" s="26"/>
      <c r="OU188" s="26"/>
      <c r="OV188" s="26"/>
      <c r="OW188" s="26"/>
      <c r="OX188" s="26"/>
      <c r="OY188" s="26"/>
      <c r="OZ188" s="26"/>
      <c r="PA188" s="26"/>
      <c r="PB188" s="26"/>
      <c r="PC188" s="26"/>
      <c r="PD188" s="26"/>
      <c r="PE188" s="26"/>
      <c r="PF188" s="26"/>
      <c r="PG188" s="26"/>
      <c r="PH188" s="26"/>
      <c r="PI188" s="26"/>
      <c r="PJ188" s="26"/>
      <c r="PK188" s="26"/>
      <c r="PL188" s="26"/>
      <c r="PM188" s="26"/>
      <c r="PN188" s="26"/>
      <c r="PO188" s="26"/>
      <c r="PP188" s="26"/>
      <c r="PQ188" s="26"/>
      <c r="PR188" s="26"/>
      <c r="PS188" s="26"/>
      <c r="PT188" s="26"/>
      <c r="PU188" s="26"/>
      <c r="PV188" s="26"/>
      <c r="PW188" s="26"/>
      <c r="PX188" s="26"/>
      <c r="PY188" s="26"/>
      <c r="PZ188" s="26"/>
      <c r="QA188" s="26"/>
      <c r="QB188" s="26"/>
      <c r="QC188" s="26"/>
      <c r="QD188" s="26"/>
      <c r="QE188" s="26"/>
      <c r="QF188" s="26"/>
      <c r="QG188" s="26"/>
      <c r="QH188" s="26"/>
      <c r="QI188" s="26"/>
      <c r="QJ188" s="26"/>
      <c r="QK188" s="26"/>
      <c r="QL188" s="26"/>
      <c r="QM188" s="26"/>
      <c r="QN188" s="26"/>
      <c r="QO188" s="26"/>
      <c r="QP188" s="26"/>
      <c r="QQ188" s="26"/>
      <c r="QR188" s="26"/>
      <c r="QS188" s="26"/>
      <c r="QT188" s="26"/>
      <c r="QU188" s="26"/>
      <c r="QV188" s="26"/>
      <c r="QW188" s="26"/>
      <c r="QX188" s="26"/>
      <c r="QY188" s="26"/>
      <c r="QZ188" s="26"/>
      <c r="RA188" s="26"/>
      <c r="RB188" s="26"/>
      <c r="RC188" s="26"/>
      <c r="RD188" s="26"/>
      <c r="RE188" s="26"/>
      <c r="RF188" s="26"/>
      <c r="RG188" s="26"/>
      <c r="RH188" s="26"/>
      <c r="RI188" s="26"/>
      <c r="RJ188" s="26"/>
      <c r="RK188" s="26"/>
      <c r="RL188" s="26"/>
      <c r="RM188" s="26"/>
      <c r="RN188" s="26"/>
      <c r="RO188" s="26"/>
      <c r="RP188" s="26"/>
      <c r="RQ188" s="26"/>
      <c r="RR188" s="26"/>
      <c r="RS188" s="26"/>
      <c r="RT188" s="26"/>
      <c r="RU188" s="26"/>
      <c r="RV188" s="26"/>
      <c r="RW188" s="26"/>
      <c r="RX188" s="26"/>
      <c r="RY188" s="26"/>
      <c r="RZ188" s="26"/>
      <c r="SA188" s="26"/>
      <c r="SB188" s="26"/>
      <c r="SC188" s="26"/>
      <c r="SD188" s="26"/>
      <c r="SE188" s="26"/>
      <c r="SF188" s="26"/>
      <c r="SG188" s="26"/>
      <c r="SH188" s="26"/>
      <c r="SI188" s="26"/>
      <c r="SJ188" s="26"/>
      <c r="SK188" s="26"/>
      <c r="SL188" s="26"/>
      <c r="SM188" s="26"/>
      <c r="SN188" s="26"/>
      <c r="SO188" s="26"/>
      <c r="SP188" s="26"/>
      <c r="SQ188" s="26"/>
      <c r="SR188" s="26"/>
      <c r="SS188" s="26"/>
      <c r="ST188" s="26"/>
      <c r="SU188" s="26"/>
      <c r="SV188" s="26"/>
      <c r="SW188" s="26"/>
      <c r="SX188" s="26"/>
      <c r="SY188" s="26"/>
      <c r="SZ188" s="26"/>
      <c r="TA188" s="26"/>
      <c r="TB188" s="26"/>
      <c r="TC188" s="26"/>
      <c r="TD188" s="26"/>
      <c r="TE188" s="26"/>
      <c r="TF188" s="26"/>
      <c r="TG188" s="26"/>
      <c r="TH188" s="26"/>
      <c r="TI188" s="26"/>
    </row>
    <row r="189" spans="1:529" s="28" customFormat="1" ht="29.25" customHeight="1" x14ac:dyDescent="0.25">
      <c r="A189" s="43" t="s">
        <v>253</v>
      </c>
      <c r="B189" s="44" t="str">
        <f>'дод 3'!A100</f>
        <v>7130</v>
      </c>
      <c r="C189" s="44" t="str">
        <f>'дод 3'!B100</f>
        <v>0421</v>
      </c>
      <c r="D189" s="24" t="str">
        <f>'дод 3'!C100</f>
        <v>Здійснення заходів із землеустрою</v>
      </c>
      <c r="E189" s="69">
        <f t="shared" si="116"/>
        <v>700000</v>
      </c>
      <c r="F189" s="69">
        <v>700000</v>
      </c>
      <c r="G189" s="69"/>
      <c r="H189" s="69"/>
      <c r="I189" s="69"/>
      <c r="J189" s="69">
        <f t="shared" ref="J189:J193" si="118">L189+O189</f>
        <v>0</v>
      </c>
      <c r="K189" s="69"/>
      <c r="L189" s="69"/>
      <c r="M189" s="69"/>
      <c r="N189" s="69"/>
      <c r="O189" s="69"/>
      <c r="P189" s="69">
        <f t="shared" si="117"/>
        <v>700000</v>
      </c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7"/>
      <c r="GI189" s="37"/>
      <c r="GJ189" s="37"/>
      <c r="GK189" s="37"/>
      <c r="GL189" s="37"/>
      <c r="GM189" s="37"/>
      <c r="GN189" s="37"/>
      <c r="GO189" s="37"/>
      <c r="GP189" s="37"/>
      <c r="GQ189" s="37"/>
      <c r="GR189" s="37"/>
      <c r="GS189" s="37"/>
      <c r="GT189" s="37"/>
      <c r="GU189" s="37"/>
      <c r="GV189" s="37"/>
      <c r="GW189" s="37"/>
      <c r="GX189" s="37"/>
      <c r="GY189" s="37"/>
      <c r="GZ189" s="37"/>
      <c r="HA189" s="37"/>
      <c r="HB189" s="37"/>
      <c r="HC189" s="37"/>
      <c r="HD189" s="37"/>
      <c r="HE189" s="37"/>
      <c r="HF189" s="37"/>
      <c r="HG189" s="37"/>
      <c r="HH189" s="37"/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/>
      <c r="HT189" s="37"/>
      <c r="HU189" s="37"/>
      <c r="HV189" s="37"/>
      <c r="HW189" s="37"/>
      <c r="HX189" s="37"/>
      <c r="HY189" s="37"/>
      <c r="HZ189" s="37"/>
      <c r="IA189" s="37"/>
      <c r="IB189" s="37"/>
      <c r="IC189" s="37"/>
      <c r="ID189" s="37"/>
      <c r="IE189" s="37"/>
      <c r="IF189" s="37"/>
      <c r="IG189" s="37"/>
      <c r="IH189" s="37"/>
      <c r="II189" s="37"/>
      <c r="IJ189" s="37"/>
      <c r="IK189" s="37"/>
      <c r="IL189" s="37"/>
      <c r="IM189" s="37"/>
      <c r="IN189" s="37"/>
      <c r="IO189" s="37"/>
      <c r="IP189" s="37"/>
      <c r="IQ189" s="37"/>
      <c r="IR189" s="37"/>
      <c r="IS189" s="37"/>
      <c r="IT189" s="37"/>
      <c r="IU189" s="37"/>
      <c r="IV189" s="37"/>
      <c r="IW189" s="37"/>
      <c r="IX189" s="37"/>
      <c r="IY189" s="37"/>
      <c r="IZ189" s="37"/>
      <c r="JA189" s="37"/>
      <c r="JB189" s="37"/>
      <c r="JC189" s="37"/>
      <c r="JD189" s="37"/>
      <c r="JE189" s="37"/>
      <c r="JF189" s="37"/>
      <c r="JG189" s="37"/>
      <c r="JH189" s="37"/>
      <c r="JI189" s="37"/>
      <c r="JJ189" s="37"/>
      <c r="JK189" s="37"/>
      <c r="JL189" s="37"/>
      <c r="JM189" s="37"/>
      <c r="JN189" s="37"/>
      <c r="JO189" s="37"/>
      <c r="JP189" s="37"/>
      <c r="JQ189" s="37"/>
      <c r="JR189" s="37"/>
      <c r="JS189" s="37"/>
      <c r="JT189" s="37"/>
      <c r="JU189" s="37"/>
      <c r="JV189" s="37"/>
      <c r="JW189" s="37"/>
      <c r="JX189" s="37"/>
      <c r="JY189" s="37"/>
      <c r="JZ189" s="37"/>
      <c r="KA189" s="37"/>
      <c r="KB189" s="37"/>
      <c r="KC189" s="37"/>
      <c r="KD189" s="37"/>
      <c r="KE189" s="37"/>
      <c r="KF189" s="37"/>
      <c r="KG189" s="37"/>
      <c r="KH189" s="37"/>
      <c r="KI189" s="37"/>
      <c r="KJ189" s="37"/>
      <c r="KK189" s="37"/>
      <c r="KL189" s="37"/>
      <c r="KM189" s="37"/>
      <c r="KN189" s="37"/>
      <c r="KO189" s="37"/>
      <c r="KP189" s="37"/>
      <c r="KQ189" s="37"/>
      <c r="KR189" s="37"/>
      <c r="KS189" s="37"/>
      <c r="KT189" s="37"/>
      <c r="KU189" s="37"/>
      <c r="KV189" s="37"/>
      <c r="KW189" s="37"/>
      <c r="KX189" s="37"/>
      <c r="KY189" s="37"/>
      <c r="KZ189" s="37"/>
      <c r="LA189" s="37"/>
      <c r="LB189" s="37"/>
      <c r="LC189" s="37"/>
      <c r="LD189" s="37"/>
      <c r="LE189" s="37"/>
      <c r="LF189" s="37"/>
      <c r="LG189" s="37"/>
      <c r="LH189" s="37"/>
      <c r="LI189" s="37"/>
      <c r="LJ189" s="37"/>
      <c r="LK189" s="37"/>
      <c r="LL189" s="37"/>
      <c r="LM189" s="37"/>
      <c r="LN189" s="37"/>
      <c r="LO189" s="37"/>
      <c r="LP189" s="37"/>
      <c r="LQ189" s="37"/>
      <c r="LR189" s="37"/>
      <c r="LS189" s="37"/>
      <c r="LT189" s="37"/>
      <c r="LU189" s="37"/>
      <c r="LV189" s="37"/>
      <c r="LW189" s="37"/>
      <c r="LX189" s="37"/>
      <c r="LY189" s="37"/>
      <c r="LZ189" s="37"/>
      <c r="MA189" s="37"/>
      <c r="MB189" s="37"/>
      <c r="MC189" s="37"/>
      <c r="MD189" s="37"/>
      <c r="ME189" s="37"/>
      <c r="MF189" s="37"/>
      <c r="MG189" s="37"/>
      <c r="MH189" s="37"/>
      <c r="MI189" s="37"/>
      <c r="MJ189" s="37"/>
      <c r="MK189" s="37"/>
      <c r="ML189" s="37"/>
      <c r="MM189" s="37"/>
      <c r="MN189" s="37"/>
      <c r="MO189" s="37"/>
      <c r="MP189" s="37"/>
      <c r="MQ189" s="37"/>
      <c r="MR189" s="37"/>
      <c r="MS189" s="37"/>
      <c r="MT189" s="37"/>
      <c r="MU189" s="37"/>
      <c r="MV189" s="37"/>
      <c r="MW189" s="37"/>
      <c r="MX189" s="37"/>
      <c r="MY189" s="37"/>
      <c r="MZ189" s="37"/>
      <c r="NA189" s="37"/>
      <c r="NB189" s="37"/>
      <c r="NC189" s="37"/>
      <c r="ND189" s="37"/>
      <c r="NE189" s="37"/>
      <c r="NF189" s="37"/>
      <c r="NG189" s="37"/>
      <c r="NH189" s="37"/>
      <c r="NI189" s="37"/>
      <c r="NJ189" s="37"/>
      <c r="NK189" s="37"/>
      <c r="NL189" s="37"/>
      <c r="NM189" s="37"/>
      <c r="NN189" s="37"/>
      <c r="NO189" s="37"/>
      <c r="NP189" s="37"/>
      <c r="NQ189" s="37"/>
      <c r="NR189" s="37"/>
      <c r="NS189" s="37"/>
      <c r="NT189" s="37"/>
      <c r="NU189" s="37"/>
      <c r="NV189" s="37"/>
      <c r="NW189" s="37"/>
      <c r="NX189" s="37"/>
      <c r="NY189" s="37"/>
      <c r="NZ189" s="37"/>
      <c r="OA189" s="37"/>
      <c r="OB189" s="37"/>
      <c r="OC189" s="37"/>
      <c r="OD189" s="37"/>
      <c r="OE189" s="37"/>
      <c r="OF189" s="37"/>
      <c r="OG189" s="37"/>
      <c r="OH189" s="37"/>
      <c r="OI189" s="37"/>
      <c r="OJ189" s="37"/>
      <c r="OK189" s="37"/>
      <c r="OL189" s="37"/>
      <c r="OM189" s="37"/>
      <c r="ON189" s="37"/>
      <c r="OO189" s="37"/>
      <c r="OP189" s="37"/>
      <c r="OQ189" s="37"/>
      <c r="OR189" s="37"/>
      <c r="OS189" s="37"/>
      <c r="OT189" s="37"/>
      <c r="OU189" s="37"/>
      <c r="OV189" s="37"/>
      <c r="OW189" s="37"/>
      <c r="OX189" s="37"/>
      <c r="OY189" s="37"/>
      <c r="OZ189" s="37"/>
      <c r="PA189" s="37"/>
      <c r="PB189" s="37"/>
      <c r="PC189" s="37"/>
      <c r="PD189" s="37"/>
      <c r="PE189" s="37"/>
      <c r="PF189" s="37"/>
      <c r="PG189" s="37"/>
      <c r="PH189" s="37"/>
      <c r="PI189" s="37"/>
      <c r="PJ189" s="37"/>
      <c r="PK189" s="37"/>
      <c r="PL189" s="37"/>
      <c r="PM189" s="37"/>
      <c r="PN189" s="37"/>
      <c r="PO189" s="37"/>
      <c r="PP189" s="37"/>
      <c r="PQ189" s="37"/>
      <c r="PR189" s="37"/>
      <c r="PS189" s="37"/>
      <c r="PT189" s="37"/>
      <c r="PU189" s="37"/>
      <c r="PV189" s="37"/>
      <c r="PW189" s="37"/>
      <c r="PX189" s="37"/>
      <c r="PY189" s="37"/>
      <c r="PZ189" s="37"/>
      <c r="QA189" s="37"/>
      <c r="QB189" s="37"/>
      <c r="QC189" s="37"/>
      <c r="QD189" s="37"/>
      <c r="QE189" s="37"/>
      <c r="QF189" s="37"/>
      <c r="QG189" s="37"/>
      <c r="QH189" s="37"/>
      <c r="QI189" s="37"/>
      <c r="QJ189" s="37"/>
      <c r="QK189" s="37"/>
      <c r="QL189" s="37"/>
      <c r="QM189" s="37"/>
      <c r="QN189" s="37"/>
      <c r="QO189" s="37"/>
      <c r="QP189" s="37"/>
      <c r="QQ189" s="37"/>
      <c r="QR189" s="37"/>
      <c r="QS189" s="37"/>
      <c r="QT189" s="37"/>
      <c r="QU189" s="37"/>
      <c r="QV189" s="37"/>
      <c r="QW189" s="37"/>
      <c r="QX189" s="37"/>
      <c r="QY189" s="37"/>
      <c r="QZ189" s="37"/>
      <c r="RA189" s="37"/>
      <c r="RB189" s="37"/>
      <c r="RC189" s="37"/>
      <c r="RD189" s="37"/>
      <c r="RE189" s="37"/>
      <c r="RF189" s="37"/>
      <c r="RG189" s="37"/>
      <c r="RH189" s="37"/>
      <c r="RI189" s="37"/>
      <c r="RJ189" s="37"/>
      <c r="RK189" s="37"/>
      <c r="RL189" s="37"/>
      <c r="RM189" s="37"/>
      <c r="RN189" s="37"/>
      <c r="RO189" s="37"/>
      <c r="RP189" s="37"/>
      <c r="RQ189" s="37"/>
      <c r="RR189" s="37"/>
      <c r="RS189" s="37"/>
      <c r="RT189" s="37"/>
      <c r="RU189" s="37"/>
      <c r="RV189" s="37"/>
      <c r="RW189" s="37"/>
      <c r="RX189" s="37"/>
      <c r="RY189" s="37"/>
      <c r="RZ189" s="37"/>
      <c r="SA189" s="37"/>
      <c r="SB189" s="37"/>
      <c r="SC189" s="37"/>
      <c r="SD189" s="37"/>
      <c r="SE189" s="37"/>
      <c r="SF189" s="37"/>
      <c r="SG189" s="37"/>
      <c r="SH189" s="37"/>
      <c r="SI189" s="37"/>
      <c r="SJ189" s="37"/>
      <c r="SK189" s="37"/>
      <c r="SL189" s="37"/>
      <c r="SM189" s="37"/>
      <c r="SN189" s="37"/>
      <c r="SO189" s="37"/>
      <c r="SP189" s="37"/>
      <c r="SQ189" s="37"/>
      <c r="SR189" s="37"/>
      <c r="SS189" s="37"/>
      <c r="ST189" s="37"/>
      <c r="SU189" s="37"/>
      <c r="SV189" s="37"/>
      <c r="SW189" s="37"/>
      <c r="SX189" s="37"/>
      <c r="SY189" s="37"/>
      <c r="SZ189" s="37"/>
      <c r="TA189" s="37"/>
      <c r="TB189" s="37"/>
      <c r="TC189" s="37"/>
      <c r="TD189" s="37"/>
      <c r="TE189" s="37"/>
      <c r="TF189" s="37"/>
      <c r="TG189" s="37"/>
      <c r="TH189" s="37"/>
      <c r="TI189" s="37"/>
    </row>
    <row r="190" spans="1:529" s="23" customFormat="1" ht="27" customHeight="1" x14ac:dyDescent="0.25">
      <c r="A190" s="52" t="s">
        <v>254</v>
      </c>
      <c r="B190" s="45" t="str">
        <f>'дод 3'!A123</f>
        <v>7610</v>
      </c>
      <c r="C190" s="45" t="str">
        <f>'дод 3'!B123</f>
        <v>0411</v>
      </c>
      <c r="D190" s="22" t="str">
        <f>'дод 3'!C123</f>
        <v>Сприяння розвитку малого та середнього підприємництва</v>
      </c>
      <c r="E190" s="69">
        <f t="shared" si="116"/>
        <v>1020000</v>
      </c>
      <c r="F190" s="69">
        <f>220000+182000</f>
        <v>402000</v>
      </c>
      <c r="G190" s="69"/>
      <c r="H190" s="69"/>
      <c r="I190" s="69">
        <f>1000000-200000-182000</f>
        <v>618000</v>
      </c>
      <c r="J190" s="69">
        <f t="shared" si="118"/>
        <v>0</v>
      </c>
      <c r="K190" s="69"/>
      <c r="L190" s="69"/>
      <c r="M190" s="69"/>
      <c r="N190" s="69"/>
      <c r="O190" s="69"/>
      <c r="P190" s="69">
        <f t="shared" si="117"/>
        <v>1020000</v>
      </c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</row>
    <row r="191" spans="1:529" s="23" customFormat="1" ht="37.5" customHeight="1" x14ac:dyDescent="0.25">
      <c r="A191" s="52" t="s">
        <v>309</v>
      </c>
      <c r="B191" s="45" t="str">
        <f>'дод 3'!A125</f>
        <v>7650</v>
      </c>
      <c r="C191" s="45" t="str">
        <f>'дод 3'!B125</f>
        <v>0490</v>
      </c>
      <c r="D191" s="22" t="str">
        <f>'дод 3'!C125</f>
        <v>Проведення експертної грошової оцінки земельної ділянки чи права на неї</v>
      </c>
      <c r="E191" s="69">
        <f t="shared" si="116"/>
        <v>0</v>
      </c>
      <c r="F191" s="69"/>
      <c r="G191" s="69"/>
      <c r="H191" s="69"/>
      <c r="I191" s="69"/>
      <c r="J191" s="69">
        <f t="shared" si="118"/>
        <v>30000</v>
      </c>
      <c r="K191" s="69">
        <v>30000</v>
      </c>
      <c r="L191" s="69"/>
      <c r="M191" s="69"/>
      <c r="N191" s="69"/>
      <c r="O191" s="69">
        <v>30000</v>
      </c>
      <c r="P191" s="69">
        <f t="shared" si="117"/>
        <v>30000</v>
      </c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</row>
    <row r="192" spans="1:529" s="23" customFormat="1" ht="51.75" customHeight="1" x14ac:dyDescent="0.25">
      <c r="A192" s="52" t="s">
        <v>311</v>
      </c>
      <c r="B192" s="45" t="str">
        <f>'дод 3'!A126</f>
        <v>7660</v>
      </c>
      <c r="C192" s="45" t="str">
        <f>'дод 3'!B126</f>
        <v>0490</v>
      </c>
      <c r="D192" s="22" t="str">
        <f>'дод 3'!C126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92" s="69">
        <f t="shared" si="116"/>
        <v>0</v>
      </c>
      <c r="F192" s="69"/>
      <c r="G192" s="69"/>
      <c r="H192" s="69"/>
      <c r="I192" s="69"/>
      <c r="J192" s="69">
        <f t="shared" si="118"/>
        <v>45000</v>
      </c>
      <c r="K192" s="69">
        <v>45000</v>
      </c>
      <c r="L192" s="69"/>
      <c r="M192" s="69"/>
      <c r="N192" s="69"/>
      <c r="O192" s="69">
        <v>45000</v>
      </c>
      <c r="P192" s="69">
        <f t="shared" si="117"/>
        <v>45000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</row>
    <row r="193" spans="1:529" s="23" customFormat="1" ht="23.25" customHeight="1" x14ac:dyDescent="0.25">
      <c r="A193" s="52" t="s">
        <v>306</v>
      </c>
      <c r="B193" s="45" t="str">
        <f>'дод 3'!A130</f>
        <v>7693</v>
      </c>
      <c r="C193" s="45" t="str">
        <f>'дод 3'!B130</f>
        <v>0490</v>
      </c>
      <c r="D193" s="22" t="str">
        <f>'дод 3'!C130</f>
        <v>Інші заходи, пов'язані з економічною діяльністю</v>
      </c>
      <c r="E193" s="69">
        <f t="shared" si="116"/>
        <v>690000</v>
      </c>
      <c r="F193" s="69">
        <f>490000+200000</f>
        <v>690000</v>
      </c>
      <c r="G193" s="69"/>
      <c r="H193" s="69"/>
      <c r="I193" s="69"/>
      <c r="J193" s="69">
        <f t="shared" si="118"/>
        <v>0</v>
      </c>
      <c r="K193" s="69"/>
      <c r="L193" s="69"/>
      <c r="M193" s="69"/>
      <c r="N193" s="69"/>
      <c r="O193" s="69"/>
      <c r="P193" s="69">
        <f t="shared" si="117"/>
        <v>690000</v>
      </c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</row>
    <row r="194" spans="1:529" s="31" customFormat="1" ht="36" customHeight="1" x14ac:dyDescent="0.2">
      <c r="A194" s="76" t="s">
        <v>255</v>
      </c>
      <c r="B194" s="74"/>
      <c r="C194" s="74"/>
      <c r="D194" s="30" t="s">
        <v>54</v>
      </c>
      <c r="E194" s="66">
        <f>E195</f>
        <v>134462055</v>
      </c>
      <c r="F194" s="66">
        <f t="shared" ref="F194:J194" si="119">F195</f>
        <v>127319665</v>
      </c>
      <c r="G194" s="66">
        <f t="shared" si="119"/>
        <v>13922900</v>
      </c>
      <c r="H194" s="66">
        <f t="shared" si="119"/>
        <v>244400</v>
      </c>
      <c r="I194" s="66">
        <f t="shared" si="119"/>
        <v>0</v>
      </c>
      <c r="J194" s="66">
        <f t="shared" si="119"/>
        <v>93500</v>
      </c>
      <c r="K194" s="66">
        <f t="shared" ref="K194" si="120">K195</f>
        <v>0</v>
      </c>
      <c r="L194" s="66">
        <f t="shared" ref="L194" si="121">L195</f>
        <v>93500</v>
      </c>
      <c r="M194" s="66">
        <f t="shared" ref="M194" si="122">M195</f>
        <v>0</v>
      </c>
      <c r="N194" s="66">
        <f t="shared" ref="N194" si="123">N195</f>
        <v>0</v>
      </c>
      <c r="O194" s="66">
        <f t="shared" ref="O194:P194" si="124">O195</f>
        <v>0</v>
      </c>
      <c r="P194" s="66">
        <f t="shared" si="124"/>
        <v>134555555</v>
      </c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  <c r="IE194" s="38"/>
      <c r="IF194" s="38"/>
      <c r="IG194" s="38"/>
      <c r="IH194" s="38"/>
      <c r="II194" s="38"/>
      <c r="IJ194" s="38"/>
      <c r="IK194" s="38"/>
      <c r="IL194" s="38"/>
      <c r="IM194" s="38"/>
      <c r="IN194" s="38"/>
      <c r="IO194" s="38"/>
      <c r="IP194" s="38"/>
      <c r="IQ194" s="38"/>
      <c r="IR194" s="38"/>
      <c r="IS194" s="38"/>
      <c r="IT194" s="38"/>
      <c r="IU194" s="38"/>
      <c r="IV194" s="38"/>
      <c r="IW194" s="38"/>
      <c r="IX194" s="38"/>
      <c r="IY194" s="38"/>
      <c r="IZ194" s="38"/>
      <c r="JA194" s="38"/>
      <c r="JB194" s="38"/>
      <c r="JC194" s="38"/>
      <c r="JD194" s="38"/>
      <c r="JE194" s="38"/>
      <c r="JF194" s="38"/>
      <c r="JG194" s="38"/>
      <c r="JH194" s="38"/>
      <c r="JI194" s="38"/>
      <c r="JJ194" s="38"/>
      <c r="JK194" s="38"/>
      <c r="JL194" s="38"/>
      <c r="JM194" s="38"/>
      <c r="JN194" s="38"/>
      <c r="JO194" s="38"/>
      <c r="JP194" s="38"/>
      <c r="JQ194" s="38"/>
      <c r="JR194" s="38"/>
      <c r="JS194" s="38"/>
      <c r="JT194" s="38"/>
      <c r="JU194" s="38"/>
      <c r="JV194" s="38"/>
      <c r="JW194" s="38"/>
      <c r="JX194" s="38"/>
      <c r="JY194" s="38"/>
      <c r="JZ194" s="38"/>
      <c r="KA194" s="38"/>
      <c r="KB194" s="38"/>
      <c r="KC194" s="38"/>
      <c r="KD194" s="38"/>
      <c r="KE194" s="38"/>
      <c r="KF194" s="38"/>
      <c r="KG194" s="38"/>
      <c r="KH194" s="38"/>
      <c r="KI194" s="38"/>
      <c r="KJ194" s="38"/>
      <c r="KK194" s="38"/>
      <c r="KL194" s="38"/>
      <c r="KM194" s="38"/>
      <c r="KN194" s="38"/>
      <c r="KO194" s="38"/>
      <c r="KP194" s="38"/>
      <c r="KQ194" s="38"/>
      <c r="KR194" s="38"/>
      <c r="KS194" s="38"/>
      <c r="KT194" s="38"/>
      <c r="KU194" s="38"/>
      <c r="KV194" s="38"/>
      <c r="KW194" s="38"/>
      <c r="KX194" s="38"/>
      <c r="KY194" s="38"/>
      <c r="KZ194" s="38"/>
      <c r="LA194" s="38"/>
      <c r="LB194" s="38"/>
      <c r="LC194" s="38"/>
      <c r="LD194" s="38"/>
      <c r="LE194" s="38"/>
      <c r="LF194" s="38"/>
      <c r="LG194" s="38"/>
      <c r="LH194" s="38"/>
      <c r="LI194" s="38"/>
      <c r="LJ194" s="38"/>
      <c r="LK194" s="38"/>
      <c r="LL194" s="38"/>
      <c r="LM194" s="38"/>
      <c r="LN194" s="38"/>
      <c r="LO194" s="38"/>
      <c r="LP194" s="38"/>
      <c r="LQ194" s="38"/>
      <c r="LR194" s="38"/>
      <c r="LS194" s="38"/>
      <c r="LT194" s="38"/>
      <c r="LU194" s="38"/>
      <c r="LV194" s="38"/>
      <c r="LW194" s="38"/>
      <c r="LX194" s="38"/>
      <c r="LY194" s="38"/>
      <c r="LZ194" s="38"/>
      <c r="MA194" s="38"/>
      <c r="MB194" s="38"/>
      <c r="MC194" s="38"/>
      <c r="MD194" s="38"/>
      <c r="ME194" s="38"/>
      <c r="MF194" s="38"/>
      <c r="MG194" s="38"/>
      <c r="MH194" s="38"/>
      <c r="MI194" s="38"/>
      <c r="MJ194" s="38"/>
      <c r="MK194" s="38"/>
      <c r="ML194" s="38"/>
      <c r="MM194" s="38"/>
      <c r="MN194" s="38"/>
      <c r="MO194" s="38"/>
      <c r="MP194" s="38"/>
      <c r="MQ194" s="38"/>
      <c r="MR194" s="38"/>
      <c r="MS194" s="38"/>
      <c r="MT194" s="38"/>
      <c r="MU194" s="38"/>
      <c r="MV194" s="38"/>
      <c r="MW194" s="38"/>
      <c r="MX194" s="38"/>
      <c r="MY194" s="38"/>
      <c r="MZ194" s="38"/>
      <c r="NA194" s="38"/>
      <c r="NB194" s="38"/>
      <c r="NC194" s="38"/>
      <c r="ND194" s="38"/>
      <c r="NE194" s="38"/>
      <c r="NF194" s="38"/>
      <c r="NG194" s="38"/>
      <c r="NH194" s="38"/>
      <c r="NI194" s="38"/>
      <c r="NJ194" s="38"/>
      <c r="NK194" s="38"/>
      <c r="NL194" s="38"/>
      <c r="NM194" s="38"/>
      <c r="NN194" s="38"/>
      <c r="NO194" s="38"/>
      <c r="NP194" s="38"/>
      <c r="NQ194" s="38"/>
      <c r="NR194" s="38"/>
      <c r="NS194" s="38"/>
      <c r="NT194" s="38"/>
      <c r="NU194" s="38"/>
      <c r="NV194" s="38"/>
      <c r="NW194" s="38"/>
      <c r="NX194" s="38"/>
      <c r="NY194" s="38"/>
      <c r="NZ194" s="38"/>
      <c r="OA194" s="38"/>
      <c r="OB194" s="38"/>
      <c r="OC194" s="38"/>
      <c r="OD194" s="38"/>
      <c r="OE194" s="38"/>
      <c r="OF194" s="38"/>
      <c r="OG194" s="38"/>
      <c r="OH194" s="38"/>
      <c r="OI194" s="38"/>
      <c r="OJ194" s="38"/>
      <c r="OK194" s="38"/>
      <c r="OL194" s="38"/>
      <c r="OM194" s="38"/>
      <c r="ON194" s="38"/>
      <c r="OO194" s="38"/>
      <c r="OP194" s="38"/>
      <c r="OQ194" s="38"/>
      <c r="OR194" s="38"/>
      <c r="OS194" s="38"/>
      <c r="OT194" s="38"/>
      <c r="OU194" s="38"/>
      <c r="OV194" s="38"/>
      <c r="OW194" s="38"/>
      <c r="OX194" s="38"/>
      <c r="OY194" s="38"/>
      <c r="OZ194" s="38"/>
      <c r="PA194" s="38"/>
      <c r="PB194" s="38"/>
      <c r="PC194" s="38"/>
      <c r="PD194" s="38"/>
      <c r="PE194" s="38"/>
      <c r="PF194" s="38"/>
      <c r="PG194" s="38"/>
      <c r="PH194" s="38"/>
      <c r="PI194" s="38"/>
      <c r="PJ194" s="38"/>
      <c r="PK194" s="38"/>
      <c r="PL194" s="38"/>
      <c r="PM194" s="38"/>
      <c r="PN194" s="38"/>
      <c r="PO194" s="38"/>
      <c r="PP194" s="38"/>
      <c r="PQ194" s="38"/>
      <c r="PR194" s="38"/>
      <c r="PS194" s="38"/>
      <c r="PT194" s="38"/>
      <c r="PU194" s="38"/>
      <c r="PV194" s="38"/>
      <c r="PW194" s="38"/>
      <c r="PX194" s="38"/>
      <c r="PY194" s="38"/>
      <c r="PZ194" s="38"/>
      <c r="QA194" s="38"/>
      <c r="QB194" s="38"/>
      <c r="QC194" s="38"/>
      <c r="QD194" s="38"/>
      <c r="QE194" s="38"/>
      <c r="QF194" s="38"/>
      <c r="QG194" s="38"/>
      <c r="QH194" s="38"/>
      <c r="QI194" s="38"/>
      <c r="QJ194" s="38"/>
      <c r="QK194" s="38"/>
      <c r="QL194" s="38"/>
      <c r="QM194" s="38"/>
      <c r="QN194" s="38"/>
      <c r="QO194" s="38"/>
      <c r="QP194" s="38"/>
      <c r="QQ194" s="38"/>
      <c r="QR194" s="38"/>
      <c r="QS194" s="38"/>
      <c r="QT194" s="38"/>
      <c r="QU194" s="38"/>
      <c r="QV194" s="38"/>
      <c r="QW194" s="38"/>
      <c r="QX194" s="38"/>
      <c r="QY194" s="38"/>
      <c r="QZ194" s="38"/>
      <c r="RA194" s="38"/>
      <c r="RB194" s="38"/>
      <c r="RC194" s="38"/>
      <c r="RD194" s="38"/>
      <c r="RE194" s="38"/>
      <c r="RF194" s="38"/>
      <c r="RG194" s="38"/>
      <c r="RH194" s="38"/>
      <c r="RI194" s="38"/>
      <c r="RJ194" s="38"/>
      <c r="RK194" s="38"/>
      <c r="RL194" s="38"/>
      <c r="RM194" s="38"/>
      <c r="RN194" s="38"/>
      <c r="RO194" s="38"/>
      <c r="RP194" s="38"/>
      <c r="RQ194" s="38"/>
      <c r="RR194" s="38"/>
      <c r="RS194" s="38"/>
      <c r="RT194" s="38"/>
      <c r="RU194" s="38"/>
      <c r="RV194" s="38"/>
      <c r="RW194" s="38"/>
      <c r="RX194" s="38"/>
      <c r="RY194" s="38"/>
      <c r="RZ194" s="38"/>
      <c r="SA194" s="38"/>
      <c r="SB194" s="38"/>
      <c r="SC194" s="38"/>
      <c r="SD194" s="38"/>
      <c r="SE194" s="38"/>
      <c r="SF194" s="38"/>
      <c r="SG194" s="38"/>
      <c r="SH194" s="38"/>
      <c r="SI194" s="38"/>
      <c r="SJ194" s="38"/>
      <c r="SK194" s="38"/>
      <c r="SL194" s="38"/>
      <c r="SM194" s="38"/>
      <c r="SN194" s="38"/>
      <c r="SO194" s="38"/>
      <c r="SP194" s="38"/>
      <c r="SQ194" s="38"/>
      <c r="SR194" s="38"/>
      <c r="SS194" s="38"/>
      <c r="ST194" s="38"/>
      <c r="SU194" s="38"/>
      <c r="SV194" s="38"/>
      <c r="SW194" s="38"/>
      <c r="SX194" s="38"/>
      <c r="SY194" s="38"/>
      <c r="SZ194" s="38"/>
      <c r="TA194" s="38"/>
      <c r="TB194" s="38"/>
      <c r="TC194" s="38"/>
      <c r="TD194" s="38"/>
      <c r="TE194" s="38"/>
      <c r="TF194" s="38"/>
      <c r="TG194" s="38"/>
      <c r="TH194" s="38"/>
      <c r="TI194" s="38"/>
    </row>
    <row r="195" spans="1:529" s="40" customFormat="1" ht="36" customHeight="1" x14ac:dyDescent="0.25">
      <c r="A195" s="77" t="s">
        <v>256</v>
      </c>
      <c r="B195" s="75"/>
      <c r="C195" s="75"/>
      <c r="D195" s="33" t="s">
        <v>54</v>
      </c>
      <c r="E195" s="68">
        <f>SUM(E196+E197+E198+E200+E201+E202+E203+E199)</f>
        <v>134462055</v>
      </c>
      <c r="F195" s="68">
        <f t="shared" ref="F195:P195" si="125">SUM(F196+F197+F198+F200+F201+F202+F203+F199)</f>
        <v>127319665</v>
      </c>
      <c r="G195" s="68">
        <f t="shared" si="125"/>
        <v>13922900</v>
      </c>
      <c r="H195" s="68">
        <f t="shared" si="125"/>
        <v>244400</v>
      </c>
      <c r="I195" s="68">
        <f t="shared" si="125"/>
        <v>0</v>
      </c>
      <c r="J195" s="68">
        <f t="shared" si="125"/>
        <v>93500</v>
      </c>
      <c r="K195" s="68">
        <f t="shared" si="125"/>
        <v>0</v>
      </c>
      <c r="L195" s="68">
        <f t="shared" si="125"/>
        <v>93500</v>
      </c>
      <c r="M195" s="68">
        <f t="shared" si="125"/>
        <v>0</v>
      </c>
      <c r="N195" s="68">
        <f t="shared" si="125"/>
        <v>0</v>
      </c>
      <c r="O195" s="68">
        <f t="shared" si="125"/>
        <v>0</v>
      </c>
      <c r="P195" s="68">
        <f t="shared" si="125"/>
        <v>134555555</v>
      </c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/>
      <c r="HY195" s="39"/>
      <c r="HZ195" s="39"/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P195" s="39"/>
      <c r="IQ195" s="39"/>
      <c r="IR195" s="39"/>
      <c r="IS195" s="39"/>
      <c r="IT195" s="39"/>
      <c r="IU195" s="39"/>
      <c r="IV195" s="39"/>
      <c r="IW195" s="39"/>
      <c r="IX195" s="39"/>
      <c r="IY195" s="39"/>
      <c r="IZ195" s="39"/>
      <c r="JA195" s="39"/>
      <c r="JB195" s="39"/>
      <c r="JC195" s="39"/>
      <c r="JD195" s="39"/>
      <c r="JE195" s="39"/>
      <c r="JF195" s="39"/>
      <c r="JG195" s="39"/>
      <c r="JH195" s="39"/>
      <c r="JI195" s="39"/>
      <c r="JJ195" s="39"/>
      <c r="JK195" s="39"/>
      <c r="JL195" s="39"/>
      <c r="JM195" s="39"/>
      <c r="JN195" s="39"/>
      <c r="JO195" s="39"/>
      <c r="JP195" s="39"/>
      <c r="JQ195" s="39"/>
      <c r="JR195" s="39"/>
      <c r="JS195" s="39"/>
      <c r="JT195" s="39"/>
      <c r="JU195" s="39"/>
      <c r="JV195" s="39"/>
      <c r="JW195" s="39"/>
      <c r="JX195" s="39"/>
      <c r="JY195" s="39"/>
      <c r="JZ195" s="39"/>
      <c r="KA195" s="39"/>
      <c r="KB195" s="39"/>
      <c r="KC195" s="39"/>
      <c r="KD195" s="39"/>
      <c r="KE195" s="39"/>
      <c r="KF195" s="39"/>
      <c r="KG195" s="39"/>
      <c r="KH195" s="39"/>
      <c r="KI195" s="39"/>
      <c r="KJ195" s="39"/>
      <c r="KK195" s="39"/>
      <c r="KL195" s="39"/>
      <c r="KM195" s="39"/>
      <c r="KN195" s="39"/>
      <c r="KO195" s="39"/>
      <c r="KP195" s="39"/>
      <c r="KQ195" s="39"/>
      <c r="KR195" s="39"/>
      <c r="KS195" s="39"/>
      <c r="KT195" s="39"/>
      <c r="KU195" s="39"/>
      <c r="KV195" s="39"/>
      <c r="KW195" s="39"/>
      <c r="KX195" s="39"/>
      <c r="KY195" s="39"/>
      <c r="KZ195" s="39"/>
      <c r="LA195" s="39"/>
      <c r="LB195" s="39"/>
      <c r="LC195" s="39"/>
      <c r="LD195" s="39"/>
      <c r="LE195" s="39"/>
      <c r="LF195" s="39"/>
      <c r="LG195" s="39"/>
      <c r="LH195" s="39"/>
      <c r="LI195" s="39"/>
      <c r="LJ195" s="39"/>
      <c r="LK195" s="39"/>
      <c r="LL195" s="39"/>
      <c r="LM195" s="39"/>
      <c r="LN195" s="39"/>
      <c r="LO195" s="39"/>
      <c r="LP195" s="39"/>
      <c r="LQ195" s="39"/>
      <c r="LR195" s="39"/>
      <c r="LS195" s="39"/>
      <c r="LT195" s="39"/>
      <c r="LU195" s="39"/>
      <c r="LV195" s="39"/>
      <c r="LW195" s="39"/>
      <c r="LX195" s="39"/>
      <c r="LY195" s="39"/>
      <c r="LZ195" s="39"/>
      <c r="MA195" s="39"/>
      <c r="MB195" s="39"/>
      <c r="MC195" s="39"/>
      <c r="MD195" s="39"/>
      <c r="ME195" s="39"/>
      <c r="MF195" s="39"/>
      <c r="MG195" s="39"/>
      <c r="MH195" s="39"/>
      <c r="MI195" s="39"/>
      <c r="MJ195" s="39"/>
      <c r="MK195" s="39"/>
      <c r="ML195" s="39"/>
      <c r="MM195" s="39"/>
      <c r="MN195" s="39"/>
      <c r="MO195" s="39"/>
      <c r="MP195" s="39"/>
      <c r="MQ195" s="39"/>
      <c r="MR195" s="39"/>
      <c r="MS195" s="39"/>
      <c r="MT195" s="39"/>
      <c r="MU195" s="39"/>
      <c r="MV195" s="39"/>
      <c r="MW195" s="39"/>
      <c r="MX195" s="39"/>
      <c r="MY195" s="39"/>
      <c r="MZ195" s="39"/>
      <c r="NA195" s="39"/>
      <c r="NB195" s="39"/>
      <c r="NC195" s="39"/>
      <c r="ND195" s="39"/>
      <c r="NE195" s="39"/>
      <c r="NF195" s="39"/>
      <c r="NG195" s="39"/>
      <c r="NH195" s="39"/>
      <c r="NI195" s="39"/>
      <c r="NJ195" s="39"/>
      <c r="NK195" s="39"/>
      <c r="NL195" s="39"/>
      <c r="NM195" s="39"/>
      <c r="NN195" s="39"/>
      <c r="NO195" s="39"/>
      <c r="NP195" s="39"/>
      <c r="NQ195" s="39"/>
      <c r="NR195" s="39"/>
      <c r="NS195" s="39"/>
      <c r="NT195" s="39"/>
      <c r="NU195" s="39"/>
      <c r="NV195" s="39"/>
      <c r="NW195" s="39"/>
      <c r="NX195" s="39"/>
      <c r="NY195" s="39"/>
      <c r="NZ195" s="39"/>
      <c r="OA195" s="39"/>
      <c r="OB195" s="39"/>
      <c r="OC195" s="39"/>
      <c r="OD195" s="39"/>
      <c r="OE195" s="39"/>
      <c r="OF195" s="39"/>
      <c r="OG195" s="39"/>
      <c r="OH195" s="39"/>
      <c r="OI195" s="39"/>
      <c r="OJ195" s="39"/>
      <c r="OK195" s="39"/>
      <c r="OL195" s="39"/>
      <c r="OM195" s="39"/>
      <c r="ON195" s="39"/>
      <c r="OO195" s="39"/>
      <c r="OP195" s="39"/>
      <c r="OQ195" s="39"/>
      <c r="OR195" s="39"/>
      <c r="OS195" s="39"/>
      <c r="OT195" s="39"/>
      <c r="OU195" s="39"/>
      <c r="OV195" s="39"/>
      <c r="OW195" s="39"/>
      <c r="OX195" s="39"/>
      <c r="OY195" s="39"/>
      <c r="OZ195" s="39"/>
      <c r="PA195" s="39"/>
      <c r="PB195" s="39"/>
      <c r="PC195" s="39"/>
      <c r="PD195" s="39"/>
      <c r="PE195" s="39"/>
      <c r="PF195" s="39"/>
      <c r="PG195" s="39"/>
      <c r="PH195" s="39"/>
      <c r="PI195" s="39"/>
      <c r="PJ195" s="39"/>
      <c r="PK195" s="39"/>
      <c r="PL195" s="39"/>
      <c r="PM195" s="39"/>
      <c r="PN195" s="39"/>
      <c r="PO195" s="39"/>
      <c r="PP195" s="39"/>
      <c r="PQ195" s="39"/>
      <c r="PR195" s="39"/>
      <c r="PS195" s="39"/>
      <c r="PT195" s="39"/>
      <c r="PU195" s="39"/>
      <c r="PV195" s="39"/>
      <c r="PW195" s="39"/>
      <c r="PX195" s="39"/>
      <c r="PY195" s="39"/>
      <c r="PZ195" s="39"/>
      <c r="QA195" s="39"/>
      <c r="QB195" s="39"/>
      <c r="QC195" s="39"/>
      <c r="QD195" s="39"/>
      <c r="QE195" s="39"/>
      <c r="QF195" s="39"/>
      <c r="QG195" s="39"/>
      <c r="QH195" s="39"/>
      <c r="QI195" s="39"/>
      <c r="QJ195" s="39"/>
      <c r="QK195" s="39"/>
      <c r="QL195" s="39"/>
      <c r="QM195" s="39"/>
      <c r="QN195" s="39"/>
      <c r="QO195" s="39"/>
      <c r="QP195" s="39"/>
      <c r="QQ195" s="39"/>
      <c r="QR195" s="39"/>
      <c r="QS195" s="39"/>
      <c r="QT195" s="39"/>
      <c r="QU195" s="39"/>
      <c r="QV195" s="39"/>
      <c r="QW195" s="39"/>
      <c r="QX195" s="39"/>
      <c r="QY195" s="39"/>
      <c r="QZ195" s="39"/>
      <c r="RA195" s="39"/>
      <c r="RB195" s="39"/>
      <c r="RC195" s="39"/>
      <c r="RD195" s="39"/>
      <c r="RE195" s="39"/>
      <c r="RF195" s="39"/>
      <c r="RG195" s="39"/>
      <c r="RH195" s="39"/>
      <c r="RI195" s="39"/>
      <c r="RJ195" s="39"/>
      <c r="RK195" s="39"/>
      <c r="RL195" s="39"/>
      <c r="RM195" s="39"/>
      <c r="RN195" s="39"/>
      <c r="RO195" s="39"/>
      <c r="RP195" s="39"/>
      <c r="RQ195" s="39"/>
      <c r="RR195" s="39"/>
      <c r="RS195" s="39"/>
      <c r="RT195" s="39"/>
      <c r="RU195" s="39"/>
      <c r="RV195" s="39"/>
      <c r="RW195" s="39"/>
      <c r="RX195" s="39"/>
      <c r="RY195" s="39"/>
      <c r="RZ195" s="39"/>
      <c r="SA195" s="39"/>
      <c r="SB195" s="39"/>
      <c r="SC195" s="39"/>
      <c r="SD195" s="39"/>
      <c r="SE195" s="39"/>
      <c r="SF195" s="39"/>
      <c r="SG195" s="39"/>
      <c r="SH195" s="39"/>
      <c r="SI195" s="39"/>
      <c r="SJ195" s="39"/>
      <c r="SK195" s="39"/>
      <c r="SL195" s="39"/>
      <c r="SM195" s="39"/>
      <c r="SN195" s="39"/>
      <c r="SO195" s="39"/>
      <c r="SP195" s="39"/>
      <c r="SQ195" s="39"/>
      <c r="SR195" s="39"/>
      <c r="SS195" s="39"/>
      <c r="ST195" s="39"/>
      <c r="SU195" s="39"/>
      <c r="SV195" s="39"/>
      <c r="SW195" s="39"/>
      <c r="SX195" s="39"/>
      <c r="SY195" s="39"/>
      <c r="SZ195" s="39"/>
      <c r="TA195" s="39"/>
      <c r="TB195" s="39"/>
      <c r="TC195" s="39"/>
      <c r="TD195" s="39"/>
      <c r="TE195" s="39"/>
      <c r="TF195" s="39"/>
      <c r="TG195" s="39"/>
      <c r="TH195" s="39"/>
      <c r="TI195" s="39"/>
    </row>
    <row r="196" spans="1:529" s="23" customFormat="1" ht="42" customHeight="1" x14ac:dyDescent="0.25">
      <c r="A196" s="43" t="s">
        <v>257</v>
      </c>
      <c r="B196" s="44" t="str">
        <f>'дод 3'!A20</f>
        <v>0160</v>
      </c>
      <c r="C196" s="44" t="str">
        <f>'дод 3'!B20</f>
        <v>0111</v>
      </c>
      <c r="D196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96" s="69">
        <f t="shared" ref="E196:E201" si="126">F196+I196</f>
        <v>17857800</v>
      </c>
      <c r="F196" s="69">
        <f>18669000+46200-857400</f>
        <v>17857800</v>
      </c>
      <c r="G196" s="69">
        <f>14625700-702800</f>
        <v>13922900</v>
      </c>
      <c r="H196" s="69">
        <v>244400</v>
      </c>
      <c r="I196" s="69"/>
      <c r="J196" s="69">
        <f>L196+O196</f>
        <v>0</v>
      </c>
      <c r="K196" s="69"/>
      <c r="L196" s="69"/>
      <c r="M196" s="69"/>
      <c r="N196" s="69"/>
      <c r="O196" s="69"/>
      <c r="P196" s="69">
        <f t="shared" ref="P196:P203" si="127">E196+J196</f>
        <v>17857800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</row>
    <row r="197" spans="1:529" s="23" customFormat="1" ht="18.75" customHeight="1" x14ac:dyDescent="0.25">
      <c r="A197" s="43" t="s">
        <v>300</v>
      </c>
      <c r="B197" s="44" t="str">
        <f>'дод 3'!A124</f>
        <v>7640</v>
      </c>
      <c r="C197" s="44" t="str">
        <f>'дод 3'!B124</f>
        <v>0470</v>
      </c>
      <c r="D197" s="24" t="str">
        <f>'дод 3'!C124</f>
        <v>Заходи з енергозбереження</v>
      </c>
      <c r="E197" s="69">
        <f t="shared" si="126"/>
        <v>345000</v>
      </c>
      <c r="F197" s="69">
        <v>345000</v>
      </c>
      <c r="G197" s="69"/>
      <c r="H197" s="69"/>
      <c r="I197" s="69"/>
      <c r="J197" s="69">
        <f t="shared" ref="J197:J203" si="128">L197+O197</f>
        <v>0</v>
      </c>
      <c r="K197" s="69"/>
      <c r="L197" s="69"/>
      <c r="M197" s="69"/>
      <c r="N197" s="69"/>
      <c r="O197" s="69"/>
      <c r="P197" s="69">
        <f t="shared" si="127"/>
        <v>345000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  <c r="MA197" s="26"/>
      <c r="MB197" s="26"/>
      <c r="MC197" s="26"/>
      <c r="MD197" s="26"/>
      <c r="ME197" s="26"/>
      <c r="MF197" s="26"/>
      <c r="MG197" s="26"/>
      <c r="MH197" s="26"/>
      <c r="MI197" s="26"/>
      <c r="MJ197" s="26"/>
      <c r="MK197" s="26"/>
      <c r="ML197" s="26"/>
      <c r="MM197" s="26"/>
      <c r="MN197" s="26"/>
      <c r="MO197" s="26"/>
      <c r="MP197" s="26"/>
      <c r="MQ197" s="26"/>
      <c r="MR197" s="26"/>
      <c r="MS197" s="26"/>
      <c r="MT197" s="26"/>
      <c r="MU197" s="26"/>
      <c r="MV197" s="26"/>
      <c r="MW197" s="26"/>
      <c r="MX197" s="26"/>
      <c r="MY197" s="26"/>
      <c r="MZ197" s="26"/>
      <c r="NA197" s="26"/>
      <c r="NB197" s="26"/>
      <c r="NC197" s="26"/>
      <c r="ND197" s="26"/>
      <c r="NE197" s="26"/>
      <c r="NF197" s="26"/>
      <c r="NG197" s="26"/>
      <c r="NH197" s="26"/>
      <c r="NI197" s="26"/>
      <c r="NJ197" s="26"/>
      <c r="NK197" s="26"/>
      <c r="NL197" s="26"/>
      <c r="NM197" s="26"/>
      <c r="NN197" s="26"/>
      <c r="NO197" s="26"/>
      <c r="NP197" s="26"/>
      <c r="NQ197" s="26"/>
      <c r="NR197" s="26"/>
      <c r="NS197" s="26"/>
      <c r="NT197" s="26"/>
      <c r="NU197" s="26"/>
      <c r="NV197" s="26"/>
      <c r="NW197" s="26"/>
      <c r="NX197" s="26"/>
      <c r="NY197" s="26"/>
      <c r="NZ197" s="26"/>
      <c r="OA197" s="26"/>
      <c r="OB197" s="26"/>
      <c r="OC197" s="26"/>
      <c r="OD197" s="26"/>
      <c r="OE197" s="26"/>
      <c r="OF197" s="26"/>
      <c r="OG197" s="26"/>
      <c r="OH197" s="26"/>
      <c r="OI197" s="26"/>
      <c r="OJ197" s="26"/>
      <c r="OK197" s="26"/>
      <c r="OL197" s="26"/>
      <c r="OM197" s="26"/>
      <c r="ON197" s="26"/>
      <c r="OO197" s="26"/>
      <c r="OP197" s="26"/>
      <c r="OQ197" s="26"/>
      <c r="OR197" s="26"/>
      <c r="OS197" s="26"/>
      <c r="OT197" s="26"/>
      <c r="OU197" s="26"/>
      <c r="OV197" s="26"/>
      <c r="OW197" s="26"/>
      <c r="OX197" s="26"/>
      <c r="OY197" s="26"/>
      <c r="OZ197" s="26"/>
      <c r="PA197" s="26"/>
      <c r="PB197" s="26"/>
      <c r="PC197" s="26"/>
      <c r="PD197" s="26"/>
      <c r="PE197" s="26"/>
      <c r="PF197" s="26"/>
      <c r="PG197" s="26"/>
      <c r="PH197" s="26"/>
      <c r="PI197" s="26"/>
      <c r="PJ197" s="26"/>
      <c r="PK197" s="26"/>
      <c r="PL197" s="26"/>
      <c r="PM197" s="26"/>
      <c r="PN197" s="26"/>
      <c r="PO197" s="26"/>
      <c r="PP197" s="26"/>
      <c r="PQ197" s="26"/>
      <c r="PR197" s="26"/>
      <c r="PS197" s="26"/>
      <c r="PT197" s="26"/>
      <c r="PU197" s="26"/>
      <c r="PV197" s="26"/>
      <c r="PW197" s="26"/>
      <c r="PX197" s="26"/>
      <c r="PY197" s="26"/>
      <c r="PZ197" s="26"/>
      <c r="QA197" s="26"/>
      <c r="QB197" s="26"/>
      <c r="QC197" s="26"/>
      <c r="QD197" s="26"/>
      <c r="QE197" s="26"/>
      <c r="QF197" s="26"/>
      <c r="QG197" s="26"/>
      <c r="QH197" s="26"/>
      <c r="QI197" s="26"/>
      <c r="QJ197" s="26"/>
      <c r="QK197" s="26"/>
      <c r="QL197" s="26"/>
      <c r="QM197" s="26"/>
      <c r="QN197" s="26"/>
      <c r="QO197" s="26"/>
      <c r="QP197" s="26"/>
      <c r="QQ197" s="26"/>
      <c r="QR197" s="26"/>
      <c r="QS197" s="26"/>
      <c r="QT197" s="26"/>
      <c r="QU197" s="26"/>
      <c r="QV197" s="26"/>
      <c r="QW197" s="26"/>
      <c r="QX197" s="26"/>
      <c r="QY197" s="26"/>
      <c r="QZ197" s="26"/>
      <c r="RA197" s="26"/>
      <c r="RB197" s="26"/>
      <c r="RC197" s="26"/>
      <c r="RD197" s="26"/>
      <c r="RE197" s="26"/>
      <c r="RF197" s="26"/>
      <c r="RG197" s="26"/>
      <c r="RH197" s="26"/>
      <c r="RI197" s="26"/>
      <c r="RJ197" s="26"/>
      <c r="RK197" s="26"/>
      <c r="RL197" s="26"/>
      <c r="RM197" s="26"/>
      <c r="RN197" s="26"/>
      <c r="RO197" s="26"/>
      <c r="RP197" s="26"/>
      <c r="RQ197" s="26"/>
      <c r="RR197" s="26"/>
      <c r="RS197" s="26"/>
      <c r="RT197" s="26"/>
      <c r="RU197" s="26"/>
      <c r="RV197" s="26"/>
      <c r="RW197" s="26"/>
      <c r="RX197" s="26"/>
      <c r="RY197" s="26"/>
      <c r="RZ197" s="26"/>
      <c r="SA197" s="26"/>
      <c r="SB197" s="26"/>
      <c r="SC197" s="26"/>
      <c r="SD197" s="26"/>
      <c r="SE197" s="26"/>
      <c r="SF197" s="26"/>
      <c r="SG197" s="26"/>
      <c r="SH197" s="26"/>
      <c r="SI197" s="26"/>
      <c r="SJ197" s="26"/>
      <c r="SK197" s="26"/>
      <c r="SL197" s="26"/>
      <c r="SM197" s="26"/>
      <c r="SN197" s="26"/>
      <c r="SO197" s="26"/>
      <c r="SP197" s="26"/>
      <c r="SQ197" s="26"/>
      <c r="SR197" s="26"/>
      <c r="SS197" s="26"/>
      <c r="ST197" s="26"/>
      <c r="SU197" s="26"/>
      <c r="SV197" s="26"/>
      <c r="SW197" s="26"/>
      <c r="SX197" s="26"/>
      <c r="SY197" s="26"/>
      <c r="SZ197" s="26"/>
      <c r="TA197" s="26"/>
      <c r="TB197" s="26"/>
      <c r="TC197" s="26"/>
      <c r="TD197" s="26"/>
      <c r="TE197" s="26"/>
      <c r="TF197" s="26"/>
      <c r="TG197" s="26"/>
      <c r="TH197" s="26"/>
      <c r="TI197" s="26"/>
    </row>
    <row r="198" spans="1:529" s="23" customFormat="1" ht="24" customHeight="1" x14ac:dyDescent="0.25">
      <c r="A198" s="43" t="s">
        <v>387</v>
      </c>
      <c r="B198" s="44" t="str">
        <f>'дод 3'!A130</f>
        <v>7693</v>
      </c>
      <c r="C198" s="44" t="str">
        <f>'дод 3'!B130</f>
        <v>0490</v>
      </c>
      <c r="D198" s="24" t="str">
        <f>'дод 3'!C130</f>
        <v>Інші заходи, пов'язані з економічною діяльністю</v>
      </c>
      <c r="E198" s="69">
        <f t="shared" si="126"/>
        <v>213200</v>
      </c>
      <c r="F198" s="69">
        <v>213200</v>
      </c>
      <c r="G198" s="69"/>
      <c r="H198" s="69"/>
      <c r="I198" s="69"/>
      <c r="J198" s="69">
        <f t="shared" si="128"/>
        <v>0</v>
      </c>
      <c r="K198" s="69"/>
      <c r="L198" s="69"/>
      <c r="M198" s="69"/>
      <c r="N198" s="69"/>
      <c r="O198" s="69"/>
      <c r="P198" s="69">
        <f t="shared" si="127"/>
        <v>213200</v>
      </c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  <c r="MA198" s="26"/>
      <c r="MB198" s="26"/>
      <c r="MC198" s="26"/>
      <c r="MD198" s="26"/>
      <c r="ME198" s="26"/>
      <c r="MF198" s="26"/>
      <c r="MG198" s="26"/>
      <c r="MH198" s="26"/>
      <c r="MI198" s="26"/>
      <c r="MJ198" s="26"/>
      <c r="MK198" s="26"/>
      <c r="ML198" s="26"/>
      <c r="MM198" s="26"/>
      <c r="MN198" s="26"/>
      <c r="MO198" s="26"/>
      <c r="MP198" s="26"/>
      <c r="MQ198" s="26"/>
      <c r="MR198" s="26"/>
      <c r="MS198" s="26"/>
      <c r="MT198" s="26"/>
      <c r="MU198" s="26"/>
      <c r="MV198" s="26"/>
      <c r="MW198" s="26"/>
      <c r="MX198" s="26"/>
      <c r="MY198" s="26"/>
      <c r="MZ198" s="26"/>
      <c r="NA198" s="26"/>
      <c r="NB198" s="26"/>
      <c r="NC198" s="26"/>
      <c r="ND198" s="26"/>
      <c r="NE198" s="26"/>
      <c r="NF198" s="26"/>
      <c r="NG198" s="26"/>
      <c r="NH198" s="26"/>
      <c r="NI198" s="26"/>
      <c r="NJ198" s="26"/>
      <c r="NK198" s="26"/>
      <c r="NL198" s="26"/>
      <c r="NM198" s="26"/>
      <c r="NN198" s="26"/>
      <c r="NO198" s="26"/>
      <c r="NP198" s="26"/>
      <c r="NQ198" s="26"/>
      <c r="NR198" s="26"/>
      <c r="NS198" s="26"/>
      <c r="NT198" s="26"/>
      <c r="NU198" s="26"/>
      <c r="NV198" s="26"/>
      <c r="NW198" s="26"/>
      <c r="NX198" s="26"/>
      <c r="NY198" s="26"/>
      <c r="NZ198" s="26"/>
      <c r="OA198" s="26"/>
      <c r="OB198" s="26"/>
      <c r="OC198" s="26"/>
      <c r="OD198" s="26"/>
      <c r="OE198" s="26"/>
      <c r="OF198" s="26"/>
      <c r="OG198" s="26"/>
      <c r="OH198" s="26"/>
      <c r="OI198" s="26"/>
      <c r="OJ198" s="26"/>
      <c r="OK198" s="26"/>
      <c r="OL198" s="26"/>
      <c r="OM198" s="26"/>
      <c r="ON198" s="26"/>
      <c r="OO198" s="26"/>
      <c r="OP198" s="26"/>
      <c r="OQ198" s="26"/>
      <c r="OR198" s="26"/>
      <c r="OS198" s="26"/>
      <c r="OT198" s="26"/>
      <c r="OU198" s="26"/>
      <c r="OV198" s="26"/>
      <c r="OW198" s="26"/>
      <c r="OX198" s="26"/>
      <c r="OY198" s="26"/>
      <c r="OZ198" s="26"/>
      <c r="PA198" s="26"/>
      <c r="PB198" s="26"/>
      <c r="PC198" s="26"/>
      <c r="PD198" s="26"/>
      <c r="PE198" s="26"/>
      <c r="PF198" s="26"/>
      <c r="PG198" s="26"/>
      <c r="PH198" s="26"/>
      <c r="PI198" s="26"/>
      <c r="PJ198" s="26"/>
      <c r="PK198" s="26"/>
      <c r="PL198" s="26"/>
      <c r="PM198" s="26"/>
      <c r="PN198" s="26"/>
      <c r="PO198" s="26"/>
      <c r="PP198" s="26"/>
      <c r="PQ198" s="26"/>
      <c r="PR198" s="26"/>
      <c r="PS198" s="26"/>
      <c r="PT198" s="26"/>
      <c r="PU198" s="26"/>
      <c r="PV198" s="26"/>
      <c r="PW198" s="26"/>
      <c r="PX198" s="26"/>
      <c r="PY198" s="26"/>
      <c r="PZ198" s="26"/>
      <c r="QA198" s="26"/>
      <c r="QB198" s="26"/>
      <c r="QC198" s="26"/>
      <c r="QD198" s="26"/>
      <c r="QE198" s="26"/>
      <c r="QF198" s="26"/>
      <c r="QG198" s="26"/>
      <c r="QH198" s="26"/>
      <c r="QI198" s="26"/>
      <c r="QJ198" s="26"/>
      <c r="QK198" s="26"/>
      <c r="QL198" s="26"/>
      <c r="QM198" s="26"/>
      <c r="QN198" s="26"/>
      <c r="QO198" s="26"/>
      <c r="QP198" s="26"/>
      <c r="QQ198" s="26"/>
      <c r="QR198" s="26"/>
      <c r="QS198" s="26"/>
      <c r="QT198" s="26"/>
      <c r="QU198" s="26"/>
      <c r="QV198" s="26"/>
      <c r="QW198" s="26"/>
      <c r="QX198" s="26"/>
      <c r="QY198" s="26"/>
      <c r="QZ198" s="26"/>
      <c r="RA198" s="26"/>
      <c r="RB198" s="26"/>
      <c r="RC198" s="26"/>
      <c r="RD198" s="26"/>
      <c r="RE198" s="26"/>
      <c r="RF198" s="26"/>
      <c r="RG198" s="26"/>
      <c r="RH198" s="26"/>
      <c r="RI198" s="26"/>
      <c r="RJ198" s="26"/>
      <c r="RK198" s="26"/>
      <c r="RL198" s="26"/>
      <c r="RM198" s="26"/>
      <c r="RN198" s="26"/>
      <c r="RO198" s="26"/>
      <c r="RP198" s="26"/>
      <c r="RQ198" s="26"/>
      <c r="RR198" s="26"/>
      <c r="RS198" s="26"/>
      <c r="RT198" s="26"/>
      <c r="RU198" s="26"/>
      <c r="RV198" s="26"/>
      <c r="RW198" s="26"/>
      <c r="RX198" s="26"/>
      <c r="RY198" s="26"/>
      <c r="RZ198" s="26"/>
      <c r="SA198" s="26"/>
      <c r="SB198" s="26"/>
      <c r="SC198" s="26"/>
      <c r="SD198" s="26"/>
      <c r="SE198" s="26"/>
      <c r="SF198" s="26"/>
      <c r="SG198" s="26"/>
      <c r="SH198" s="26"/>
      <c r="SI198" s="26"/>
      <c r="SJ198" s="26"/>
      <c r="SK198" s="26"/>
      <c r="SL198" s="26"/>
      <c r="SM198" s="26"/>
      <c r="SN198" s="26"/>
      <c r="SO198" s="26"/>
      <c r="SP198" s="26"/>
      <c r="SQ198" s="26"/>
      <c r="SR198" s="26"/>
      <c r="SS198" s="26"/>
      <c r="ST198" s="26"/>
      <c r="SU198" s="26"/>
      <c r="SV198" s="26"/>
      <c r="SW198" s="26"/>
      <c r="SX198" s="26"/>
      <c r="SY198" s="26"/>
      <c r="SZ198" s="26"/>
      <c r="TA198" s="26"/>
      <c r="TB198" s="26"/>
      <c r="TC198" s="26"/>
      <c r="TD198" s="26"/>
      <c r="TE198" s="26"/>
      <c r="TF198" s="26"/>
      <c r="TG198" s="26"/>
      <c r="TH198" s="26"/>
      <c r="TI198" s="26"/>
    </row>
    <row r="199" spans="1:529" s="23" customFormat="1" ht="33.75" customHeight="1" x14ac:dyDescent="0.25">
      <c r="A199" s="43">
        <v>3718330</v>
      </c>
      <c r="B199" s="44">
        <f>'дод 3'!A140</f>
        <v>8330</v>
      </c>
      <c r="C199" s="44">
        <f>'дод 3'!B140</f>
        <v>540</v>
      </c>
      <c r="D199" s="24" t="str">
        <f>'дод 3'!C140</f>
        <v xml:space="preserve">Інша діяльність у сфері екології та охорони природних ресурсів </v>
      </c>
      <c r="E199" s="69">
        <f t="shared" si="126"/>
        <v>75000</v>
      </c>
      <c r="F199" s="69">
        <v>75000</v>
      </c>
      <c r="G199" s="69"/>
      <c r="H199" s="69"/>
      <c r="I199" s="69"/>
      <c r="J199" s="69">
        <f t="shared" si="128"/>
        <v>0</v>
      </c>
      <c r="K199" s="69"/>
      <c r="L199" s="69"/>
      <c r="M199" s="69"/>
      <c r="N199" s="69"/>
      <c r="O199" s="69"/>
      <c r="P199" s="69">
        <f t="shared" si="127"/>
        <v>75000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</row>
    <row r="200" spans="1:529" s="23" customFormat="1" ht="26.25" customHeight="1" x14ac:dyDescent="0.25">
      <c r="A200" s="43" t="s">
        <v>258</v>
      </c>
      <c r="B200" s="44" t="str">
        <f>'дод 3'!A141</f>
        <v>8340</v>
      </c>
      <c r="C200" s="43" t="str">
        <f>'дод 3'!B141</f>
        <v>0540</v>
      </c>
      <c r="D200" s="24" t="str">
        <f>'дод 3'!C141</f>
        <v>Природоохоронні заходи за рахунок цільових фондів</v>
      </c>
      <c r="E200" s="69">
        <f t="shared" si="126"/>
        <v>0</v>
      </c>
      <c r="F200" s="69"/>
      <c r="G200" s="69"/>
      <c r="H200" s="69"/>
      <c r="I200" s="69"/>
      <c r="J200" s="69">
        <f t="shared" si="128"/>
        <v>93500</v>
      </c>
      <c r="K200" s="69"/>
      <c r="L200" s="69">
        <f>45000+48500</f>
        <v>93500</v>
      </c>
      <c r="M200" s="69"/>
      <c r="N200" s="69"/>
      <c r="O200" s="69"/>
      <c r="P200" s="69">
        <f t="shared" si="127"/>
        <v>93500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</row>
    <row r="201" spans="1:529" s="23" customFormat="1" ht="27" customHeight="1" x14ac:dyDescent="0.25">
      <c r="A201" s="43" t="s">
        <v>259</v>
      </c>
      <c r="B201" s="44" t="str">
        <f>'дод 3'!A144</f>
        <v>8600</v>
      </c>
      <c r="C201" s="44" t="str">
        <f>'дод 3'!B144</f>
        <v>0170</v>
      </c>
      <c r="D201" s="24" t="str">
        <f>'дод 3'!C144</f>
        <v>Обслуговування місцевого боргу</v>
      </c>
      <c r="E201" s="69">
        <f t="shared" si="126"/>
        <v>712065</v>
      </c>
      <c r="F201" s="69">
        <f>28187+238378+445500</f>
        <v>712065</v>
      </c>
      <c r="G201" s="69"/>
      <c r="H201" s="69"/>
      <c r="I201" s="69"/>
      <c r="J201" s="69">
        <f t="shared" si="128"/>
        <v>0</v>
      </c>
      <c r="K201" s="69"/>
      <c r="L201" s="69"/>
      <c r="M201" s="69"/>
      <c r="N201" s="69"/>
      <c r="O201" s="69"/>
      <c r="P201" s="69">
        <f t="shared" si="127"/>
        <v>712065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</row>
    <row r="202" spans="1:529" s="23" customFormat="1" ht="21" customHeight="1" x14ac:dyDescent="0.25">
      <c r="A202" s="43" t="s">
        <v>273</v>
      </c>
      <c r="B202" s="44" t="str">
        <f>'дод 3'!A145</f>
        <v>8700</v>
      </c>
      <c r="C202" s="44" t="str">
        <f>'дод 3'!B145</f>
        <v>0133</v>
      </c>
      <c r="D202" s="24" t="str">
        <f>'дод 3'!C145</f>
        <v>Резервний фонд</v>
      </c>
      <c r="E202" s="69">
        <f>20000000+40000+102390-13000000</f>
        <v>7142390</v>
      </c>
      <c r="F202" s="69"/>
      <c r="G202" s="69"/>
      <c r="H202" s="69"/>
      <c r="I202" s="69"/>
      <c r="J202" s="69">
        <f t="shared" si="128"/>
        <v>0</v>
      </c>
      <c r="K202" s="69"/>
      <c r="L202" s="69"/>
      <c r="M202" s="69"/>
      <c r="N202" s="69"/>
      <c r="O202" s="69"/>
      <c r="P202" s="69">
        <f t="shared" si="127"/>
        <v>7142390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  <c r="MA202" s="26"/>
      <c r="MB202" s="26"/>
      <c r="MC202" s="26"/>
      <c r="MD202" s="26"/>
      <c r="ME202" s="26"/>
      <c r="MF202" s="26"/>
      <c r="MG202" s="26"/>
      <c r="MH202" s="26"/>
      <c r="MI202" s="26"/>
      <c r="MJ202" s="26"/>
      <c r="MK202" s="26"/>
      <c r="ML202" s="26"/>
      <c r="MM202" s="26"/>
      <c r="MN202" s="26"/>
      <c r="MO202" s="26"/>
      <c r="MP202" s="26"/>
      <c r="MQ202" s="26"/>
      <c r="MR202" s="26"/>
      <c r="MS202" s="26"/>
      <c r="MT202" s="26"/>
      <c r="MU202" s="26"/>
      <c r="MV202" s="26"/>
      <c r="MW202" s="26"/>
      <c r="MX202" s="26"/>
      <c r="MY202" s="26"/>
      <c r="MZ202" s="26"/>
      <c r="NA202" s="26"/>
      <c r="NB202" s="26"/>
      <c r="NC202" s="26"/>
      <c r="ND202" s="26"/>
      <c r="NE202" s="26"/>
      <c r="NF202" s="26"/>
      <c r="NG202" s="26"/>
      <c r="NH202" s="26"/>
      <c r="NI202" s="26"/>
      <c r="NJ202" s="26"/>
      <c r="NK202" s="26"/>
      <c r="NL202" s="26"/>
      <c r="NM202" s="26"/>
      <c r="NN202" s="26"/>
      <c r="NO202" s="26"/>
      <c r="NP202" s="26"/>
      <c r="NQ202" s="26"/>
      <c r="NR202" s="26"/>
      <c r="NS202" s="26"/>
      <c r="NT202" s="26"/>
      <c r="NU202" s="26"/>
      <c r="NV202" s="26"/>
      <c r="NW202" s="26"/>
      <c r="NX202" s="26"/>
      <c r="NY202" s="26"/>
      <c r="NZ202" s="26"/>
      <c r="OA202" s="26"/>
      <c r="OB202" s="26"/>
      <c r="OC202" s="26"/>
      <c r="OD202" s="26"/>
      <c r="OE202" s="26"/>
      <c r="OF202" s="26"/>
      <c r="OG202" s="26"/>
      <c r="OH202" s="26"/>
      <c r="OI202" s="26"/>
      <c r="OJ202" s="26"/>
      <c r="OK202" s="26"/>
      <c r="OL202" s="26"/>
      <c r="OM202" s="26"/>
      <c r="ON202" s="26"/>
      <c r="OO202" s="26"/>
      <c r="OP202" s="26"/>
      <c r="OQ202" s="26"/>
      <c r="OR202" s="26"/>
      <c r="OS202" s="26"/>
      <c r="OT202" s="26"/>
      <c r="OU202" s="26"/>
      <c r="OV202" s="26"/>
      <c r="OW202" s="26"/>
      <c r="OX202" s="26"/>
      <c r="OY202" s="26"/>
      <c r="OZ202" s="26"/>
      <c r="PA202" s="26"/>
      <c r="PB202" s="26"/>
      <c r="PC202" s="26"/>
      <c r="PD202" s="26"/>
      <c r="PE202" s="26"/>
      <c r="PF202" s="26"/>
      <c r="PG202" s="26"/>
      <c r="PH202" s="26"/>
      <c r="PI202" s="26"/>
      <c r="PJ202" s="26"/>
      <c r="PK202" s="26"/>
      <c r="PL202" s="26"/>
      <c r="PM202" s="26"/>
      <c r="PN202" s="26"/>
      <c r="PO202" s="26"/>
      <c r="PP202" s="26"/>
      <c r="PQ202" s="26"/>
      <c r="PR202" s="26"/>
      <c r="PS202" s="26"/>
      <c r="PT202" s="26"/>
      <c r="PU202" s="26"/>
      <c r="PV202" s="26"/>
      <c r="PW202" s="26"/>
      <c r="PX202" s="26"/>
      <c r="PY202" s="26"/>
      <c r="PZ202" s="26"/>
      <c r="QA202" s="26"/>
      <c r="QB202" s="26"/>
      <c r="QC202" s="26"/>
      <c r="QD202" s="26"/>
      <c r="QE202" s="26"/>
      <c r="QF202" s="26"/>
      <c r="QG202" s="26"/>
      <c r="QH202" s="26"/>
      <c r="QI202" s="26"/>
      <c r="QJ202" s="26"/>
      <c r="QK202" s="26"/>
      <c r="QL202" s="26"/>
      <c r="QM202" s="26"/>
      <c r="QN202" s="26"/>
      <c r="QO202" s="26"/>
      <c r="QP202" s="26"/>
      <c r="QQ202" s="26"/>
      <c r="QR202" s="26"/>
      <c r="QS202" s="26"/>
      <c r="QT202" s="26"/>
      <c r="QU202" s="26"/>
      <c r="QV202" s="26"/>
      <c r="QW202" s="26"/>
      <c r="QX202" s="26"/>
      <c r="QY202" s="26"/>
      <c r="QZ202" s="26"/>
      <c r="RA202" s="26"/>
      <c r="RB202" s="26"/>
      <c r="RC202" s="26"/>
      <c r="RD202" s="26"/>
      <c r="RE202" s="26"/>
      <c r="RF202" s="26"/>
      <c r="RG202" s="26"/>
      <c r="RH202" s="26"/>
      <c r="RI202" s="26"/>
      <c r="RJ202" s="26"/>
      <c r="RK202" s="26"/>
      <c r="RL202" s="26"/>
      <c r="RM202" s="26"/>
      <c r="RN202" s="26"/>
      <c r="RO202" s="26"/>
      <c r="RP202" s="26"/>
      <c r="RQ202" s="26"/>
      <c r="RR202" s="26"/>
      <c r="RS202" s="26"/>
      <c r="RT202" s="26"/>
      <c r="RU202" s="26"/>
      <c r="RV202" s="26"/>
      <c r="RW202" s="26"/>
      <c r="RX202" s="26"/>
      <c r="RY202" s="26"/>
      <c r="RZ202" s="26"/>
      <c r="SA202" s="26"/>
      <c r="SB202" s="26"/>
      <c r="SC202" s="26"/>
      <c r="SD202" s="26"/>
      <c r="SE202" s="26"/>
      <c r="SF202" s="26"/>
      <c r="SG202" s="26"/>
      <c r="SH202" s="26"/>
      <c r="SI202" s="26"/>
      <c r="SJ202" s="26"/>
      <c r="SK202" s="26"/>
      <c r="SL202" s="26"/>
      <c r="SM202" s="26"/>
      <c r="SN202" s="26"/>
      <c r="SO202" s="26"/>
      <c r="SP202" s="26"/>
      <c r="SQ202" s="26"/>
      <c r="SR202" s="26"/>
      <c r="SS202" s="26"/>
      <c r="ST202" s="26"/>
      <c r="SU202" s="26"/>
      <c r="SV202" s="26"/>
      <c r="SW202" s="26"/>
      <c r="SX202" s="26"/>
      <c r="SY202" s="26"/>
      <c r="SZ202" s="26"/>
      <c r="TA202" s="26"/>
      <c r="TB202" s="26"/>
      <c r="TC202" s="26"/>
      <c r="TD202" s="26"/>
      <c r="TE202" s="26"/>
      <c r="TF202" s="26"/>
      <c r="TG202" s="26"/>
      <c r="TH202" s="26"/>
      <c r="TI202" s="26"/>
    </row>
    <row r="203" spans="1:529" s="23" customFormat="1" ht="22.5" customHeight="1" x14ac:dyDescent="0.25">
      <c r="A203" s="43" t="s">
        <v>274</v>
      </c>
      <c r="B203" s="44" t="str">
        <f>'дод 3'!A148</f>
        <v>9110</v>
      </c>
      <c r="C203" s="44" t="str">
        <f>'дод 3'!B148</f>
        <v>0180</v>
      </c>
      <c r="D203" s="24" t="str">
        <f>'дод 3'!C148</f>
        <v>Реверсна дотація</v>
      </c>
      <c r="E203" s="69">
        <f>F203+I203</f>
        <v>108116600</v>
      </c>
      <c r="F203" s="69">
        <v>108116600</v>
      </c>
      <c r="G203" s="69"/>
      <c r="H203" s="69"/>
      <c r="I203" s="69"/>
      <c r="J203" s="69">
        <f t="shared" si="128"/>
        <v>0</v>
      </c>
      <c r="K203" s="69"/>
      <c r="L203" s="69"/>
      <c r="M203" s="69"/>
      <c r="N203" s="69"/>
      <c r="O203" s="69"/>
      <c r="P203" s="69">
        <f t="shared" si="127"/>
        <v>108116600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  <c r="MA203" s="26"/>
      <c r="MB203" s="26"/>
      <c r="MC203" s="26"/>
      <c r="MD203" s="26"/>
      <c r="ME203" s="26"/>
      <c r="MF203" s="26"/>
      <c r="MG203" s="26"/>
      <c r="MH203" s="26"/>
      <c r="MI203" s="26"/>
      <c r="MJ203" s="26"/>
      <c r="MK203" s="26"/>
      <c r="ML203" s="26"/>
      <c r="MM203" s="26"/>
      <c r="MN203" s="26"/>
      <c r="MO203" s="26"/>
      <c r="MP203" s="26"/>
      <c r="MQ203" s="26"/>
      <c r="MR203" s="26"/>
      <c r="MS203" s="26"/>
      <c r="MT203" s="26"/>
      <c r="MU203" s="26"/>
      <c r="MV203" s="26"/>
      <c r="MW203" s="26"/>
      <c r="MX203" s="26"/>
      <c r="MY203" s="26"/>
      <c r="MZ203" s="26"/>
      <c r="NA203" s="26"/>
      <c r="NB203" s="26"/>
      <c r="NC203" s="26"/>
      <c r="ND203" s="26"/>
      <c r="NE203" s="26"/>
      <c r="NF203" s="26"/>
      <c r="NG203" s="26"/>
      <c r="NH203" s="26"/>
      <c r="NI203" s="26"/>
      <c r="NJ203" s="26"/>
      <c r="NK203" s="26"/>
      <c r="NL203" s="26"/>
      <c r="NM203" s="26"/>
      <c r="NN203" s="26"/>
      <c r="NO203" s="26"/>
      <c r="NP203" s="26"/>
      <c r="NQ203" s="26"/>
      <c r="NR203" s="26"/>
      <c r="NS203" s="26"/>
      <c r="NT203" s="26"/>
      <c r="NU203" s="26"/>
      <c r="NV203" s="26"/>
      <c r="NW203" s="26"/>
      <c r="NX203" s="26"/>
      <c r="NY203" s="26"/>
      <c r="NZ203" s="26"/>
      <c r="OA203" s="26"/>
      <c r="OB203" s="26"/>
      <c r="OC203" s="26"/>
      <c r="OD203" s="26"/>
      <c r="OE203" s="26"/>
      <c r="OF203" s="26"/>
      <c r="OG203" s="26"/>
      <c r="OH203" s="26"/>
      <c r="OI203" s="26"/>
      <c r="OJ203" s="26"/>
      <c r="OK203" s="26"/>
      <c r="OL203" s="26"/>
      <c r="OM203" s="26"/>
      <c r="ON203" s="26"/>
      <c r="OO203" s="26"/>
      <c r="OP203" s="26"/>
      <c r="OQ203" s="26"/>
      <c r="OR203" s="26"/>
      <c r="OS203" s="26"/>
      <c r="OT203" s="26"/>
      <c r="OU203" s="26"/>
      <c r="OV203" s="26"/>
      <c r="OW203" s="26"/>
      <c r="OX203" s="26"/>
      <c r="OY203" s="26"/>
      <c r="OZ203" s="26"/>
      <c r="PA203" s="26"/>
      <c r="PB203" s="26"/>
      <c r="PC203" s="26"/>
      <c r="PD203" s="26"/>
      <c r="PE203" s="26"/>
      <c r="PF203" s="26"/>
      <c r="PG203" s="26"/>
      <c r="PH203" s="26"/>
      <c r="PI203" s="26"/>
      <c r="PJ203" s="26"/>
      <c r="PK203" s="26"/>
      <c r="PL203" s="26"/>
      <c r="PM203" s="26"/>
      <c r="PN203" s="26"/>
      <c r="PO203" s="26"/>
      <c r="PP203" s="26"/>
      <c r="PQ203" s="26"/>
      <c r="PR203" s="26"/>
      <c r="PS203" s="26"/>
      <c r="PT203" s="26"/>
      <c r="PU203" s="26"/>
      <c r="PV203" s="26"/>
      <c r="PW203" s="26"/>
      <c r="PX203" s="26"/>
      <c r="PY203" s="26"/>
      <c r="PZ203" s="26"/>
      <c r="QA203" s="26"/>
      <c r="QB203" s="26"/>
      <c r="QC203" s="26"/>
      <c r="QD203" s="26"/>
      <c r="QE203" s="26"/>
      <c r="QF203" s="26"/>
      <c r="QG203" s="26"/>
      <c r="QH203" s="26"/>
      <c r="QI203" s="26"/>
      <c r="QJ203" s="26"/>
      <c r="QK203" s="26"/>
      <c r="QL203" s="26"/>
      <c r="QM203" s="26"/>
      <c r="QN203" s="26"/>
      <c r="QO203" s="26"/>
      <c r="QP203" s="26"/>
      <c r="QQ203" s="26"/>
      <c r="QR203" s="26"/>
      <c r="QS203" s="26"/>
      <c r="QT203" s="26"/>
      <c r="QU203" s="26"/>
      <c r="QV203" s="26"/>
      <c r="QW203" s="26"/>
      <c r="QX203" s="26"/>
      <c r="QY203" s="26"/>
      <c r="QZ203" s="26"/>
      <c r="RA203" s="26"/>
      <c r="RB203" s="26"/>
      <c r="RC203" s="26"/>
      <c r="RD203" s="26"/>
      <c r="RE203" s="26"/>
      <c r="RF203" s="26"/>
      <c r="RG203" s="26"/>
      <c r="RH203" s="26"/>
      <c r="RI203" s="26"/>
      <c r="RJ203" s="26"/>
      <c r="RK203" s="26"/>
      <c r="RL203" s="26"/>
      <c r="RM203" s="26"/>
      <c r="RN203" s="26"/>
      <c r="RO203" s="26"/>
      <c r="RP203" s="26"/>
      <c r="RQ203" s="26"/>
      <c r="RR203" s="26"/>
      <c r="RS203" s="26"/>
      <c r="RT203" s="26"/>
      <c r="RU203" s="26"/>
      <c r="RV203" s="26"/>
      <c r="RW203" s="26"/>
      <c r="RX203" s="26"/>
      <c r="RY203" s="26"/>
      <c r="RZ203" s="26"/>
      <c r="SA203" s="26"/>
      <c r="SB203" s="26"/>
      <c r="SC203" s="26"/>
      <c r="SD203" s="26"/>
      <c r="SE203" s="26"/>
      <c r="SF203" s="26"/>
      <c r="SG203" s="26"/>
      <c r="SH203" s="26"/>
      <c r="SI203" s="26"/>
      <c r="SJ203" s="26"/>
      <c r="SK203" s="26"/>
      <c r="SL203" s="26"/>
      <c r="SM203" s="26"/>
      <c r="SN203" s="26"/>
      <c r="SO203" s="26"/>
      <c r="SP203" s="26"/>
      <c r="SQ203" s="26"/>
      <c r="SR203" s="26"/>
      <c r="SS203" s="26"/>
      <c r="ST203" s="26"/>
      <c r="SU203" s="26"/>
      <c r="SV203" s="26"/>
      <c r="SW203" s="26"/>
      <c r="SX203" s="26"/>
      <c r="SY203" s="26"/>
      <c r="SZ203" s="26"/>
      <c r="TA203" s="26"/>
      <c r="TB203" s="26"/>
      <c r="TC203" s="26"/>
      <c r="TD203" s="26"/>
      <c r="TE203" s="26"/>
      <c r="TF203" s="26"/>
      <c r="TG203" s="26"/>
      <c r="TH203" s="26"/>
      <c r="TI203" s="26"/>
    </row>
    <row r="204" spans="1:529" s="31" customFormat="1" ht="24.75" customHeight="1" x14ac:dyDescent="0.2">
      <c r="A204" s="90"/>
      <c r="B204" s="74"/>
      <c r="C204" s="79"/>
      <c r="D204" s="30" t="s">
        <v>27</v>
      </c>
      <c r="E204" s="66">
        <f>E18+E52+E78+E96+E118+E123+E133+E161+E164+E178+E183+E186+E194</f>
        <v>2079769361.5900002</v>
      </c>
      <c r="F204" s="66">
        <f t="shared" ref="F204:P204" si="129">F18+F52+F78+F96+F118+F123+F133+F161+F164+F178+F183+F186+F194</f>
        <v>2007625533.5900002</v>
      </c>
      <c r="G204" s="66">
        <f t="shared" si="129"/>
        <v>908969732</v>
      </c>
      <c r="H204" s="66">
        <f t="shared" si="129"/>
        <v>121583763</v>
      </c>
      <c r="I204" s="66">
        <f t="shared" si="129"/>
        <v>65001438</v>
      </c>
      <c r="J204" s="66">
        <f t="shared" si="129"/>
        <v>599489667.1099999</v>
      </c>
      <c r="K204" s="66">
        <f t="shared" si="129"/>
        <v>438838420.47000003</v>
      </c>
      <c r="L204" s="66">
        <f t="shared" si="129"/>
        <v>144233011.00999999</v>
      </c>
      <c r="M204" s="66">
        <f t="shared" si="129"/>
        <v>9012497</v>
      </c>
      <c r="N204" s="66">
        <f t="shared" si="129"/>
        <v>3810541</v>
      </c>
      <c r="O204" s="66">
        <f t="shared" si="129"/>
        <v>455256656.10000002</v>
      </c>
      <c r="P204" s="66">
        <f t="shared" si="129"/>
        <v>2679259028.6999998</v>
      </c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ET204" s="38"/>
      <c r="EU204" s="38"/>
      <c r="EV204" s="38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8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  <c r="GB204" s="38"/>
      <c r="GC204" s="38"/>
      <c r="GD204" s="38"/>
      <c r="GE204" s="38"/>
      <c r="GF204" s="38"/>
      <c r="GG204" s="38"/>
      <c r="GH204" s="38"/>
      <c r="GI204" s="38"/>
      <c r="GJ204" s="38"/>
      <c r="GK204" s="38"/>
      <c r="GL204" s="38"/>
      <c r="GM204" s="38"/>
      <c r="GN204" s="38"/>
      <c r="GO204" s="38"/>
      <c r="GP204" s="38"/>
      <c r="GQ204" s="38"/>
      <c r="GR204" s="38"/>
      <c r="GS204" s="38"/>
      <c r="GT204" s="38"/>
      <c r="GU204" s="38"/>
      <c r="GV204" s="38"/>
      <c r="GW204" s="38"/>
      <c r="GX204" s="38"/>
      <c r="GY204" s="38"/>
      <c r="GZ204" s="38"/>
      <c r="HA204" s="38"/>
      <c r="HB204" s="38"/>
      <c r="HC204" s="38"/>
      <c r="HD204" s="38"/>
      <c r="HE204" s="38"/>
      <c r="HF204" s="38"/>
      <c r="HG204" s="38"/>
      <c r="HH204" s="38"/>
      <c r="HI204" s="38"/>
      <c r="HJ204" s="38"/>
      <c r="HK204" s="38"/>
      <c r="HL204" s="38"/>
      <c r="HM204" s="38"/>
      <c r="HN204" s="38"/>
      <c r="HO204" s="38"/>
      <c r="HP204" s="38"/>
      <c r="HQ204" s="38"/>
      <c r="HR204" s="38"/>
      <c r="HS204" s="38"/>
      <c r="HT204" s="38"/>
      <c r="HU204" s="38"/>
      <c r="HV204" s="38"/>
      <c r="HW204" s="38"/>
      <c r="HX204" s="38"/>
      <c r="HY204" s="38"/>
      <c r="HZ204" s="38"/>
      <c r="IA204" s="38"/>
      <c r="IB204" s="38"/>
      <c r="IC204" s="38"/>
      <c r="ID204" s="38"/>
      <c r="IE204" s="38"/>
      <c r="IF204" s="38"/>
      <c r="IG204" s="38"/>
      <c r="IH204" s="38"/>
      <c r="II204" s="38"/>
      <c r="IJ204" s="38"/>
      <c r="IK204" s="38"/>
      <c r="IL204" s="38"/>
      <c r="IM204" s="38"/>
      <c r="IN204" s="38"/>
      <c r="IO204" s="38"/>
      <c r="IP204" s="38"/>
      <c r="IQ204" s="38"/>
      <c r="IR204" s="38"/>
      <c r="IS204" s="38"/>
      <c r="IT204" s="38"/>
      <c r="IU204" s="38"/>
      <c r="IV204" s="38"/>
      <c r="IW204" s="38"/>
      <c r="IX204" s="38"/>
      <c r="IY204" s="38"/>
      <c r="IZ204" s="38"/>
      <c r="JA204" s="38"/>
      <c r="JB204" s="38"/>
      <c r="JC204" s="38"/>
      <c r="JD204" s="38"/>
      <c r="JE204" s="38"/>
      <c r="JF204" s="38"/>
      <c r="JG204" s="38"/>
      <c r="JH204" s="38"/>
      <c r="JI204" s="38"/>
      <c r="JJ204" s="38"/>
      <c r="JK204" s="38"/>
      <c r="JL204" s="38"/>
      <c r="JM204" s="38"/>
      <c r="JN204" s="38"/>
      <c r="JO204" s="38"/>
      <c r="JP204" s="38"/>
      <c r="JQ204" s="38"/>
      <c r="JR204" s="38"/>
      <c r="JS204" s="38"/>
      <c r="JT204" s="38"/>
      <c r="JU204" s="38"/>
      <c r="JV204" s="38"/>
      <c r="JW204" s="38"/>
      <c r="JX204" s="38"/>
      <c r="JY204" s="38"/>
      <c r="JZ204" s="38"/>
      <c r="KA204" s="38"/>
      <c r="KB204" s="38"/>
      <c r="KC204" s="38"/>
      <c r="KD204" s="38"/>
      <c r="KE204" s="38"/>
      <c r="KF204" s="38"/>
      <c r="KG204" s="38"/>
      <c r="KH204" s="38"/>
      <c r="KI204" s="38"/>
      <c r="KJ204" s="38"/>
      <c r="KK204" s="38"/>
      <c r="KL204" s="38"/>
      <c r="KM204" s="38"/>
      <c r="KN204" s="38"/>
      <c r="KO204" s="38"/>
      <c r="KP204" s="38"/>
      <c r="KQ204" s="38"/>
      <c r="KR204" s="38"/>
      <c r="KS204" s="38"/>
      <c r="KT204" s="38"/>
      <c r="KU204" s="38"/>
      <c r="KV204" s="38"/>
      <c r="KW204" s="38"/>
      <c r="KX204" s="38"/>
      <c r="KY204" s="38"/>
      <c r="KZ204" s="38"/>
      <c r="LA204" s="38"/>
      <c r="LB204" s="38"/>
      <c r="LC204" s="38"/>
      <c r="LD204" s="38"/>
      <c r="LE204" s="38"/>
      <c r="LF204" s="38"/>
      <c r="LG204" s="38"/>
      <c r="LH204" s="38"/>
      <c r="LI204" s="38"/>
      <c r="LJ204" s="38"/>
      <c r="LK204" s="38"/>
      <c r="LL204" s="38"/>
      <c r="LM204" s="38"/>
      <c r="LN204" s="38"/>
      <c r="LO204" s="38"/>
      <c r="LP204" s="38"/>
      <c r="LQ204" s="38"/>
      <c r="LR204" s="38"/>
      <c r="LS204" s="38"/>
      <c r="LT204" s="38"/>
      <c r="LU204" s="38"/>
      <c r="LV204" s="38"/>
      <c r="LW204" s="38"/>
      <c r="LX204" s="38"/>
      <c r="LY204" s="38"/>
      <c r="LZ204" s="38"/>
      <c r="MA204" s="38"/>
      <c r="MB204" s="38"/>
      <c r="MC204" s="38"/>
      <c r="MD204" s="38"/>
      <c r="ME204" s="38"/>
      <c r="MF204" s="38"/>
      <c r="MG204" s="38"/>
      <c r="MH204" s="38"/>
      <c r="MI204" s="38"/>
      <c r="MJ204" s="38"/>
      <c r="MK204" s="38"/>
      <c r="ML204" s="38"/>
      <c r="MM204" s="38"/>
      <c r="MN204" s="38"/>
      <c r="MO204" s="38"/>
      <c r="MP204" s="38"/>
      <c r="MQ204" s="38"/>
      <c r="MR204" s="38"/>
      <c r="MS204" s="38"/>
      <c r="MT204" s="38"/>
      <c r="MU204" s="38"/>
      <c r="MV204" s="38"/>
      <c r="MW204" s="38"/>
      <c r="MX204" s="38"/>
      <c r="MY204" s="38"/>
      <c r="MZ204" s="38"/>
      <c r="NA204" s="38"/>
      <c r="NB204" s="38"/>
      <c r="NC204" s="38"/>
      <c r="ND204" s="38"/>
      <c r="NE204" s="38"/>
      <c r="NF204" s="38"/>
      <c r="NG204" s="38"/>
      <c r="NH204" s="38"/>
      <c r="NI204" s="38"/>
      <c r="NJ204" s="38"/>
      <c r="NK204" s="38"/>
      <c r="NL204" s="38"/>
      <c r="NM204" s="38"/>
      <c r="NN204" s="38"/>
      <c r="NO204" s="38"/>
      <c r="NP204" s="38"/>
      <c r="NQ204" s="38"/>
      <c r="NR204" s="38"/>
      <c r="NS204" s="38"/>
      <c r="NT204" s="38"/>
      <c r="NU204" s="38"/>
      <c r="NV204" s="38"/>
      <c r="NW204" s="38"/>
      <c r="NX204" s="38"/>
      <c r="NY204" s="38"/>
      <c r="NZ204" s="38"/>
      <c r="OA204" s="38"/>
      <c r="OB204" s="38"/>
      <c r="OC204" s="38"/>
      <c r="OD204" s="38"/>
      <c r="OE204" s="38"/>
      <c r="OF204" s="38"/>
      <c r="OG204" s="38"/>
      <c r="OH204" s="38"/>
      <c r="OI204" s="38"/>
      <c r="OJ204" s="38"/>
      <c r="OK204" s="38"/>
      <c r="OL204" s="38"/>
      <c r="OM204" s="38"/>
      <c r="ON204" s="38"/>
      <c r="OO204" s="38"/>
      <c r="OP204" s="38"/>
      <c r="OQ204" s="38"/>
      <c r="OR204" s="38"/>
      <c r="OS204" s="38"/>
      <c r="OT204" s="38"/>
      <c r="OU204" s="38"/>
      <c r="OV204" s="38"/>
      <c r="OW204" s="38"/>
      <c r="OX204" s="38"/>
      <c r="OY204" s="38"/>
      <c r="OZ204" s="38"/>
      <c r="PA204" s="38"/>
      <c r="PB204" s="38"/>
      <c r="PC204" s="38"/>
      <c r="PD204" s="38"/>
      <c r="PE204" s="38"/>
      <c r="PF204" s="38"/>
      <c r="PG204" s="38"/>
      <c r="PH204" s="38"/>
      <c r="PI204" s="38"/>
      <c r="PJ204" s="38"/>
      <c r="PK204" s="38"/>
      <c r="PL204" s="38"/>
      <c r="PM204" s="38"/>
      <c r="PN204" s="38"/>
      <c r="PO204" s="38"/>
      <c r="PP204" s="38"/>
      <c r="PQ204" s="38"/>
      <c r="PR204" s="38"/>
      <c r="PS204" s="38"/>
      <c r="PT204" s="38"/>
      <c r="PU204" s="38"/>
      <c r="PV204" s="38"/>
      <c r="PW204" s="38"/>
      <c r="PX204" s="38"/>
      <c r="PY204" s="38"/>
      <c r="PZ204" s="38"/>
      <c r="QA204" s="38"/>
      <c r="QB204" s="38"/>
      <c r="QC204" s="38"/>
      <c r="QD204" s="38"/>
      <c r="QE204" s="38"/>
      <c r="QF204" s="38"/>
      <c r="QG204" s="38"/>
      <c r="QH204" s="38"/>
      <c r="QI204" s="38"/>
      <c r="QJ204" s="38"/>
      <c r="QK204" s="38"/>
      <c r="QL204" s="38"/>
      <c r="QM204" s="38"/>
      <c r="QN204" s="38"/>
      <c r="QO204" s="38"/>
      <c r="QP204" s="38"/>
      <c r="QQ204" s="38"/>
      <c r="QR204" s="38"/>
      <c r="QS204" s="38"/>
      <c r="QT204" s="38"/>
      <c r="QU204" s="38"/>
      <c r="QV204" s="38"/>
      <c r="QW204" s="38"/>
      <c r="QX204" s="38"/>
      <c r="QY204" s="38"/>
      <c r="QZ204" s="38"/>
      <c r="RA204" s="38"/>
      <c r="RB204" s="38"/>
      <c r="RC204" s="38"/>
      <c r="RD204" s="38"/>
      <c r="RE204" s="38"/>
      <c r="RF204" s="38"/>
      <c r="RG204" s="38"/>
      <c r="RH204" s="38"/>
      <c r="RI204" s="38"/>
      <c r="RJ204" s="38"/>
      <c r="RK204" s="38"/>
      <c r="RL204" s="38"/>
      <c r="RM204" s="38"/>
      <c r="RN204" s="38"/>
      <c r="RO204" s="38"/>
      <c r="RP204" s="38"/>
      <c r="RQ204" s="38"/>
      <c r="RR204" s="38"/>
      <c r="RS204" s="38"/>
      <c r="RT204" s="38"/>
      <c r="RU204" s="38"/>
      <c r="RV204" s="38"/>
      <c r="RW204" s="38"/>
      <c r="RX204" s="38"/>
      <c r="RY204" s="38"/>
      <c r="RZ204" s="38"/>
      <c r="SA204" s="38"/>
      <c r="SB204" s="38"/>
      <c r="SC204" s="38"/>
      <c r="SD204" s="38"/>
      <c r="SE204" s="38"/>
      <c r="SF204" s="38"/>
      <c r="SG204" s="38"/>
      <c r="SH204" s="38"/>
      <c r="SI204" s="38"/>
      <c r="SJ204" s="38"/>
      <c r="SK204" s="38"/>
      <c r="SL204" s="38"/>
      <c r="SM204" s="38"/>
      <c r="SN204" s="38"/>
      <c r="SO204" s="38"/>
      <c r="SP204" s="38"/>
      <c r="SQ204" s="38"/>
      <c r="SR204" s="38"/>
      <c r="SS204" s="38"/>
      <c r="ST204" s="38"/>
      <c r="SU204" s="38"/>
      <c r="SV204" s="38"/>
      <c r="SW204" s="38"/>
      <c r="SX204" s="38"/>
      <c r="SY204" s="38"/>
      <c r="SZ204" s="38"/>
      <c r="TA204" s="38"/>
      <c r="TB204" s="38"/>
      <c r="TC204" s="38"/>
      <c r="TD204" s="38"/>
      <c r="TE204" s="38"/>
      <c r="TF204" s="38"/>
      <c r="TG204" s="38"/>
      <c r="TH204" s="38"/>
      <c r="TI204" s="38"/>
    </row>
    <row r="205" spans="1:529" s="31" customFormat="1" ht="20.25" customHeight="1" x14ac:dyDescent="0.2">
      <c r="A205" s="90"/>
      <c r="B205" s="74"/>
      <c r="C205" s="79"/>
      <c r="D205" s="30" t="s">
        <v>308</v>
      </c>
      <c r="E205" s="66">
        <f>E54+E80+E135</f>
        <v>439414289</v>
      </c>
      <c r="F205" s="66">
        <f t="shared" ref="F205:P205" si="130">F54+F80+F135</f>
        <v>439414289</v>
      </c>
      <c r="G205" s="66">
        <f t="shared" si="130"/>
        <v>307191100</v>
      </c>
      <c r="H205" s="66">
        <f t="shared" si="130"/>
        <v>0</v>
      </c>
      <c r="I205" s="66">
        <f t="shared" si="130"/>
        <v>0</v>
      </c>
      <c r="J205" s="66">
        <f t="shared" si="130"/>
        <v>82674037.929999992</v>
      </c>
      <c r="K205" s="66">
        <f t="shared" si="130"/>
        <v>2674037.9300000002</v>
      </c>
      <c r="L205" s="66">
        <f t="shared" si="130"/>
        <v>80000000</v>
      </c>
      <c r="M205" s="66">
        <f t="shared" si="130"/>
        <v>0</v>
      </c>
      <c r="N205" s="66">
        <f t="shared" si="130"/>
        <v>0</v>
      </c>
      <c r="O205" s="66">
        <f t="shared" si="130"/>
        <v>2674037.9300000002</v>
      </c>
      <c r="P205" s="66">
        <f t="shared" si="130"/>
        <v>522088326.93000001</v>
      </c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  <c r="EI205" s="38"/>
      <c r="EJ205" s="38"/>
      <c r="EK205" s="38"/>
      <c r="EL205" s="38"/>
      <c r="EM205" s="38"/>
      <c r="EN205" s="38"/>
      <c r="EO205" s="38"/>
      <c r="EP205" s="38"/>
      <c r="EQ205" s="38"/>
      <c r="ER205" s="38"/>
      <c r="ES205" s="38"/>
      <c r="ET205" s="38"/>
      <c r="EU205" s="38"/>
      <c r="EV205" s="38"/>
      <c r="EW205" s="38"/>
      <c r="EX205" s="38"/>
      <c r="EY205" s="38"/>
      <c r="EZ205" s="38"/>
      <c r="FA205" s="38"/>
      <c r="FB205" s="38"/>
      <c r="FC205" s="38"/>
      <c r="FD205" s="38"/>
      <c r="FE205" s="38"/>
      <c r="FF205" s="38"/>
      <c r="FG205" s="38"/>
      <c r="FH205" s="38"/>
      <c r="FI205" s="38"/>
      <c r="FJ205" s="38"/>
      <c r="FK205" s="38"/>
      <c r="FL205" s="38"/>
      <c r="FM205" s="38"/>
      <c r="FN205" s="38"/>
      <c r="FO205" s="38"/>
      <c r="FP205" s="38"/>
      <c r="FQ205" s="38"/>
      <c r="FR205" s="38"/>
      <c r="FS205" s="38"/>
      <c r="FT205" s="38"/>
      <c r="FU205" s="38"/>
      <c r="FV205" s="38"/>
      <c r="FW205" s="38"/>
      <c r="FX205" s="38"/>
      <c r="FY205" s="38"/>
      <c r="FZ205" s="38"/>
      <c r="GA205" s="38"/>
      <c r="GB205" s="38"/>
      <c r="GC205" s="38"/>
      <c r="GD205" s="38"/>
      <c r="GE205" s="38"/>
      <c r="GF205" s="38"/>
      <c r="GG205" s="38"/>
      <c r="GH205" s="38"/>
      <c r="GI205" s="38"/>
      <c r="GJ205" s="38"/>
      <c r="GK205" s="38"/>
      <c r="GL205" s="38"/>
      <c r="GM205" s="38"/>
      <c r="GN205" s="38"/>
      <c r="GO205" s="38"/>
      <c r="GP205" s="38"/>
      <c r="GQ205" s="38"/>
      <c r="GR205" s="38"/>
      <c r="GS205" s="38"/>
      <c r="GT205" s="38"/>
      <c r="GU205" s="38"/>
      <c r="GV205" s="38"/>
      <c r="GW205" s="38"/>
      <c r="GX205" s="38"/>
      <c r="GY205" s="38"/>
      <c r="GZ205" s="38"/>
      <c r="HA205" s="38"/>
      <c r="HB205" s="38"/>
      <c r="HC205" s="38"/>
      <c r="HD205" s="38"/>
      <c r="HE205" s="38"/>
      <c r="HF205" s="38"/>
      <c r="HG205" s="38"/>
      <c r="HH205" s="38"/>
      <c r="HI205" s="38"/>
      <c r="HJ205" s="38"/>
      <c r="HK205" s="38"/>
      <c r="HL205" s="38"/>
      <c r="HM205" s="38"/>
      <c r="HN205" s="38"/>
      <c r="HO205" s="38"/>
      <c r="HP205" s="38"/>
      <c r="HQ205" s="38"/>
      <c r="HR205" s="38"/>
      <c r="HS205" s="38"/>
      <c r="HT205" s="38"/>
      <c r="HU205" s="38"/>
      <c r="HV205" s="38"/>
      <c r="HW205" s="38"/>
      <c r="HX205" s="38"/>
      <c r="HY205" s="38"/>
      <c r="HZ205" s="38"/>
      <c r="IA205" s="38"/>
      <c r="IB205" s="38"/>
      <c r="IC205" s="38"/>
      <c r="ID205" s="38"/>
      <c r="IE205" s="38"/>
      <c r="IF205" s="38"/>
      <c r="IG205" s="38"/>
      <c r="IH205" s="38"/>
      <c r="II205" s="38"/>
      <c r="IJ205" s="38"/>
      <c r="IK205" s="38"/>
      <c r="IL205" s="38"/>
      <c r="IM205" s="38"/>
      <c r="IN205" s="38"/>
      <c r="IO205" s="38"/>
      <c r="IP205" s="38"/>
      <c r="IQ205" s="38"/>
      <c r="IR205" s="38"/>
      <c r="IS205" s="38"/>
      <c r="IT205" s="38"/>
      <c r="IU205" s="38"/>
      <c r="IV205" s="38"/>
      <c r="IW205" s="38"/>
      <c r="IX205" s="38"/>
      <c r="IY205" s="38"/>
      <c r="IZ205" s="38"/>
      <c r="JA205" s="38"/>
      <c r="JB205" s="38"/>
      <c r="JC205" s="38"/>
      <c r="JD205" s="38"/>
      <c r="JE205" s="38"/>
      <c r="JF205" s="38"/>
      <c r="JG205" s="38"/>
      <c r="JH205" s="38"/>
      <c r="JI205" s="38"/>
      <c r="JJ205" s="38"/>
      <c r="JK205" s="38"/>
      <c r="JL205" s="38"/>
      <c r="JM205" s="38"/>
      <c r="JN205" s="38"/>
      <c r="JO205" s="38"/>
      <c r="JP205" s="38"/>
      <c r="JQ205" s="38"/>
      <c r="JR205" s="38"/>
      <c r="JS205" s="38"/>
      <c r="JT205" s="38"/>
      <c r="JU205" s="38"/>
      <c r="JV205" s="38"/>
      <c r="JW205" s="38"/>
      <c r="JX205" s="38"/>
      <c r="JY205" s="38"/>
      <c r="JZ205" s="38"/>
      <c r="KA205" s="38"/>
      <c r="KB205" s="38"/>
      <c r="KC205" s="38"/>
      <c r="KD205" s="38"/>
      <c r="KE205" s="38"/>
      <c r="KF205" s="38"/>
      <c r="KG205" s="38"/>
      <c r="KH205" s="38"/>
      <c r="KI205" s="38"/>
      <c r="KJ205" s="38"/>
      <c r="KK205" s="38"/>
      <c r="KL205" s="38"/>
      <c r="KM205" s="38"/>
      <c r="KN205" s="38"/>
      <c r="KO205" s="38"/>
      <c r="KP205" s="38"/>
      <c r="KQ205" s="38"/>
      <c r="KR205" s="38"/>
      <c r="KS205" s="38"/>
      <c r="KT205" s="38"/>
      <c r="KU205" s="38"/>
      <c r="KV205" s="38"/>
      <c r="KW205" s="38"/>
      <c r="KX205" s="38"/>
      <c r="KY205" s="38"/>
      <c r="KZ205" s="38"/>
      <c r="LA205" s="38"/>
      <c r="LB205" s="38"/>
      <c r="LC205" s="38"/>
      <c r="LD205" s="38"/>
      <c r="LE205" s="38"/>
      <c r="LF205" s="38"/>
      <c r="LG205" s="38"/>
      <c r="LH205" s="38"/>
      <c r="LI205" s="38"/>
      <c r="LJ205" s="38"/>
      <c r="LK205" s="38"/>
      <c r="LL205" s="38"/>
      <c r="LM205" s="38"/>
      <c r="LN205" s="38"/>
      <c r="LO205" s="38"/>
      <c r="LP205" s="38"/>
      <c r="LQ205" s="38"/>
      <c r="LR205" s="38"/>
      <c r="LS205" s="38"/>
      <c r="LT205" s="38"/>
      <c r="LU205" s="38"/>
      <c r="LV205" s="38"/>
      <c r="LW205" s="38"/>
      <c r="LX205" s="38"/>
      <c r="LY205" s="38"/>
      <c r="LZ205" s="38"/>
      <c r="MA205" s="38"/>
      <c r="MB205" s="38"/>
      <c r="MC205" s="38"/>
      <c r="MD205" s="38"/>
      <c r="ME205" s="38"/>
      <c r="MF205" s="38"/>
      <c r="MG205" s="38"/>
      <c r="MH205" s="38"/>
      <c r="MI205" s="38"/>
      <c r="MJ205" s="38"/>
      <c r="MK205" s="38"/>
      <c r="ML205" s="38"/>
      <c r="MM205" s="38"/>
      <c r="MN205" s="38"/>
      <c r="MO205" s="38"/>
      <c r="MP205" s="38"/>
      <c r="MQ205" s="38"/>
      <c r="MR205" s="38"/>
      <c r="MS205" s="38"/>
      <c r="MT205" s="38"/>
      <c r="MU205" s="38"/>
      <c r="MV205" s="38"/>
      <c r="MW205" s="38"/>
      <c r="MX205" s="38"/>
      <c r="MY205" s="38"/>
      <c r="MZ205" s="38"/>
      <c r="NA205" s="38"/>
      <c r="NB205" s="38"/>
      <c r="NC205" s="38"/>
      <c r="ND205" s="38"/>
      <c r="NE205" s="38"/>
      <c r="NF205" s="38"/>
      <c r="NG205" s="38"/>
      <c r="NH205" s="38"/>
      <c r="NI205" s="38"/>
      <c r="NJ205" s="38"/>
      <c r="NK205" s="38"/>
      <c r="NL205" s="38"/>
      <c r="NM205" s="38"/>
      <c r="NN205" s="38"/>
      <c r="NO205" s="38"/>
      <c r="NP205" s="38"/>
      <c r="NQ205" s="38"/>
      <c r="NR205" s="38"/>
      <c r="NS205" s="38"/>
      <c r="NT205" s="38"/>
      <c r="NU205" s="38"/>
      <c r="NV205" s="38"/>
      <c r="NW205" s="38"/>
      <c r="NX205" s="38"/>
      <c r="NY205" s="38"/>
      <c r="NZ205" s="38"/>
      <c r="OA205" s="38"/>
      <c r="OB205" s="38"/>
      <c r="OC205" s="38"/>
      <c r="OD205" s="38"/>
      <c r="OE205" s="38"/>
      <c r="OF205" s="38"/>
      <c r="OG205" s="38"/>
      <c r="OH205" s="38"/>
      <c r="OI205" s="38"/>
      <c r="OJ205" s="38"/>
      <c r="OK205" s="38"/>
      <c r="OL205" s="38"/>
      <c r="OM205" s="38"/>
      <c r="ON205" s="38"/>
      <c r="OO205" s="38"/>
      <c r="OP205" s="38"/>
      <c r="OQ205" s="38"/>
      <c r="OR205" s="38"/>
      <c r="OS205" s="38"/>
      <c r="OT205" s="38"/>
      <c r="OU205" s="38"/>
      <c r="OV205" s="38"/>
      <c r="OW205" s="38"/>
      <c r="OX205" s="38"/>
      <c r="OY205" s="38"/>
      <c r="OZ205" s="38"/>
      <c r="PA205" s="38"/>
      <c r="PB205" s="38"/>
      <c r="PC205" s="38"/>
      <c r="PD205" s="38"/>
      <c r="PE205" s="38"/>
      <c r="PF205" s="38"/>
      <c r="PG205" s="38"/>
      <c r="PH205" s="38"/>
      <c r="PI205" s="38"/>
      <c r="PJ205" s="38"/>
      <c r="PK205" s="38"/>
      <c r="PL205" s="38"/>
      <c r="PM205" s="38"/>
      <c r="PN205" s="38"/>
      <c r="PO205" s="38"/>
      <c r="PP205" s="38"/>
      <c r="PQ205" s="38"/>
      <c r="PR205" s="38"/>
      <c r="PS205" s="38"/>
      <c r="PT205" s="38"/>
      <c r="PU205" s="38"/>
      <c r="PV205" s="38"/>
      <c r="PW205" s="38"/>
      <c r="PX205" s="38"/>
      <c r="PY205" s="38"/>
      <c r="PZ205" s="38"/>
      <c r="QA205" s="38"/>
      <c r="QB205" s="38"/>
      <c r="QC205" s="38"/>
      <c r="QD205" s="38"/>
      <c r="QE205" s="38"/>
      <c r="QF205" s="38"/>
      <c r="QG205" s="38"/>
      <c r="QH205" s="38"/>
      <c r="QI205" s="38"/>
      <c r="QJ205" s="38"/>
      <c r="QK205" s="38"/>
      <c r="QL205" s="38"/>
      <c r="QM205" s="38"/>
      <c r="QN205" s="38"/>
      <c r="QO205" s="38"/>
      <c r="QP205" s="38"/>
      <c r="QQ205" s="38"/>
      <c r="QR205" s="38"/>
      <c r="QS205" s="38"/>
      <c r="QT205" s="38"/>
      <c r="QU205" s="38"/>
      <c r="QV205" s="38"/>
      <c r="QW205" s="38"/>
      <c r="QX205" s="38"/>
      <c r="QY205" s="38"/>
      <c r="QZ205" s="38"/>
      <c r="RA205" s="38"/>
      <c r="RB205" s="38"/>
      <c r="RC205" s="38"/>
      <c r="RD205" s="38"/>
      <c r="RE205" s="38"/>
      <c r="RF205" s="38"/>
      <c r="RG205" s="38"/>
      <c r="RH205" s="38"/>
      <c r="RI205" s="38"/>
      <c r="RJ205" s="38"/>
      <c r="RK205" s="38"/>
      <c r="RL205" s="38"/>
      <c r="RM205" s="38"/>
      <c r="RN205" s="38"/>
      <c r="RO205" s="38"/>
      <c r="RP205" s="38"/>
      <c r="RQ205" s="38"/>
      <c r="RR205" s="38"/>
      <c r="RS205" s="38"/>
      <c r="RT205" s="38"/>
      <c r="RU205" s="38"/>
      <c r="RV205" s="38"/>
      <c r="RW205" s="38"/>
      <c r="RX205" s="38"/>
      <c r="RY205" s="38"/>
      <c r="RZ205" s="38"/>
      <c r="SA205" s="38"/>
      <c r="SB205" s="38"/>
      <c r="SC205" s="38"/>
      <c r="SD205" s="38"/>
      <c r="SE205" s="38"/>
      <c r="SF205" s="38"/>
      <c r="SG205" s="38"/>
      <c r="SH205" s="38"/>
      <c r="SI205" s="38"/>
      <c r="SJ205" s="38"/>
      <c r="SK205" s="38"/>
      <c r="SL205" s="38"/>
      <c r="SM205" s="38"/>
      <c r="SN205" s="38"/>
      <c r="SO205" s="38"/>
      <c r="SP205" s="38"/>
      <c r="SQ205" s="38"/>
      <c r="SR205" s="38"/>
      <c r="SS205" s="38"/>
      <c r="ST205" s="38"/>
      <c r="SU205" s="38"/>
      <c r="SV205" s="38"/>
      <c r="SW205" s="38"/>
      <c r="SX205" s="38"/>
      <c r="SY205" s="38"/>
      <c r="SZ205" s="38"/>
      <c r="TA205" s="38"/>
      <c r="TB205" s="38"/>
      <c r="TC205" s="38"/>
      <c r="TD205" s="38"/>
      <c r="TE205" s="38"/>
      <c r="TF205" s="38"/>
      <c r="TG205" s="38"/>
      <c r="TH205" s="38"/>
      <c r="TI205" s="38"/>
    </row>
    <row r="206" spans="1:529" s="34" customFormat="1" x14ac:dyDescent="0.25">
      <c r="A206" s="91"/>
      <c r="B206" s="80"/>
      <c r="C206" s="80"/>
      <c r="D206" s="41"/>
      <c r="E206" s="59">
        <f>E204-'дод 3'!D152</f>
        <v>0</v>
      </c>
      <c r="F206" s="59">
        <f>F204-'дод 3'!E152</f>
        <v>0</v>
      </c>
      <c r="G206" s="59">
        <f>G204-'дод 3'!F152</f>
        <v>0</v>
      </c>
      <c r="H206" s="59">
        <f>H204-'дод 3'!G152</f>
        <v>0</v>
      </c>
      <c r="I206" s="59">
        <f>I204-'дод 3'!H152</f>
        <v>0</v>
      </c>
      <c r="J206" s="59">
        <f>J204-'дод 3'!I152</f>
        <v>0</v>
      </c>
      <c r="K206" s="59">
        <f>K204-'дод 3'!J152</f>
        <v>0</v>
      </c>
      <c r="L206" s="59">
        <f>L204-'дод 3'!K152</f>
        <v>0</v>
      </c>
      <c r="M206" s="59">
        <f>M204-'дод 3'!L152</f>
        <v>0</v>
      </c>
      <c r="N206" s="59">
        <f>N204-'дод 3'!M152</f>
        <v>0</v>
      </c>
      <c r="O206" s="59">
        <f>O204-'дод 3'!N152</f>
        <v>0</v>
      </c>
      <c r="P206" s="59">
        <f>P204-'дод 3'!O152</f>
        <v>0</v>
      </c>
    </row>
    <row r="207" spans="1:529" s="34" customFormat="1" ht="35.25" customHeight="1" x14ac:dyDescent="0.25">
      <c r="A207" s="91"/>
      <c r="B207" s="80"/>
      <c r="C207" s="80"/>
      <c r="D207" s="41"/>
      <c r="E207" s="59">
        <f>E205-'дод 3'!D153</f>
        <v>0</v>
      </c>
      <c r="F207" s="59">
        <f>F205-'дод 3'!E153</f>
        <v>0</v>
      </c>
      <c r="G207" s="59">
        <f>G205-'дод 3'!F153</f>
        <v>0</v>
      </c>
      <c r="H207" s="59">
        <f>H205-'дод 3'!G153</f>
        <v>0</v>
      </c>
      <c r="I207" s="59">
        <f>I205-'дод 3'!H153</f>
        <v>0</v>
      </c>
      <c r="J207" s="59">
        <f>J205-'дод 3'!I153</f>
        <v>0</v>
      </c>
      <c r="K207" s="59">
        <f>K205-'дод 3'!J153</f>
        <v>0</v>
      </c>
      <c r="L207" s="59">
        <f>L205-'дод 3'!K153</f>
        <v>0</v>
      </c>
      <c r="M207" s="59">
        <f>M205-'дод 3'!L153</f>
        <v>0</v>
      </c>
      <c r="N207" s="59">
        <f>N205-'дод 3'!M153</f>
        <v>0</v>
      </c>
      <c r="O207" s="59">
        <f>O205-'дод 3'!N153</f>
        <v>0</v>
      </c>
      <c r="P207" s="59">
        <f>P205-'дод 3'!O153</f>
        <v>0</v>
      </c>
    </row>
    <row r="208" spans="1:529" s="34" customFormat="1" x14ac:dyDescent="0.25">
      <c r="A208" s="91"/>
      <c r="B208" s="80"/>
      <c r="C208" s="80"/>
      <c r="D208" s="41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1:24" s="34" customFormat="1" x14ac:dyDescent="0.25">
      <c r="A209" s="91"/>
      <c r="B209" s="80"/>
      <c r="C209" s="80"/>
      <c r="D209" s="41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1:24" s="34" customFormat="1" ht="31.5" x14ac:dyDescent="0.45">
      <c r="A210" s="138" t="s">
        <v>459</v>
      </c>
      <c r="B210" s="138"/>
      <c r="C210" s="138"/>
      <c r="D210" s="138"/>
      <c r="E210" s="138"/>
      <c r="F210" s="138"/>
      <c r="G210" s="138"/>
      <c r="H210" s="138"/>
      <c r="I210" s="139"/>
      <c r="J210" s="139"/>
      <c r="K210" s="139"/>
      <c r="L210" s="140"/>
      <c r="M210" s="140"/>
      <c r="N210" s="154" t="s">
        <v>460</v>
      </c>
      <c r="O210" s="154"/>
      <c r="P210" s="154"/>
    </row>
    <row r="211" spans="1:24" s="34" customFormat="1" ht="35.25" customHeight="1" x14ac:dyDescent="0.5">
      <c r="A211" s="141"/>
      <c r="B211" s="141"/>
      <c r="C211" s="141"/>
      <c r="D211" s="142"/>
      <c r="E211" s="143"/>
      <c r="F211" s="143"/>
      <c r="G211" s="143"/>
      <c r="H211" s="143"/>
      <c r="I211" s="143"/>
      <c r="J211" s="143"/>
      <c r="K211" s="144"/>
      <c r="L211" s="143"/>
      <c r="M211" s="143"/>
      <c r="Q211" s="93"/>
      <c r="R211" s="93"/>
      <c r="S211" s="93"/>
      <c r="T211" s="93"/>
      <c r="U211" s="93"/>
    </row>
    <row r="212" spans="1:24" s="111" customFormat="1" ht="26.25" x14ac:dyDescent="0.4">
      <c r="A212" s="145" t="s">
        <v>461</v>
      </c>
      <c r="B212" s="112"/>
      <c r="C212" s="112"/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1:24" s="128" customFormat="1" ht="35.25" x14ac:dyDescent="0.5">
      <c r="A213" s="145" t="s">
        <v>462</v>
      </c>
      <c r="B213" s="112"/>
      <c r="C213" s="112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29"/>
      <c r="R213" s="129"/>
      <c r="S213" s="129"/>
      <c r="T213" s="129"/>
      <c r="U213" s="129"/>
      <c r="V213" s="129"/>
      <c r="W213" s="130"/>
      <c r="X213" s="131"/>
    </row>
    <row r="214" spans="1:24" s="104" customFormat="1" ht="14.25" x14ac:dyDescent="0.2">
      <c r="A214" s="100"/>
      <c r="B214" s="101"/>
      <c r="C214" s="101"/>
      <c r="D214" s="102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1:24" s="104" customFormat="1" ht="14.25" x14ac:dyDescent="0.2">
      <c r="A215" s="100"/>
      <c r="B215" s="101"/>
      <c r="C215" s="101"/>
      <c r="D215" s="102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1:24" s="34" customFormat="1" x14ac:dyDescent="0.25">
      <c r="A216" s="91"/>
      <c r="B216" s="108"/>
      <c r="C216" s="108"/>
      <c r="D216" s="41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60"/>
    </row>
    <row r="217" spans="1:24" s="34" customFormat="1" x14ac:dyDescent="0.25">
      <c r="A217" s="91"/>
      <c r="B217" s="108"/>
      <c r="C217" s="108"/>
      <c r="D217" s="41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60"/>
    </row>
    <row r="218" spans="1:24" s="34" customFormat="1" x14ac:dyDescent="0.25">
      <c r="A218" s="91"/>
      <c r="B218" s="108"/>
      <c r="C218" s="108"/>
      <c r="D218" s="41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60"/>
    </row>
    <row r="219" spans="1:24" s="34" customFormat="1" x14ac:dyDescent="0.25">
      <c r="A219" s="91"/>
      <c r="B219" s="108"/>
      <c r="C219" s="108"/>
      <c r="D219" s="41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</row>
    <row r="220" spans="1:24" s="34" customFormat="1" x14ac:dyDescent="0.25">
      <c r="A220" s="91"/>
      <c r="B220" s="108"/>
      <c r="C220" s="108"/>
      <c r="D220" s="41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</row>
    <row r="221" spans="1:24" s="34" customFormat="1" x14ac:dyDescent="0.25">
      <c r="A221" s="91"/>
      <c r="B221" s="80"/>
      <c r="C221" s="80"/>
      <c r="D221" s="41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60"/>
    </row>
    <row r="222" spans="1:24" s="34" customFormat="1" x14ac:dyDescent="0.25">
      <c r="A222" s="91"/>
      <c r="B222" s="80"/>
      <c r="C222" s="80"/>
      <c r="D222" s="41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60"/>
    </row>
    <row r="223" spans="1:24" s="34" customFormat="1" x14ac:dyDescent="0.25">
      <c r="A223" s="91"/>
      <c r="B223" s="80"/>
      <c r="C223" s="80"/>
      <c r="D223" s="41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60"/>
    </row>
    <row r="224" spans="1:24" s="34" customFormat="1" x14ac:dyDescent="0.25">
      <c r="A224" s="91"/>
      <c r="B224" s="80"/>
      <c r="C224" s="80"/>
      <c r="D224" s="41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60"/>
    </row>
    <row r="225" spans="1:16" s="34" customFormat="1" x14ac:dyDescent="0.25">
      <c r="A225" s="91"/>
      <c r="B225" s="80"/>
      <c r="C225" s="80"/>
      <c r="D225" s="41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</row>
    <row r="226" spans="1:16" s="34" customFormat="1" x14ac:dyDescent="0.25">
      <c r="A226" s="91"/>
      <c r="B226" s="80"/>
      <c r="C226" s="80"/>
      <c r="D226" s="41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60"/>
    </row>
    <row r="227" spans="1:16" s="34" customFormat="1" x14ac:dyDescent="0.25">
      <c r="A227" s="91"/>
      <c r="B227" s="80"/>
      <c r="C227" s="80"/>
      <c r="D227" s="41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60"/>
    </row>
    <row r="228" spans="1:16" s="34" customFormat="1" x14ac:dyDescent="0.25">
      <c r="A228" s="91"/>
      <c r="B228" s="80"/>
      <c r="C228" s="80"/>
      <c r="D228" s="4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60"/>
    </row>
    <row r="229" spans="1:16" s="34" customFormat="1" x14ac:dyDescent="0.25">
      <c r="A229" s="91"/>
      <c r="B229" s="80"/>
      <c r="C229" s="80"/>
      <c r="D229" s="41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60"/>
    </row>
    <row r="230" spans="1:16" s="34" customFormat="1" x14ac:dyDescent="0.25">
      <c r="A230" s="91"/>
      <c r="B230" s="80"/>
      <c r="C230" s="80"/>
      <c r="D230" s="4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0"/>
    </row>
    <row r="231" spans="1:16" s="34" customFormat="1" x14ac:dyDescent="0.25">
      <c r="A231" s="91"/>
      <c r="B231" s="80"/>
      <c r="C231" s="80"/>
      <c r="D231" s="41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0"/>
    </row>
    <row r="232" spans="1:16" s="34" customFormat="1" x14ac:dyDescent="0.25">
      <c r="A232" s="91"/>
      <c r="B232" s="80"/>
      <c r="C232" s="80"/>
      <c r="D232" s="4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60"/>
    </row>
    <row r="233" spans="1:16" s="34" customFormat="1" x14ac:dyDescent="0.25">
      <c r="A233" s="91"/>
      <c r="B233" s="80"/>
      <c r="C233" s="80"/>
      <c r="D233" s="41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</row>
    <row r="234" spans="1:16" s="34" customFormat="1" x14ac:dyDescent="0.25">
      <c r="A234" s="91"/>
      <c r="B234" s="80"/>
      <c r="C234" s="80"/>
      <c r="D234" s="4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60"/>
    </row>
    <row r="235" spans="1:16" s="34" customFormat="1" x14ac:dyDescent="0.25">
      <c r="A235" s="91"/>
      <c r="B235" s="80"/>
      <c r="C235" s="80"/>
      <c r="D235" s="41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60"/>
    </row>
    <row r="236" spans="1:16" s="34" customFormat="1" x14ac:dyDescent="0.25">
      <c r="A236" s="91"/>
      <c r="B236" s="80"/>
      <c r="C236" s="80"/>
      <c r="D236" s="4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60"/>
    </row>
    <row r="237" spans="1:16" s="34" customFormat="1" x14ac:dyDescent="0.25">
      <c r="A237" s="91"/>
      <c r="B237" s="80"/>
      <c r="C237" s="80"/>
      <c r="D237" s="41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</row>
    <row r="238" spans="1:16" s="34" customFormat="1" x14ac:dyDescent="0.25">
      <c r="A238" s="91"/>
      <c r="B238" s="80"/>
      <c r="C238" s="80"/>
      <c r="D238" s="4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60"/>
    </row>
    <row r="239" spans="1:16" s="34" customFormat="1" x14ac:dyDescent="0.25">
      <c r="A239" s="91"/>
      <c r="B239" s="80"/>
      <c r="C239" s="80"/>
      <c r="D239" s="41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</row>
    <row r="240" spans="1:16" s="34" customFormat="1" x14ac:dyDescent="0.25">
      <c r="A240" s="91"/>
      <c r="B240" s="80"/>
      <c r="C240" s="80"/>
      <c r="D240" s="41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60"/>
    </row>
    <row r="241" spans="1:16" s="34" customFormat="1" x14ac:dyDescent="0.25">
      <c r="A241" s="91"/>
      <c r="B241" s="80"/>
      <c r="C241" s="80"/>
      <c r="D241" s="41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60"/>
    </row>
    <row r="242" spans="1:16" s="34" customFormat="1" x14ac:dyDescent="0.25">
      <c r="A242" s="91"/>
      <c r="B242" s="80"/>
      <c r="C242" s="80"/>
      <c r="D242" s="41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60"/>
    </row>
    <row r="243" spans="1:16" s="34" customFormat="1" x14ac:dyDescent="0.25">
      <c r="A243" s="91"/>
      <c r="B243" s="80"/>
      <c r="C243" s="80"/>
      <c r="D243" s="41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60"/>
    </row>
    <row r="244" spans="1:16" s="34" customFormat="1" x14ac:dyDescent="0.25">
      <c r="A244" s="91"/>
      <c r="B244" s="80"/>
      <c r="C244" s="80"/>
      <c r="D244" s="41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60"/>
    </row>
    <row r="245" spans="1:16" s="34" customFormat="1" x14ac:dyDescent="0.25">
      <c r="A245" s="91"/>
      <c r="B245" s="80"/>
      <c r="C245" s="80"/>
      <c r="D245" s="41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</row>
    <row r="246" spans="1:16" s="34" customFormat="1" x14ac:dyDescent="0.25">
      <c r="A246" s="91"/>
      <c r="B246" s="80"/>
      <c r="C246" s="80"/>
      <c r="D246" s="41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60"/>
    </row>
    <row r="247" spans="1:16" s="34" customFormat="1" x14ac:dyDescent="0.25">
      <c r="A247" s="91"/>
      <c r="B247" s="80"/>
      <c r="C247" s="80"/>
      <c r="D247" s="41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0"/>
    </row>
    <row r="248" spans="1:16" s="34" customFormat="1" x14ac:dyDescent="0.25">
      <c r="A248" s="91"/>
      <c r="B248" s="80"/>
      <c r="C248" s="80"/>
      <c r="D248" s="41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60"/>
    </row>
    <row r="249" spans="1:16" s="34" customFormat="1" x14ac:dyDescent="0.25">
      <c r="A249" s="91"/>
      <c r="B249" s="80"/>
      <c r="C249" s="80"/>
      <c r="D249" s="41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60"/>
    </row>
    <row r="250" spans="1:16" s="34" customFormat="1" x14ac:dyDescent="0.25">
      <c r="A250" s="91"/>
      <c r="B250" s="80"/>
      <c r="C250" s="80"/>
      <c r="D250" s="4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</row>
    <row r="251" spans="1:16" s="34" customFormat="1" x14ac:dyDescent="0.25">
      <c r="A251" s="91"/>
      <c r="B251" s="80"/>
      <c r="C251" s="80"/>
      <c r="D251" s="41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60"/>
    </row>
    <row r="252" spans="1:16" s="34" customFormat="1" x14ac:dyDescent="0.25">
      <c r="A252" s="91"/>
      <c r="B252" s="80"/>
      <c r="C252" s="80"/>
      <c r="D252" s="4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60"/>
    </row>
    <row r="253" spans="1:16" s="34" customFormat="1" x14ac:dyDescent="0.25">
      <c r="A253" s="91"/>
      <c r="B253" s="80"/>
      <c r="C253" s="80"/>
      <c r="D253" s="41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60"/>
    </row>
    <row r="254" spans="1:16" s="34" customFormat="1" x14ac:dyDescent="0.25">
      <c r="A254" s="91"/>
      <c r="B254" s="80"/>
      <c r="C254" s="80"/>
      <c r="D254" s="4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60"/>
    </row>
    <row r="255" spans="1:16" s="34" customFormat="1" x14ac:dyDescent="0.25">
      <c r="A255" s="91"/>
      <c r="B255" s="80"/>
      <c r="C255" s="80"/>
      <c r="D255" s="41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60"/>
    </row>
    <row r="256" spans="1:16" s="34" customFormat="1" x14ac:dyDescent="0.25">
      <c r="A256" s="91"/>
      <c r="B256" s="80"/>
      <c r="C256" s="80"/>
      <c r="D256" s="4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60"/>
    </row>
    <row r="257" spans="1:16" s="34" customFormat="1" x14ac:dyDescent="0.25">
      <c r="A257" s="91"/>
      <c r="B257" s="80"/>
      <c r="C257" s="80"/>
      <c r="D257" s="41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60"/>
    </row>
    <row r="258" spans="1:16" s="34" customFormat="1" x14ac:dyDescent="0.25">
      <c r="A258" s="91"/>
      <c r="B258" s="80"/>
      <c r="C258" s="80"/>
      <c r="D258" s="4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60"/>
    </row>
    <row r="259" spans="1:16" s="34" customFormat="1" x14ac:dyDescent="0.25">
      <c r="A259" s="91"/>
      <c r="B259" s="80"/>
      <c r="C259" s="80"/>
      <c r="D259" s="41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</row>
    <row r="260" spans="1:16" s="34" customFormat="1" x14ac:dyDescent="0.25">
      <c r="A260" s="91"/>
      <c r="B260" s="80"/>
      <c r="C260" s="80"/>
      <c r="D260" s="4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60"/>
    </row>
    <row r="261" spans="1:16" s="34" customFormat="1" x14ac:dyDescent="0.25">
      <c r="A261" s="91"/>
      <c r="B261" s="80"/>
      <c r="C261" s="80"/>
      <c r="D261" s="41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60"/>
    </row>
    <row r="262" spans="1:16" s="34" customFormat="1" x14ac:dyDescent="0.25">
      <c r="A262" s="91"/>
      <c r="B262" s="80"/>
      <c r="C262" s="80"/>
      <c r="D262" s="41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60"/>
    </row>
    <row r="263" spans="1:16" s="34" customFormat="1" x14ac:dyDescent="0.25">
      <c r="A263" s="91"/>
      <c r="B263" s="80"/>
      <c r="C263" s="80"/>
      <c r="D263" s="41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60"/>
    </row>
    <row r="264" spans="1:16" s="34" customFormat="1" x14ac:dyDescent="0.25">
      <c r="A264" s="91"/>
      <c r="B264" s="80"/>
      <c r="C264" s="80"/>
      <c r="D264" s="4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</row>
    <row r="265" spans="1:16" s="34" customFormat="1" x14ac:dyDescent="0.25">
      <c r="A265" s="91"/>
      <c r="B265" s="80"/>
      <c r="C265" s="80"/>
      <c r="D265" s="4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</row>
    <row r="266" spans="1:16" s="34" customFormat="1" x14ac:dyDescent="0.25">
      <c r="A266" s="91"/>
      <c r="B266" s="80"/>
      <c r="C266" s="80"/>
      <c r="D266" s="4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</row>
    <row r="267" spans="1:16" s="34" customFormat="1" x14ac:dyDescent="0.25">
      <c r="A267" s="91"/>
      <c r="B267" s="80"/>
      <c r="C267" s="80"/>
      <c r="D267" s="4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</row>
    <row r="268" spans="1:16" s="34" customFormat="1" x14ac:dyDescent="0.25">
      <c r="A268" s="91"/>
      <c r="B268" s="80"/>
      <c r="C268" s="80"/>
      <c r="D268" s="4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</row>
    <row r="269" spans="1:16" s="34" customFormat="1" x14ac:dyDescent="0.25">
      <c r="A269" s="91"/>
      <c r="B269" s="80"/>
      <c r="C269" s="80"/>
      <c r="D269" s="4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</row>
    <row r="270" spans="1:16" s="34" customFormat="1" x14ac:dyDescent="0.25">
      <c r="A270" s="91"/>
      <c r="B270" s="80"/>
      <c r="C270" s="80"/>
      <c r="D270" s="4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</row>
    <row r="271" spans="1:16" s="34" customFormat="1" x14ac:dyDescent="0.25">
      <c r="A271" s="91"/>
      <c r="B271" s="80"/>
      <c r="C271" s="80"/>
      <c r="D271" s="4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</row>
    <row r="272" spans="1:16" s="34" customFormat="1" x14ac:dyDescent="0.25">
      <c r="A272" s="91"/>
      <c r="B272" s="80"/>
      <c r="C272" s="80"/>
      <c r="D272" s="4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</row>
    <row r="273" spans="1:16" s="34" customFormat="1" x14ac:dyDescent="0.25">
      <c r="A273" s="91"/>
      <c r="B273" s="80"/>
      <c r="C273" s="80"/>
      <c r="D273" s="4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</row>
    <row r="274" spans="1:16" s="34" customFormat="1" x14ac:dyDescent="0.25">
      <c r="A274" s="91"/>
      <c r="B274" s="80"/>
      <c r="C274" s="80"/>
      <c r="D274" s="4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</row>
    <row r="275" spans="1:16" s="34" customFormat="1" x14ac:dyDescent="0.25">
      <c r="A275" s="91"/>
      <c r="B275" s="80"/>
      <c r="C275" s="80"/>
      <c r="D275" s="4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</row>
    <row r="276" spans="1:16" s="34" customFormat="1" x14ac:dyDescent="0.25">
      <c r="A276" s="91"/>
      <c r="B276" s="80"/>
      <c r="C276" s="80"/>
      <c r="D276" s="4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</row>
    <row r="277" spans="1:16" s="34" customFormat="1" x14ac:dyDescent="0.25">
      <c r="A277" s="91"/>
      <c r="B277" s="80"/>
      <c r="C277" s="80"/>
      <c r="D277" s="4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</row>
    <row r="278" spans="1:16" s="34" customFormat="1" x14ac:dyDescent="0.25">
      <c r="A278" s="91"/>
      <c r="B278" s="80"/>
      <c r="C278" s="80"/>
      <c r="D278" s="4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</row>
    <row r="279" spans="1:16" s="34" customFormat="1" x14ac:dyDescent="0.25">
      <c r="A279" s="91"/>
      <c r="B279" s="80"/>
      <c r="C279" s="80"/>
      <c r="D279" s="4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</row>
    <row r="280" spans="1:16" s="34" customFormat="1" x14ac:dyDescent="0.25">
      <c r="A280" s="91"/>
      <c r="B280" s="80"/>
      <c r="C280" s="80"/>
      <c r="D280" s="4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</row>
    <row r="281" spans="1:16" s="34" customFormat="1" x14ac:dyDescent="0.25">
      <c r="A281" s="91"/>
      <c r="B281" s="80"/>
      <c r="C281" s="80"/>
      <c r="D281" s="4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</row>
    <row r="282" spans="1:16" s="34" customFormat="1" x14ac:dyDescent="0.25">
      <c r="A282" s="91"/>
      <c r="B282" s="80"/>
      <c r="C282" s="80"/>
      <c r="D282" s="4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</row>
    <row r="283" spans="1:16" s="34" customFormat="1" x14ac:dyDescent="0.25">
      <c r="A283" s="91"/>
      <c r="B283" s="80"/>
      <c r="C283" s="80"/>
      <c r="D283" s="4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</row>
    <row r="284" spans="1:16" s="34" customFormat="1" x14ac:dyDescent="0.25">
      <c r="A284" s="91"/>
      <c r="B284" s="80"/>
      <c r="C284" s="80"/>
      <c r="D284" s="4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</row>
    <row r="285" spans="1:16" s="34" customFormat="1" x14ac:dyDescent="0.25">
      <c r="A285" s="91"/>
      <c r="B285" s="80"/>
      <c r="C285" s="80"/>
      <c r="D285" s="4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</row>
    <row r="286" spans="1:16" s="34" customFormat="1" x14ac:dyDescent="0.25">
      <c r="A286" s="91"/>
      <c r="B286" s="80"/>
      <c r="C286" s="80"/>
      <c r="D286" s="4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</row>
    <row r="287" spans="1:16" s="34" customFormat="1" x14ac:dyDescent="0.25">
      <c r="A287" s="91"/>
      <c r="B287" s="80"/>
      <c r="C287" s="80"/>
      <c r="D287" s="4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</row>
    <row r="288" spans="1:16" s="34" customFormat="1" x14ac:dyDescent="0.25">
      <c r="A288" s="91"/>
      <c r="B288" s="80"/>
      <c r="C288" s="80"/>
      <c r="D288" s="4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</row>
    <row r="289" spans="1:16" s="34" customFormat="1" x14ac:dyDescent="0.25">
      <c r="A289" s="91"/>
      <c r="B289" s="80"/>
      <c r="C289" s="80"/>
      <c r="D289" s="4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</row>
    <row r="290" spans="1:16" s="34" customFormat="1" x14ac:dyDescent="0.25">
      <c r="A290" s="91"/>
      <c r="B290" s="80"/>
      <c r="C290" s="80"/>
      <c r="D290" s="4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</row>
    <row r="291" spans="1:16" s="34" customFormat="1" x14ac:dyDescent="0.25">
      <c r="A291" s="91"/>
      <c r="B291" s="80"/>
      <c r="C291" s="80"/>
      <c r="D291" s="4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</row>
    <row r="292" spans="1:16" s="34" customFormat="1" x14ac:dyDescent="0.25">
      <c r="A292" s="91"/>
      <c r="B292" s="80"/>
      <c r="C292" s="80"/>
      <c r="D292" s="4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</row>
    <row r="293" spans="1:16" s="34" customFormat="1" x14ac:dyDescent="0.25">
      <c r="A293" s="91"/>
      <c r="B293" s="80"/>
      <c r="C293" s="80"/>
      <c r="D293" s="4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</row>
    <row r="294" spans="1:16" s="34" customFormat="1" x14ac:dyDescent="0.25">
      <c r="A294" s="91"/>
      <c r="B294" s="80"/>
      <c r="C294" s="80"/>
      <c r="D294" s="4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</row>
    <row r="295" spans="1:16" s="34" customFormat="1" x14ac:dyDescent="0.25">
      <c r="A295" s="91"/>
      <c r="B295" s="80"/>
      <c r="C295" s="80"/>
      <c r="D295" s="4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</row>
    <row r="296" spans="1:16" s="34" customFormat="1" x14ac:dyDescent="0.25">
      <c r="A296" s="91"/>
      <c r="B296" s="80"/>
      <c r="C296" s="80"/>
      <c r="D296" s="4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</row>
    <row r="297" spans="1:16" s="34" customFormat="1" x14ac:dyDescent="0.25">
      <c r="A297" s="91"/>
      <c r="B297" s="80"/>
      <c r="C297" s="80"/>
      <c r="D297" s="4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</row>
    <row r="298" spans="1:16" s="34" customFormat="1" x14ac:dyDescent="0.25">
      <c r="A298" s="91"/>
      <c r="B298" s="80"/>
      <c r="C298" s="80"/>
      <c r="D298" s="4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</row>
    <row r="299" spans="1:16" s="34" customFormat="1" x14ac:dyDescent="0.25">
      <c r="A299" s="91"/>
      <c r="B299" s="80"/>
      <c r="C299" s="80"/>
      <c r="D299" s="4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</row>
    <row r="300" spans="1:16" s="34" customFormat="1" x14ac:dyDescent="0.25">
      <c r="A300" s="91"/>
      <c r="B300" s="80"/>
      <c r="C300" s="80"/>
      <c r="D300" s="4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</row>
    <row r="301" spans="1:16" s="34" customFormat="1" x14ac:dyDescent="0.25">
      <c r="A301" s="91"/>
      <c r="B301" s="80"/>
      <c r="C301" s="80"/>
      <c r="D301" s="4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</row>
    <row r="302" spans="1:16" s="34" customFormat="1" x14ac:dyDescent="0.25">
      <c r="A302" s="91"/>
      <c r="B302" s="80"/>
      <c r="C302" s="80"/>
      <c r="D302" s="4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</row>
    <row r="303" spans="1:16" s="34" customFormat="1" x14ac:dyDescent="0.25">
      <c r="A303" s="91"/>
      <c r="B303" s="80"/>
      <c r="C303" s="80"/>
      <c r="D303" s="4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</row>
    <row r="304" spans="1:16" s="34" customFormat="1" x14ac:dyDescent="0.25">
      <c r="A304" s="91"/>
      <c r="B304" s="80"/>
      <c r="C304" s="80"/>
      <c r="D304" s="4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</row>
    <row r="305" spans="1:16" s="34" customFormat="1" x14ac:dyDescent="0.25">
      <c r="A305" s="91"/>
      <c r="B305" s="80"/>
      <c r="C305" s="80"/>
      <c r="D305" s="4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</row>
    <row r="306" spans="1:16" s="34" customFormat="1" x14ac:dyDescent="0.25">
      <c r="A306" s="91"/>
      <c r="B306" s="80"/>
      <c r="C306" s="80"/>
      <c r="D306" s="4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</row>
    <row r="307" spans="1:16" s="34" customFormat="1" x14ac:dyDescent="0.25">
      <c r="A307" s="91"/>
      <c r="B307" s="80"/>
      <c r="C307" s="80"/>
      <c r="D307" s="4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</row>
    <row r="308" spans="1:16" s="34" customFormat="1" x14ac:dyDescent="0.25">
      <c r="A308" s="91"/>
      <c r="B308" s="80"/>
      <c r="C308" s="80"/>
      <c r="D308" s="4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</row>
    <row r="309" spans="1:16" s="34" customFormat="1" x14ac:dyDescent="0.25">
      <c r="A309" s="91"/>
      <c r="B309" s="80"/>
      <c r="C309" s="80"/>
      <c r="D309" s="4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</row>
    <row r="310" spans="1:16" s="34" customFormat="1" x14ac:dyDescent="0.25">
      <c r="A310" s="91"/>
      <c r="B310" s="80"/>
      <c r="C310" s="80"/>
      <c r="D310" s="4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</row>
    <row r="311" spans="1:16" s="34" customFormat="1" x14ac:dyDescent="0.25">
      <c r="A311" s="91"/>
      <c r="B311" s="80"/>
      <c r="C311" s="80"/>
      <c r="D311" s="4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</row>
    <row r="312" spans="1:16" s="34" customFormat="1" x14ac:dyDescent="0.25">
      <c r="A312" s="91"/>
      <c r="B312" s="80"/>
      <c r="C312" s="80"/>
      <c r="D312" s="4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</row>
    <row r="313" spans="1:16" s="34" customFormat="1" x14ac:dyDescent="0.25">
      <c r="A313" s="91"/>
      <c r="B313" s="80"/>
      <c r="C313" s="80"/>
      <c r="D313" s="4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</row>
    <row r="314" spans="1:16" s="34" customFormat="1" x14ac:dyDescent="0.25">
      <c r="A314" s="91"/>
      <c r="B314" s="80"/>
      <c r="C314" s="80"/>
      <c r="D314" s="4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</row>
    <row r="315" spans="1:16" s="34" customFormat="1" x14ac:dyDescent="0.25">
      <c r="A315" s="91"/>
      <c r="B315" s="80"/>
      <c r="C315" s="80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</row>
    <row r="316" spans="1:16" s="34" customFormat="1" x14ac:dyDescent="0.25">
      <c r="A316" s="91"/>
      <c r="B316" s="80"/>
      <c r="C316" s="80"/>
      <c r="D316" s="4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</row>
    <row r="317" spans="1:16" s="34" customFormat="1" x14ac:dyDescent="0.25">
      <c r="A317" s="91"/>
      <c r="B317" s="80"/>
      <c r="C317" s="80"/>
      <c r="D317" s="4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</row>
    <row r="318" spans="1:16" s="34" customFormat="1" x14ac:dyDescent="0.25">
      <c r="A318" s="91"/>
      <c r="B318" s="80"/>
      <c r="C318" s="80"/>
      <c r="D318" s="4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</row>
    <row r="319" spans="1:16" s="34" customFormat="1" x14ac:dyDescent="0.25">
      <c r="A319" s="91"/>
      <c r="B319" s="80"/>
      <c r="C319" s="80"/>
      <c r="D319" s="4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</row>
    <row r="320" spans="1:16" s="34" customFormat="1" x14ac:dyDescent="0.25">
      <c r="A320" s="91"/>
      <c r="B320" s="80"/>
      <c r="C320" s="80"/>
      <c r="D320" s="4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</row>
    <row r="321" spans="1:16" s="34" customFormat="1" x14ac:dyDescent="0.25">
      <c r="A321" s="91"/>
      <c r="B321" s="80"/>
      <c r="C321" s="80"/>
      <c r="D321" s="4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</row>
    <row r="322" spans="1:16" s="34" customFormat="1" x14ac:dyDescent="0.25">
      <c r="A322" s="91"/>
      <c r="B322" s="80"/>
      <c r="C322" s="80"/>
      <c r="D322" s="4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</row>
    <row r="323" spans="1:16" s="34" customFormat="1" x14ac:dyDescent="0.25">
      <c r="A323" s="91"/>
      <c r="B323" s="80"/>
      <c r="C323" s="80"/>
      <c r="D323" s="4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</row>
    <row r="324" spans="1:16" s="34" customFormat="1" x14ac:dyDescent="0.25">
      <c r="A324" s="91"/>
      <c r="B324" s="80"/>
      <c r="C324" s="80"/>
      <c r="D324" s="4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</row>
    <row r="325" spans="1:16" s="34" customFormat="1" x14ac:dyDescent="0.25">
      <c r="A325" s="91"/>
      <c r="B325" s="80"/>
      <c r="C325" s="80"/>
      <c r="D325" s="4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</row>
    <row r="326" spans="1:16" s="34" customFormat="1" x14ac:dyDescent="0.25">
      <c r="A326" s="91"/>
      <c r="B326" s="80"/>
      <c r="C326" s="80"/>
      <c r="D326" s="4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</row>
    <row r="327" spans="1:16" s="34" customFormat="1" x14ac:dyDescent="0.25">
      <c r="A327" s="91"/>
      <c r="B327" s="80"/>
      <c r="C327" s="80"/>
      <c r="D327" s="4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</row>
    <row r="328" spans="1:16" s="34" customFormat="1" x14ac:dyDescent="0.25">
      <c r="A328" s="91"/>
      <c r="B328" s="80"/>
      <c r="C328" s="80"/>
      <c r="D328" s="4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</row>
    <row r="329" spans="1:16" s="34" customFormat="1" x14ac:dyDescent="0.25">
      <c r="A329" s="91"/>
      <c r="B329" s="80"/>
      <c r="C329" s="80"/>
      <c r="D329" s="4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</row>
    <row r="330" spans="1:16" s="34" customFormat="1" x14ac:dyDescent="0.25">
      <c r="A330" s="91"/>
      <c r="B330" s="80"/>
      <c r="C330" s="80"/>
      <c r="D330" s="4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</row>
    <row r="331" spans="1:16" s="34" customFormat="1" x14ac:dyDescent="0.25">
      <c r="A331" s="91"/>
      <c r="B331" s="80"/>
      <c r="C331" s="80"/>
      <c r="D331" s="4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</row>
    <row r="332" spans="1:16" s="34" customFormat="1" x14ac:dyDescent="0.25">
      <c r="A332" s="91"/>
      <c r="B332" s="80"/>
      <c r="C332" s="80"/>
      <c r="D332" s="4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</row>
    <row r="333" spans="1:16" s="34" customFormat="1" x14ac:dyDescent="0.25">
      <c r="A333" s="91"/>
      <c r="B333" s="80"/>
      <c r="C333" s="80"/>
      <c r="D333" s="4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</row>
    <row r="334" spans="1:16" s="34" customFormat="1" x14ac:dyDescent="0.25">
      <c r="A334" s="91"/>
      <c r="B334" s="80"/>
      <c r="C334" s="80"/>
      <c r="D334" s="4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</row>
    <row r="335" spans="1:16" s="34" customFormat="1" x14ac:dyDescent="0.25">
      <c r="A335" s="91"/>
      <c r="B335" s="80"/>
      <c r="C335" s="80"/>
      <c r="D335" s="4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</row>
    <row r="336" spans="1:16" s="34" customFormat="1" x14ac:dyDescent="0.25">
      <c r="A336" s="91"/>
      <c r="B336" s="80"/>
      <c r="C336" s="80"/>
      <c r="D336" s="4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</row>
    <row r="337" spans="1:16" s="34" customFormat="1" x14ac:dyDescent="0.25">
      <c r="A337" s="91"/>
      <c r="B337" s="80"/>
      <c r="C337" s="80"/>
      <c r="D337" s="4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</row>
    <row r="338" spans="1:16" s="34" customFormat="1" x14ac:dyDescent="0.25">
      <c r="A338" s="91"/>
      <c r="B338" s="80"/>
      <c r="C338" s="80"/>
      <c r="D338" s="4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</row>
    <row r="339" spans="1:16" s="34" customFormat="1" x14ac:dyDescent="0.25">
      <c r="A339" s="91"/>
      <c r="B339" s="80"/>
      <c r="C339" s="80"/>
      <c r="D339" s="4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</row>
    <row r="340" spans="1:16" s="34" customFormat="1" x14ac:dyDescent="0.25">
      <c r="A340" s="91"/>
      <c r="B340" s="80"/>
      <c r="C340" s="80"/>
      <c r="D340" s="4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</row>
    <row r="341" spans="1:16" s="34" customFormat="1" x14ac:dyDescent="0.25">
      <c r="A341" s="91"/>
      <c r="B341" s="80"/>
      <c r="C341" s="80"/>
      <c r="D341" s="4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</row>
    <row r="342" spans="1:16" s="34" customFormat="1" x14ac:dyDescent="0.25">
      <c r="A342" s="91"/>
      <c r="B342" s="80"/>
      <c r="C342" s="80"/>
      <c r="D342" s="4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</row>
    <row r="343" spans="1:16" s="34" customFormat="1" x14ac:dyDescent="0.25">
      <c r="A343" s="91"/>
      <c r="B343" s="80"/>
      <c r="C343" s="80"/>
      <c r="D343" s="4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</row>
    <row r="344" spans="1:16" s="34" customFormat="1" x14ac:dyDescent="0.25">
      <c r="A344" s="91"/>
      <c r="B344" s="80"/>
      <c r="C344" s="80"/>
      <c r="D344" s="4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</row>
    <row r="345" spans="1:16" s="34" customFormat="1" x14ac:dyDescent="0.25">
      <c r="A345" s="91"/>
      <c r="B345" s="80"/>
      <c r="C345" s="80"/>
      <c r="D345" s="4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</row>
    <row r="346" spans="1:16" s="34" customFormat="1" x14ac:dyDescent="0.25">
      <c r="A346" s="91"/>
      <c r="B346" s="80"/>
      <c r="C346" s="80"/>
      <c r="D346" s="4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</row>
    <row r="347" spans="1:16" s="34" customFormat="1" x14ac:dyDescent="0.25">
      <c r="A347" s="91"/>
      <c r="B347" s="80"/>
      <c r="C347" s="80"/>
      <c r="D347" s="4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</row>
    <row r="348" spans="1:16" s="34" customFormat="1" x14ac:dyDescent="0.25">
      <c r="A348" s="91"/>
      <c r="B348" s="80"/>
      <c r="C348" s="80"/>
      <c r="D348" s="4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</row>
    <row r="349" spans="1:16" s="34" customFormat="1" x14ac:dyDescent="0.25">
      <c r="A349" s="91"/>
      <c r="B349" s="80"/>
      <c r="C349" s="80"/>
      <c r="D349" s="4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</row>
    <row r="350" spans="1:16" s="34" customFormat="1" x14ac:dyDescent="0.25">
      <c r="A350" s="91"/>
      <c r="B350" s="80"/>
      <c r="C350" s="80"/>
      <c r="D350" s="4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</row>
    <row r="351" spans="1:16" s="34" customFormat="1" x14ac:dyDescent="0.25">
      <c r="A351" s="91"/>
      <c r="B351" s="80"/>
      <c r="C351" s="80"/>
      <c r="D351" s="4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</row>
    <row r="352" spans="1:16" s="34" customFormat="1" x14ac:dyDescent="0.25">
      <c r="A352" s="91"/>
      <c r="B352" s="80"/>
      <c r="C352" s="80"/>
      <c r="D352" s="4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</row>
    <row r="353" spans="1:16" s="34" customFormat="1" x14ac:dyDescent="0.25">
      <c r="A353" s="91"/>
      <c r="B353" s="80"/>
      <c r="C353" s="80"/>
      <c r="D353" s="4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</row>
    <row r="354" spans="1:16" s="34" customFormat="1" x14ac:dyDescent="0.25">
      <c r="A354" s="91"/>
      <c r="B354" s="80"/>
      <c r="C354" s="80"/>
      <c r="D354" s="4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</row>
    <row r="355" spans="1:16" s="34" customFormat="1" x14ac:dyDescent="0.25">
      <c r="A355" s="91"/>
      <c r="B355" s="80"/>
      <c r="C355" s="80"/>
      <c r="D355" s="4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</row>
    <row r="356" spans="1:16" s="34" customFormat="1" x14ac:dyDescent="0.25">
      <c r="A356" s="91"/>
      <c r="B356" s="80"/>
      <c r="C356" s="80"/>
      <c r="D356" s="4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</row>
    <row r="357" spans="1:16" s="34" customFormat="1" x14ac:dyDescent="0.25">
      <c r="A357" s="91"/>
      <c r="B357" s="80"/>
      <c r="C357" s="80"/>
      <c r="D357" s="4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</row>
    <row r="358" spans="1:16" s="34" customFormat="1" x14ac:dyDescent="0.25">
      <c r="A358" s="91"/>
      <c r="B358" s="80"/>
      <c r="C358" s="80"/>
      <c r="D358" s="4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</row>
    <row r="359" spans="1:16" s="34" customFormat="1" x14ac:dyDescent="0.25">
      <c r="A359" s="91"/>
      <c r="B359" s="80"/>
      <c r="C359" s="80"/>
      <c r="D359" s="4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</row>
    <row r="360" spans="1:16" s="34" customFormat="1" x14ac:dyDescent="0.25">
      <c r="A360" s="91"/>
      <c r="B360" s="80"/>
      <c r="C360" s="80"/>
      <c r="D360" s="4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</row>
    <row r="361" spans="1:16" s="34" customFormat="1" x14ac:dyDescent="0.25">
      <c r="A361" s="91"/>
      <c r="B361" s="80"/>
      <c r="C361" s="80"/>
      <c r="D361" s="4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</row>
    <row r="362" spans="1:16" s="34" customFormat="1" x14ac:dyDescent="0.25">
      <c r="A362" s="91"/>
      <c r="B362" s="80"/>
      <c r="C362" s="80"/>
      <c r="D362" s="4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</row>
    <row r="363" spans="1:16" s="34" customFormat="1" x14ac:dyDescent="0.25">
      <c r="A363" s="91"/>
      <c r="B363" s="80"/>
      <c r="C363" s="80"/>
      <c r="D363" s="4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</row>
    <row r="364" spans="1:16" s="34" customFormat="1" x14ac:dyDescent="0.25">
      <c r="A364" s="91"/>
      <c r="B364" s="80"/>
      <c r="C364" s="80"/>
      <c r="D364" s="4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</row>
    <row r="365" spans="1:16" s="34" customFormat="1" x14ac:dyDescent="0.25">
      <c r="A365" s="91"/>
      <c r="B365" s="80"/>
      <c r="C365" s="80"/>
      <c r="D365" s="4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</row>
    <row r="366" spans="1:16" s="34" customFormat="1" x14ac:dyDescent="0.25">
      <c r="A366" s="91"/>
      <c r="B366" s="80"/>
      <c r="C366" s="80"/>
      <c r="D366" s="4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</row>
    <row r="367" spans="1:16" s="34" customFormat="1" x14ac:dyDescent="0.25">
      <c r="A367" s="91"/>
      <c r="B367" s="80"/>
      <c r="C367" s="80"/>
      <c r="D367" s="4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</row>
    <row r="368" spans="1:16" s="34" customFormat="1" x14ac:dyDescent="0.25">
      <c r="A368" s="91"/>
      <c r="B368" s="80"/>
      <c r="C368" s="80"/>
      <c r="D368" s="4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</row>
    <row r="369" spans="1:16" s="34" customFormat="1" x14ac:dyDescent="0.25">
      <c r="A369" s="91"/>
      <c r="B369" s="80"/>
      <c r="C369" s="80"/>
      <c r="D369" s="4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</row>
    <row r="370" spans="1:16" s="34" customFormat="1" x14ac:dyDescent="0.25">
      <c r="A370" s="91"/>
      <c r="B370" s="80"/>
      <c r="C370" s="80"/>
      <c r="D370" s="4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</row>
    <row r="371" spans="1:16" s="34" customFormat="1" x14ac:dyDescent="0.25">
      <c r="A371" s="91"/>
      <c r="B371" s="80"/>
      <c r="C371" s="80"/>
      <c r="D371" s="4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</row>
    <row r="372" spans="1:16" s="34" customFormat="1" x14ac:dyDescent="0.25">
      <c r="A372" s="91"/>
      <c r="B372" s="80"/>
      <c r="C372" s="80"/>
      <c r="D372" s="4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</row>
    <row r="373" spans="1:16" s="34" customFormat="1" x14ac:dyDescent="0.25">
      <c r="A373" s="91"/>
      <c r="B373" s="80"/>
      <c r="C373" s="80"/>
      <c r="D373" s="4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</row>
    <row r="374" spans="1:16" s="34" customFormat="1" x14ac:dyDescent="0.25">
      <c r="A374" s="91"/>
      <c r="B374" s="80"/>
      <c r="C374" s="80"/>
      <c r="D374" s="4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</row>
    <row r="375" spans="1:16" s="34" customFormat="1" x14ac:dyDescent="0.25">
      <c r="A375" s="91"/>
      <c r="B375" s="80"/>
      <c r="C375" s="80"/>
      <c r="D375" s="4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</row>
    <row r="376" spans="1:16" s="34" customFormat="1" x14ac:dyDescent="0.25">
      <c r="A376" s="91"/>
      <c r="B376" s="80"/>
      <c r="C376" s="80"/>
      <c r="D376" s="4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</row>
    <row r="377" spans="1:16" s="34" customFormat="1" x14ac:dyDescent="0.25">
      <c r="A377" s="91"/>
      <c r="B377" s="80"/>
      <c r="C377" s="80"/>
      <c r="D377" s="4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</row>
    <row r="378" spans="1:16" s="34" customFormat="1" x14ac:dyDescent="0.25">
      <c r="A378" s="91"/>
      <c r="B378" s="80"/>
      <c r="C378" s="80"/>
      <c r="D378" s="4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</row>
    <row r="379" spans="1:16" s="34" customFormat="1" x14ac:dyDescent="0.25">
      <c r="A379" s="91"/>
      <c r="B379" s="80"/>
      <c r="C379" s="80"/>
      <c r="D379" s="4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</row>
    <row r="380" spans="1:16" s="34" customFormat="1" x14ac:dyDescent="0.25">
      <c r="A380" s="91"/>
      <c r="B380" s="80"/>
      <c r="C380" s="80"/>
      <c r="D380" s="4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</row>
    <row r="381" spans="1:16" s="34" customFormat="1" x14ac:dyDescent="0.25">
      <c r="A381" s="91"/>
      <c r="B381" s="80"/>
      <c r="C381" s="80"/>
      <c r="D381" s="4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</row>
    <row r="382" spans="1:16" s="34" customFormat="1" x14ac:dyDescent="0.25">
      <c r="A382" s="91"/>
      <c r="B382" s="80"/>
      <c r="C382" s="80"/>
      <c r="D382" s="4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</row>
    <row r="383" spans="1:16" s="34" customFormat="1" x14ac:dyDescent="0.25">
      <c r="A383" s="91"/>
      <c r="B383" s="80"/>
      <c r="C383" s="80"/>
      <c r="D383" s="4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</row>
    <row r="384" spans="1:16" s="34" customFormat="1" x14ac:dyDescent="0.25">
      <c r="A384" s="91"/>
      <c r="B384" s="80"/>
      <c r="C384" s="80"/>
      <c r="D384" s="4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</row>
    <row r="385" spans="1:16" s="34" customFormat="1" x14ac:dyDescent="0.25">
      <c r="A385" s="91"/>
      <c r="B385" s="80"/>
      <c r="C385" s="80"/>
      <c r="D385" s="4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</row>
    <row r="386" spans="1:16" s="34" customFormat="1" x14ac:dyDescent="0.25">
      <c r="A386" s="91"/>
      <c r="B386" s="80"/>
      <c r="C386" s="80"/>
      <c r="D386" s="4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</row>
    <row r="387" spans="1:16" s="34" customFormat="1" x14ac:dyDescent="0.25">
      <c r="A387" s="91"/>
      <c r="B387" s="80"/>
      <c r="C387" s="80"/>
      <c r="D387" s="4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</row>
    <row r="388" spans="1:16" s="34" customFormat="1" x14ac:dyDescent="0.25">
      <c r="A388" s="91"/>
      <c r="B388" s="80"/>
      <c r="C388" s="80"/>
      <c r="D388" s="4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</row>
    <row r="389" spans="1:16" s="34" customFormat="1" x14ac:dyDescent="0.25">
      <c r="A389" s="91"/>
      <c r="B389" s="80"/>
      <c r="C389" s="80"/>
      <c r="D389" s="4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</row>
    <row r="390" spans="1:16" s="34" customFormat="1" x14ac:dyDescent="0.25">
      <c r="A390" s="91"/>
      <c r="B390" s="80"/>
      <c r="C390" s="80"/>
      <c r="D390" s="4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</row>
    <row r="391" spans="1:16" s="34" customFormat="1" x14ac:dyDescent="0.25">
      <c r="A391" s="91"/>
      <c r="B391" s="80"/>
      <c r="C391" s="80"/>
      <c r="D391" s="4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</row>
    <row r="392" spans="1:16" s="34" customFormat="1" x14ac:dyDescent="0.25">
      <c r="A392" s="91"/>
      <c r="B392" s="80"/>
      <c r="C392" s="80"/>
      <c r="D392" s="4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</row>
    <row r="393" spans="1:16" s="34" customFormat="1" x14ac:dyDescent="0.25">
      <c r="A393" s="91"/>
      <c r="B393" s="80"/>
      <c r="C393" s="80"/>
      <c r="D393" s="4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</row>
    <row r="394" spans="1:16" s="34" customFormat="1" x14ac:dyDescent="0.25">
      <c r="A394" s="91"/>
      <c r="B394" s="80"/>
      <c r="C394" s="80"/>
      <c r="D394" s="4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</row>
    <row r="395" spans="1:16" s="34" customFormat="1" x14ac:dyDescent="0.25">
      <c r="A395" s="91"/>
      <c r="B395" s="80"/>
      <c r="C395" s="80"/>
      <c r="D395" s="4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</row>
    <row r="396" spans="1:16" s="34" customFormat="1" x14ac:dyDescent="0.25">
      <c r="A396" s="91"/>
      <c r="B396" s="80"/>
      <c r="C396" s="80"/>
      <c r="D396" s="4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</row>
    <row r="397" spans="1:16" s="34" customFormat="1" x14ac:dyDescent="0.25">
      <c r="A397" s="91"/>
      <c r="B397" s="80"/>
      <c r="C397" s="80"/>
      <c r="D397" s="4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</row>
    <row r="398" spans="1:16" s="34" customFormat="1" x14ac:dyDescent="0.25">
      <c r="A398" s="91"/>
      <c r="B398" s="80"/>
      <c r="C398" s="80"/>
      <c r="D398" s="4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</row>
    <row r="399" spans="1:16" s="34" customFormat="1" x14ac:dyDescent="0.25">
      <c r="A399" s="91"/>
      <c r="B399" s="80"/>
      <c r="C399" s="80"/>
      <c r="D399" s="4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</row>
    <row r="400" spans="1:16" s="34" customFormat="1" x14ac:dyDescent="0.25">
      <c r="A400" s="91"/>
      <c r="B400" s="80"/>
      <c r="C400" s="80"/>
      <c r="D400" s="4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</row>
    <row r="401" spans="1:16" s="34" customFormat="1" x14ac:dyDescent="0.25">
      <c r="A401" s="91"/>
      <c r="B401" s="80"/>
      <c r="C401" s="80"/>
      <c r="D401" s="4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</row>
    <row r="402" spans="1:16" s="34" customFormat="1" x14ac:dyDescent="0.25">
      <c r="A402" s="91"/>
      <c r="B402" s="80"/>
      <c r="C402" s="80"/>
      <c r="D402" s="4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</row>
    <row r="403" spans="1:16" s="34" customFormat="1" x14ac:dyDescent="0.25">
      <c r="A403" s="91"/>
      <c r="B403" s="80"/>
      <c r="C403" s="80"/>
      <c r="D403" s="4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</row>
    <row r="404" spans="1:16" s="34" customFormat="1" x14ac:dyDescent="0.25">
      <c r="A404" s="91"/>
      <c r="B404" s="80"/>
      <c r="C404" s="80"/>
      <c r="D404" s="4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</row>
    <row r="405" spans="1:16" s="34" customFormat="1" x14ac:dyDescent="0.25">
      <c r="A405" s="91"/>
      <c r="B405" s="80"/>
      <c r="C405" s="80"/>
      <c r="D405" s="4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</row>
    <row r="406" spans="1:16" s="34" customFormat="1" x14ac:dyDescent="0.25">
      <c r="A406" s="91"/>
      <c r="B406" s="80"/>
      <c r="C406" s="80"/>
      <c r="D406" s="4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60"/>
    </row>
    <row r="407" spans="1:16" s="34" customFormat="1" x14ac:dyDescent="0.25">
      <c r="A407" s="91"/>
      <c r="B407" s="80"/>
      <c r="C407" s="80"/>
      <c r="D407" s="4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60"/>
    </row>
    <row r="408" spans="1:16" s="34" customFormat="1" x14ac:dyDescent="0.25">
      <c r="A408" s="91"/>
      <c r="B408" s="80"/>
      <c r="C408" s="80"/>
      <c r="D408" s="4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60"/>
    </row>
    <row r="409" spans="1:16" s="34" customFormat="1" x14ac:dyDescent="0.25">
      <c r="A409" s="91"/>
      <c r="B409" s="80"/>
      <c r="C409" s="80"/>
      <c r="D409" s="4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60"/>
    </row>
    <row r="410" spans="1:16" s="34" customFormat="1" x14ac:dyDescent="0.25">
      <c r="A410" s="91"/>
      <c r="B410" s="80"/>
      <c r="C410" s="80"/>
      <c r="D410" s="4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60"/>
    </row>
    <row r="411" spans="1:16" s="34" customFormat="1" x14ac:dyDescent="0.25">
      <c r="A411" s="91"/>
      <c r="B411" s="80"/>
      <c r="C411" s="80"/>
      <c r="D411" s="4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60"/>
    </row>
    <row r="412" spans="1:16" s="34" customFormat="1" x14ac:dyDescent="0.25">
      <c r="A412" s="91"/>
      <c r="B412" s="80"/>
      <c r="C412" s="80"/>
      <c r="D412" s="4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60"/>
    </row>
    <row r="413" spans="1:16" s="34" customFormat="1" x14ac:dyDescent="0.25">
      <c r="A413" s="91"/>
      <c r="B413" s="80"/>
      <c r="C413" s="80"/>
      <c r="D413" s="4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60"/>
    </row>
    <row r="414" spans="1:16" s="34" customFormat="1" x14ac:dyDescent="0.25">
      <c r="A414" s="91"/>
      <c r="B414" s="80"/>
      <c r="C414" s="80"/>
      <c r="D414" s="4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60"/>
    </row>
    <row r="415" spans="1:16" s="34" customFormat="1" x14ac:dyDescent="0.25">
      <c r="A415" s="91"/>
      <c r="B415" s="80"/>
      <c r="C415" s="80"/>
      <c r="D415" s="4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60"/>
    </row>
    <row r="416" spans="1:16" s="34" customFormat="1" x14ac:dyDescent="0.25">
      <c r="A416" s="91"/>
      <c r="B416" s="80"/>
      <c r="C416" s="80"/>
      <c r="D416" s="4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60"/>
    </row>
    <row r="417" spans="1:16" s="34" customFormat="1" x14ac:dyDescent="0.25">
      <c r="A417" s="91"/>
      <c r="B417" s="80"/>
      <c r="C417" s="80"/>
      <c r="D417" s="4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60"/>
    </row>
    <row r="418" spans="1:16" s="34" customFormat="1" x14ac:dyDescent="0.25">
      <c r="A418" s="91"/>
      <c r="B418" s="80"/>
      <c r="C418" s="80"/>
      <c r="D418" s="4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60"/>
    </row>
    <row r="419" spans="1:16" s="34" customFormat="1" x14ac:dyDescent="0.25">
      <c r="A419" s="91"/>
      <c r="B419" s="80"/>
      <c r="C419" s="80"/>
      <c r="D419" s="4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60"/>
    </row>
    <row r="420" spans="1:16" s="34" customFormat="1" x14ac:dyDescent="0.25">
      <c r="A420" s="91"/>
      <c r="B420" s="80"/>
      <c r="C420" s="80"/>
      <c r="D420" s="4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60"/>
    </row>
    <row r="421" spans="1:16" s="34" customFormat="1" x14ac:dyDescent="0.25">
      <c r="A421" s="91"/>
      <c r="B421" s="80"/>
      <c r="C421" s="80"/>
      <c r="D421" s="4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60"/>
    </row>
    <row r="422" spans="1:16" s="34" customFormat="1" x14ac:dyDescent="0.25">
      <c r="A422" s="91"/>
      <c r="B422" s="80"/>
      <c r="C422" s="80"/>
      <c r="D422" s="4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60"/>
    </row>
    <row r="423" spans="1:16" s="34" customFormat="1" x14ac:dyDescent="0.25">
      <c r="A423" s="91"/>
      <c r="B423" s="80"/>
      <c r="C423" s="80"/>
      <c r="D423" s="4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60"/>
    </row>
    <row r="424" spans="1:16" s="34" customFormat="1" x14ac:dyDescent="0.25">
      <c r="A424" s="91"/>
      <c r="B424" s="80"/>
      <c r="C424" s="80"/>
      <c r="D424" s="4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60"/>
    </row>
    <row r="425" spans="1:16" s="34" customFormat="1" x14ac:dyDescent="0.25">
      <c r="A425" s="91"/>
      <c r="B425" s="80"/>
      <c r="C425" s="80"/>
      <c r="D425" s="4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60"/>
    </row>
    <row r="426" spans="1:16" s="34" customFormat="1" x14ac:dyDescent="0.25">
      <c r="A426" s="91"/>
      <c r="B426" s="80"/>
      <c r="C426" s="80"/>
      <c r="D426" s="4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60"/>
    </row>
    <row r="427" spans="1:16" s="34" customFormat="1" x14ac:dyDescent="0.25">
      <c r="A427" s="91"/>
      <c r="B427" s="80"/>
      <c r="C427" s="80"/>
      <c r="D427" s="4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60"/>
    </row>
    <row r="428" spans="1:16" s="34" customFormat="1" x14ac:dyDescent="0.25">
      <c r="A428" s="91"/>
      <c r="B428" s="80"/>
      <c r="C428" s="80"/>
      <c r="D428" s="4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60"/>
    </row>
    <row r="429" spans="1:16" s="34" customFormat="1" x14ac:dyDescent="0.25">
      <c r="A429" s="91"/>
      <c r="B429" s="80"/>
      <c r="C429" s="80"/>
      <c r="D429" s="4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60"/>
    </row>
    <row r="430" spans="1:16" s="34" customFormat="1" x14ac:dyDescent="0.25">
      <c r="A430" s="91"/>
      <c r="B430" s="80"/>
      <c r="C430" s="80"/>
      <c r="D430" s="4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60"/>
    </row>
    <row r="431" spans="1:16" s="34" customFormat="1" x14ac:dyDescent="0.25">
      <c r="A431" s="91"/>
      <c r="B431" s="80"/>
      <c r="C431" s="80"/>
      <c r="D431" s="4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60"/>
    </row>
    <row r="432" spans="1:16" s="34" customFormat="1" x14ac:dyDescent="0.25">
      <c r="A432" s="91"/>
      <c r="B432" s="80"/>
      <c r="C432" s="80"/>
      <c r="D432" s="4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60"/>
    </row>
    <row r="433" spans="1:16" s="34" customFormat="1" x14ac:dyDescent="0.25">
      <c r="A433" s="91"/>
      <c r="B433" s="80"/>
      <c r="C433" s="80"/>
      <c r="D433" s="4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60"/>
    </row>
    <row r="434" spans="1:16" s="34" customFormat="1" x14ac:dyDescent="0.25">
      <c r="A434" s="91"/>
      <c r="B434" s="80"/>
      <c r="C434" s="80"/>
      <c r="D434" s="4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60"/>
    </row>
    <row r="435" spans="1:16" s="34" customFormat="1" x14ac:dyDescent="0.25">
      <c r="A435" s="91"/>
      <c r="B435" s="80"/>
      <c r="C435" s="80"/>
      <c r="D435" s="4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60"/>
    </row>
    <row r="436" spans="1:16" s="34" customFormat="1" x14ac:dyDescent="0.25">
      <c r="A436" s="91"/>
      <c r="B436" s="80"/>
      <c r="C436" s="80"/>
      <c r="D436" s="4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60"/>
    </row>
    <row r="437" spans="1:16" s="34" customFormat="1" x14ac:dyDescent="0.25">
      <c r="A437" s="91"/>
      <c r="B437" s="80"/>
      <c r="C437" s="80"/>
      <c r="D437" s="4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60"/>
    </row>
    <row r="438" spans="1:16" s="34" customFormat="1" x14ac:dyDescent="0.25">
      <c r="A438" s="91"/>
      <c r="B438" s="80"/>
      <c r="C438" s="80"/>
      <c r="D438" s="4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60"/>
    </row>
    <row r="439" spans="1:16" s="34" customFormat="1" x14ac:dyDescent="0.25">
      <c r="A439" s="91"/>
      <c r="B439" s="80"/>
      <c r="C439" s="80"/>
      <c r="D439" s="4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60"/>
    </row>
    <row r="440" spans="1:16" s="34" customFormat="1" x14ac:dyDescent="0.25">
      <c r="A440" s="91"/>
      <c r="B440" s="80"/>
      <c r="C440" s="80"/>
      <c r="D440" s="4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60"/>
    </row>
    <row r="441" spans="1:16" s="34" customFormat="1" x14ac:dyDescent="0.25">
      <c r="A441" s="91"/>
      <c r="B441" s="80"/>
      <c r="C441" s="80"/>
      <c r="D441" s="4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60"/>
    </row>
    <row r="442" spans="1:16" s="34" customFormat="1" x14ac:dyDescent="0.25">
      <c r="A442" s="91"/>
      <c r="B442" s="80"/>
      <c r="C442" s="80"/>
      <c r="D442" s="4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60"/>
    </row>
    <row r="443" spans="1:16" s="34" customFormat="1" x14ac:dyDescent="0.25">
      <c r="A443" s="91"/>
      <c r="B443" s="80"/>
      <c r="C443" s="80"/>
      <c r="D443" s="4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60"/>
    </row>
    <row r="444" spans="1:16" s="34" customFormat="1" x14ac:dyDescent="0.25">
      <c r="A444" s="91"/>
      <c r="B444" s="80"/>
      <c r="C444" s="80"/>
      <c r="D444" s="4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60"/>
    </row>
    <row r="445" spans="1:16" s="34" customFormat="1" x14ac:dyDescent="0.25">
      <c r="A445" s="91"/>
      <c r="B445" s="80"/>
      <c r="C445" s="80"/>
      <c r="D445" s="4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</row>
    <row r="446" spans="1:16" s="34" customFormat="1" x14ac:dyDescent="0.25">
      <c r="A446" s="91"/>
      <c r="B446" s="80"/>
      <c r="C446" s="80"/>
      <c r="D446" s="4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</row>
    <row r="447" spans="1:16" s="34" customFormat="1" x14ac:dyDescent="0.25">
      <c r="A447" s="91"/>
      <c r="B447" s="80"/>
      <c r="C447" s="80"/>
      <c r="D447" s="4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60"/>
    </row>
    <row r="448" spans="1:16" s="34" customFormat="1" x14ac:dyDescent="0.25">
      <c r="A448" s="91"/>
      <c r="B448" s="80"/>
      <c r="C448" s="80"/>
      <c r="D448" s="4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60"/>
    </row>
    <row r="449" spans="1:16" s="34" customFormat="1" x14ac:dyDescent="0.25">
      <c r="A449" s="91"/>
      <c r="B449" s="80"/>
      <c r="C449" s="80"/>
      <c r="D449" s="4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60"/>
    </row>
    <row r="450" spans="1:16" s="34" customFormat="1" x14ac:dyDescent="0.25">
      <c r="A450" s="91"/>
      <c r="B450" s="80"/>
      <c r="C450" s="80"/>
      <c r="D450" s="4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60"/>
    </row>
    <row r="451" spans="1:16" s="34" customFormat="1" x14ac:dyDescent="0.25">
      <c r="A451" s="91"/>
      <c r="B451" s="80"/>
      <c r="C451" s="80"/>
      <c r="D451" s="4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60"/>
    </row>
    <row r="452" spans="1:16" s="34" customFormat="1" x14ac:dyDescent="0.25">
      <c r="A452" s="91"/>
      <c r="B452" s="80"/>
      <c r="C452" s="80"/>
      <c r="D452" s="4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60"/>
    </row>
    <row r="453" spans="1:16" s="34" customFormat="1" x14ac:dyDescent="0.25">
      <c r="A453" s="91"/>
      <c r="B453" s="80"/>
      <c r="C453" s="80"/>
      <c r="D453" s="4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60"/>
    </row>
    <row r="454" spans="1:16" s="34" customFormat="1" x14ac:dyDescent="0.25">
      <c r="A454" s="91"/>
      <c r="B454" s="80"/>
      <c r="C454" s="80"/>
      <c r="D454" s="4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60"/>
    </row>
    <row r="455" spans="1:16" s="34" customFormat="1" x14ac:dyDescent="0.25">
      <c r="A455" s="91"/>
      <c r="B455" s="80"/>
      <c r="C455" s="80"/>
      <c r="D455" s="4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60"/>
    </row>
    <row r="456" spans="1:16" s="34" customFormat="1" x14ac:dyDescent="0.25">
      <c r="A456" s="91"/>
      <c r="B456" s="80"/>
      <c r="C456" s="80"/>
      <c r="D456" s="4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60"/>
    </row>
    <row r="457" spans="1:16" s="34" customFormat="1" x14ac:dyDescent="0.25">
      <c r="A457" s="91"/>
      <c r="B457" s="80"/>
      <c r="C457" s="80"/>
      <c r="D457" s="4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60"/>
    </row>
    <row r="458" spans="1:16" s="34" customFormat="1" x14ac:dyDescent="0.25">
      <c r="A458" s="91"/>
      <c r="B458" s="80"/>
      <c r="C458" s="80"/>
      <c r="D458" s="4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60"/>
    </row>
    <row r="459" spans="1:16" s="34" customFormat="1" x14ac:dyDescent="0.25">
      <c r="A459" s="91"/>
      <c r="B459" s="80"/>
      <c r="C459" s="80"/>
      <c r="D459" s="4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60"/>
    </row>
    <row r="460" spans="1:16" s="34" customFormat="1" x14ac:dyDescent="0.25">
      <c r="A460" s="91"/>
      <c r="B460" s="80"/>
      <c r="C460" s="80"/>
      <c r="D460" s="4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60"/>
    </row>
    <row r="461" spans="1:16" s="34" customFormat="1" x14ac:dyDescent="0.25">
      <c r="A461" s="91"/>
      <c r="B461" s="80"/>
      <c r="C461" s="80"/>
      <c r="D461" s="4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60"/>
    </row>
    <row r="462" spans="1:16" s="34" customFormat="1" x14ac:dyDescent="0.25">
      <c r="A462" s="91"/>
      <c r="B462" s="80"/>
      <c r="C462" s="80"/>
      <c r="D462" s="4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60"/>
    </row>
    <row r="463" spans="1:16" s="34" customFormat="1" x14ac:dyDescent="0.25">
      <c r="A463" s="91"/>
      <c r="B463" s="80"/>
      <c r="C463" s="80"/>
      <c r="D463" s="4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60"/>
    </row>
    <row r="464" spans="1:16" s="34" customFormat="1" x14ac:dyDescent="0.25">
      <c r="A464" s="91"/>
      <c r="B464" s="80"/>
      <c r="C464" s="80"/>
      <c r="D464" s="4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60"/>
    </row>
    <row r="465" spans="1:16" s="34" customFormat="1" x14ac:dyDescent="0.25">
      <c r="A465" s="91"/>
      <c r="B465" s="80"/>
      <c r="C465" s="80"/>
      <c r="D465" s="4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60"/>
    </row>
    <row r="466" spans="1:16" s="34" customFormat="1" x14ac:dyDescent="0.25">
      <c r="A466" s="91"/>
      <c r="B466" s="80"/>
      <c r="C466" s="80"/>
      <c r="D466" s="4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60"/>
    </row>
    <row r="467" spans="1:16" s="34" customFormat="1" x14ac:dyDescent="0.25">
      <c r="A467" s="91"/>
      <c r="B467" s="80"/>
      <c r="C467" s="80"/>
      <c r="D467" s="4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60"/>
    </row>
    <row r="468" spans="1:16" s="34" customFormat="1" x14ac:dyDescent="0.25">
      <c r="A468" s="91"/>
      <c r="B468" s="80"/>
      <c r="C468" s="80"/>
      <c r="D468" s="4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60"/>
    </row>
    <row r="469" spans="1:16" s="34" customFormat="1" x14ac:dyDescent="0.25">
      <c r="A469" s="91"/>
      <c r="B469" s="80"/>
      <c r="C469" s="80"/>
      <c r="D469" s="4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60"/>
    </row>
    <row r="470" spans="1:16" s="34" customFormat="1" x14ac:dyDescent="0.25">
      <c r="A470" s="91"/>
      <c r="B470" s="80"/>
      <c r="C470" s="80"/>
      <c r="D470" s="4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60"/>
    </row>
    <row r="471" spans="1:16" s="34" customFormat="1" x14ac:dyDescent="0.25">
      <c r="A471" s="91"/>
      <c r="B471" s="80"/>
      <c r="C471" s="80"/>
      <c r="D471" s="4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60"/>
    </row>
    <row r="472" spans="1:16" s="34" customFormat="1" x14ac:dyDescent="0.25">
      <c r="A472" s="91"/>
      <c r="B472" s="80"/>
      <c r="C472" s="80"/>
      <c r="D472" s="4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60"/>
    </row>
    <row r="473" spans="1:16" s="34" customFormat="1" x14ac:dyDescent="0.25">
      <c r="A473" s="91"/>
      <c r="B473" s="80"/>
      <c r="C473" s="80"/>
      <c r="D473" s="4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60"/>
    </row>
    <row r="474" spans="1:16" s="34" customFormat="1" x14ac:dyDescent="0.25">
      <c r="A474" s="91"/>
      <c r="B474" s="80"/>
      <c r="C474" s="80"/>
      <c r="D474" s="4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60"/>
    </row>
    <row r="475" spans="1:16" s="34" customFormat="1" x14ac:dyDescent="0.25">
      <c r="A475" s="91"/>
      <c r="B475" s="80"/>
      <c r="C475" s="80"/>
      <c r="D475" s="4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60"/>
    </row>
    <row r="476" spans="1:16" s="34" customFormat="1" x14ac:dyDescent="0.25">
      <c r="A476" s="91"/>
      <c r="B476" s="80"/>
      <c r="C476" s="80"/>
      <c r="D476" s="4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60"/>
    </row>
    <row r="477" spans="1:16" s="34" customFormat="1" x14ac:dyDescent="0.25">
      <c r="A477" s="91"/>
      <c r="B477" s="80"/>
      <c r="C477" s="80"/>
      <c r="D477" s="4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60"/>
    </row>
    <row r="478" spans="1:16" s="34" customFormat="1" x14ac:dyDescent="0.25">
      <c r="A478" s="91"/>
      <c r="B478" s="80"/>
      <c r="C478" s="80"/>
      <c r="D478" s="4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60"/>
    </row>
    <row r="479" spans="1:16" s="34" customFormat="1" x14ac:dyDescent="0.25">
      <c r="A479" s="91"/>
      <c r="B479" s="80"/>
      <c r="C479" s="80"/>
      <c r="D479" s="4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60"/>
    </row>
    <row r="480" spans="1:16" s="34" customFormat="1" x14ac:dyDescent="0.25">
      <c r="A480" s="91"/>
      <c r="B480" s="80"/>
      <c r="C480" s="80"/>
      <c r="D480" s="4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60"/>
    </row>
    <row r="481" spans="1:16" s="34" customFormat="1" x14ac:dyDescent="0.25">
      <c r="A481" s="91"/>
      <c r="B481" s="80"/>
      <c r="C481" s="80"/>
      <c r="D481" s="4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60"/>
    </row>
    <row r="482" spans="1:16" s="34" customFormat="1" x14ac:dyDescent="0.25">
      <c r="A482" s="91"/>
      <c r="B482" s="80"/>
      <c r="C482" s="80"/>
      <c r="D482" s="4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60"/>
    </row>
    <row r="483" spans="1:16" s="34" customFormat="1" x14ac:dyDescent="0.25">
      <c r="A483" s="91"/>
      <c r="B483" s="80"/>
      <c r="C483" s="80"/>
      <c r="D483" s="4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60"/>
    </row>
    <row r="484" spans="1:16" s="34" customFormat="1" x14ac:dyDescent="0.25">
      <c r="A484" s="91"/>
      <c r="B484" s="80"/>
      <c r="C484" s="80"/>
      <c r="D484" s="4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60"/>
    </row>
    <row r="485" spans="1:16" s="34" customFormat="1" x14ac:dyDescent="0.25">
      <c r="A485" s="91"/>
      <c r="B485" s="80"/>
      <c r="C485" s="80"/>
      <c r="D485" s="4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60"/>
    </row>
    <row r="486" spans="1:16" s="34" customFormat="1" x14ac:dyDescent="0.25">
      <c r="A486" s="91"/>
      <c r="B486" s="80"/>
      <c r="C486" s="80"/>
      <c r="D486" s="4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60"/>
    </row>
    <row r="487" spans="1:16" s="34" customFormat="1" x14ac:dyDescent="0.25">
      <c r="A487" s="91"/>
      <c r="B487" s="80"/>
      <c r="C487" s="80"/>
      <c r="D487" s="4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60"/>
    </row>
    <row r="488" spans="1:16" s="34" customFormat="1" x14ac:dyDescent="0.25">
      <c r="A488" s="91"/>
      <c r="B488" s="80"/>
      <c r="C488" s="80"/>
      <c r="D488" s="4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60"/>
    </row>
    <row r="489" spans="1:16" s="34" customFormat="1" x14ac:dyDescent="0.25">
      <c r="A489" s="91"/>
      <c r="B489" s="80"/>
      <c r="C489" s="80"/>
      <c r="D489" s="4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60"/>
    </row>
    <row r="490" spans="1:16" s="34" customFormat="1" x14ac:dyDescent="0.25">
      <c r="A490" s="91"/>
      <c r="B490" s="80"/>
      <c r="C490" s="80"/>
      <c r="D490" s="4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60"/>
    </row>
    <row r="491" spans="1:16" s="34" customFormat="1" x14ac:dyDescent="0.25">
      <c r="A491" s="91"/>
      <c r="B491" s="80"/>
      <c r="C491" s="80"/>
      <c r="D491" s="4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60"/>
    </row>
    <row r="492" spans="1:16" s="34" customFormat="1" x14ac:dyDescent="0.25">
      <c r="A492" s="91"/>
      <c r="B492" s="80"/>
      <c r="C492" s="80"/>
      <c r="D492" s="4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60"/>
    </row>
    <row r="493" spans="1:16" s="34" customFormat="1" x14ac:dyDescent="0.25">
      <c r="A493" s="91"/>
      <c r="B493" s="80"/>
      <c r="C493" s="80"/>
      <c r="D493" s="4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60"/>
    </row>
    <row r="494" spans="1:16" s="34" customFormat="1" x14ac:dyDescent="0.25">
      <c r="A494" s="91"/>
      <c r="B494" s="80"/>
      <c r="C494" s="80"/>
      <c r="D494" s="4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60"/>
    </row>
    <row r="495" spans="1:16" s="34" customFormat="1" x14ac:dyDescent="0.25">
      <c r="A495" s="91"/>
      <c r="B495" s="80"/>
      <c r="C495" s="80"/>
      <c r="D495" s="4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60"/>
    </row>
    <row r="496" spans="1:16" s="34" customFormat="1" x14ac:dyDescent="0.25">
      <c r="A496" s="91"/>
      <c r="B496" s="80"/>
      <c r="C496" s="80"/>
      <c r="D496" s="4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60"/>
    </row>
    <row r="497" spans="1:16" s="34" customFormat="1" x14ac:dyDescent="0.25">
      <c r="A497" s="91"/>
      <c r="B497" s="80"/>
      <c r="C497" s="80"/>
      <c r="D497" s="4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60"/>
    </row>
    <row r="498" spans="1:16" s="34" customFormat="1" x14ac:dyDescent="0.25">
      <c r="A498" s="91"/>
      <c r="B498" s="80"/>
      <c r="C498" s="80"/>
      <c r="D498" s="4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60"/>
    </row>
    <row r="499" spans="1:16" s="34" customFormat="1" x14ac:dyDescent="0.25">
      <c r="A499" s="91"/>
      <c r="B499" s="80"/>
      <c r="C499" s="80"/>
      <c r="D499" s="4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60"/>
    </row>
    <row r="500" spans="1:16" s="34" customFormat="1" x14ac:dyDescent="0.25">
      <c r="A500" s="91"/>
      <c r="B500" s="80"/>
      <c r="C500" s="80"/>
      <c r="D500" s="4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60"/>
    </row>
    <row r="501" spans="1:16" s="34" customFormat="1" x14ac:dyDescent="0.25">
      <c r="A501" s="91"/>
      <c r="B501" s="80"/>
      <c r="C501" s="80"/>
      <c r="D501" s="4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60"/>
    </row>
    <row r="502" spans="1:16" s="34" customFormat="1" x14ac:dyDescent="0.25">
      <c r="A502" s="91"/>
      <c r="B502" s="80"/>
      <c r="C502" s="80"/>
      <c r="D502" s="4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60"/>
    </row>
    <row r="503" spans="1:16" s="34" customFormat="1" x14ac:dyDescent="0.25">
      <c r="A503" s="91"/>
      <c r="B503" s="80"/>
      <c r="C503" s="80"/>
      <c r="D503" s="4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60"/>
    </row>
    <row r="504" spans="1:16" s="34" customFormat="1" x14ac:dyDescent="0.25">
      <c r="A504" s="91"/>
      <c r="B504" s="80"/>
      <c r="C504" s="80"/>
      <c r="D504" s="4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60"/>
    </row>
    <row r="505" spans="1:16" s="34" customFormat="1" x14ac:dyDescent="0.25">
      <c r="A505" s="91"/>
      <c r="B505" s="80"/>
      <c r="C505" s="80"/>
      <c r="D505" s="4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60"/>
    </row>
    <row r="506" spans="1:16" s="34" customFormat="1" x14ac:dyDescent="0.25">
      <c r="A506" s="91"/>
      <c r="B506" s="80"/>
      <c r="C506" s="80"/>
      <c r="D506" s="4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60"/>
    </row>
    <row r="507" spans="1:16" s="34" customFormat="1" x14ac:dyDescent="0.25">
      <c r="A507" s="91"/>
      <c r="B507" s="80"/>
      <c r="C507" s="80"/>
      <c r="D507" s="4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60"/>
    </row>
    <row r="508" spans="1:16" s="34" customFormat="1" x14ac:dyDescent="0.25">
      <c r="A508" s="91"/>
      <c r="B508" s="80"/>
      <c r="C508" s="80"/>
      <c r="D508" s="4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60"/>
    </row>
    <row r="509" spans="1:16" s="34" customFormat="1" x14ac:dyDescent="0.25">
      <c r="A509" s="91"/>
      <c r="B509" s="80"/>
      <c r="C509" s="80"/>
      <c r="D509" s="4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60"/>
    </row>
    <row r="510" spans="1:16" s="34" customFormat="1" x14ac:dyDescent="0.25">
      <c r="A510" s="91"/>
      <c r="B510" s="80"/>
      <c r="C510" s="80"/>
      <c r="D510" s="4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60"/>
    </row>
    <row r="511" spans="1:16" s="34" customFormat="1" x14ac:dyDescent="0.25">
      <c r="A511" s="91"/>
      <c r="B511" s="80"/>
      <c r="C511" s="80"/>
      <c r="D511" s="4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60"/>
    </row>
    <row r="512" spans="1:16" s="34" customFormat="1" x14ac:dyDescent="0.25">
      <c r="A512" s="91"/>
      <c r="B512" s="80"/>
      <c r="C512" s="80"/>
      <c r="D512" s="4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60"/>
    </row>
    <row r="513" spans="1:16" s="34" customFormat="1" x14ac:dyDescent="0.25">
      <c r="A513" s="91"/>
      <c r="B513" s="80"/>
      <c r="C513" s="80"/>
      <c r="D513" s="4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60"/>
    </row>
    <row r="514" spans="1:16" s="34" customFormat="1" x14ac:dyDescent="0.25">
      <c r="A514" s="91"/>
      <c r="B514" s="80"/>
      <c r="C514" s="80"/>
      <c r="D514" s="4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60"/>
    </row>
    <row r="515" spans="1:16" s="34" customFormat="1" x14ac:dyDescent="0.25">
      <c r="A515" s="91"/>
      <c r="B515" s="80"/>
      <c r="C515" s="80"/>
      <c r="D515" s="4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60"/>
    </row>
    <row r="516" spans="1:16" s="34" customFormat="1" x14ac:dyDescent="0.25">
      <c r="A516" s="91"/>
      <c r="B516" s="80"/>
      <c r="C516" s="80"/>
      <c r="D516" s="4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60"/>
    </row>
    <row r="517" spans="1:16" s="34" customFormat="1" x14ac:dyDescent="0.25">
      <c r="A517" s="91"/>
      <c r="B517" s="80"/>
      <c r="C517" s="80"/>
      <c r="D517" s="4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60"/>
    </row>
    <row r="518" spans="1:16" s="34" customFormat="1" x14ac:dyDescent="0.25">
      <c r="A518" s="91"/>
      <c r="B518" s="80"/>
      <c r="C518" s="80"/>
      <c r="D518" s="4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60"/>
    </row>
    <row r="519" spans="1:16" s="34" customFormat="1" x14ac:dyDescent="0.25">
      <c r="A519" s="91"/>
      <c r="B519" s="80"/>
      <c r="C519" s="80"/>
      <c r="D519" s="4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60"/>
    </row>
    <row r="520" spans="1:16" s="34" customFormat="1" x14ac:dyDescent="0.25">
      <c r="A520" s="91"/>
      <c r="B520" s="80"/>
      <c r="C520" s="80"/>
      <c r="D520" s="4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60"/>
    </row>
    <row r="521" spans="1:16" s="34" customFormat="1" x14ac:dyDescent="0.25">
      <c r="A521" s="91"/>
      <c r="B521" s="80"/>
      <c r="C521" s="80"/>
      <c r="D521" s="4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60"/>
    </row>
    <row r="522" spans="1:16" s="34" customFormat="1" x14ac:dyDescent="0.25">
      <c r="A522" s="91"/>
      <c r="B522" s="80"/>
      <c r="C522" s="80"/>
      <c r="D522" s="4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60"/>
    </row>
    <row r="523" spans="1:16" s="34" customFormat="1" x14ac:dyDescent="0.25">
      <c r="A523" s="91"/>
      <c r="B523" s="80"/>
      <c r="C523" s="80"/>
      <c r="D523" s="4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60"/>
    </row>
    <row r="524" spans="1:16" s="34" customFormat="1" x14ac:dyDescent="0.25">
      <c r="A524" s="91"/>
      <c r="B524" s="80"/>
      <c r="C524" s="80"/>
      <c r="D524" s="4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60"/>
    </row>
    <row r="525" spans="1:16" s="34" customFormat="1" x14ac:dyDescent="0.25">
      <c r="A525" s="91"/>
      <c r="B525" s="80"/>
      <c r="C525" s="80"/>
      <c r="D525" s="4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60"/>
    </row>
    <row r="526" spans="1:16" s="34" customFormat="1" x14ac:dyDescent="0.25">
      <c r="A526" s="91"/>
      <c r="B526" s="80"/>
      <c r="C526" s="80"/>
      <c r="D526" s="4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60"/>
    </row>
    <row r="527" spans="1:16" s="34" customFormat="1" x14ac:dyDescent="0.25">
      <c r="A527" s="91"/>
      <c r="B527" s="80"/>
      <c r="C527" s="80"/>
      <c r="D527" s="4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60"/>
    </row>
    <row r="528" spans="1:16" s="34" customFormat="1" x14ac:dyDescent="0.25">
      <c r="A528" s="91"/>
      <c r="B528" s="80"/>
      <c r="C528" s="80"/>
      <c r="D528" s="4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60"/>
    </row>
    <row r="529" spans="1:16" s="34" customFormat="1" x14ac:dyDescent="0.25">
      <c r="A529" s="91"/>
      <c r="B529" s="80"/>
      <c r="C529" s="80"/>
      <c r="D529" s="4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60"/>
    </row>
    <row r="530" spans="1:16" s="34" customFormat="1" x14ac:dyDescent="0.25">
      <c r="A530" s="91"/>
      <c r="B530" s="80"/>
      <c r="C530" s="80"/>
      <c r="D530" s="4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60"/>
    </row>
    <row r="531" spans="1:16" s="34" customFormat="1" x14ac:dyDescent="0.25">
      <c r="A531" s="91"/>
      <c r="B531" s="80"/>
      <c r="C531" s="80"/>
      <c r="D531" s="4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60"/>
    </row>
    <row r="532" spans="1:16" s="34" customFormat="1" x14ac:dyDescent="0.25">
      <c r="A532" s="91"/>
      <c r="B532" s="80"/>
      <c r="C532" s="80"/>
      <c r="D532" s="4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60"/>
    </row>
    <row r="533" spans="1:16" s="34" customFormat="1" x14ac:dyDescent="0.25">
      <c r="A533" s="91"/>
      <c r="B533" s="80"/>
      <c r="C533" s="80"/>
      <c r="D533" s="4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60"/>
    </row>
    <row r="534" spans="1:16" s="34" customFormat="1" x14ac:dyDescent="0.25">
      <c r="A534" s="91"/>
      <c r="B534" s="80"/>
      <c r="C534" s="80"/>
      <c r="D534" s="4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60"/>
    </row>
    <row r="535" spans="1:16" s="34" customFormat="1" x14ac:dyDescent="0.25">
      <c r="A535" s="91"/>
      <c r="B535" s="80"/>
      <c r="C535" s="80"/>
      <c r="D535" s="4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60"/>
    </row>
    <row r="536" spans="1:16" s="34" customFormat="1" x14ac:dyDescent="0.25">
      <c r="A536" s="91"/>
      <c r="B536" s="80"/>
      <c r="C536" s="80"/>
      <c r="D536" s="4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60"/>
    </row>
    <row r="537" spans="1:16" s="34" customFormat="1" x14ac:dyDescent="0.25">
      <c r="A537" s="91"/>
      <c r="B537" s="80"/>
      <c r="C537" s="80"/>
      <c r="D537" s="4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60"/>
    </row>
    <row r="538" spans="1:16" s="34" customFormat="1" x14ac:dyDescent="0.25">
      <c r="A538" s="91"/>
      <c r="B538" s="80"/>
      <c r="C538" s="80"/>
      <c r="D538" s="4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60"/>
    </row>
    <row r="539" spans="1:16" s="34" customFormat="1" x14ac:dyDescent="0.25">
      <c r="A539" s="91"/>
      <c r="B539" s="80"/>
      <c r="C539" s="80"/>
      <c r="D539" s="4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60"/>
    </row>
    <row r="540" spans="1:16" s="34" customFormat="1" x14ac:dyDescent="0.25">
      <c r="A540" s="91"/>
      <c r="B540" s="80"/>
      <c r="C540" s="80"/>
      <c r="D540" s="4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60"/>
    </row>
    <row r="541" spans="1:16" s="34" customFormat="1" x14ac:dyDescent="0.25">
      <c r="A541" s="91"/>
      <c r="B541" s="80"/>
      <c r="C541" s="80"/>
      <c r="D541" s="4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60"/>
    </row>
    <row r="542" spans="1:16" s="34" customFormat="1" x14ac:dyDescent="0.25">
      <c r="A542" s="91"/>
      <c r="B542" s="80"/>
      <c r="C542" s="80"/>
      <c r="D542" s="4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60"/>
    </row>
    <row r="543" spans="1:16" s="34" customFormat="1" x14ac:dyDescent="0.25">
      <c r="A543" s="91"/>
      <c r="B543" s="80"/>
      <c r="C543" s="80"/>
      <c r="D543" s="4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60"/>
    </row>
    <row r="544" spans="1:16" s="34" customFormat="1" x14ac:dyDescent="0.25">
      <c r="A544" s="91"/>
      <c r="B544" s="80"/>
      <c r="C544" s="80"/>
      <c r="D544" s="4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60"/>
    </row>
    <row r="545" spans="1:16" s="34" customFormat="1" x14ac:dyDescent="0.25">
      <c r="A545" s="91"/>
      <c r="B545" s="80"/>
      <c r="C545" s="80"/>
      <c r="D545" s="4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60"/>
    </row>
    <row r="546" spans="1:16" s="34" customFormat="1" x14ac:dyDescent="0.25">
      <c r="A546" s="91"/>
      <c r="B546" s="80"/>
      <c r="C546" s="80"/>
      <c r="D546" s="4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60"/>
    </row>
    <row r="547" spans="1:16" s="34" customFormat="1" x14ac:dyDescent="0.25">
      <c r="A547" s="91"/>
      <c r="B547" s="80"/>
      <c r="C547" s="80"/>
      <c r="D547" s="4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60"/>
    </row>
    <row r="548" spans="1:16" s="34" customFormat="1" x14ac:dyDescent="0.25">
      <c r="A548" s="91"/>
      <c r="B548" s="80"/>
      <c r="C548" s="80"/>
      <c r="D548" s="4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60"/>
    </row>
    <row r="549" spans="1:16" s="34" customFormat="1" x14ac:dyDescent="0.25">
      <c r="A549" s="91"/>
      <c r="B549" s="80"/>
      <c r="C549" s="80"/>
      <c r="D549" s="4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60"/>
    </row>
    <row r="550" spans="1:16" s="34" customFormat="1" x14ac:dyDescent="0.25">
      <c r="A550" s="91"/>
      <c r="B550" s="80"/>
      <c r="C550" s="80"/>
      <c r="D550" s="4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60"/>
    </row>
    <row r="551" spans="1:16" s="34" customFormat="1" x14ac:dyDescent="0.25">
      <c r="A551" s="91"/>
      <c r="B551" s="80"/>
      <c r="C551" s="80"/>
      <c r="D551" s="4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60"/>
    </row>
    <row r="552" spans="1:16" s="34" customFormat="1" x14ac:dyDescent="0.25">
      <c r="A552" s="91"/>
      <c r="B552" s="80"/>
      <c r="C552" s="80"/>
      <c r="D552" s="4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60"/>
    </row>
    <row r="553" spans="1:16" s="34" customFormat="1" x14ac:dyDescent="0.25">
      <c r="A553" s="91"/>
      <c r="B553" s="80"/>
      <c r="C553" s="80"/>
      <c r="D553" s="4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60"/>
    </row>
    <row r="554" spans="1:16" s="34" customFormat="1" x14ac:dyDescent="0.25">
      <c r="A554" s="91"/>
      <c r="B554" s="80"/>
      <c r="C554" s="80"/>
      <c r="D554" s="4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60"/>
    </row>
    <row r="555" spans="1:16" s="34" customFormat="1" x14ac:dyDescent="0.25">
      <c r="A555" s="91"/>
      <c r="B555" s="80"/>
      <c r="C555" s="80"/>
      <c r="D555" s="4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60"/>
    </row>
    <row r="556" spans="1:16" s="34" customFormat="1" x14ac:dyDescent="0.25">
      <c r="A556" s="91"/>
      <c r="B556" s="80"/>
      <c r="C556" s="80"/>
      <c r="D556" s="4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60"/>
    </row>
    <row r="557" spans="1:16" s="34" customFormat="1" x14ac:dyDescent="0.25">
      <c r="A557" s="91"/>
      <c r="B557" s="80"/>
      <c r="C557" s="80"/>
      <c r="D557" s="4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60"/>
    </row>
    <row r="558" spans="1:16" s="34" customFormat="1" x14ac:dyDescent="0.25">
      <c r="A558" s="91"/>
      <c r="B558" s="80"/>
      <c r="C558" s="80"/>
      <c r="D558" s="4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60"/>
    </row>
    <row r="559" spans="1:16" s="34" customFormat="1" x14ac:dyDescent="0.25">
      <c r="A559" s="91"/>
      <c r="B559" s="80"/>
      <c r="C559" s="80"/>
      <c r="D559" s="4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60"/>
    </row>
    <row r="560" spans="1:16" s="34" customFormat="1" x14ac:dyDescent="0.25">
      <c r="A560" s="91"/>
      <c r="B560" s="80"/>
      <c r="C560" s="80"/>
      <c r="D560" s="4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60"/>
    </row>
    <row r="561" spans="1:16" s="34" customFormat="1" x14ac:dyDescent="0.25">
      <c r="A561" s="91"/>
      <c r="B561" s="80"/>
      <c r="C561" s="80"/>
      <c r="D561" s="4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60"/>
    </row>
    <row r="562" spans="1:16" s="34" customFormat="1" x14ac:dyDescent="0.25">
      <c r="A562" s="91"/>
      <c r="B562" s="80"/>
      <c r="C562" s="80"/>
      <c r="D562" s="4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60"/>
    </row>
    <row r="563" spans="1:16" s="34" customFormat="1" x14ac:dyDescent="0.25">
      <c r="A563" s="91"/>
      <c r="B563" s="80"/>
      <c r="C563" s="80"/>
      <c r="D563" s="4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60"/>
    </row>
    <row r="564" spans="1:16" s="34" customFormat="1" x14ac:dyDescent="0.25">
      <c r="A564" s="91"/>
      <c r="B564" s="80"/>
      <c r="C564" s="80"/>
      <c r="D564" s="4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60"/>
    </row>
    <row r="565" spans="1:16" s="34" customFormat="1" x14ac:dyDescent="0.25">
      <c r="A565" s="91"/>
      <c r="B565" s="80"/>
      <c r="C565" s="80"/>
      <c r="D565" s="4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</row>
    <row r="566" spans="1:16" s="34" customFormat="1" x14ac:dyDescent="0.25">
      <c r="A566" s="91"/>
      <c r="B566" s="80"/>
      <c r="C566" s="80"/>
      <c r="D566" s="4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</row>
    <row r="567" spans="1:16" s="34" customFormat="1" x14ac:dyDescent="0.25">
      <c r="A567" s="91"/>
      <c r="B567" s="80"/>
      <c r="C567" s="80"/>
      <c r="D567" s="4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</row>
    <row r="568" spans="1:16" s="34" customFormat="1" x14ac:dyDescent="0.25">
      <c r="A568" s="91"/>
      <c r="B568" s="80"/>
      <c r="C568" s="80"/>
      <c r="D568" s="4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</row>
    <row r="569" spans="1:16" s="34" customFormat="1" x14ac:dyDescent="0.25">
      <c r="A569" s="91"/>
      <c r="B569" s="80"/>
      <c r="C569" s="80"/>
      <c r="D569" s="4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</row>
    <row r="570" spans="1:16" s="34" customFormat="1" x14ac:dyDescent="0.25">
      <c r="A570" s="91"/>
      <c r="B570" s="80"/>
      <c r="C570" s="80"/>
      <c r="D570" s="4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</row>
    <row r="571" spans="1:16" s="34" customFormat="1" x14ac:dyDescent="0.25">
      <c r="A571" s="91"/>
      <c r="B571" s="80"/>
      <c r="C571" s="80"/>
      <c r="D571" s="4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</row>
    <row r="572" spans="1:16" s="34" customFormat="1" x14ac:dyDescent="0.25">
      <c r="A572" s="91"/>
      <c r="B572" s="80"/>
      <c r="C572" s="80"/>
      <c r="D572" s="4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</row>
    <row r="573" spans="1:16" s="34" customFormat="1" x14ac:dyDescent="0.25">
      <c r="A573" s="91"/>
      <c r="B573" s="80"/>
      <c r="C573" s="80"/>
      <c r="D573" s="4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</row>
    <row r="574" spans="1:16" s="34" customFormat="1" x14ac:dyDescent="0.25">
      <c r="A574" s="91"/>
      <c r="B574" s="80"/>
      <c r="C574" s="80"/>
      <c r="D574" s="4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</row>
    <row r="575" spans="1:16" s="34" customFormat="1" x14ac:dyDescent="0.25">
      <c r="A575" s="91"/>
      <c r="B575" s="80"/>
      <c r="C575" s="80"/>
      <c r="D575" s="4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</row>
    <row r="576" spans="1:16" s="34" customFormat="1" x14ac:dyDescent="0.25">
      <c r="A576" s="91"/>
      <c r="B576" s="80"/>
      <c r="C576" s="80"/>
      <c r="D576" s="4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</row>
    <row r="577" spans="1:16" s="34" customFormat="1" x14ac:dyDescent="0.25">
      <c r="A577" s="91"/>
      <c r="B577" s="80"/>
      <c r="C577" s="80"/>
      <c r="D577" s="4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</row>
    <row r="578" spans="1:16" s="34" customFormat="1" x14ac:dyDescent="0.25">
      <c r="A578" s="91"/>
      <c r="B578" s="80"/>
      <c r="C578" s="80"/>
      <c r="D578" s="4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</row>
    <row r="579" spans="1:16" s="34" customFormat="1" x14ac:dyDescent="0.25">
      <c r="A579" s="91"/>
      <c r="B579" s="80"/>
      <c r="C579" s="80"/>
      <c r="D579" s="4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</row>
    <row r="580" spans="1:16" s="34" customFormat="1" x14ac:dyDescent="0.25">
      <c r="A580" s="91"/>
      <c r="B580" s="80"/>
      <c r="C580" s="80"/>
      <c r="D580" s="4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</row>
    <row r="581" spans="1:16" s="34" customFormat="1" x14ac:dyDescent="0.25">
      <c r="A581" s="91"/>
      <c r="B581" s="80"/>
      <c r="C581" s="80"/>
      <c r="D581" s="4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</row>
    <row r="582" spans="1:16" s="34" customFormat="1" x14ac:dyDescent="0.25">
      <c r="A582" s="91"/>
      <c r="B582" s="80"/>
      <c r="C582" s="80"/>
      <c r="D582" s="4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60"/>
    </row>
    <row r="583" spans="1:16" s="34" customFormat="1" x14ac:dyDescent="0.25">
      <c r="A583" s="91"/>
      <c r="B583" s="80"/>
      <c r="C583" s="80"/>
      <c r="D583" s="4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60"/>
    </row>
    <row r="584" spans="1:16" s="34" customFormat="1" x14ac:dyDescent="0.25">
      <c r="A584" s="91"/>
      <c r="B584" s="80"/>
      <c r="C584" s="80"/>
      <c r="D584" s="4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60"/>
    </row>
    <row r="585" spans="1:16" s="34" customFormat="1" x14ac:dyDescent="0.25">
      <c r="A585" s="91"/>
      <c r="B585" s="80"/>
      <c r="C585" s="80"/>
      <c r="D585" s="4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60"/>
    </row>
    <row r="586" spans="1:16" s="34" customFormat="1" x14ac:dyDescent="0.25">
      <c r="A586" s="91"/>
      <c r="B586" s="80"/>
      <c r="C586" s="80"/>
      <c r="D586" s="4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60"/>
    </row>
    <row r="587" spans="1:16" s="34" customFormat="1" x14ac:dyDescent="0.25">
      <c r="A587" s="91"/>
      <c r="B587" s="80"/>
      <c r="C587" s="80"/>
      <c r="D587" s="4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0"/>
    </row>
    <row r="588" spans="1:16" s="34" customFormat="1" x14ac:dyDescent="0.25">
      <c r="A588" s="91"/>
      <c r="B588" s="80"/>
      <c r="C588" s="80"/>
      <c r="D588" s="4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60"/>
    </row>
    <row r="589" spans="1:16" s="34" customFormat="1" x14ac:dyDescent="0.25">
      <c r="A589" s="91"/>
      <c r="B589" s="80"/>
      <c r="C589" s="80"/>
      <c r="D589" s="4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60"/>
    </row>
    <row r="590" spans="1:16" s="34" customFormat="1" x14ac:dyDescent="0.25">
      <c r="A590" s="91"/>
      <c r="B590" s="80"/>
      <c r="C590" s="80"/>
      <c r="D590" s="4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60"/>
    </row>
    <row r="591" spans="1:16" s="34" customFormat="1" x14ac:dyDescent="0.25">
      <c r="A591" s="91"/>
      <c r="B591" s="80"/>
      <c r="C591" s="80"/>
      <c r="D591" s="4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60"/>
    </row>
    <row r="592" spans="1:16" s="34" customFormat="1" x14ac:dyDescent="0.25">
      <c r="A592" s="91"/>
      <c r="B592" s="80"/>
      <c r="C592" s="80"/>
      <c r="D592" s="4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60"/>
    </row>
    <row r="593" spans="1:16" s="34" customFormat="1" x14ac:dyDescent="0.25">
      <c r="A593" s="91"/>
      <c r="B593" s="80"/>
      <c r="C593" s="80"/>
      <c r="D593" s="4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60"/>
    </row>
    <row r="594" spans="1:16" s="34" customFormat="1" x14ac:dyDescent="0.25">
      <c r="A594" s="91"/>
      <c r="B594" s="80"/>
      <c r="C594" s="80"/>
      <c r="D594" s="4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60"/>
    </row>
    <row r="595" spans="1:16" s="34" customFormat="1" x14ac:dyDescent="0.25">
      <c r="A595" s="91"/>
      <c r="B595" s="80"/>
      <c r="C595" s="80"/>
      <c r="D595" s="4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60"/>
    </row>
    <row r="596" spans="1:16" s="34" customFormat="1" x14ac:dyDescent="0.25">
      <c r="A596" s="91"/>
      <c r="B596" s="80"/>
      <c r="C596" s="80"/>
      <c r="D596" s="4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60"/>
    </row>
    <row r="597" spans="1:16" s="34" customFormat="1" x14ac:dyDescent="0.25">
      <c r="A597" s="91"/>
      <c r="B597" s="80"/>
      <c r="C597" s="80"/>
      <c r="D597" s="4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60"/>
    </row>
    <row r="598" spans="1:16" s="34" customFormat="1" x14ac:dyDescent="0.25">
      <c r="A598" s="91"/>
      <c r="B598" s="80"/>
      <c r="C598" s="80"/>
      <c r="D598" s="4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60"/>
    </row>
    <row r="599" spans="1:16" s="34" customFormat="1" x14ac:dyDescent="0.25">
      <c r="A599" s="91"/>
      <c r="B599" s="80"/>
      <c r="C599" s="80"/>
      <c r="D599" s="4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60"/>
    </row>
    <row r="600" spans="1:16" s="34" customFormat="1" x14ac:dyDescent="0.25">
      <c r="A600" s="91"/>
      <c r="B600" s="80"/>
      <c r="C600" s="80"/>
      <c r="D600" s="4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60"/>
    </row>
    <row r="601" spans="1:16" s="34" customFormat="1" x14ac:dyDescent="0.25">
      <c r="A601" s="91"/>
      <c r="B601" s="80"/>
      <c r="C601" s="80"/>
      <c r="D601" s="4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60"/>
    </row>
    <row r="602" spans="1:16" s="34" customFormat="1" x14ac:dyDescent="0.25">
      <c r="A602" s="91"/>
      <c r="B602" s="80"/>
      <c r="C602" s="80"/>
      <c r="D602" s="4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60"/>
    </row>
    <row r="603" spans="1:16" s="34" customFormat="1" x14ac:dyDescent="0.25">
      <c r="A603" s="91"/>
      <c r="B603" s="80"/>
      <c r="C603" s="80"/>
      <c r="D603" s="4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60"/>
    </row>
    <row r="604" spans="1:16" s="34" customFormat="1" x14ac:dyDescent="0.25">
      <c r="A604" s="91"/>
      <c r="B604" s="80"/>
      <c r="C604" s="80"/>
      <c r="D604" s="4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60"/>
    </row>
    <row r="605" spans="1:16" s="34" customFormat="1" x14ac:dyDescent="0.25">
      <c r="A605" s="91"/>
      <c r="B605" s="80"/>
      <c r="C605" s="80"/>
      <c r="D605" s="4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60"/>
    </row>
    <row r="606" spans="1:16" s="34" customFormat="1" x14ac:dyDescent="0.25">
      <c r="A606" s="91"/>
      <c r="B606" s="80"/>
      <c r="C606" s="80"/>
      <c r="D606" s="4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60"/>
    </row>
    <row r="607" spans="1:16" s="34" customFormat="1" x14ac:dyDescent="0.25">
      <c r="A607" s="91"/>
      <c r="B607" s="80"/>
      <c r="C607" s="80"/>
      <c r="D607" s="4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60"/>
    </row>
    <row r="608" spans="1:16" s="34" customFormat="1" x14ac:dyDescent="0.25">
      <c r="A608" s="91"/>
      <c r="B608" s="80"/>
      <c r="C608" s="80"/>
      <c r="D608" s="4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60"/>
    </row>
    <row r="609" spans="1:16" s="34" customFormat="1" x14ac:dyDescent="0.25">
      <c r="A609" s="91"/>
      <c r="B609" s="80"/>
      <c r="C609" s="80"/>
      <c r="D609" s="4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60"/>
    </row>
    <row r="610" spans="1:16" s="34" customFormat="1" x14ac:dyDescent="0.25">
      <c r="A610" s="91"/>
      <c r="B610" s="80"/>
      <c r="C610" s="80"/>
      <c r="D610" s="4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60"/>
    </row>
    <row r="611" spans="1:16" s="34" customFormat="1" x14ac:dyDescent="0.25">
      <c r="A611" s="91"/>
      <c r="B611" s="80"/>
      <c r="C611" s="80"/>
      <c r="D611" s="4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60"/>
    </row>
    <row r="612" spans="1:16" s="34" customFormat="1" x14ac:dyDescent="0.25">
      <c r="A612" s="91"/>
      <c r="B612" s="80"/>
      <c r="C612" s="80"/>
      <c r="D612" s="4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60"/>
    </row>
    <row r="613" spans="1:16" s="34" customFormat="1" x14ac:dyDescent="0.25">
      <c r="A613" s="91"/>
      <c r="B613" s="80"/>
      <c r="C613" s="80"/>
      <c r="D613" s="4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60"/>
    </row>
    <row r="614" spans="1:16" s="34" customFormat="1" x14ac:dyDescent="0.25">
      <c r="A614" s="91"/>
      <c r="B614" s="80"/>
      <c r="C614" s="80"/>
      <c r="D614" s="4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</row>
    <row r="615" spans="1:16" s="34" customFormat="1" x14ac:dyDescent="0.25">
      <c r="A615" s="91"/>
      <c r="B615" s="80"/>
      <c r="C615" s="80"/>
      <c r="D615" s="4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60"/>
    </row>
    <row r="616" spans="1:16" s="34" customFormat="1" x14ac:dyDescent="0.25">
      <c r="A616" s="91"/>
      <c r="B616" s="80"/>
      <c r="C616" s="80"/>
      <c r="D616" s="4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60"/>
    </row>
    <row r="617" spans="1:16" s="34" customFormat="1" x14ac:dyDescent="0.25">
      <c r="A617" s="91"/>
      <c r="B617" s="80"/>
      <c r="C617" s="80"/>
      <c r="D617" s="4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60"/>
    </row>
    <row r="618" spans="1:16" s="34" customFormat="1" x14ac:dyDescent="0.25">
      <c r="A618" s="91"/>
      <c r="B618" s="80"/>
      <c r="C618" s="80"/>
      <c r="D618" s="4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60"/>
    </row>
    <row r="619" spans="1:16" s="34" customFormat="1" x14ac:dyDescent="0.25">
      <c r="A619" s="91"/>
      <c r="B619" s="80"/>
      <c r="C619" s="80"/>
      <c r="D619" s="4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60"/>
    </row>
    <row r="620" spans="1:16" s="34" customFormat="1" x14ac:dyDescent="0.25">
      <c r="A620" s="91"/>
      <c r="B620" s="80"/>
      <c r="C620" s="80"/>
      <c r="D620" s="4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60"/>
    </row>
    <row r="621" spans="1:16" s="34" customFormat="1" x14ac:dyDescent="0.25">
      <c r="A621" s="91"/>
      <c r="B621" s="80"/>
      <c r="C621" s="80"/>
      <c r="D621" s="4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60"/>
    </row>
    <row r="622" spans="1:16" s="34" customFormat="1" x14ac:dyDescent="0.25">
      <c r="A622" s="91"/>
      <c r="B622" s="80"/>
      <c r="C622" s="80"/>
      <c r="D622" s="4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60"/>
    </row>
    <row r="623" spans="1:16" s="34" customFormat="1" x14ac:dyDescent="0.25">
      <c r="A623" s="91"/>
      <c r="B623" s="80"/>
      <c r="C623" s="80"/>
      <c r="D623" s="4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</row>
    <row r="624" spans="1:16" s="34" customFormat="1" x14ac:dyDescent="0.25">
      <c r="A624" s="91"/>
      <c r="B624" s="80"/>
      <c r="C624" s="80"/>
      <c r="D624" s="4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60"/>
    </row>
    <row r="625" spans="1:16" s="34" customFormat="1" x14ac:dyDescent="0.25">
      <c r="A625" s="91"/>
      <c r="B625" s="80"/>
      <c r="C625" s="80"/>
      <c r="D625" s="4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60"/>
    </row>
    <row r="626" spans="1:16" s="34" customFormat="1" x14ac:dyDescent="0.25">
      <c r="A626" s="91"/>
      <c r="B626" s="80"/>
      <c r="C626" s="80"/>
      <c r="D626" s="4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60"/>
    </row>
    <row r="627" spans="1:16" s="34" customFormat="1" x14ac:dyDescent="0.25">
      <c r="A627" s="91"/>
      <c r="B627" s="80"/>
      <c r="C627" s="80"/>
      <c r="D627" s="4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60"/>
    </row>
    <row r="628" spans="1:16" s="34" customFormat="1" x14ac:dyDescent="0.25">
      <c r="A628" s="91"/>
      <c r="B628" s="80"/>
      <c r="C628" s="80"/>
      <c r="D628" s="4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60"/>
    </row>
    <row r="629" spans="1:16" s="34" customFormat="1" x14ac:dyDescent="0.25">
      <c r="A629" s="91"/>
      <c r="B629" s="80"/>
      <c r="C629" s="80"/>
      <c r="D629" s="4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60"/>
    </row>
    <row r="630" spans="1:16" s="34" customFormat="1" x14ac:dyDescent="0.25">
      <c r="A630" s="91"/>
      <c r="B630" s="80"/>
      <c r="C630" s="80"/>
      <c r="D630" s="4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60"/>
    </row>
    <row r="631" spans="1:16" s="34" customFormat="1" x14ac:dyDescent="0.25">
      <c r="A631" s="91"/>
      <c r="B631" s="80"/>
      <c r="C631" s="80"/>
      <c r="D631" s="4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60"/>
    </row>
    <row r="632" spans="1:16" s="34" customFormat="1" x14ac:dyDescent="0.25">
      <c r="A632" s="91"/>
      <c r="B632" s="80"/>
      <c r="C632" s="80"/>
      <c r="D632" s="4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60"/>
    </row>
    <row r="633" spans="1:16" s="34" customFormat="1" x14ac:dyDescent="0.25">
      <c r="A633" s="91"/>
      <c r="B633" s="80"/>
      <c r="C633" s="80"/>
      <c r="D633" s="4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60"/>
    </row>
    <row r="634" spans="1:16" s="34" customFormat="1" x14ac:dyDescent="0.25">
      <c r="A634" s="91"/>
      <c r="B634" s="80"/>
      <c r="C634" s="80"/>
      <c r="D634" s="4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60"/>
    </row>
    <row r="635" spans="1:16" s="34" customFormat="1" x14ac:dyDescent="0.25">
      <c r="A635" s="91"/>
      <c r="B635" s="80"/>
      <c r="C635" s="80"/>
      <c r="D635" s="4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60"/>
    </row>
    <row r="636" spans="1:16" s="34" customFormat="1" x14ac:dyDescent="0.25">
      <c r="A636" s="91"/>
      <c r="B636" s="80"/>
      <c r="C636" s="80"/>
      <c r="D636" s="4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60"/>
    </row>
    <row r="637" spans="1:16" s="34" customFormat="1" x14ac:dyDescent="0.25">
      <c r="A637" s="91"/>
      <c r="B637" s="80"/>
      <c r="C637" s="80"/>
      <c r="D637" s="4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60"/>
    </row>
    <row r="638" spans="1:16" s="34" customFormat="1" x14ac:dyDescent="0.25">
      <c r="A638" s="91"/>
      <c r="B638" s="80"/>
      <c r="C638" s="80"/>
      <c r="D638" s="4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60"/>
    </row>
    <row r="639" spans="1:16" s="34" customFormat="1" x14ac:dyDescent="0.25">
      <c r="A639" s="91"/>
      <c r="B639" s="80"/>
      <c r="C639" s="80"/>
      <c r="D639" s="4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60"/>
    </row>
    <row r="640" spans="1:16" s="34" customFormat="1" x14ac:dyDescent="0.25">
      <c r="A640" s="91"/>
      <c r="B640" s="80"/>
      <c r="C640" s="80"/>
      <c r="D640" s="4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60"/>
    </row>
    <row r="641" spans="1:16" s="34" customFormat="1" x14ac:dyDescent="0.25">
      <c r="A641" s="91"/>
      <c r="B641" s="80"/>
      <c r="C641" s="80"/>
      <c r="D641" s="4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60"/>
    </row>
    <row r="642" spans="1:16" s="34" customFormat="1" x14ac:dyDescent="0.25">
      <c r="A642" s="91"/>
      <c r="B642" s="80"/>
      <c r="C642" s="80"/>
      <c r="D642" s="4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60"/>
    </row>
    <row r="643" spans="1:16" s="34" customFormat="1" x14ac:dyDescent="0.25">
      <c r="A643" s="91"/>
      <c r="B643" s="80"/>
      <c r="C643" s="80"/>
      <c r="D643" s="4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60"/>
    </row>
    <row r="644" spans="1:16" s="34" customFormat="1" x14ac:dyDescent="0.25">
      <c r="A644" s="91"/>
      <c r="B644" s="80"/>
      <c r="C644" s="80"/>
      <c r="D644" s="4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60"/>
    </row>
    <row r="645" spans="1:16" s="34" customFormat="1" x14ac:dyDescent="0.25">
      <c r="A645" s="91"/>
      <c r="B645" s="80"/>
      <c r="C645" s="80"/>
      <c r="D645" s="4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60"/>
    </row>
    <row r="646" spans="1:16" s="34" customFormat="1" x14ac:dyDescent="0.25">
      <c r="A646" s="91"/>
      <c r="B646" s="80"/>
      <c r="C646" s="80"/>
      <c r="D646" s="4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60"/>
    </row>
    <row r="647" spans="1:16" s="34" customFormat="1" x14ac:dyDescent="0.25">
      <c r="A647" s="91"/>
      <c r="B647" s="80"/>
      <c r="C647" s="80"/>
      <c r="D647" s="4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60"/>
    </row>
    <row r="648" spans="1:16" s="34" customFormat="1" x14ac:dyDescent="0.25">
      <c r="A648" s="91"/>
      <c r="B648" s="80"/>
      <c r="C648" s="80"/>
      <c r="D648" s="4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60"/>
    </row>
    <row r="649" spans="1:16" s="34" customFormat="1" x14ac:dyDescent="0.25">
      <c r="A649" s="91"/>
      <c r="B649" s="80"/>
      <c r="C649" s="80"/>
      <c r="D649" s="4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60"/>
    </row>
    <row r="650" spans="1:16" s="34" customFormat="1" x14ac:dyDescent="0.25">
      <c r="A650" s="91"/>
      <c r="B650" s="80"/>
      <c r="C650" s="80"/>
      <c r="D650" s="4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60"/>
    </row>
    <row r="651" spans="1:16" s="34" customFormat="1" x14ac:dyDescent="0.25">
      <c r="A651" s="91"/>
      <c r="B651" s="80"/>
      <c r="C651" s="80"/>
      <c r="D651" s="4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60"/>
    </row>
    <row r="652" spans="1:16" s="34" customFormat="1" x14ac:dyDescent="0.25">
      <c r="A652" s="91"/>
      <c r="B652" s="80"/>
      <c r="C652" s="80"/>
      <c r="D652" s="4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60"/>
    </row>
    <row r="653" spans="1:16" s="34" customFormat="1" x14ac:dyDescent="0.25">
      <c r="A653" s="91"/>
      <c r="B653" s="80"/>
      <c r="C653" s="80"/>
      <c r="D653" s="4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60"/>
    </row>
    <row r="654" spans="1:16" s="34" customFormat="1" x14ac:dyDescent="0.25">
      <c r="A654" s="91"/>
      <c r="B654" s="80"/>
      <c r="C654" s="80"/>
      <c r="D654" s="4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60"/>
    </row>
    <row r="655" spans="1:16" s="34" customFormat="1" x14ac:dyDescent="0.25">
      <c r="A655" s="91"/>
      <c r="B655" s="80"/>
      <c r="C655" s="80"/>
      <c r="D655" s="4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60"/>
    </row>
    <row r="656" spans="1:16" s="34" customFormat="1" x14ac:dyDescent="0.25">
      <c r="A656" s="91"/>
      <c r="B656" s="80"/>
      <c r="C656" s="80"/>
      <c r="D656" s="4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60"/>
    </row>
    <row r="657" spans="1:16" s="34" customFormat="1" x14ac:dyDescent="0.25">
      <c r="A657" s="91"/>
      <c r="B657" s="80"/>
      <c r="C657" s="80"/>
      <c r="D657" s="4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60"/>
    </row>
    <row r="658" spans="1:16" s="34" customFormat="1" x14ac:dyDescent="0.25">
      <c r="A658" s="91"/>
      <c r="B658" s="80"/>
      <c r="C658" s="80"/>
      <c r="D658" s="4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60"/>
    </row>
    <row r="659" spans="1:16" s="34" customFormat="1" x14ac:dyDescent="0.25">
      <c r="A659" s="91"/>
      <c r="B659" s="80"/>
      <c r="C659" s="80"/>
      <c r="D659" s="4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60"/>
    </row>
    <row r="660" spans="1:16" s="34" customFormat="1" x14ac:dyDescent="0.25">
      <c r="A660" s="91"/>
      <c r="B660" s="80"/>
      <c r="C660" s="80"/>
      <c r="D660" s="4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60"/>
    </row>
    <row r="661" spans="1:16" s="34" customFormat="1" x14ac:dyDescent="0.25">
      <c r="A661" s="91"/>
      <c r="B661" s="80"/>
      <c r="C661" s="80"/>
      <c r="D661" s="4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60"/>
    </row>
    <row r="662" spans="1:16" s="34" customFormat="1" x14ac:dyDescent="0.25">
      <c r="A662" s="91"/>
      <c r="B662" s="80"/>
      <c r="C662" s="80"/>
      <c r="D662" s="4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60"/>
    </row>
    <row r="663" spans="1:16" s="34" customFormat="1" x14ac:dyDescent="0.25">
      <c r="A663" s="91"/>
      <c r="B663" s="80"/>
      <c r="C663" s="80"/>
      <c r="D663" s="4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60"/>
    </row>
    <row r="664" spans="1:16" s="34" customFormat="1" x14ac:dyDescent="0.25">
      <c r="A664" s="91"/>
      <c r="B664" s="80"/>
      <c r="C664" s="80"/>
      <c r="D664" s="4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60"/>
    </row>
    <row r="665" spans="1:16" s="34" customFormat="1" x14ac:dyDescent="0.25">
      <c r="A665" s="91"/>
      <c r="B665" s="80"/>
      <c r="C665" s="80"/>
      <c r="D665" s="4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60"/>
    </row>
    <row r="666" spans="1:16" s="34" customFormat="1" x14ac:dyDescent="0.25">
      <c r="A666" s="91"/>
      <c r="B666" s="80"/>
      <c r="C666" s="80"/>
      <c r="D666" s="4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60"/>
    </row>
    <row r="667" spans="1:16" s="34" customFormat="1" x14ac:dyDescent="0.25">
      <c r="A667" s="91"/>
      <c r="B667" s="80"/>
      <c r="C667" s="80"/>
      <c r="D667" s="4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60"/>
    </row>
    <row r="668" spans="1:16" s="34" customFormat="1" x14ac:dyDescent="0.25">
      <c r="A668" s="91"/>
      <c r="B668" s="80"/>
      <c r="C668" s="80"/>
      <c r="D668" s="4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60"/>
    </row>
    <row r="669" spans="1:16" s="34" customFormat="1" x14ac:dyDescent="0.25">
      <c r="A669" s="91"/>
      <c r="B669" s="80"/>
      <c r="C669" s="80"/>
      <c r="D669" s="4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60"/>
    </row>
    <row r="670" spans="1:16" s="34" customFormat="1" x14ac:dyDescent="0.25">
      <c r="A670" s="91"/>
      <c r="B670" s="80"/>
      <c r="C670" s="80"/>
      <c r="D670" s="4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60"/>
    </row>
    <row r="671" spans="1:16" s="34" customFormat="1" x14ac:dyDescent="0.25">
      <c r="A671" s="91"/>
      <c r="B671" s="80"/>
      <c r="C671" s="80"/>
      <c r="D671" s="4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60"/>
    </row>
    <row r="672" spans="1:16" s="34" customFormat="1" x14ac:dyDescent="0.25">
      <c r="A672" s="91"/>
      <c r="B672" s="80"/>
      <c r="C672" s="80"/>
      <c r="D672" s="4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60"/>
    </row>
    <row r="673" spans="1:16" s="34" customFormat="1" x14ac:dyDescent="0.25">
      <c r="A673" s="91"/>
      <c r="B673" s="80"/>
      <c r="C673" s="80"/>
      <c r="D673" s="4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60"/>
    </row>
    <row r="674" spans="1:16" s="34" customFormat="1" x14ac:dyDescent="0.25">
      <c r="A674" s="91"/>
      <c r="B674" s="80"/>
      <c r="C674" s="80"/>
      <c r="D674" s="4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60"/>
    </row>
    <row r="675" spans="1:16" s="34" customFormat="1" x14ac:dyDescent="0.25">
      <c r="A675" s="91"/>
      <c r="B675" s="80"/>
      <c r="C675" s="80"/>
      <c r="D675" s="4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60"/>
    </row>
    <row r="676" spans="1:16" s="34" customFormat="1" x14ac:dyDescent="0.25">
      <c r="A676" s="91"/>
      <c r="B676" s="80"/>
      <c r="C676" s="80"/>
      <c r="D676" s="4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60"/>
    </row>
    <row r="677" spans="1:16" s="34" customFormat="1" x14ac:dyDescent="0.25">
      <c r="A677" s="91"/>
      <c r="B677" s="80"/>
      <c r="C677" s="80"/>
      <c r="D677" s="4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60"/>
    </row>
    <row r="678" spans="1:16" s="34" customFormat="1" x14ac:dyDescent="0.25">
      <c r="A678" s="91"/>
      <c r="B678" s="80"/>
      <c r="C678" s="80"/>
      <c r="D678" s="4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60"/>
    </row>
    <row r="679" spans="1:16" s="34" customFormat="1" x14ac:dyDescent="0.25">
      <c r="A679" s="91"/>
      <c r="B679" s="80"/>
      <c r="C679" s="80"/>
      <c r="D679" s="4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60"/>
    </row>
    <row r="680" spans="1:16" s="34" customFormat="1" x14ac:dyDescent="0.25">
      <c r="A680" s="91"/>
      <c r="B680" s="80"/>
      <c r="C680" s="80"/>
      <c r="D680" s="4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60"/>
    </row>
    <row r="681" spans="1:16" s="34" customFormat="1" x14ac:dyDescent="0.25">
      <c r="A681" s="91"/>
      <c r="B681" s="80"/>
      <c r="C681" s="80"/>
      <c r="D681" s="4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60"/>
    </row>
    <row r="682" spans="1:16" s="34" customFormat="1" x14ac:dyDescent="0.25">
      <c r="A682" s="91"/>
      <c r="B682" s="80"/>
      <c r="C682" s="80"/>
      <c r="D682" s="4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60"/>
    </row>
    <row r="683" spans="1:16" s="34" customFormat="1" x14ac:dyDescent="0.25">
      <c r="A683" s="91"/>
      <c r="B683" s="80"/>
      <c r="C683" s="80"/>
      <c r="D683" s="4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60"/>
    </row>
    <row r="684" spans="1:16" s="34" customFormat="1" x14ac:dyDescent="0.25">
      <c r="A684" s="91"/>
      <c r="B684" s="80"/>
      <c r="C684" s="80"/>
      <c r="D684" s="4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60"/>
    </row>
    <row r="685" spans="1:16" s="34" customFormat="1" x14ac:dyDescent="0.25">
      <c r="A685" s="91"/>
      <c r="B685" s="80"/>
      <c r="C685" s="80"/>
      <c r="D685" s="4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60"/>
    </row>
    <row r="686" spans="1:16" s="34" customFormat="1" x14ac:dyDescent="0.25">
      <c r="A686" s="91"/>
      <c r="B686" s="80"/>
      <c r="C686" s="80"/>
      <c r="D686" s="41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60"/>
    </row>
    <row r="687" spans="1:16" s="34" customFormat="1" x14ac:dyDescent="0.25">
      <c r="A687" s="91"/>
      <c r="B687" s="80"/>
      <c r="C687" s="80"/>
      <c r="D687" s="41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60"/>
    </row>
    <row r="688" spans="1:16" s="34" customFormat="1" x14ac:dyDescent="0.25">
      <c r="A688" s="91"/>
      <c r="B688" s="80"/>
      <c r="C688" s="80"/>
      <c r="D688" s="41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60"/>
    </row>
    <row r="689" spans="1:16" s="34" customFormat="1" x14ac:dyDescent="0.25">
      <c r="A689" s="91"/>
      <c r="B689" s="80"/>
      <c r="C689" s="80"/>
      <c r="D689" s="41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60"/>
    </row>
    <row r="690" spans="1:16" s="34" customFormat="1" x14ac:dyDescent="0.25">
      <c r="A690" s="91"/>
      <c r="B690" s="80"/>
      <c r="C690" s="80"/>
      <c r="D690" s="41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60"/>
    </row>
    <row r="691" spans="1:16" s="34" customFormat="1" x14ac:dyDescent="0.25">
      <c r="A691" s="91"/>
      <c r="B691" s="80"/>
      <c r="C691" s="80"/>
      <c r="D691" s="41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60"/>
    </row>
    <row r="692" spans="1:16" s="34" customFormat="1" x14ac:dyDescent="0.25">
      <c r="A692" s="91"/>
      <c r="B692" s="80"/>
      <c r="C692" s="80"/>
      <c r="D692" s="41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60"/>
    </row>
    <row r="693" spans="1:16" s="34" customFormat="1" x14ac:dyDescent="0.25">
      <c r="A693" s="91"/>
      <c r="B693" s="80"/>
      <c r="C693" s="80"/>
      <c r="D693" s="41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60"/>
    </row>
    <row r="694" spans="1:16" s="34" customFormat="1" x14ac:dyDescent="0.25">
      <c r="A694" s="91"/>
      <c r="B694" s="80"/>
      <c r="C694" s="80"/>
      <c r="D694" s="41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60"/>
    </row>
    <row r="695" spans="1:16" s="34" customFormat="1" x14ac:dyDescent="0.25">
      <c r="A695" s="91"/>
      <c r="B695" s="80"/>
      <c r="C695" s="80"/>
      <c r="D695" s="41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60"/>
    </row>
    <row r="696" spans="1:16" s="34" customFormat="1" x14ac:dyDescent="0.25">
      <c r="A696" s="91"/>
      <c r="B696" s="80"/>
      <c r="C696" s="80"/>
      <c r="D696" s="41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60"/>
    </row>
    <row r="697" spans="1:16" s="34" customFormat="1" x14ac:dyDescent="0.25">
      <c r="A697" s="91"/>
      <c r="B697" s="80"/>
      <c r="C697" s="80"/>
      <c r="D697" s="41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60"/>
    </row>
    <row r="698" spans="1:16" s="34" customFormat="1" x14ac:dyDescent="0.25">
      <c r="A698" s="91"/>
      <c r="B698" s="80"/>
      <c r="C698" s="80"/>
      <c r="D698" s="41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60"/>
    </row>
    <row r="699" spans="1:16" s="34" customFormat="1" x14ac:dyDescent="0.25">
      <c r="A699" s="91"/>
      <c r="B699" s="80"/>
      <c r="C699" s="80"/>
      <c r="D699" s="41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60"/>
    </row>
    <row r="700" spans="1:16" s="34" customFormat="1" x14ac:dyDescent="0.25">
      <c r="A700" s="91"/>
      <c r="B700" s="80"/>
      <c r="C700" s="80"/>
      <c r="D700" s="41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60"/>
    </row>
    <row r="701" spans="1:16" s="34" customFormat="1" x14ac:dyDescent="0.25">
      <c r="A701" s="91"/>
      <c r="B701" s="80"/>
      <c r="C701" s="80"/>
      <c r="D701" s="41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60"/>
    </row>
    <row r="702" spans="1:16" s="34" customFormat="1" x14ac:dyDescent="0.25">
      <c r="A702" s="91"/>
      <c r="B702" s="80"/>
      <c r="C702" s="80"/>
      <c r="D702" s="41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60"/>
    </row>
    <row r="703" spans="1:16" s="34" customFormat="1" x14ac:dyDescent="0.25">
      <c r="A703" s="91"/>
      <c r="B703" s="80"/>
      <c r="C703" s="80"/>
      <c r="D703" s="41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60"/>
    </row>
    <row r="704" spans="1:16" s="34" customFormat="1" x14ac:dyDescent="0.25">
      <c r="A704" s="91"/>
      <c r="B704" s="80"/>
      <c r="C704" s="80"/>
      <c r="D704" s="41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60"/>
    </row>
  </sheetData>
  <mergeCells count="21">
    <mergeCell ref="J16:J17"/>
    <mergeCell ref="K16:K17"/>
    <mergeCell ref="E16:E17"/>
    <mergeCell ref="F16:F17"/>
    <mergeCell ref="E15:I15"/>
    <mergeCell ref="L1:O1"/>
    <mergeCell ref="L4:P4"/>
    <mergeCell ref="L3:P3"/>
    <mergeCell ref="N210:P210"/>
    <mergeCell ref="L16:L17"/>
    <mergeCell ref="M16:N16"/>
    <mergeCell ref="O16:O17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</mergeCells>
  <phoneticPr fontId="3" type="noConversion"/>
  <printOptions horizontalCentered="1"/>
  <pageMargins left="0.15748031496062992" right="7.874015748031496E-2" top="0.70866141732283472" bottom="0.35433070866141736" header="0.47244094488188981" footer="0.19685039370078741"/>
  <pageSetup paperSize="9" scale="45" fitToHeight="100" orientation="landscape" useFirstPageNumber="1" r:id="rId1"/>
  <headerFooter scaleWithDoc="0" alignWithMargins="0">
    <oddFooter>&amp;R&amp;9Сторінка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showZeros="0" view="pageBreakPreview" topLeftCell="A130" zoomScale="55" zoomScaleNormal="65" zoomScaleSheetLayoutView="55" workbookViewId="0">
      <selection activeCell="E138" sqref="E138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20.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20.1640625" style="4" customWidth="1"/>
    <col min="12" max="12" width="18.1640625" style="4" customWidth="1"/>
    <col min="13" max="13" width="17.5" style="4" customWidth="1"/>
    <col min="14" max="14" width="22.5" style="4" customWidth="1"/>
    <col min="15" max="15" width="22" style="4" customWidth="1"/>
    <col min="16" max="16384" width="9.1640625" style="4"/>
  </cols>
  <sheetData>
    <row r="1" spans="1:16" ht="31.5" x14ac:dyDescent="0.25">
      <c r="J1" s="132"/>
      <c r="K1" s="151" t="s">
        <v>473</v>
      </c>
      <c r="L1" s="151"/>
      <c r="M1" s="151"/>
      <c r="N1" s="151"/>
      <c r="O1" s="123"/>
    </row>
    <row r="2" spans="1:16" ht="31.5" x14ac:dyDescent="0.25">
      <c r="J2" s="132"/>
      <c r="K2" s="123" t="s">
        <v>454</v>
      </c>
      <c r="L2" s="123"/>
      <c r="M2" s="123"/>
      <c r="N2" s="123"/>
      <c r="O2" s="94"/>
      <c r="P2" s="34"/>
    </row>
    <row r="3" spans="1:16" ht="31.5" x14ac:dyDescent="0.25">
      <c r="J3" s="132"/>
      <c r="K3" s="153" t="s">
        <v>455</v>
      </c>
      <c r="L3" s="153"/>
      <c r="M3" s="153"/>
      <c r="N3" s="153"/>
      <c r="O3" s="153"/>
      <c r="P3" s="34"/>
    </row>
    <row r="4" spans="1:16" ht="31.5" x14ac:dyDescent="0.25">
      <c r="J4" s="132"/>
      <c r="K4" s="152" t="s">
        <v>456</v>
      </c>
      <c r="L4" s="152"/>
      <c r="M4" s="152"/>
      <c r="N4" s="152"/>
      <c r="O4" s="152"/>
      <c r="P4" s="34"/>
    </row>
    <row r="5" spans="1:16" ht="31.5" x14ac:dyDescent="0.25">
      <c r="J5" s="132"/>
      <c r="K5" s="123" t="s">
        <v>457</v>
      </c>
      <c r="L5" s="123"/>
      <c r="M5" s="123"/>
      <c r="N5" s="123"/>
      <c r="O5" s="123"/>
      <c r="P5" s="34"/>
    </row>
    <row r="6" spans="1:16" ht="31.5" x14ac:dyDescent="0.25">
      <c r="J6" s="132"/>
      <c r="K6" s="123" t="s">
        <v>466</v>
      </c>
      <c r="L6" s="123"/>
      <c r="M6" s="123"/>
      <c r="N6" s="123"/>
      <c r="O6" s="123"/>
      <c r="P6" s="34"/>
    </row>
    <row r="7" spans="1:16" ht="31.5" x14ac:dyDescent="0.25">
      <c r="J7" s="132"/>
      <c r="K7" s="123" t="s">
        <v>458</v>
      </c>
      <c r="L7" s="123"/>
      <c r="M7" s="123"/>
      <c r="N7" s="123"/>
      <c r="O7" s="123"/>
      <c r="P7" s="34"/>
    </row>
    <row r="8" spans="1:16" ht="31.5" x14ac:dyDescent="0.25">
      <c r="J8" s="132"/>
      <c r="K8" s="149" t="s">
        <v>464</v>
      </c>
      <c r="L8" s="149"/>
      <c r="M8" s="149"/>
      <c r="N8" s="149"/>
      <c r="O8" s="149"/>
      <c r="P8" s="34"/>
    </row>
    <row r="9" spans="1:16" ht="26.25" customHeight="1" x14ac:dyDescent="0.4">
      <c r="J9" s="135"/>
      <c r="K9" s="113" t="s">
        <v>472</v>
      </c>
      <c r="L9" s="113"/>
      <c r="M9" s="113"/>
      <c r="N9" s="113"/>
      <c r="O9" s="113"/>
      <c r="P9" s="116"/>
    </row>
    <row r="10" spans="1:16" ht="26.25" customHeight="1" x14ac:dyDescent="0.25">
      <c r="J10" s="124"/>
      <c r="K10" s="124"/>
      <c r="L10" s="124"/>
      <c r="M10" s="124"/>
      <c r="N10" s="124"/>
      <c r="O10" s="124"/>
      <c r="P10" s="124"/>
    </row>
    <row r="11" spans="1:16" ht="29.25" customHeight="1" x14ac:dyDescent="0.4">
      <c r="J11" s="123"/>
      <c r="K11" s="113"/>
      <c r="L11" s="113"/>
      <c r="M11" s="113"/>
      <c r="N11" s="113"/>
      <c r="O11" s="114"/>
      <c r="P11" s="34"/>
    </row>
    <row r="12" spans="1:16" ht="65.25" customHeight="1" x14ac:dyDescent="0.25">
      <c r="A12" s="158" t="s">
        <v>436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6" ht="31.5" customHeight="1" x14ac:dyDescent="0.25">
      <c r="A13" s="160" t="s">
        <v>424</v>
      </c>
      <c r="B13" s="160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6" ht="21" customHeight="1" x14ac:dyDescent="0.25">
      <c r="A14" s="161" t="s">
        <v>445</v>
      </c>
      <c r="B14" s="16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6" s="17" customFormat="1" ht="24" customHeight="1" x14ac:dyDescent="0.3">
      <c r="A15" s="14"/>
      <c r="B15" s="15"/>
      <c r="C15" s="16"/>
      <c r="O15" s="122" t="s">
        <v>420</v>
      </c>
    </row>
    <row r="16" spans="1:16" s="82" customFormat="1" ht="21.75" customHeight="1" x14ac:dyDescent="0.25">
      <c r="A16" s="159" t="s">
        <v>398</v>
      </c>
      <c r="B16" s="159" t="s">
        <v>384</v>
      </c>
      <c r="C16" s="159" t="s">
        <v>400</v>
      </c>
      <c r="D16" s="155" t="s">
        <v>265</v>
      </c>
      <c r="E16" s="155"/>
      <c r="F16" s="155"/>
      <c r="G16" s="155"/>
      <c r="H16" s="155"/>
      <c r="I16" s="155" t="s">
        <v>266</v>
      </c>
      <c r="J16" s="155"/>
      <c r="K16" s="155"/>
      <c r="L16" s="155"/>
      <c r="M16" s="155"/>
      <c r="N16" s="155"/>
      <c r="O16" s="155" t="s">
        <v>267</v>
      </c>
    </row>
    <row r="17" spans="1:15" s="82" customFormat="1" ht="29.25" customHeight="1" x14ac:dyDescent="0.25">
      <c r="A17" s="159"/>
      <c r="B17" s="159"/>
      <c r="C17" s="159"/>
      <c r="D17" s="155" t="s">
        <v>385</v>
      </c>
      <c r="E17" s="155" t="s">
        <v>268</v>
      </c>
      <c r="F17" s="155"/>
      <c r="G17" s="155"/>
      <c r="H17" s="155" t="s">
        <v>270</v>
      </c>
      <c r="I17" s="155" t="s">
        <v>385</v>
      </c>
      <c r="J17" s="155" t="s">
        <v>386</v>
      </c>
      <c r="K17" s="155" t="s">
        <v>268</v>
      </c>
      <c r="L17" s="155" t="s">
        <v>269</v>
      </c>
      <c r="M17" s="155"/>
      <c r="N17" s="155" t="s">
        <v>270</v>
      </c>
      <c r="O17" s="155"/>
    </row>
    <row r="18" spans="1:15" s="82" customFormat="1" ht="75.75" customHeight="1" x14ac:dyDescent="0.25">
      <c r="A18" s="159"/>
      <c r="B18" s="159"/>
      <c r="C18" s="159"/>
      <c r="D18" s="155"/>
      <c r="E18" s="155"/>
      <c r="F18" s="79" t="s">
        <v>271</v>
      </c>
      <c r="G18" s="79" t="s">
        <v>272</v>
      </c>
      <c r="H18" s="155"/>
      <c r="I18" s="155"/>
      <c r="J18" s="155"/>
      <c r="K18" s="155"/>
      <c r="L18" s="79" t="s">
        <v>271</v>
      </c>
      <c r="M18" s="79" t="s">
        <v>272</v>
      </c>
      <c r="N18" s="155"/>
      <c r="O18" s="155"/>
    </row>
    <row r="19" spans="1:15" s="82" customFormat="1" ht="27.75" customHeight="1" x14ac:dyDescent="0.25">
      <c r="A19" s="7" t="s">
        <v>57</v>
      </c>
      <c r="B19" s="8"/>
      <c r="C19" s="9" t="s">
        <v>58</v>
      </c>
      <c r="D19" s="61">
        <f t="shared" ref="D19:O19" si="0">D20+D21</f>
        <v>237679000</v>
      </c>
      <c r="E19" s="61">
        <f t="shared" si="0"/>
        <v>237679000</v>
      </c>
      <c r="F19" s="61">
        <f t="shared" si="0"/>
        <v>179821400</v>
      </c>
      <c r="G19" s="61">
        <f t="shared" si="0"/>
        <v>4717900</v>
      </c>
      <c r="H19" s="61">
        <f t="shared" si="0"/>
        <v>0</v>
      </c>
      <c r="I19" s="61">
        <f t="shared" si="0"/>
        <v>4615200</v>
      </c>
      <c r="J19" s="61">
        <f t="shared" si="0"/>
        <v>1415200</v>
      </c>
      <c r="K19" s="61">
        <f t="shared" si="0"/>
        <v>3200000</v>
      </c>
      <c r="L19" s="61">
        <f t="shared" si="0"/>
        <v>2348000</v>
      </c>
      <c r="M19" s="61">
        <f t="shared" si="0"/>
        <v>90600</v>
      </c>
      <c r="N19" s="61">
        <f t="shared" si="0"/>
        <v>1415200</v>
      </c>
      <c r="O19" s="61">
        <f t="shared" si="0"/>
        <v>242294200</v>
      </c>
    </row>
    <row r="20" spans="1:15" ht="57.75" customHeight="1" x14ac:dyDescent="0.25">
      <c r="A20" s="46" t="s">
        <v>140</v>
      </c>
      <c r="B20" s="46" t="s">
        <v>60</v>
      </c>
      <c r="C20" s="6" t="s">
        <v>141</v>
      </c>
      <c r="D20" s="62">
        <f>'дод 2'!E20+'дод 2'!E55+'дод 2'!E81+'дод 2'!E98+'дод 2'!E120+'дод 2'!E125+'дод 2'!E136+'дод 2'!E163+'дод 2'!E166+'дод 2'!E180+'дод 2'!E185+'дод 2'!E188+'дод 2'!E196</f>
        <v>237369000</v>
      </c>
      <c r="E20" s="62">
        <f>'дод 2'!F20+'дод 2'!F55+'дод 2'!F81+'дод 2'!F98+'дод 2'!F120+'дод 2'!F125+'дод 2'!F136+'дод 2'!F163+'дод 2'!F166+'дод 2'!F180+'дод 2'!F185+'дод 2'!F188+'дод 2'!F196</f>
        <v>237369000</v>
      </c>
      <c r="F20" s="62">
        <f>'дод 2'!G20+'дод 2'!G55+'дод 2'!G81+'дод 2'!G98+'дод 2'!G120+'дод 2'!G125+'дод 2'!G136+'дод 2'!G163+'дод 2'!G166+'дод 2'!G180+'дод 2'!G185+'дод 2'!G188+'дод 2'!G196</f>
        <v>179821400</v>
      </c>
      <c r="G20" s="62">
        <f>'дод 2'!H20+'дод 2'!H55+'дод 2'!H81+'дод 2'!H98+'дод 2'!H120+'дод 2'!H125+'дод 2'!H136+'дод 2'!H163+'дод 2'!H166+'дод 2'!H180+'дод 2'!H185+'дод 2'!H188+'дод 2'!H196</f>
        <v>4717900</v>
      </c>
      <c r="H20" s="62">
        <f>'дод 2'!I20+'дод 2'!I55+'дод 2'!I81+'дод 2'!I98+'дод 2'!I120+'дод 2'!I125+'дод 2'!I136+'дод 2'!I163+'дод 2'!I166+'дод 2'!I180+'дод 2'!I185+'дод 2'!I188+'дод 2'!I196</f>
        <v>0</v>
      </c>
      <c r="I20" s="62">
        <f>'дод 2'!J20+'дод 2'!J55+'дод 2'!J81+'дод 2'!J98+'дод 2'!J120+'дод 2'!J125+'дод 2'!J136+'дод 2'!J163+'дод 2'!J166+'дод 2'!J180+'дод 2'!J185+'дод 2'!J188+'дод 2'!J196</f>
        <v>4615200</v>
      </c>
      <c r="J20" s="62">
        <f>'дод 2'!K20+'дод 2'!K55+'дод 2'!K81+'дод 2'!K98+'дод 2'!K120+'дод 2'!K125+'дод 2'!K136+'дод 2'!K163+'дод 2'!K166+'дод 2'!K180+'дод 2'!K185+'дод 2'!K188+'дод 2'!K196</f>
        <v>1415200</v>
      </c>
      <c r="K20" s="62">
        <f>'дод 2'!L20+'дод 2'!L55+'дод 2'!L81+'дод 2'!L98+'дод 2'!L120+'дод 2'!L125+'дод 2'!L136+'дод 2'!L163+'дод 2'!L166+'дод 2'!L180+'дод 2'!L185+'дод 2'!L188+'дод 2'!L196</f>
        <v>3200000</v>
      </c>
      <c r="L20" s="62">
        <f>'дод 2'!M20+'дод 2'!M55+'дод 2'!M81+'дод 2'!M98+'дод 2'!M120+'дод 2'!M125+'дод 2'!M136+'дод 2'!M163+'дод 2'!M166+'дод 2'!M180+'дод 2'!M185+'дод 2'!M188+'дод 2'!M196</f>
        <v>2348000</v>
      </c>
      <c r="M20" s="62">
        <f>'дод 2'!N20+'дод 2'!N55+'дод 2'!N81+'дод 2'!N98+'дод 2'!N120+'дод 2'!N125+'дод 2'!N136+'дод 2'!N163+'дод 2'!N166+'дод 2'!N180+'дод 2'!N185+'дод 2'!N188+'дод 2'!N196</f>
        <v>90600</v>
      </c>
      <c r="N20" s="62">
        <f>'дод 2'!O20+'дод 2'!O55+'дод 2'!O81+'дод 2'!O98+'дод 2'!O120+'дод 2'!O125+'дод 2'!O136+'дод 2'!O163+'дод 2'!O166+'дод 2'!O180+'дод 2'!O185+'дод 2'!O188+'дод 2'!O196</f>
        <v>1415200</v>
      </c>
      <c r="O20" s="62">
        <f>'дод 2'!P20+'дод 2'!P55+'дод 2'!P81+'дод 2'!P98+'дод 2'!P120+'дод 2'!P125+'дод 2'!P136+'дод 2'!P163+'дод 2'!P166+'дод 2'!P180+'дод 2'!P185+'дод 2'!P188+'дод 2'!P196</f>
        <v>241984200</v>
      </c>
    </row>
    <row r="21" spans="1:15" ht="27" customHeight="1" x14ac:dyDescent="0.25">
      <c r="A21" s="46" t="s">
        <v>59</v>
      </c>
      <c r="B21" s="46" t="s">
        <v>113</v>
      </c>
      <c r="C21" s="6" t="s">
        <v>284</v>
      </c>
      <c r="D21" s="62">
        <f>'дод 2'!E21</f>
        <v>310000</v>
      </c>
      <c r="E21" s="62">
        <f>'дод 2'!F21</f>
        <v>310000</v>
      </c>
      <c r="F21" s="62">
        <f>'дод 2'!G21</f>
        <v>0</v>
      </c>
      <c r="G21" s="62">
        <f>'дод 2'!H21</f>
        <v>0</v>
      </c>
      <c r="H21" s="62">
        <f>'дод 2'!I21</f>
        <v>0</v>
      </c>
      <c r="I21" s="62">
        <f>'дод 2'!J21</f>
        <v>0</v>
      </c>
      <c r="J21" s="62">
        <f>'дод 2'!K21</f>
        <v>0</v>
      </c>
      <c r="K21" s="62">
        <f>'дод 2'!L21</f>
        <v>0</v>
      </c>
      <c r="L21" s="62">
        <f>'дод 2'!M21</f>
        <v>0</v>
      </c>
      <c r="M21" s="62">
        <f>'дод 2'!N21</f>
        <v>0</v>
      </c>
      <c r="N21" s="62">
        <f>'дод 2'!O21</f>
        <v>0</v>
      </c>
      <c r="O21" s="62">
        <f>'дод 2'!P21</f>
        <v>310000</v>
      </c>
    </row>
    <row r="22" spans="1:15" s="82" customFormat="1" ht="24" customHeight="1" x14ac:dyDescent="0.25">
      <c r="A22" s="47" t="s">
        <v>61</v>
      </c>
      <c r="B22" s="48"/>
      <c r="C22" s="9" t="s">
        <v>62</v>
      </c>
      <c r="D22" s="61">
        <f>D24+D26+D28+D30+D31+D32+D34+D35+D36+D37</f>
        <v>992232889</v>
      </c>
      <c r="E22" s="61">
        <f t="shared" ref="E22:O22" si="1">E24+E26+E28+E30+E31+E32+E34+E35+E36+E37</f>
        <v>992232889</v>
      </c>
      <c r="F22" s="61">
        <f t="shared" si="1"/>
        <v>674606927</v>
      </c>
      <c r="G22" s="61">
        <f t="shared" si="1"/>
        <v>84066007</v>
      </c>
      <c r="H22" s="61">
        <f t="shared" si="1"/>
        <v>0</v>
      </c>
      <c r="I22" s="61">
        <f t="shared" si="1"/>
        <v>86094152.640000001</v>
      </c>
      <c r="J22" s="61">
        <f t="shared" si="1"/>
        <v>29998004.640000001</v>
      </c>
      <c r="K22" s="61">
        <f t="shared" si="1"/>
        <v>55986428</v>
      </c>
      <c r="L22" s="61">
        <f t="shared" si="1"/>
        <v>6476192</v>
      </c>
      <c r="M22" s="61">
        <f t="shared" si="1"/>
        <v>3124191</v>
      </c>
      <c r="N22" s="61">
        <f t="shared" si="1"/>
        <v>30107724.640000001</v>
      </c>
      <c r="O22" s="61">
        <f t="shared" si="1"/>
        <v>1078327041.6399999</v>
      </c>
    </row>
    <row r="23" spans="1:15" s="83" customFormat="1" ht="24" customHeight="1" x14ac:dyDescent="0.25">
      <c r="A23" s="47"/>
      <c r="B23" s="48"/>
      <c r="C23" s="2" t="s">
        <v>308</v>
      </c>
      <c r="D23" s="61">
        <f>+D27+D29+D33+D25+D38</f>
        <v>382256478</v>
      </c>
      <c r="E23" s="61">
        <f t="shared" ref="E23:O23" si="2">+E27+E29+E33+E25+E38</f>
        <v>382256478</v>
      </c>
      <c r="F23" s="61">
        <f t="shared" si="2"/>
        <v>307191100</v>
      </c>
      <c r="G23" s="61">
        <f t="shared" si="2"/>
        <v>0</v>
      </c>
      <c r="H23" s="61">
        <f t="shared" si="2"/>
        <v>0</v>
      </c>
      <c r="I23" s="61">
        <f t="shared" si="2"/>
        <v>1486539</v>
      </c>
      <c r="J23" s="61">
        <f t="shared" si="2"/>
        <v>1486539</v>
      </c>
      <c r="K23" s="61">
        <f t="shared" si="2"/>
        <v>0</v>
      </c>
      <c r="L23" s="61">
        <f t="shared" si="2"/>
        <v>0</v>
      </c>
      <c r="M23" s="61">
        <f t="shared" si="2"/>
        <v>0</v>
      </c>
      <c r="N23" s="61">
        <f t="shared" si="2"/>
        <v>1486539</v>
      </c>
      <c r="O23" s="61">
        <f t="shared" si="2"/>
        <v>383743017</v>
      </c>
    </row>
    <row r="24" spans="1:15" ht="27" customHeight="1" x14ac:dyDescent="0.25">
      <c r="A24" s="46" t="s">
        <v>63</v>
      </c>
      <c r="B24" s="46" t="s">
        <v>64</v>
      </c>
      <c r="C24" s="6" t="s">
        <v>171</v>
      </c>
      <c r="D24" s="62">
        <f>'дод 2'!E56</f>
        <v>242937226</v>
      </c>
      <c r="E24" s="62">
        <f>'дод 2'!F56</f>
        <v>242937226</v>
      </c>
      <c r="F24" s="62">
        <f>'дод 2'!G56</f>
        <v>159483510</v>
      </c>
      <c r="G24" s="62">
        <f>'дод 2'!H56</f>
        <v>26923940</v>
      </c>
      <c r="H24" s="62">
        <f>'дод 2'!I56</f>
        <v>0</v>
      </c>
      <c r="I24" s="62">
        <f>'дод 2'!J56</f>
        <v>22916603</v>
      </c>
      <c r="J24" s="62">
        <f>'дод 2'!K56</f>
        <v>6590947</v>
      </c>
      <c r="K24" s="62">
        <f>'дод 2'!L56</f>
        <v>16325656</v>
      </c>
      <c r="L24" s="62">
        <f>'дод 2'!M56</f>
        <v>0</v>
      </c>
      <c r="M24" s="62">
        <f>'дод 2'!N56</f>
        <v>0</v>
      </c>
      <c r="N24" s="62">
        <f>'дод 2'!O56</f>
        <v>6590947</v>
      </c>
      <c r="O24" s="62">
        <f>'дод 2'!P56</f>
        <v>265853829</v>
      </c>
    </row>
    <row r="25" spans="1:15" ht="27" customHeight="1" x14ac:dyDescent="0.25">
      <c r="A25" s="46"/>
      <c r="B25" s="46"/>
      <c r="C25" s="3" t="s">
        <v>308</v>
      </c>
      <c r="D25" s="62">
        <f>'дод 2'!E57</f>
        <v>162879</v>
      </c>
      <c r="E25" s="62">
        <f>'дод 2'!F57</f>
        <v>162879</v>
      </c>
      <c r="F25" s="62">
        <f>'дод 2'!G57</f>
        <v>133510</v>
      </c>
      <c r="G25" s="62">
        <f>'дод 2'!H57</f>
        <v>0</v>
      </c>
      <c r="H25" s="62">
        <f>'дод 2'!I57</f>
        <v>0</v>
      </c>
      <c r="I25" s="62">
        <f>'дод 2'!J57</f>
        <v>80600</v>
      </c>
      <c r="J25" s="62">
        <f>'дод 2'!K57</f>
        <v>80600</v>
      </c>
      <c r="K25" s="62">
        <f>'дод 2'!L57</f>
        <v>0</v>
      </c>
      <c r="L25" s="62">
        <f>'дод 2'!M57</f>
        <v>0</v>
      </c>
      <c r="M25" s="62">
        <f>'дод 2'!N57</f>
        <v>0</v>
      </c>
      <c r="N25" s="62">
        <f>'дод 2'!O57</f>
        <v>80600</v>
      </c>
      <c r="O25" s="62">
        <f>'дод 2'!P57</f>
        <v>243479</v>
      </c>
    </row>
    <row r="26" spans="1:15" ht="55.5" customHeight="1" x14ac:dyDescent="0.25">
      <c r="A26" s="46" t="s">
        <v>65</v>
      </c>
      <c r="B26" s="46" t="s">
        <v>66</v>
      </c>
      <c r="C26" s="6" t="s">
        <v>429</v>
      </c>
      <c r="D26" s="62">
        <f>'дод 2'!E58</f>
        <v>541969603</v>
      </c>
      <c r="E26" s="62">
        <f>'дод 2'!F58</f>
        <v>541969603</v>
      </c>
      <c r="F26" s="62">
        <f>'дод 2'!G58</f>
        <v>378056547</v>
      </c>
      <c r="G26" s="62">
        <f>'дод 2'!H58</f>
        <v>40458440</v>
      </c>
      <c r="H26" s="62">
        <f>'дод 2'!I58</f>
        <v>0</v>
      </c>
      <c r="I26" s="62">
        <f>'дод 2'!J58</f>
        <v>50872804.640000001</v>
      </c>
      <c r="J26" s="62">
        <f>'дод 2'!K58</f>
        <v>21961057.640000001</v>
      </c>
      <c r="K26" s="62">
        <f>'дод 2'!L58</f>
        <v>28911747</v>
      </c>
      <c r="L26" s="62">
        <f>'дод 2'!M58</f>
        <v>1713303</v>
      </c>
      <c r="M26" s="62">
        <f>'дод 2'!N58</f>
        <v>147329</v>
      </c>
      <c r="N26" s="62">
        <f>'дод 2'!O58</f>
        <v>21961057.640000001</v>
      </c>
      <c r="O26" s="62">
        <f>'дод 2'!P58</f>
        <v>592842407.63999999</v>
      </c>
    </row>
    <row r="27" spans="1:15" ht="28.5" customHeight="1" x14ac:dyDescent="0.25">
      <c r="A27" s="46"/>
      <c r="B27" s="46"/>
      <c r="C27" s="3" t="s">
        <v>308</v>
      </c>
      <c r="D27" s="62">
        <f>'дод 2'!E59</f>
        <v>356817929</v>
      </c>
      <c r="E27" s="62">
        <f>'дод 2'!F59</f>
        <v>356817929</v>
      </c>
      <c r="F27" s="62">
        <f>'дод 2'!G59</f>
        <v>286331520</v>
      </c>
      <c r="G27" s="62">
        <f>'дод 2'!H59</f>
        <v>0</v>
      </c>
      <c r="H27" s="62">
        <f>'дод 2'!I59</f>
        <v>0</v>
      </c>
      <c r="I27" s="62">
        <f>'дод 2'!J59</f>
        <v>1405939</v>
      </c>
      <c r="J27" s="62">
        <f>'дод 2'!K59</f>
        <v>1405939</v>
      </c>
      <c r="K27" s="62">
        <f>'дод 2'!L59</f>
        <v>0</v>
      </c>
      <c r="L27" s="62">
        <f>'дод 2'!M59</f>
        <v>0</v>
      </c>
      <c r="M27" s="62">
        <f>'дод 2'!N59</f>
        <v>0</v>
      </c>
      <c r="N27" s="62">
        <f>'дод 2'!O59</f>
        <v>1405939</v>
      </c>
      <c r="O27" s="62">
        <f>'дод 2'!P59</f>
        <v>358223868</v>
      </c>
    </row>
    <row r="28" spans="1:15" ht="75" customHeight="1" x14ac:dyDescent="0.25">
      <c r="A28" s="46">
        <v>1030</v>
      </c>
      <c r="B28" s="46" t="s">
        <v>70</v>
      </c>
      <c r="C28" s="6" t="s">
        <v>430</v>
      </c>
      <c r="D28" s="62">
        <f>'дод 2'!E60</f>
        <v>9418880</v>
      </c>
      <c r="E28" s="62">
        <f>'дод 2'!F60</f>
        <v>9418880</v>
      </c>
      <c r="F28" s="62">
        <f>'дод 2'!G60</f>
        <v>6532300</v>
      </c>
      <c r="G28" s="62">
        <f>'дод 2'!H60</f>
        <v>709270</v>
      </c>
      <c r="H28" s="62">
        <f>'дод 2'!I60</f>
        <v>0</v>
      </c>
      <c r="I28" s="62">
        <f>'дод 2'!J60</f>
        <v>172000</v>
      </c>
      <c r="J28" s="62">
        <f>'дод 2'!K60</f>
        <v>172000</v>
      </c>
      <c r="K28" s="62">
        <f>'дод 2'!L60</f>
        <v>0</v>
      </c>
      <c r="L28" s="62">
        <f>'дод 2'!M60</f>
        <v>0</v>
      </c>
      <c r="M28" s="62">
        <f>'дод 2'!N60</f>
        <v>0</v>
      </c>
      <c r="N28" s="62">
        <f>'дод 2'!O60</f>
        <v>172000</v>
      </c>
      <c r="O28" s="62">
        <f>'дод 2'!P60</f>
        <v>9590880</v>
      </c>
    </row>
    <row r="29" spans="1:15" ht="21.75" customHeight="1" x14ac:dyDescent="0.25">
      <c r="A29" s="46"/>
      <c r="B29" s="46"/>
      <c r="C29" s="3" t="s">
        <v>308</v>
      </c>
      <c r="D29" s="62">
        <f>'дод 2'!E61</f>
        <v>6214300</v>
      </c>
      <c r="E29" s="62">
        <f>'дод 2'!F61</f>
        <v>6214300</v>
      </c>
      <c r="F29" s="62">
        <f>'дод 2'!G61</f>
        <v>5102000</v>
      </c>
      <c r="G29" s="62">
        <f>'дод 2'!H61</f>
        <v>0</v>
      </c>
      <c r="H29" s="62">
        <f>'дод 2'!I61</f>
        <v>0</v>
      </c>
      <c r="I29" s="62">
        <f>'дод 2'!J61</f>
        <v>0</v>
      </c>
      <c r="J29" s="62">
        <f>'дод 2'!K61</f>
        <v>0</v>
      </c>
      <c r="K29" s="62">
        <f>'дод 2'!L61</f>
        <v>0</v>
      </c>
      <c r="L29" s="62">
        <f>'дод 2'!M61</f>
        <v>0</v>
      </c>
      <c r="M29" s="62">
        <f>'дод 2'!N61</f>
        <v>0</v>
      </c>
      <c r="N29" s="62">
        <f>'дод 2'!O61</f>
        <v>0</v>
      </c>
      <c r="O29" s="62">
        <f>'дод 2'!P61</f>
        <v>6214300</v>
      </c>
    </row>
    <row r="30" spans="1:15" ht="40.5" customHeight="1" x14ac:dyDescent="0.25">
      <c r="A30" s="46" t="s">
        <v>71</v>
      </c>
      <c r="B30" s="46" t="s">
        <v>72</v>
      </c>
      <c r="C30" s="6" t="s">
        <v>432</v>
      </c>
      <c r="D30" s="62">
        <f>'дод 2'!E62</f>
        <v>28023440</v>
      </c>
      <c r="E30" s="62">
        <f>'дод 2'!F62</f>
        <v>28023440</v>
      </c>
      <c r="F30" s="62">
        <f>'дод 2'!G62</f>
        <v>19715700</v>
      </c>
      <c r="G30" s="62">
        <f>'дод 2'!H62</f>
        <v>3358190</v>
      </c>
      <c r="H30" s="62">
        <f>'дод 2'!I62</f>
        <v>0</v>
      </c>
      <c r="I30" s="62">
        <f>'дод 2'!J62</f>
        <v>300000</v>
      </c>
      <c r="J30" s="62">
        <f>'дод 2'!K62</f>
        <v>300000</v>
      </c>
      <c r="K30" s="62">
        <f>'дод 2'!L62</f>
        <v>0</v>
      </c>
      <c r="L30" s="62">
        <f>'дод 2'!M62</f>
        <v>0</v>
      </c>
      <c r="M30" s="62">
        <f>'дод 2'!N62</f>
        <v>0</v>
      </c>
      <c r="N30" s="62">
        <f>'дод 2'!O62</f>
        <v>300000</v>
      </c>
      <c r="O30" s="62">
        <f>'дод 2'!P62</f>
        <v>28323440</v>
      </c>
    </row>
    <row r="31" spans="1:15" ht="30.75" customHeight="1" x14ac:dyDescent="0.25">
      <c r="A31" s="46" t="s">
        <v>73</v>
      </c>
      <c r="B31" s="46" t="s">
        <v>72</v>
      </c>
      <c r="C31" s="6" t="s">
        <v>433</v>
      </c>
      <c r="D31" s="62">
        <f>'дод 2'!E126</f>
        <v>39101600</v>
      </c>
      <c r="E31" s="62">
        <f>'дод 2'!F126</f>
        <v>39101600</v>
      </c>
      <c r="F31" s="62">
        <f>'дод 2'!G126</f>
        <v>30830000</v>
      </c>
      <c r="G31" s="62">
        <f>'дод 2'!H126</f>
        <v>793600</v>
      </c>
      <c r="H31" s="62">
        <f>'дод 2'!I126</f>
        <v>0</v>
      </c>
      <c r="I31" s="62">
        <f>'дод 2'!J126</f>
        <v>3321640</v>
      </c>
      <c r="J31" s="62">
        <f>'дод 2'!K126</f>
        <v>542000</v>
      </c>
      <c r="K31" s="62">
        <f>'дод 2'!L126</f>
        <v>2774920</v>
      </c>
      <c r="L31" s="62">
        <f>'дод 2'!M126</f>
        <v>2267316</v>
      </c>
      <c r="M31" s="62">
        <f>'дод 2'!N126</f>
        <v>0</v>
      </c>
      <c r="N31" s="62">
        <f>'дод 2'!O126</f>
        <v>546720</v>
      </c>
      <c r="O31" s="62">
        <f>'дод 2'!P126</f>
        <v>42423240</v>
      </c>
    </row>
    <row r="32" spans="1:15" ht="39.75" customHeight="1" x14ac:dyDescent="0.25">
      <c r="A32" s="46" t="s">
        <v>261</v>
      </c>
      <c r="B32" s="46" t="s">
        <v>74</v>
      </c>
      <c r="C32" s="6" t="s">
        <v>434</v>
      </c>
      <c r="D32" s="62">
        <f>'дод 2'!E63</f>
        <v>116807900</v>
      </c>
      <c r="E32" s="62">
        <f>'дод 2'!F63</f>
        <v>116807900</v>
      </c>
      <c r="F32" s="62">
        <f>'дод 2'!G63</f>
        <v>69744500</v>
      </c>
      <c r="G32" s="62">
        <f>'дод 2'!H63</f>
        <v>11007217</v>
      </c>
      <c r="H32" s="62">
        <f>'дод 2'!I63</f>
        <v>0</v>
      </c>
      <c r="I32" s="62">
        <f>'дод 2'!J63</f>
        <v>8079105</v>
      </c>
      <c r="J32" s="62">
        <f>'дод 2'!K63</f>
        <v>0</v>
      </c>
      <c r="K32" s="62">
        <f>'дод 2'!L63</f>
        <v>7974105</v>
      </c>
      <c r="L32" s="62">
        <f>'дод 2'!M63</f>
        <v>2495573</v>
      </c>
      <c r="M32" s="62">
        <f>'дод 2'!N63</f>
        <v>2976862</v>
      </c>
      <c r="N32" s="62">
        <f>'дод 2'!O63</f>
        <v>105000</v>
      </c>
      <c r="O32" s="62">
        <f>'дод 2'!P63</f>
        <v>124887005</v>
      </c>
    </row>
    <row r="33" spans="1:15" ht="21" customHeight="1" x14ac:dyDescent="0.25">
      <c r="A33" s="46"/>
      <c r="B33" s="46"/>
      <c r="C33" s="3" t="s">
        <v>308</v>
      </c>
      <c r="D33" s="62">
        <f>'дод 2'!E64</f>
        <v>17825000</v>
      </c>
      <c r="E33" s="62">
        <f>'дод 2'!F64</f>
        <v>17825000</v>
      </c>
      <c r="F33" s="62">
        <f>'дод 2'!G64</f>
        <v>14610650</v>
      </c>
      <c r="G33" s="62">
        <f>'дод 2'!H64</f>
        <v>0</v>
      </c>
      <c r="H33" s="62">
        <f>'дод 2'!I64</f>
        <v>0</v>
      </c>
      <c r="I33" s="62">
        <f>'дод 2'!J64</f>
        <v>0</v>
      </c>
      <c r="J33" s="62">
        <f>'дод 2'!K64</f>
        <v>0</v>
      </c>
      <c r="K33" s="62">
        <f>'дод 2'!L64</f>
        <v>0</v>
      </c>
      <c r="L33" s="62">
        <f>'дод 2'!M64</f>
        <v>0</v>
      </c>
      <c r="M33" s="62">
        <f>'дод 2'!N64</f>
        <v>0</v>
      </c>
      <c r="N33" s="62">
        <f>'дод 2'!O64</f>
        <v>0</v>
      </c>
      <c r="O33" s="62">
        <f>'дод 2'!P64</f>
        <v>17825000</v>
      </c>
    </row>
    <row r="34" spans="1:15" ht="33" customHeight="1" x14ac:dyDescent="0.25">
      <c r="A34" s="46" t="s">
        <v>142</v>
      </c>
      <c r="B34" s="46" t="s">
        <v>75</v>
      </c>
      <c r="C34" s="6" t="s">
        <v>435</v>
      </c>
      <c r="D34" s="62">
        <f>'дод 2'!E65</f>
        <v>2893730</v>
      </c>
      <c r="E34" s="62">
        <f>'дод 2'!F65</f>
        <v>2893730</v>
      </c>
      <c r="F34" s="62">
        <f>'дод 2'!G65</f>
        <v>2237500</v>
      </c>
      <c r="G34" s="62">
        <f>'дод 2'!H65</f>
        <v>120380</v>
      </c>
      <c r="H34" s="62">
        <f>'дод 2'!I65</f>
        <v>0</v>
      </c>
      <c r="I34" s="62">
        <f>'дод 2'!J65</f>
        <v>0</v>
      </c>
      <c r="J34" s="62">
        <f>'дод 2'!K65</f>
        <v>0</v>
      </c>
      <c r="K34" s="62">
        <f>'дод 2'!L65</f>
        <v>0</v>
      </c>
      <c r="L34" s="62">
        <f>'дод 2'!M65</f>
        <v>0</v>
      </c>
      <c r="M34" s="62">
        <f>'дод 2'!N65</f>
        <v>0</v>
      </c>
      <c r="N34" s="62">
        <f>'дод 2'!O65</f>
        <v>0</v>
      </c>
      <c r="O34" s="62">
        <f>'дод 2'!P65</f>
        <v>2893730</v>
      </c>
    </row>
    <row r="35" spans="1:15" ht="36" customHeight="1" x14ac:dyDescent="0.25">
      <c r="A35" s="46" t="s">
        <v>327</v>
      </c>
      <c r="B35" s="46" t="s">
        <v>75</v>
      </c>
      <c r="C35" s="6" t="s">
        <v>329</v>
      </c>
      <c r="D35" s="62">
        <f>'дод 2'!E66</f>
        <v>9345170</v>
      </c>
      <c r="E35" s="62">
        <f>'дод 2'!F66</f>
        <v>9345170</v>
      </c>
      <c r="F35" s="62">
        <f>'дод 2'!G66</f>
        <v>6782550</v>
      </c>
      <c r="G35" s="62">
        <f>'дод 2'!H66</f>
        <v>613500</v>
      </c>
      <c r="H35" s="62">
        <f>'дод 2'!I66</f>
        <v>0</v>
      </c>
      <c r="I35" s="62">
        <f>'дод 2'!J66</f>
        <v>432000</v>
      </c>
      <c r="J35" s="62">
        <f>'дод 2'!K66</f>
        <v>432000</v>
      </c>
      <c r="K35" s="62">
        <f>'дод 2'!L66</f>
        <v>0</v>
      </c>
      <c r="L35" s="62">
        <f>'дод 2'!M66</f>
        <v>0</v>
      </c>
      <c r="M35" s="62">
        <f>'дод 2'!N66</f>
        <v>0</v>
      </c>
      <c r="N35" s="62">
        <f>'дод 2'!O66</f>
        <v>432000</v>
      </c>
      <c r="O35" s="62">
        <f>'дод 2'!P66</f>
        <v>9777170</v>
      </c>
    </row>
    <row r="36" spans="1:15" ht="25.5" customHeight="1" x14ac:dyDescent="0.25">
      <c r="A36" s="46" t="s">
        <v>328</v>
      </c>
      <c r="B36" s="46" t="s">
        <v>75</v>
      </c>
      <c r="C36" s="6" t="s">
        <v>330</v>
      </c>
      <c r="D36" s="62">
        <f>'дод 2'!E67</f>
        <v>107400</v>
      </c>
      <c r="E36" s="62">
        <f>'дод 2'!F67</f>
        <v>107400</v>
      </c>
      <c r="F36" s="62">
        <f>'дод 2'!G67</f>
        <v>0</v>
      </c>
      <c r="G36" s="62">
        <f>'дод 2'!H67</f>
        <v>0</v>
      </c>
      <c r="H36" s="62">
        <f>'дод 2'!I67</f>
        <v>0</v>
      </c>
      <c r="I36" s="62">
        <f>'дод 2'!J67</f>
        <v>0</v>
      </c>
      <c r="J36" s="62">
        <f>'дод 2'!K67</f>
        <v>0</v>
      </c>
      <c r="K36" s="62">
        <f>'дод 2'!L67</f>
        <v>0</v>
      </c>
      <c r="L36" s="62">
        <f>'дод 2'!M67</f>
        <v>0</v>
      </c>
      <c r="M36" s="62">
        <f>'дод 2'!N67</f>
        <v>0</v>
      </c>
      <c r="N36" s="62">
        <f>'дод 2'!O67</f>
        <v>0</v>
      </c>
      <c r="O36" s="62">
        <f>'дод 2'!P67</f>
        <v>107400</v>
      </c>
    </row>
    <row r="37" spans="1:15" ht="25.5" customHeight="1" x14ac:dyDescent="0.25">
      <c r="A37" s="46" t="s">
        <v>391</v>
      </c>
      <c r="B37" s="46" t="s">
        <v>75</v>
      </c>
      <c r="C37" s="42" t="s">
        <v>390</v>
      </c>
      <c r="D37" s="62">
        <f>SUM('дод 2'!E68)</f>
        <v>1627940</v>
      </c>
      <c r="E37" s="62">
        <f>SUM('дод 2'!F68)</f>
        <v>1627940</v>
      </c>
      <c r="F37" s="62">
        <f>SUM('дод 2'!G68)</f>
        <v>1224320</v>
      </c>
      <c r="G37" s="62">
        <f>SUM('дод 2'!H68)</f>
        <v>81470</v>
      </c>
      <c r="H37" s="62">
        <f>SUM('дод 2'!I68)</f>
        <v>0</v>
      </c>
      <c r="I37" s="62">
        <f>SUM('дод 2'!J68)</f>
        <v>0</v>
      </c>
      <c r="J37" s="62">
        <f>SUM('дод 2'!K68)</f>
        <v>0</v>
      </c>
      <c r="K37" s="62">
        <f>SUM('дод 2'!L68)</f>
        <v>0</v>
      </c>
      <c r="L37" s="62">
        <f>SUM('дод 2'!M68)</f>
        <v>0</v>
      </c>
      <c r="M37" s="62">
        <f>SUM('дод 2'!N68)</f>
        <v>0</v>
      </c>
      <c r="N37" s="62">
        <f>SUM('дод 2'!O68)</f>
        <v>0</v>
      </c>
      <c r="O37" s="62">
        <f>SUM('дод 2'!P68)</f>
        <v>1627940</v>
      </c>
    </row>
    <row r="38" spans="1:15" ht="15.75" customHeight="1" x14ac:dyDescent="0.25">
      <c r="A38" s="46"/>
      <c r="B38" s="46"/>
      <c r="C38" s="3" t="s">
        <v>308</v>
      </c>
      <c r="D38" s="62">
        <f>'дод 2'!E69</f>
        <v>1236370</v>
      </c>
      <c r="E38" s="62">
        <f>'дод 2'!F69</f>
        <v>1236370</v>
      </c>
      <c r="F38" s="62">
        <f>'дод 2'!G69</f>
        <v>1013420</v>
      </c>
      <c r="G38" s="62">
        <f>'дод 2'!H69</f>
        <v>0</v>
      </c>
      <c r="H38" s="62">
        <f>'дод 2'!I69</f>
        <v>0</v>
      </c>
      <c r="I38" s="62">
        <f>'дод 2'!J69</f>
        <v>0</v>
      </c>
      <c r="J38" s="62">
        <f>'дод 2'!K69</f>
        <v>0</v>
      </c>
      <c r="K38" s="62">
        <f>'дод 2'!L69</f>
        <v>0</v>
      </c>
      <c r="L38" s="62">
        <f>'дод 2'!M69</f>
        <v>0</v>
      </c>
      <c r="M38" s="62">
        <f>'дод 2'!N69</f>
        <v>0</v>
      </c>
      <c r="N38" s="62">
        <f>'дод 2'!O69</f>
        <v>0</v>
      </c>
      <c r="O38" s="62">
        <f>'дод 2'!P69</f>
        <v>1236370</v>
      </c>
    </row>
    <row r="39" spans="1:15" s="82" customFormat="1" ht="19.5" customHeight="1" x14ac:dyDescent="0.25">
      <c r="A39" s="47" t="s">
        <v>76</v>
      </c>
      <c r="B39" s="48"/>
      <c r="C39" s="9" t="s">
        <v>77</v>
      </c>
      <c r="D39" s="61">
        <f>D41+D43+D45+D47+D48+D50+D51</f>
        <v>225547211</v>
      </c>
      <c r="E39" s="61">
        <f t="shared" ref="E39:O39" si="3">E41+E43+E45+E47+E48+E50+E51</f>
        <v>225547211</v>
      </c>
      <c r="F39" s="61">
        <f t="shared" si="3"/>
        <v>0</v>
      </c>
      <c r="G39" s="61">
        <f t="shared" si="3"/>
        <v>0</v>
      </c>
      <c r="H39" s="61">
        <f t="shared" si="3"/>
        <v>0</v>
      </c>
      <c r="I39" s="61">
        <f t="shared" si="3"/>
        <v>77366100</v>
      </c>
      <c r="J39" s="61">
        <f t="shared" si="3"/>
        <v>77366100</v>
      </c>
      <c r="K39" s="61">
        <f t="shared" si="3"/>
        <v>0</v>
      </c>
      <c r="L39" s="61">
        <f t="shared" si="3"/>
        <v>0</v>
      </c>
      <c r="M39" s="61">
        <f t="shared" si="3"/>
        <v>0</v>
      </c>
      <c r="N39" s="61">
        <f t="shared" si="3"/>
        <v>77366100</v>
      </c>
      <c r="O39" s="61">
        <f t="shared" si="3"/>
        <v>302913311</v>
      </c>
    </row>
    <row r="40" spans="1:15" s="82" customFormat="1" ht="23.25" customHeight="1" x14ac:dyDescent="0.25">
      <c r="A40" s="47"/>
      <c r="B40" s="48"/>
      <c r="C40" s="2" t="s">
        <v>308</v>
      </c>
      <c r="D40" s="61">
        <f>D42+D44+D46+D49</f>
        <v>57157811</v>
      </c>
      <c r="E40" s="61">
        <f t="shared" ref="E40:O40" si="4">E42+E44+E46+E49</f>
        <v>57157811</v>
      </c>
      <c r="F40" s="61">
        <f t="shared" si="4"/>
        <v>0</v>
      </c>
      <c r="G40" s="61">
        <f t="shared" si="4"/>
        <v>0</v>
      </c>
      <c r="H40" s="61">
        <f t="shared" si="4"/>
        <v>0</v>
      </c>
      <c r="I40" s="61">
        <f t="shared" si="4"/>
        <v>0</v>
      </c>
      <c r="J40" s="61">
        <f t="shared" si="4"/>
        <v>0</v>
      </c>
      <c r="K40" s="61">
        <f t="shared" si="4"/>
        <v>0</v>
      </c>
      <c r="L40" s="61">
        <f t="shared" si="4"/>
        <v>0</v>
      </c>
      <c r="M40" s="61">
        <f t="shared" si="4"/>
        <v>0</v>
      </c>
      <c r="N40" s="61">
        <f t="shared" si="4"/>
        <v>0</v>
      </c>
      <c r="O40" s="61">
        <f t="shared" si="4"/>
        <v>57157811</v>
      </c>
    </row>
    <row r="41" spans="1:15" ht="31.5" x14ac:dyDescent="0.25">
      <c r="A41" s="46" t="s">
        <v>78</v>
      </c>
      <c r="B41" s="46" t="s">
        <v>79</v>
      </c>
      <c r="C41" s="6" t="s">
        <v>38</v>
      </c>
      <c r="D41" s="62">
        <f>'дод 2'!E82</f>
        <v>119979491</v>
      </c>
      <c r="E41" s="62">
        <f>'дод 2'!F82</f>
        <v>119979491</v>
      </c>
      <c r="F41" s="62">
        <f>'дод 2'!G82</f>
        <v>0</v>
      </c>
      <c r="G41" s="62">
        <f>'дод 2'!H82</f>
        <v>0</v>
      </c>
      <c r="H41" s="62">
        <f>'дод 2'!I82</f>
        <v>0</v>
      </c>
      <c r="I41" s="62">
        <f>'дод 2'!J82</f>
        <v>45195500</v>
      </c>
      <c r="J41" s="62">
        <f>'дод 2'!K82</f>
        <v>45195500</v>
      </c>
      <c r="K41" s="62">
        <f>'дод 2'!L82</f>
        <v>0</v>
      </c>
      <c r="L41" s="62">
        <f>'дод 2'!M82</f>
        <v>0</v>
      </c>
      <c r="M41" s="62">
        <f>'дод 2'!N82</f>
        <v>0</v>
      </c>
      <c r="N41" s="62">
        <f>'дод 2'!O82</f>
        <v>45195500</v>
      </c>
      <c r="O41" s="62">
        <f>'дод 2'!P82</f>
        <v>165174991</v>
      </c>
    </row>
    <row r="42" spans="1:15" ht="15.75" customHeight="1" x14ac:dyDescent="0.25">
      <c r="A42" s="46"/>
      <c r="B42" s="46"/>
      <c r="C42" s="3" t="s">
        <v>308</v>
      </c>
      <c r="D42" s="62">
        <f>'дод 2'!E83</f>
        <v>48187871</v>
      </c>
      <c r="E42" s="62">
        <f>'дод 2'!F83</f>
        <v>48187871</v>
      </c>
      <c r="F42" s="62">
        <f>'дод 2'!G83</f>
        <v>0</v>
      </c>
      <c r="G42" s="62">
        <f>'дод 2'!H83</f>
        <v>0</v>
      </c>
      <c r="H42" s="62">
        <f>'дод 2'!I83</f>
        <v>0</v>
      </c>
      <c r="I42" s="62">
        <f>'дод 2'!J83</f>
        <v>0</v>
      </c>
      <c r="J42" s="62">
        <f>'дод 2'!K83</f>
        <v>0</v>
      </c>
      <c r="K42" s="62">
        <f>'дод 2'!L83</f>
        <v>0</v>
      </c>
      <c r="L42" s="62">
        <f>'дод 2'!M83</f>
        <v>0</v>
      </c>
      <c r="M42" s="62">
        <f>'дод 2'!N83</f>
        <v>0</v>
      </c>
      <c r="N42" s="62">
        <f>'дод 2'!O83</f>
        <v>0</v>
      </c>
      <c r="O42" s="62">
        <f>'дод 2'!P83</f>
        <v>48187871</v>
      </c>
    </row>
    <row r="43" spans="1:15" ht="42.75" customHeight="1" x14ac:dyDescent="0.25">
      <c r="A43" s="46" t="s">
        <v>143</v>
      </c>
      <c r="B43" s="46" t="s">
        <v>80</v>
      </c>
      <c r="C43" s="6" t="s">
        <v>144</v>
      </c>
      <c r="D43" s="62">
        <f>'дод 2'!E84</f>
        <v>15420473</v>
      </c>
      <c r="E43" s="62">
        <f>'дод 2'!F84</f>
        <v>15420473</v>
      </c>
      <c r="F43" s="62">
        <f>'дод 2'!G84</f>
        <v>0</v>
      </c>
      <c r="G43" s="62">
        <f>'дод 2'!H84</f>
        <v>0</v>
      </c>
      <c r="H43" s="62">
        <f>'дод 2'!I84</f>
        <v>0</v>
      </c>
      <c r="I43" s="62">
        <f>'дод 2'!J84</f>
        <v>15040600</v>
      </c>
      <c r="J43" s="62">
        <f>'дод 2'!K84</f>
        <v>15040600</v>
      </c>
      <c r="K43" s="62">
        <f>'дод 2'!L84</f>
        <v>0</v>
      </c>
      <c r="L43" s="62">
        <f>'дод 2'!M84</f>
        <v>0</v>
      </c>
      <c r="M43" s="62">
        <f>'дод 2'!N84</f>
        <v>0</v>
      </c>
      <c r="N43" s="62">
        <f>'дод 2'!O84</f>
        <v>15040600</v>
      </c>
      <c r="O43" s="62">
        <f>'дод 2'!P84</f>
        <v>30461073</v>
      </c>
    </row>
    <row r="44" spans="1:15" ht="24" customHeight="1" x14ac:dyDescent="0.25">
      <c r="A44" s="46"/>
      <c r="B44" s="46"/>
      <c r="C44" s="3" t="s">
        <v>308</v>
      </c>
      <c r="D44" s="62">
        <f>'дод 2'!E85</f>
        <v>6347600</v>
      </c>
      <c r="E44" s="62">
        <f>'дод 2'!F85</f>
        <v>6347600</v>
      </c>
      <c r="F44" s="62">
        <f>'дод 2'!G85</f>
        <v>0</v>
      </c>
      <c r="G44" s="62">
        <f>'дод 2'!H85</f>
        <v>0</v>
      </c>
      <c r="H44" s="62">
        <f>'дод 2'!I85</f>
        <v>0</v>
      </c>
      <c r="I44" s="62">
        <f>'дод 2'!J85</f>
        <v>0</v>
      </c>
      <c r="J44" s="62">
        <f>'дод 2'!K85</f>
        <v>0</v>
      </c>
      <c r="K44" s="62">
        <f>'дод 2'!L85</f>
        <v>0</v>
      </c>
      <c r="L44" s="62">
        <f>'дод 2'!M85</f>
        <v>0</v>
      </c>
      <c r="M44" s="62">
        <f>'дод 2'!N85</f>
        <v>0</v>
      </c>
      <c r="N44" s="62">
        <f>'дод 2'!O85</f>
        <v>0</v>
      </c>
      <c r="O44" s="62">
        <f>'дод 2'!P85</f>
        <v>6347600</v>
      </c>
    </row>
    <row r="45" spans="1:15" ht="25.5" customHeight="1" x14ac:dyDescent="0.25">
      <c r="A45" s="46" t="s">
        <v>145</v>
      </c>
      <c r="B45" s="46" t="s">
        <v>81</v>
      </c>
      <c r="C45" s="6" t="s">
        <v>146</v>
      </c>
      <c r="D45" s="62">
        <f>'дод 2'!E86</f>
        <v>6663426</v>
      </c>
      <c r="E45" s="62">
        <f>'дод 2'!F86</f>
        <v>6663426</v>
      </c>
      <c r="F45" s="62">
        <f>'дод 2'!G86</f>
        <v>0</v>
      </c>
      <c r="G45" s="62">
        <f>'дод 2'!H86</f>
        <v>0</v>
      </c>
      <c r="H45" s="62">
        <f>'дод 2'!I86</f>
        <v>0</v>
      </c>
      <c r="I45" s="62">
        <f>'дод 2'!J86</f>
        <v>1130000</v>
      </c>
      <c r="J45" s="62">
        <f>'дод 2'!K86</f>
        <v>1130000</v>
      </c>
      <c r="K45" s="62">
        <f>'дод 2'!L86</f>
        <v>0</v>
      </c>
      <c r="L45" s="62">
        <f>'дод 2'!M86</f>
        <v>0</v>
      </c>
      <c r="M45" s="62">
        <f>'дод 2'!N86</f>
        <v>0</v>
      </c>
      <c r="N45" s="62">
        <f>'дод 2'!O86</f>
        <v>1130000</v>
      </c>
      <c r="O45" s="62">
        <f>'дод 2'!P86</f>
        <v>7793426</v>
      </c>
    </row>
    <row r="46" spans="1:15" ht="25.5" customHeight="1" x14ac:dyDescent="0.25">
      <c r="A46" s="46"/>
      <c r="B46" s="46"/>
      <c r="C46" s="3" t="s">
        <v>308</v>
      </c>
      <c r="D46" s="62">
        <f>'дод 2'!E87</f>
        <v>1132200</v>
      </c>
      <c r="E46" s="62">
        <f>'дод 2'!F87</f>
        <v>1132200</v>
      </c>
      <c r="F46" s="62">
        <f>'дод 2'!G87</f>
        <v>0</v>
      </c>
      <c r="G46" s="62">
        <f>'дод 2'!H87</f>
        <v>0</v>
      </c>
      <c r="H46" s="62">
        <f>'дод 2'!I87</f>
        <v>0</v>
      </c>
      <c r="I46" s="62">
        <f>'дод 2'!J87</f>
        <v>0</v>
      </c>
      <c r="J46" s="62">
        <f>'дод 2'!K87</f>
        <v>0</v>
      </c>
      <c r="K46" s="62">
        <f>'дод 2'!L87</f>
        <v>0</v>
      </c>
      <c r="L46" s="62">
        <f>'дод 2'!M87</f>
        <v>0</v>
      </c>
      <c r="M46" s="62">
        <f>'дод 2'!N87</f>
        <v>0</v>
      </c>
      <c r="N46" s="62">
        <f>'дод 2'!O87</f>
        <v>0</v>
      </c>
      <c r="O46" s="62">
        <f>'дод 2'!P87</f>
        <v>1132200</v>
      </c>
    </row>
    <row r="47" spans="1:15" ht="54" customHeight="1" x14ac:dyDescent="0.25">
      <c r="A47" s="46" t="s">
        <v>147</v>
      </c>
      <c r="B47" s="46" t="s">
        <v>365</v>
      </c>
      <c r="C47" s="6" t="s">
        <v>148</v>
      </c>
      <c r="D47" s="62">
        <f>'дод 2'!E88</f>
        <v>1882468</v>
      </c>
      <c r="E47" s="62">
        <f>'дод 2'!F88</f>
        <v>1882468</v>
      </c>
      <c r="F47" s="62">
        <f>'дод 2'!G88</f>
        <v>0</v>
      </c>
      <c r="G47" s="62">
        <f>'дод 2'!H88</f>
        <v>0</v>
      </c>
      <c r="H47" s="62">
        <f>'дод 2'!I88</f>
        <v>0</v>
      </c>
      <c r="I47" s="62">
        <f>'дод 2'!J88</f>
        <v>0</v>
      </c>
      <c r="J47" s="62">
        <f>'дод 2'!K88</f>
        <v>0</v>
      </c>
      <c r="K47" s="62">
        <f>'дод 2'!L88</f>
        <v>0</v>
      </c>
      <c r="L47" s="62">
        <f>'дод 2'!M88</f>
        <v>0</v>
      </c>
      <c r="M47" s="62">
        <f>'дод 2'!N88</f>
        <v>0</v>
      </c>
      <c r="N47" s="62">
        <f>'дод 2'!O88</f>
        <v>0</v>
      </c>
      <c r="O47" s="62">
        <f>'дод 2'!P88</f>
        <v>1882468</v>
      </c>
    </row>
    <row r="48" spans="1:15" ht="36.75" customHeight="1" x14ac:dyDescent="0.25">
      <c r="A48" s="49">
        <v>2144</v>
      </c>
      <c r="B48" s="46" t="s">
        <v>82</v>
      </c>
      <c r="C48" s="6" t="s">
        <v>149</v>
      </c>
      <c r="D48" s="62">
        <f>'дод 2'!E89</f>
        <v>3090140</v>
      </c>
      <c r="E48" s="62">
        <f>'дод 2'!F89</f>
        <v>3090140</v>
      </c>
      <c r="F48" s="62">
        <f>'дод 2'!G89</f>
        <v>0</v>
      </c>
      <c r="G48" s="62">
        <f>'дод 2'!H89</f>
        <v>0</v>
      </c>
      <c r="H48" s="62">
        <f>'дод 2'!I89</f>
        <v>0</v>
      </c>
      <c r="I48" s="62">
        <f>'дод 2'!J89</f>
        <v>0</v>
      </c>
      <c r="J48" s="62">
        <f>'дод 2'!K89</f>
        <v>0</v>
      </c>
      <c r="K48" s="62">
        <f>'дод 2'!L89</f>
        <v>0</v>
      </c>
      <c r="L48" s="62">
        <f>'дод 2'!M89</f>
        <v>0</v>
      </c>
      <c r="M48" s="62">
        <f>'дод 2'!N89</f>
        <v>0</v>
      </c>
      <c r="N48" s="62">
        <f>'дод 2'!O89</f>
        <v>0</v>
      </c>
      <c r="O48" s="62">
        <f>'дод 2'!P89</f>
        <v>3090140</v>
      </c>
    </row>
    <row r="49" spans="1:15" ht="24.75" customHeight="1" x14ac:dyDescent="0.25">
      <c r="A49" s="49"/>
      <c r="B49" s="46"/>
      <c r="C49" s="3" t="s">
        <v>308</v>
      </c>
      <c r="D49" s="62">
        <f>'дод 2'!E90</f>
        <v>1490140</v>
      </c>
      <c r="E49" s="62">
        <f>'дод 2'!F90</f>
        <v>1490140</v>
      </c>
      <c r="F49" s="62">
        <f>'дод 2'!G90</f>
        <v>0</v>
      </c>
      <c r="G49" s="62">
        <f>'дод 2'!H90</f>
        <v>0</v>
      </c>
      <c r="H49" s="62">
        <f>'дод 2'!I90</f>
        <v>0</v>
      </c>
      <c r="I49" s="62">
        <f>'дод 2'!J90</f>
        <v>0</v>
      </c>
      <c r="J49" s="62">
        <f>'дод 2'!K90</f>
        <v>0</v>
      </c>
      <c r="K49" s="62">
        <f>'дод 2'!L90</f>
        <v>0</v>
      </c>
      <c r="L49" s="62">
        <f>'дод 2'!M90</f>
        <v>0</v>
      </c>
      <c r="M49" s="62">
        <f>'дод 2'!N90</f>
        <v>0</v>
      </c>
      <c r="N49" s="62">
        <f>'дод 2'!O90</f>
        <v>0</v>
      </c>
      <c r="O49" s="62">
        <f>'дод 2'!P90</f>
        <v>1490140</v>
      </c>
    </row>
    <row r="50" spans="1:15" ht="37.5" customHeight="1" x14ac:dyDescent="0.25">
      <c r="A50" s="46" t="s">
        <v>331</v>
      </c>
      <c r="B50" s="46" t="s">
        <v>82</v>
      </c>
      <c r="C50" s="3" t="s">
        <v>333</v>
      </c>
      <c r="D50" s="62">
        <f>'дод 2'!E91</f>
        <v>2894213</v>
      </c>
      <c r="E50" s="62">
        <f>'дод 2'!F91</f>
        <v>2894213</v>
      </c>
      <c r="F50" s="62">
        <f>'дод 2'!G91</f>
        <v>0</v>
      </c>
      <c r="G50" s="62">
        <f>'дод 2'!H91</f>
        <v>0</v>
      </c>
      <c r="H50" s="62">
        <f>'дод 2'!I91</f>
        <v>0</v>
      </c>
      <c r="I50" s="62">
        <f>'дод 2'!J91</f>
        <v>0</v>
      </c>
      <c r="J50" s="62">
        <f>'дод 2'!K91</f>
        <v>0</v>
      </c>
      <c r="K50" s="62">
        <f>'дод 2'!L91</f>
        <v>0</v>
      </c>
      <c r="L50" s="62">
        <f>'дод 2'!M91</f>
        <v>0</v>
      </c>
      <c r="M50" s="62">
        <f>'дод 2'!N91</f>
        <v>0</v>
      </c>
      <c r="N50" s="62">
        <f>'дод 2'!O91</f>
        <v>0</v>
      </c>
      <c r="O50" s="62">
        <f>'дод 2'!P91</f>
        <v>2894213</v>
      </c>
    </row>
    <row r="51" spans="1:15" ht="21.75" customHeight="1" x14ac:dyDescent="0.25">
      <c r="A51" s="46" t="s">
        <v>332</v>
      </c>
      <c r="B51" s="46" t="s">
        <v>82</v>
      </c>
      <c r="C51" s="3" t="s">
        <v>334</v>
      </c>
      <c r="D51" s="62">
        <f>'дод 2'!E92</f>
        <v>75617000</v>
      </c>
      <c r="E51" s="62">
        <f>'дод 2'!F92</f>
        <v>75617000</v>
      </c>
      <c r="F51" s="62">
        <f>'дод 2'!G92</f>
        <v>0</v>
      </c>
      <c r="G51" s="62">
        <f>'дод 2'!H92</f>
        <v>0</v>
      </c>
      <c r="H51" s="62">
        <f>'дод 2'!I92</f>
        <v>0</v>
      </c>
      <c r="I51" s="62">
        <f>'дод 2'!J92</f>
        <v>16000000</v>
      </c>
      <c r="J51" s="62">
        <f>'дод 2'!K92</f>
        <v>16000000</v>
      </c>
      <c r="K51" s="62">
        <f>'дод 2'!L92</f>
        <v>0</v>
      </c>
      <c r="L51" s="62">
        <f>'дод 2'!M92</f>
        <v>0</v>
      </c>
      <c r="M51" s="62">
        <f>'дод 2'!N92</f>
        <v>0</v>
      </c>
      <c r="N51" s="62">
        <f>'дод 2'!O92</f>
        <v>16000000</v>
      </c>
      <c r="O51" s="62">
        <f>'дод 2'!P92</f>
        <v>91617000</v>
      </c>
    </row>
    <row r="52" spans="1:15" s="82" customFormat="1" ht="34.5" customHeight="1" x14ac:dyDescent="0.25">
      <c r="A52" s="47" t="s">
        <v>83</v>
      </c>
      <c r="B52" s="50"/>
      <c r="C52" s="2" t="s">
        <v>84</v>
      </c>
      <c r="D52" s="61">
        <f>SUM(D53+D54+D55+D56+D57+D58+D59+D60+D61+D62+D63+D64+D65+D66+D67+D68+D69+D70+D71+D72+D73+D74+D75)</f>
        <v>128708581.63</v>
      </c>
      <c r="E52" s="61">
        <f t="shared" ref="E52:O52" si="5">SUM(E53+E54+E55+E56+E57+E58+E59+E60+E61+E62+E63+E64+E65+E66+E67+E68+E69+E70+E71+E72+E73+E74+E75)</f>
        <v>128708581.63</v>
      </c>
      <c r="F52" s="61">
        <f t="shared" si="5"/>
        <v>16632985</v>
      </c>
      <c r="G52" s="61">
        <f t="shared" si="5"/>
        <v>897160</v>
      </c>
      <c r="H52" s="61">
        <f t="shared" si="5"/>
        <v>0</v>
      </c>
      <c r="I52" s="61">
        <f t="shared" si="5"/>
        <v>1287640</v>
      </c>
      <c r="J52" s="61">
        <f t="shared" si="5"/>
        <v>1179540</v>
      </c>
      <c r="K52" s="61">
        <f t="shared" si="5"/>
        <v>108100</v>
      </c>
      <c r="L52" s="61">
        <f t="shared" si="5"/>
        <v>85100</v>
      </c>
      <c r="M52" s="61">
        <f t="shared" si="5"/>
        <v>0</v>
      </c>
      <c r="N52" s="61">
        <f t="shared" si="5"/>
        <v>1179540</v>
      </c>
      <c r="O52" s="61">
        <f t="shared" si="5"/>
        <v>129996221.63</v>
      </c>
    </row>
    <row r="53" spans="1:15" ht="45" customHeight="1" x14ac:dyDescent="0.25">
      <c r="A53" s="46" t="s">
        <v>118</v>
      </c>
      <c r="B53" s="46" t="s">
        <v>67</v>
      </c>
      <c r="C53" s="3" t="s">
        <v>150</v>
      </c>
      <c r="D53" s="62">
        <f>'дод 2'!E99</f>
        <v>582400</v>
      </c>
      <c r="E53" s="62">
        <f>'дод 2'!F99</f>
        <v>582400</v>
      </c>
      <c r="F53" s="62">
        <f>'дод 2'!G99</f>
        <v>0</v>
      </c>
      <c r="G53" s="62">
        <f>'дод 2'!H99</f>
        <v>0</v>
      </c>
      <c r="H53" s="62">
        <f>'дод 2'!I99</f>
        <v>0</v>
      </c>
      <c r="I53" s="62">
        <f>'дод 2'!J99</f>
        <v>0</v>
      </c>
      <c r="J53" s="62">
        <f>'дод 2'!K99</f>
        <v>0</v>
      </c>
      <c r="K53" s="62">
        <f>'дод 2'!L99</f>
        <v>0</v>
      </c>
      <c r="L53" s="62">
        <f>'дод 2'!M99</f>
        <v>0</v>
      </c>
      <c r="M53" s="62">
        <f>'дод 2'!N99</f>
        <v>0</v>
      </c>
      <c r="N53" s="62">
        <f>'дод 2'!O99</f>
        <v>0</v>
      </c>
      <c r="O53" s="62">
        <f>'дод 2'!P99</f>
        <v>582400</v>
      </c>
    </row>
    <row r="54" spans="1:15" ht="41.25" customHeight="1" x14ac:dyDescent="0.25">
      <c r="A54" s="46" t="s">
        <v>151</v>
      </c>
      <c r="B54" s="46" t="s">
        <v>69</v>
      </c>
      <c r="C54" s="3" t="s">
        <v>423</v>
      </c>
      <c r="D54" s="62">
        <f>'дод 2'!E100</f>
        <v>1295124</v>
      </c>
      <c r="E54" s="62">
        <f>'дод 2'!F100</f>
        <v>1295124</v>
      </c>
      <c r="F54" s="62">
        <f>'дод 2'!G100</f>
        <v>0</v>
      </c>
      <c r="G54" s="62">
        <f>'дод 2'!H100</f>
        <v>0</v>
      </c>
      <c r="H54" s="62">
        <f>'дод 2'!I100</f>
        <v>0</v>
      </c>
      <c r="I54" s="62">
        <f>'дод 2'!J100</f>
        <v>0</v>
      </c>
      <c r="J54" s="62">
        <f>'дод 2'!K100</f>
        <v>0</v>
      </c>
      <c r="K54" s="62">
        <f>'дод 2'!L100</f>
        <v>0</v>
      </c>
      <c r="L54" s="62">
        <f>'дод 2'!M100</f>
        <v>0</v>
      </c>
      <c r="M54" s="62">
        <f>'дод 2'!N100</f>
        <v>0</v>
      </c>
      <c r="N54" s="62">
        <f>'дод 2'!O100</f>
        <v>0</v>
      </c>
      <c r="O54" s="62">
        <f>'дод 2'!P100</f>
        <v>1295124</v>
      </c>
    </row>
    <row r="55" spans="1:15" ht="54.75" customHeight="1" x14ac:dyDescent="0.25">
      <c r="A55" s="46" t="s">
        <v>119</v>
      </c>
      <c r="B55" s="46" t="s">
        <v>69</v>
      </c>
      <c r="C55" s="3" t="s">
        <v>55</v>
      </c>
      <c r="D55" s="62">
        <f>'дод 2'!E101+'дод 2'!E22</f>
        <v>24145963.129999999</v>
      </c>
      <c r="E55" s="62">
        <f>'дод 2'!F101+'дод 2'!F22</f>
        <v>24145963.129999999</v>
      </c>
      <c r="F55" s="62">
        <f>'дод 2'!G101+'дод 2'!G22</f>
        <v>0</v>
      </c>
      <c r="G55" s="62">
        <f>'дод 2'!H101+'дод 2'!H22</f>
        <v>0</v>
      </c>
      <c r="H55" s="62">
        <f>'дод 2'!I101+'дод 2'!I22</f>
        <v>0</v>
      </c>
      <c r="I55" s="62">
        <f>'дод 2'!J101+'дод 2'!J22</f>
        <v>0</v>
      </c>
      <c r="J55" s="62">
        <f>'дод 2'!K101+'дод 2'!K22</f>
        <v>0</v>
      </c>
      <c r="K55" s="62">
        <f>'дод 2'!L101+'дод 2'!L22</f>
        <v>0</v>
      </c>
      <c r="L55" s="62">
        <f>'дод 2'!M101+'дод 2'!M22</f>
        <v>0</v>
      </c>
      <c r="M55" s="62">
        <f>'дод 2'!N101+'дод 2'!N22</f>
        <v>0</v>
      </c>
      <c r="N55" s="62">
        <f>'дод 2'!O101+'дод 2'!O22</f>
        <v>0</v>
      </c>
      <c r="O55" s="62">
        <f>'дод 2'!P101+'дод 2'!P22</f>
        <v>24145963.129999999</v>
      </c>
    </row>
    <row r="56" spans="1:15" ht="46.5" customHeight="1" x14ac:dyDescent="0.25">
      <c r="A56" s="46" t="s">
        <v>380</v>
      </c>
      <c r="B56" s="46" t="s">
        <v>69</v>
      </c>
      <c r="C56" s="3" t="s">
        <v>379</v>
      </c>
      <c r="D56" s="62">
        <f>'дод 2'!E102</f>
        <v>1000000</v>
      </c>
      <c r="E56" s="62">
        <f>'дод 2'!F102</f>
        <v>1000000</v>
      </c>
      <c r="F56" s="62">
        <f>'дод 2'!G102</f>
        <v>0</v>
      </c>
      <c r="G56" s="62">
        <f>'дод 2'!H102</f>
        <v>0</v>
      </c>
      <c r="H56" s="62">
        <f>'дод 2'!I102</f>
        <v>0</v>
      </c>
      <c r="I56" s="62">
        <f>'дод 2'!J102</f>
        <v>0</v>
      </c>
      <c r="J56" s="62">
        <f>'дод 2'!K102</f>
        <v>0</v>
      </c>
      <c r="K56" s="62">
        <f>'дод 2'!L102</f>
        <v>0</v>
      </c>
      <c r="L56" s="62">
        <f>'дод 2'!M102</f>
        <v>0</v>
      </c>
      <c r="M56" s="62">
        <f>'дод 2'!N102</f>
        <v>0</v>
      </c>
      <c r="N56" s="62">
        <f>'дод 2'!O102</f>
        <v>0</v>
      </c>
      <c r="O56" s="62">
        <f>'дод 2'!P102</f>
        <v>1000000</v>
      </c>
    </row>
    <row r="57" spans="1:15" ht="45" customHeight="1" x14ac:dyDescent="0.25">
      <c r="A57" s="46" t="s">
        <v>152</v>
      </c>
      <c r="B57" s="46" t="s">
        <v>69</v>
      </c>
      <c r="C57" s="3" t="s">
        <v>25</v>
      </c>
      <c r="D57" s="62">
        <f>'дод 2'!E103+'дод 2'!E23</f>
        <v>26348280.5</v>
      </c>
      <c r="E57" s="62">
        <f>'дод 2'!F103+'дод 2'!F23</f>
        <v>26348280.5</v>
      </c>
      <c r="F57" s="62">
        <f>'дод 2'!G103+'дод 2'!G23</f>
        <v>0</v>
      </c>
      <c r="G57" s="62">
        <f>'дод 2'!H103+'дод 2'!H23</f>
        <v>0</v>
      </c>
      <c r="H57" s="62">
        <f>'дод 2'!I103+'дод 2'!I23</f>
        <v>0</v>
      </c>
      <c r="I57" s="62">
        <f>'дод 2'!J103+'дод 2'!J23</f>
        <v>0</v>
      </c>
      <c r="J57" s="62">
        <f>'дод 2'!K103+'дод 2'!K23</f>
        <v>0</v>
      </c>
      <c r="K57" s="62">
        <f>'дод 2'!L103+'дод 2'!L23</f>
        <v>0</v>
      </c>
      <c r="L57" s="62">
        <f>'дод 2'!M103+'дод 2'!M23</f>
        <v>0</v>
      </c>
      <c r="M57" s="62">
        <f>'дод 2'!N103+'дод 2'!N23</f>
        <v>0</v>
      </c>
      <c r="N57" s="62">
        <f>'дод 2'!O103+'дод 2'!O23</f>
        <v>0</v>
      </c>
      <c r="O57" s="62">
        <f>'дод 2'!P103+'дод 2'!P23</f>
        <v>26348280.5</v>
      </c>
    </row>
    <row r="58" spans="1:15" ht="40.5" customHeight="1" x14ac:dyDescent="0.25">
      <c r="A58" s="46" t="s">
        <v>121</v>
      </c>
      <c r="B58" s="46" t="s">
        <v>69</v>
      </c>
      <c r="C58" s="3" t="s">
        <v>41</v>
      </c>
      <c r="D58" s="62">
        <f>'дод 2'!E104</f>
        <v>853000</v>
      </c>
      <c r="E58" s="62">
        <f>'дод 2'!F104</f>
        <v>853000</v>
      </c>
      <c r="F58" s="62">
        <f>'дод 2'!G104</f>
        <v>0</v>
      </c>
      <c r="G58" s="62">
        <f>'дод 2'!H104</f>
        <v>0</v>
      </c>
      <c r="H58" s="62">
        <f>'дод 2'!I104</f>
        <v>0</v>
      </c>
      <c r="I58" s="62">
        <f>'дод 2'!J104</f>
        <v>0</v>
      </c>
      <c r="J58" s="62">
        <f>'дод 2'!K104</f>
        <v>0</v>
      </c>
      <c r="K58" s="62">
        <f>'дод 2'!L104</f>
        <v>0</v>
      </c>
      <c r="L58" s="62">
        <f>'дод 2'!M104</f>
        <v>0</v>
      </c>
      <c r="M58" s="62">
        <f>'дод 2'!N104</f>
        <v>0</v>
      </c>
      <c r="N58" s="62">
        <f>'дод 2'!O104</f>
        <v>0</v>
      </c>
      <c r="O58" s="62">
        <f>'дод 2'!P104</f>
        <v>853000</v>
      </c>
    </row>
    <row r="59" spans="1:15" ht="40.5" customHeight="1" x14ac:dyDescent="0.25">
      <c r="A59" s="46" t="s">
        <v>368</v>
      </c>
      <c r="B59" s="46" t="s">
        <v>67</v>
      </c>
      <c r="C59" s="3" t="s">
        <v>369</v>
      </c>
      <c r="D59" s="62">
        <f>'дод 2'!E105</f>
        <v>228400</v>
      </c>
      <c r="E59" s="62">
        <f>'дод 2'!F105</f>
        <v>228400</v>
      </c>
      <c r="F59" s="62">
        <f>'дод 2'!G105</f>
        <v>0</v>
      </c>
      <c r="G59" s="62">
        <f>'дод 2'!H105</f>
        <v>0</v>
      </c>
      <c r="H59" s="62">
        <f>'дод 2'!I105</f>
        <v>0</v>
      </c>
      <c r="I59" s="62">
        <f>'дод 2'!J105</f>
        <v>0</v>
      </c>
      <c r="J59" s="62">
        <f>'дод 2'!K105</f>
        <v>0</v>
      </c>
      <c r="K59" s="62">
        <f>'дод 2'!L105</f>
        <v>0</v>
      </c>
      <c r="L59" s="62">
        <f>'дод 2'!M105</f>
        <v>0</v>
      </c>
      <c r="M59" s="62">
        <f>'дод 2'!N105</f>
        <v>0</v>
      </c>
      <c r="N59" s="62">
        <f>'дод 2'!O105</f>
        <v>0</v>
      </c>
      <c r="O59" s="62">
        <f>'дод 2'!P105</f>
        <v>228400</v>
      </c>
    </row>
    <row r="60" spans="1:15" ht="74.25" customHeight="1" x14ac:dyDescent="0.25">
      <c r="A60" s="46" t="s">
        <v>122</v>
      </c>
      <c r="B60" s="46" t="s">
        <v>65</v>
      </c>
      <c r="C60" s="3" t="s">
        <v>42</v>
      </c>
      <c r="D60" s="62">
        <f>'дод 2'!E106</f>
        <v>13559330</v>
      </c>
      <c r="E60" s="62">
        <f>'дод 2'!F106</f>
        <v>13559330</v>
      </c>
      <c r="F60" s="62">
        <f>'дод 2'!G106</f>
        <v>10389550</v>
      </c>
      <c r="G60" s="62">
        <f>'дод 2'!H106</f>
        <v>230060</v>
      </c>
      <c r="H60" s="62">
        <f>'дод 2'!I106</f>
        <v>0</v>
      </c>
      <c r="I60" s="62">
        <f>'дод 2'!J106</f>
        <v>471000</v>
      </c>
      <c r="J60" s="62">
        <f>'дод 2'!K106</f>
        <v>362900</v>
      </c>
      <c r="K60" s="62">
        <f>'дод 2'!L106</f>
        <v>108100</v>
      </c>
      <c r="L60" s="62">
        <f>'дод 2'!M106</f>
        <v>85100</v>
      </c>
      <c r="M60" s="62">
        <f>'дод 2'!N106</f>
        <v>0</v>
      </c>
      <c r="N60" s="62">
        <f>'дод 2'!O106</f>
        <v>362900</v>
      </c>
      <c r="O60" s="62">
        <f>'дод 2'!P106</f>
        <v>14030330</v>
      </c>
    </row>
    <row r="61" spans="1:15" ht="69.75" customHeight="1" x14ac:dyDescent="0.25">
      <c r="A61" s="46" t="s">
        <v>392</v>
      </c>
      <c r="B61" s="46" t="s">
        <v>120</v>
      </c>
      <c r="C61" s="42" t="s">
        <v>393</v>
      </c>
      <c r="D61" s="62">
        <f>SUM('дод 2'!E121)</f>
        <v>0</v>
      </c>
      <c r="E61" s="62">
        <f>SUM('дод 2'!F121)</f>
        <v>0</v>
      </c>
      <c r="F61" s="62">
        <f>SUM('дод 2'!G121)</f>
        <v>0</v>
      </c>
      <c r="G61" s="62">
        <f>SUM('дод 2'!H121)</f>
        <v>0</v>
      </c>
      <c r="H61" s="62">
        <f>SUM('дод 2'!I121)</f>
        <v>0</v>
      </c>
      <c r="I61" s="62">
        <f>SUM('дод 2'!J121)</f>
        <v>20000</v>
      </c>
      <c r="J61" s="62">
        <f>SUM('дод 2'!K121)</f>
        <v>20000</v>
      </c>
      <c r="K61" s="62">
        <f>SUM('дод 2'!L121)</f>
        <v>0</v>
      </c>
      <c r="L61" s="62">
        <f>SUM('дод 2'!M121)</f>
        <v>0</v>
      </c>
      <c r="M61" s="62">
        <f>SUM('дод 2'!N121)</f>
        <v>0</v>
      </c>
      <c r="N61" s="62">
        <f>SUM('дод 2'!O121)</f>
        <v>20000</v>
      </c>
      <c r="O61" s="62">
        <f>SUM('дод 2'!P121)</f>
        <v>20000</v>
      </c>
    </row>
    <row r="62" spans="1:15" s="84" customFormat="1" ht="43.5" customHeight="1" x14ac:dyDescent="0.25">
      <c r="A62" s="46" t="s">
        <v>123</v>
      </c>
      <c r="B62" s="46" t="s">
        <v>120</v>
      </c>
      <c r="C62" s="3" t="s">
        <v>43</v>
      </c>
      <c r="D62" s="62">
        <f>'дод 2'!E122</f>
        <v>90500</v>
      </c>
      <c r="E62" s="62">
        <f>'дод 2'!F122</f>
        <v>90500</v>
      </c>
      <c r="F62" s="62">
        <f>'дод 2'!G122</f>
        <v>0</v>
      </c>
      <c r="G62" s="62">
        <f>'дод 2'!H122</f>
        <v>0</v>
      </c>
      <c r="H62" s="62">
        <f>'дод 2'!I122</f>
        <v>0</v>
      </c>
      <c r="I62" s="62">
        <f>'дод 2'!J122</f>
        <v>0</v>
      </c>
      <c r="J62" s="62">
        <f>'дод 2'!K122</f>
        <v>0</v>
      </c>
      <c r="K62" s="62">
        <f>'дод 2'!L122</f>
        <v>0</v>
      </c>
      <c r="L62" s="62">
        <f>'дод 2'!M122</f>
        <v>0</v>
      </c>
      <c r="M62" s="62">
        <f>'дод 2'!N122</f>
        <v>0</v>
      </c>
      <c r="N62" s="62">
        <f>'дод 2'!O122</f>
        <v>0</v>
      </c>
      <c r="O62" s="62">
        <f>'дод 2'!P122</f>
        <v>90500</v>
      </c>
    </row>
    <row r="63" spans="1:15" s="84" customFormat="1" ht="42.75" customHeight="1" x14ac:dyDescent="0.25">
      <c r="A63" s="46" t="s">
        <v>153</v>
      </c>
      <c r="B63" s="46" t="s">
        <v>120</v>
      </c>
      <c r="C63" s="3" t="s">
        <v>154</v>
      </c>
      <c r="D63" s="62">
        <f>'дод 2'!E24</f>
        <v>2529735</v>
      </c>
      <c r="E63" s="62">
        <f>'дод 2'!F24</f>
        <v>2529735</v>
      </c>
      <c r="F63" s="62">
        <f>'дод 2'!G24</f>
        <v>1883250</v>
      </c>
      <c r="G63" s="62">
        <f>'дод 2'!H24</f>
        <v>50170</v>
      </c>
      <c r="H63" s="62">
        <f>'дод 2'!I24</f>
        <v>0</v>
      </c>
      <c r="I63" s="62">
        <f>'дод 2'!J24</f>
        <v>0</v>
      </c>
      <c r="J63" s="62">
        <f>'дод 2'!K24</f>
        <v>0</v>
      </c>
      <c r="K63" s="62">
        <f>'дод 2'!L24</f>
        <v>0</v>
      </c>
      <c r="L63" s="62">
        <f>'дод 2'!M24</f>
        <v>0</v>
      </c>
      <c r="M63" s="62">
        <f>'дод 2'!N24</f>
        <v>0</v>
      </c>
      <c r="N63" s="62">
        <f>'дод 2'!O24</f>
        <v>0</v>
      </c>
      <c r="O63" s="62">
        <f>'дод 2'!P24</f>
        <v>2529735</v>
      </c>
    </row>
    <row r="64" spans="1:15" s="84" customFormat="1" ht="57" customHeight="1" x14ac:dyDescent="0.25">
      <c r="A64" s="49" t="s">
        <v>127</v>
      </c>
      <c r="B64" s="49" t="s">
        <v>120</v>
      </c>
      <c r="C64" s="3" t="s">
        <v>401</v>
      </c>
      <c r="D64" s="62">
        <f>'дод 2'!E25</f>
        <v>850000</v>
      </c>
      <c r="E64" s="62">
        <f>'дод 2'!F25</f>
        <v>850000</v>
      </c>
      <c r="F64" s="62">
        <f>'дод 2'!G25</f>
        <v>0</v>
      </c>
      <c r="G64" s="62">
        <f>'дод 2'!H25</f>
        <v>0</v>
      </c>
      <c r="H64" s="62">
        <f>'дод 2'!I25</f>
        <v>0</v>
      </c>
      <c r="I64" s="62">
        <f>'дод 2'!J25</f>
        <v>0</v>
      </c>
      <c r="J64" s="62">
        <f>'дод 2'!K25</f>
        <v>0</v>
      </c>
      <c r="K64" s="62">
        <f>'дод 2'!L25</f>
        <v>0</v>
      </c>
      <c r="L64" s="62">
        <f>'дод 2'!M25</f>
        <v>0</v>
      </c>
      <c r="M64" s="62">
        <f>'дод 2'!N25</f>
        <v>0</v>
      </c>
      <c r="N64" s="62">
        <f>'дод 2'!O25</f>
        <v>0</v>
      </c>
      <c r="O64" s="62">
        <f>'дод 2'!P25</f>
        <v>850000</v>
      </c>
    </row>
    <row r="65" spans="1:15" ht="75" customHeight="1" x14ac:dyDescent="0.25">
      <c r="A65" s="46" t="s">
        <v>128</v>
      </c>
      <c r="B65" s="46" t="s">
        <v>120</v>
      </c>
      <c r="C65" s="6" t="s">
        <v>28</v>
      </c>
      <c r="D65" s="62">
        <f>'дод 2'!E70+'дод 2'!E26</f>
        <v>7560000</v>
      </c>
      <c r="E65" s="62">
        <f>'дод 2'!F70+'дод 2'!F26</f>
        <v>7560000</v>
      </c>
      <c r="F65" s="62">
        <f>'дод 2'!G70+'дод 2'!G26</f>
        <v>0</v>
      </c>
      <c r="G65" s="62">
        <f>'дод 2'!H70+'дод 2'!H26</f>
        <v>0</v>
      </c>
      <c r="H65" s="62">
        <f>'дод 2'!I70+'дод 2'!I26</f>
        <v>0</v>
      </c>
      <c r="I65" s="62">
        <f>'дод 2'!J70+'дод 2'!J26</f>
        <v>0</v>
      </c>
      <c r="J65" s="62">
        <f>'дод 2'!K70+'дод 2'!K26</f>
        <v>0</v>
      </c>
      <c r="K65" s="62">
        <f>'дод 2'!L70+'дод 2'!L26</f>
        <v>0</v>
      </c>
      <c r="L65" s="62">
        <f>'дод 2'!M70+'дод 2'!M26</f>
        <v>0</v>
      </c>
      <c r="M65" s="62">
        <f>'дод 2'!N70+'дод 2'!N26</f>
        <v>0</v>
      </c>
      <c r="N65" s="62">
        <f>'дод 2'!O70+'дод 2'!O26</f>
        <v>0</v>
      </c>
      <c r="O65" s="62">
        <f>'дод 2'!P70+'дод 2'!P26</f>
        <v>7560000</v>
      </c>
    </row>
    <row r="66" spans="1:15" ht="92.25" customHeight="1" x14ac:dyDescent="0.25">
      <c r="A66" s="46" t="s">
        <v>129</v>
      </c>
      <c r="B66" s="46">
        <v>1010</v>
      </c>
      <c r="C66" s="3" t="s">
        <v>335</v>
      </c>
      <c r="D66" s="62">
        <f>'дод 2'!E107</f>
        <v>1895000</v>
      </c>
      <c r="E66" s="62">
        <f>'дод 2'!F107</f>
        <v>1895000</v>
      </c>
      <c r="F66" s="62">
        <f>'дод 2'!G107</f>
        <v>0</v>
      </c>
      <c r="G66" s="62">
        <f>'дод 2'!H107</f>
        <v>0</v>
      </c>
      <c r="H66" s="62">
        <f>'дод 2'!I107</f>
        <v>0</v>
      </c>
      <c r="I66" s="62">
        <f>'дод 2'!J107</f>
        <v>0</v>
      </c>
      <c r="J66" s="62">
        <f>'дод 2'!K107</f>
        <v>0</v>
      </c>
      <c r="K66" s="62">
        <f>'дод 2'!L107</f>
        <v>0</v>
      </c>
      <c r="L66" s="62">
        <f>'дод 2'!M107</f>
        <v>0</v>
      </c>
      <c r="M66" s="62">
        <f>'дод 2'!N107</f>
        <v>0</v>
      </c>
      <c r="N66" s="62">
        <f>'дод 2'!O107</f>
        <v>0</v>
      </c>
      <c r="O66" s="62">
        <f>'дод 2'!P107</f>
        <v>1895000</v>
      </c>
    </row>
    <row r="67" spans="1:15" s="84" customFormat="1" ht="53.25" customHeight="1" x14ac:dyDescent="0.25">
      <c r="A67" s="46" t="s">
        <v>370</v>
      </c>
      <c r="B67" s="46">
        <v>1010</v>
      </c>
      <c r="C67" s="3" t="s">
        <v>372</v>
      </c>
      <c r="D67" s="62">
        <f>'дод 2'!E108</f>
        <v>228095</v>
      </c>
      <c r="E67" s="62">
        <f>'дод 2'!F108</f>
        <v>228095</v>
      </c>
      <c r="F67" s="62">
        <f>'дод 2'!G108</f>
        <v>0</v>
      </c>
      <c r="G67" s="62">
        <f>'дод 2'!H108</f>
        <v>0</v>
      </c>
      <c r="H67" s="62">
        <f>'дод 2'!I108</f>
        <v>0</v>
      </c>
      <c r="I67" s="62">
        <f>'дод 2'!J108</f>
        <v>0</v>
      </c>
      <c r="J67" s="62">
        <f>'дод 2'!K108</f>
        <v>0</v>
      </c>
      <c r="K67" s="62">
        <f>'дод 2'!L108</f>
        <v>0</v>
      </c>
      <c r="L67" s="62">
        <f>'дод 2'!M108</f>
        <v>0</v>
      </c>
      <c r="M67" s="62">
        <f>'дод 2'!N108</f>
        <v>0</v>
      </c>
      <c r="N67" s="62">
        <f>'дод 2'!O108</f>
        <v>0</v>
      </c>
      <c r="O67" s="62">
        <f>'дод 2'!P108</f>
        <v>228095</v>
      </c>
    </row>
    <row r="68" spans="1:15" s="84" customFormat="1" ht="38.25" customHeight="1" x14ac:dyDescent="0.25">
      <c r="A68" s="46" t="s">
        <v>371</v>
      </c>
      <c r="B68" s="46">
        <v>1010</v>
      </c>
      <c r="C68" s="3" t="s">
        <v>373</v>
      </c>
      <c r="D68" s="62">
        <f>'дод 2'!E109</f>
        <v>90</v>
      </c>
      <c r="E68" s="62">
        <f>'дод 2'!F109</f>
        <v>90</v>
      </c>
      <c r="F68" s="62">
        <f>'дод 2'!G109</f>
        <v>0</v>
      </c>
      <c r="G68" s="62">
        <f>'дод 2'!H109</f>
        <v>0</v>
      </c>
      <c r="H68" s="62">
        <f>'дод 2'!I109</f>
        <v>0</v>
      </c>
      <c r="I68" s="62">
        <f>'дод 2'!J109</f>
        <v>0</v>
      </c>
      <c r="J68" s="62">
        <f>'дод 2'!K109</f>
        <v>0</v>
      </c>
      <c r="K68" s="62">
        <f>'дод 2'!L109</f>
        <v>0</v>
      </c>
      <c r="L68" s="62">
        <f>'дод 2'!M109</f>
        <v>0</v>
      </c>
      <c r="M68" s="62">
        <f>'дод 2'!N109</f>
        <v>0</v>
      </c>
      <c r="N68" s="62">
        <f>'дод 2'!O109</f>
        <v>0</v>
      </c>
      <c r="O68" s="62">
        <f>'дод 2'!P109</f>
        <v>90</v>
      </c>
    </row>
    <row r="69" spans="1:15" ht="77.25" customHeight="1" x14ac:dyDescent="0.25">
      <c r="A69" s="46" t="s">
        <v>124</v>
      </c>
      <c r="B69" s="46" t="s">
        <v>68</v>
      </c>
      <c r="C69" s="3" t="s">
        <v>402</v>
      </c>
      <c r="D69" s="62">
        <f>'дод 2'!E110</f>
        <v>2075000</v>
      </c>
      <c r="E69" s="62">
        <f>'дод 2'!F110</f>
        <v>2075000</v>
      </c>
      <c r="F69" s="62">
        <f>'дод 2'!G110</f>
        <v>0</v>
      </c>
      <c r="G69" s="62">
        <f>'дод 2'!H110</f>
        <v>0</v>
      </c>
      <c r="H69" s="62">
        <f>'дод 2'!I110</f>
        <v>0</v>
      </c>
      <c r="I69" s="62">
        <f>'дод 2'!J110</f>
        <v>0</v>
      </c>
      <c r="J69" s="62">
        <f>'дод 2'!K110</f>
        <v>0</v>
      </c>
      <c r="K69" s="62">
        <f>'дод 2'!L110</f>
        <v>0</v>
      </c>
      <c r="L69" s="62">
        <f>'дод 2'!M110</f>
        <v>0</v>
      </c>
      <c r="M69" s="62">
        <f>'дод 2'!N110</f>
        <v>0</v>
      </c>
      <c r="N69" s="62">
        <f>'дод 2'!O110</f>
        <v>0</v>
      </c>
      <c r="O69" s="62">
        <f>'дод 2'!P110</f>
        <v>2075000</v>
      </c>
    </row>
    <row r="70" spans="1:15" s="84" customFormat="1" ht="36.75" customHeight="1" x14ac:dyDescent="0.25">
      <c r="A70" s="46" t="s">
        <v>336</v>
      </c>
      <c r="B70" s="46" t="s">
        <v>67</v>
      </c>
      <c r="C70" s="3" t="s">
        <v>24</v>
      </c>
      <c r="D70" s="62">
        <f>'дод 2'!E111</f>
        <v>2178000</v>
      </c>
      <c r="E70" s="62">
        <f>'дод 2'!F111</f>
        <v>2178000</v>
      </c>
      <c r="F70" s="62">
        <f>'дод 2'!G111</f>
        <v>0</v>
      </c>
      <c r="G70" s="62">
        <f>'дод 2'!H111</f>
        <v>0</v>
      </c>
      <c r="H70" s="62">
        <f>'дод 2'!I111</f>
        <v>0</v>
      </c>
      <c r="I70" s="62">
        <f>'дод 2'!J111</f>
        <v>0</v>
      </c>
      <c r="J70" s="62">
        <f>'дод 2'!K111</f>
        <v>0</v>
      </c>
      <c r="K70" s="62">
        <f>'дод 2'!L111</f>
        <v>0</v>
      </c>
      <c r="L70" s="62">
        <f>'дод 2'!M111</f>
        <v>0</v>
      </c>
      <c r="M70" s="62">
        <f>'дод 2'!N111</f>
        <v>0</v>
      </c>
      <c r="N70" s="62">
        <f>'дод 2'!O111</f>
        <v>0</v>
      </c>
      <c r="O70" s="62">
        <f>'дод 2'!P111</f>
        <v>2178000</v>
      </c>
    </row>
    <row r="71" spans="1:15" s="84" customFormat="1" ht="55.5" customHeight="1" x14ac:dyDescent="0.25">
      <c r="A71" s="46" t="s">
        <v>337</v>
      </c>
      <c r="B71" s="46" t="s">
        <v>67</v>
      </c>
      <c r="C71" s="3" t="s">
        <v>366</v>
      </c>
      <c r="D71" s="62">
        <f>'дод 2'!E112</f>
        <v>1892237</v>
      </c>
      <c r="E71" s="62">
        <f>'дод 2'!F112</f>
        <v>1892237</v>
      </c>
      <c r="F71" s="62">
        <f>'дод 2'!G112</f>
        <v>0</v>
      </c>
      <c r="G71" s="62">
        <f>'дод 2'!H112</f>
        <v>0</v>
      </c>
      <c r="H71" s="62">
        <f>'дод 2'!I112</f>
        <v>0</v>
      </c>
      <c r="I71" s="62">
        <f>'дод 2'!J112</f>
        <v>0</v>
      </c>
      <c r="J71" s="62">
        <f>'дод 2'!K112</f>
        <v>0</v>
      </c>
      <c r="K71" s="62">
        <f>'дод 2'!L112</f>
        <v>0</v>
      </c>
      <c r="L71" s="62">
        <f>'дод 2'!M112</f>
        <v>0</v>
      </c>
      <c r="M71" s="62">
        <f>'дод 2'!N112</f>
        <v>0</v>
      </c>
      <c r="N71" s="62">
        <f>'дод 2'!O112</f>
        <v>0</v>
      </c>
      <c r="O71" s="62">
        <f>'дод 2'!P112</f>
        <v>1892237</v>
      </c>
    </row>
    <row r="72" spans="1:15" ht="43.5" customHeight="1" x14ac:dyDescent="0.25">
      <c r="A72" s="46" t="s">
        <v>125</v>
      </c>
      <c r="B72" s="46" t="s">
        <v>71</v>
      </c>
      <c r="C72" s="3" t="s">
        <v>403</v>
      </c>
      <c r="D72" s="62">
        <f>'дод 2'!E113</f>
        <v>86500</v>
      </c>
      <c r="E72" s="62">
        <f>'дод 2'!F113</f>
        <v>86500</v>
      </c>
      <c r="F72" s="62">
        <f>'дод 2'!G113</f>
        <v>0</v>
      </c>
      <c r="G72" s="62">
        <f>'дод 2'!H113</f>
        <v>0</v>
      </c>
      <c r="H72" s="62">
        <f>'дод 2'!I113</f>
        <v>0</v>
      </c>
      <c r="I72" s="62">
        <f>'дод 2'!J113</f>
        <v>0</v>
      </c>
      <c r="J72" s="62">
        <f>'дод 2'!K113</f>
        <v>0</v>
      </c>
      <c r="K72" s="62">
        <f>'дод 2'!L113</f>
        <v>0</v>
      </c>
      <c r="L72" s="62">
        <f>'дод 2'!M113</f>
        <v>0</v>
      </c>
      <c r="M72" s="62">
        <f>'дод 2'!N113</f>
        <v>0</v>
      </c>
      <c r="N72" s="62">
        <f>'дод 2'!O113</f>
        <v>0</v>
      </c>
      <c r="O72" s="62">
        <f>'дод 2'!P113</f>
        <v>86500</v>
      </c>
    </row>
    <row r="73" spans="1:15" ht="27.75" customHeight="1" x14ac:dyDescent="0.25">
      <c r="A73" s="46" t="s">
        <v>338</v>
      </c>
      <c r="B73" s="46" t="s">
        <v>126</v>
      </c>
      <c r="C73" s="3" t="s">
        <v>50</v>
      </c>
      <c r="D73" s="62">
        <f>'дод 2'!E114+'дод 2'!E137</f>
        <v>600000</v>
      </c>
      <c r="E73" s="62">
        <f>'дод 2'!F114+'дод 2'!F137</f>
        <v>600000</v>
      </c>
      <c r="F73" s="62">
        <f>'дод 2'!G114+'дод 2'!G137</f>
        <v>163935</v>
      </c>
      <c r="G73" s="62">
        <f>'дод 2'!H114+'дод 2'!H137</f>
        <v>0</v>
      </c>
      <c r="H73" s="62">
        <f>'дод 2'!I114+'дод 2'!I137</f>
        <v>0</v>
      </c>
      <c r="I73" s="62">
        <f>'дод 2'!J114+'дод 2'!J137</f>
        <v>0</v>
      </c>
      <c r="J73" s="62">
        <f>'дод 2'!K114+'дод 2'!K137</f>
        <v>0</v>
      </c>
      <c r="K73" s="62">
        <f>'дод 2'!L114+'дод 2'!L137</f>
        <v>0</v>
      </c>
      <c r="L73" s="62">
        <f>'дод 2'!M114+'дод 2'!M137</f>
        <v>0</v>
      </c>
      <c r="M73" s="62">
        <f>'дод 2'!N114+'дод 2'!N137</f>
        <v>0</v>
      </c>
      <c r="N73" s="62">
        <f>'дод 2'!O114+'дод 2'!O137</f>
        <v>0</v>
      </c>
      <c r="O73" s="62">
        <f>'дод 2'!P114+'дод 2'!P137</f>
        <v>600000</v>
      </c>
    </row>
    <row r="74" spans="1:15" s="84" customFormat="1" ht="32.25" customHeight="1" x14ac:dyDescent="0.25">
      <c r="A74" s="46" t="s">
        <v>339</v>
      </c>
      <c r="B74" s="46" t="s">
        <v>71</v>
      </c>
      <c r="C74" s="3" t="s">
        <v>341</v>
      </c>
      <c r="D74" s="62">
        <f>'дод 2'!E115+'дод 2'!E27</f>
        <v>6696301</v>
      </c>
      <c r="E74" s="62">
        <f>'дод 2'!F115+'дод 2'!F27</f>
        <v>6696301</v>
      </c>
      <c r="F74" s="62">
        <f>'дод 2'!G115+'дод 2'!G27</f>
        <v>4196250</v>
      </c>
      <c r="G74" s="62">
        <f>'дод 2'!H115+'дод 2'!H27</f>
        <v>616930</v>
      </c>
      <c r="H74" s="62">
        <f>'дод 2'!I115+'дод 2'!I27</f>
        <v>0</v>
      </c>
      <c r="I74" s="62">
        <f>'дод 2'!J115+'дод 2'!J27</f>
        <v>761000</v>
      </c>
      <c r="J74" s="62">
        <f>'дод 2'!K115+'дод 2'!K27</f>
        <v>761000</v>
      </c>
      <c r="K74" s="62">
        <f>'дод 2'!L115+'дод 2'!L27</f>
        <v>0</v>
      </c>
      <c r="L74" s="62">
        <f>'дод 2'!M115+'дод 2'!M27</f>
        <v>0</v>
      </c>
      <c r="M74" s="62">
        <f>'дод 2'!N115+'дод 2'!N27</f>
        <v>0</v>
      </c>
      <c r="N74" s="62">
        <f>'дод 2'!O115+'дод 2'!O27</f>
        <v>761000</v>
      </c>
      <c r="O74" s="62">
        <f>'дод 2'!P115+'дод 2'!P27</f>
        <v>7457301</v>
      </c>
    </row>
    <row r="75" spans="1:15" s="84" customFormat="1" ht="31.5" customHeight="1" x14ac:dyDescent="0.25">
      <c r="A75" s="46" t="s">
        <v>340</v>
      </c>
      <c r="B75" s="46" t="s">
        <v>71</v>
      </c>
      <c r="C75" s="3" t="s">
        <v>342</v>
      </c>
      <c r="D75" s="62">
        <f>'дод 2'!E71+'дод 2'!E116+'дод 2'!E28</f>
        <v>34014626</v>
      </c>
      <c r="E75" s="62">
        <f>'дод 2'!F71+'дод 2'!F116+'дод 2'!F28</f>
        <v>34014626</v>
      </c>
      <c r="F75" s="62">
        <f>'дод 2'!G71+'дод 2'!G116+'дод 2'!G28</f>
        <v>0</v>
      </c>
      <c r="G75" s="62">
        <f>'дод 2'!H71+'дод 2'!H116+'дод 2'!H28</f>
        <v>0</v>
      </c>
      <c r="H75" s="62">
        <f>'дод 2'!I71+'дод 2'!I116+'дод 2'!I28</f>
        <v>0</v>
      </c>
      <c r="I75" s="62">
        <f>'дод 2'!J71+'дод 2'!J116+'дод 2'!J28</f>
        <v>35640</v>
      </c>
      <c r="J75" s="62">
        <f>'дод 2'!K71+'дод 2'!K116+'дод 2'!K28</f>
        <v>35640</v>
      </c>
      <c r="K75" s="62">
        <f>'дод 2'!L71+'дод 2'!L116+'дод 2'!L28</f>
        <v>0</v>
      </c>
      <c r="L75" s="62">
        <f>'дод 2'!M71+'дод 2'!M116+'дод 2'!M28</f>
        <v>0</v>
      </c>
      <c r="M75" s="62">
        <f>'дод 2'!N71+'дод 2'!N116+'дод 2'!N28</f>
        <v>0</v>
      </c>
      <c r="N75" s="62">
        <f>'дод 2'!O71+'дод 2'!O116+'дод 2'!O28</f>
        <v>35640</v>
      </c>
      <c r="O75" s="62">
        <f>'дод 2'!P71+'дод 2'!P116+'дод 2'!P28</f>
        <v>34050266</v>
      </c>
    </row>
    <row r="76" spans="1:15" s="82" customFormat="1" ht="19.5" customHeight="1" x14ac:dyDescent="0.25">
      <c r="A76" s="47" t="s">
        <v>90</v>
      </c>
      <c r="B76" s="50"/>
      <c r="C76" s="2" t="s">
        <v>91</v>
      </c>
      <c r="D76" s="61">
        <f t="shared" ref="D76:O76" si="6">D77+D78+D79+D80</f>
        <v>32704815</v>
      </c>
      <c r="E76" s="61">
        <f t="shared" si="6"/>
        <v>32704815</v>
      </c>
      <c r="F76" s="61">
        <f t="shared" si="6"/>
        <v>19079400</v>
      </c>
      <c r="G76" s="61">
        <f t="shared" si="6"/>
        <v>2209260</v>
      </c>
      <c r="H76" s="61">
        <f t="shared" si="6"/>
        <v>0</v>
      </c>
      <c r="I76" s="61">
        <f t="shared" si="6"/>
        <v>623495</v>
      </c>
      <c r="J76" s="61">
        <f t="shared" si="6"/>
        <v>587495</v>
      </c>
      <c r="K76" s="61">
        <f t="shared" si="6"/>
        <v>36000</v>
      </c>
      <c r="L76" s="61">
        <f t="shared" si="6"/>
        <v>12100</v>
      </c>
      <c r="M76" s="61">
        <f t="shared" si="6"/>
        <v>3300</v>
      </c>
      <c r="N76" s="61">
        <f t="shared" si="6"/>
        <v>587495</v>
      </c>
      <c r="O76" s="61">
        <f t="shared" si="6"/>
        <v>33328310</v>
      </c>
    </row>
    <row r="77" spans="1:15" ht="22.5" customHeight="1" x14ac:dyDescent="0.25">
      <c r="A77" s="46" t="s">
        <v>92</v>
      </c>
      <c r="B77" s="46" t="s">
        <v>93</v>
      </c>
      <c r="C77" s="3" t="s">
        <v>21</v>
      </c>
      <c r="D77" s="62">
        <f>'дод 2'!E127</f>
        <v>19294735</v>
      </c>
      <c r="E77" s="62">
        <f>'дод 2'!F127</f>
        <v>19294735</v>
      </c>
      <c r="F77" s="62">
        <f>'дод 2'!G127</f>
        <v>13804000</v>
      </c>
      <c r="G77" s="62">
        <f>'дод 2'!H127</f>
        <v>1346200</v>
      </c>
      <c r="H77" s="62">
        <f>'дод 2'!I127</f>
        <v>0</v>
      </c>
      <c r="I77" s="62">
        <f>'дод 2'!J127</f>
        <v>346795</v>
      </c>
      <c r="J77" s="62">
        <f>'дод 2'!K127</f>
        <v>316795</v>
      </c>
      <c r="K77" s="62">
        <f>'дод 2'!L127</f>
        <v>30000</v>
      </c>
      <c r="L77" s="62">
        <f>'дод 2'!M127</f>
        <v>12100</v>
      </c>
      <c r="M77" s="62">
        <f>'дод 2'!N127</f>
        <v>0</v>
      </c>
      <c r="N77" s="62">
        <f>'дод 2'!O127</f>
        <v>316795</v>
      </c>
      <c r="O77" s="62">
        <f>'дод 2'!P127</f>
        <v>19641530</v>
      </c>
    </row>
    <row r="78" spans="1:15" ht="33.75" customHeight="1" x14ac:dyDescent="0.25">
      <c r="A78" s="46" t="s">
        <v>376</v>
      </c>
      <c r="B78" s="46" t="s">
        <v>377</v>
      </c>
      <c r="C78" s="3" t="s">
        <v>378</v>
      </c>
      <c r="D78" s="62">
        <f>'дод 2'!E29+'дод 2'!E128</f>
        <v>5203480</v>
      </c>
      <c r="E78" s="62">
        <f>'дод 2'!F29+'дод 2'!F128</f>
        <v>5203480</v>
      </c>
      <c r="F78" s="62">
        <f>'дод 2'!G29+'дод 2'!G128</f>
        <v>2522400</v>
      </c>
      <c r="G78" s="62">
        <f>'дод 2'!H29+'дод 2'!H128</f>
        <v>738960</v>
      </c>
      <c r="H78" s="62">
        <f>'дод 2'!I29+'дод 2'!I128</f>
        <v>0</v>
      </c>
      <c r="I78" s="62">
        <f>'дод 2'!J29+'дод 2'!J128</f>
        <v>52700</v>
      </c>
      <c r="J78" s="62">
        <f>'дод 2'!K29+'дод 2'!K128</f>
        <v>46700</v>
      </c>
      <c r="K78" s="62">
        <f>'дод 2'!L29+'дод 2'!L128</f>
        <v>6000</v>
      </c>
      <c r="L78" s="62">
        <f>'дод 2'!M29+'дод 2'!M128</f>
        <v>0</v>
      </c>
      <c r="M78" s="62">
        <f>'дод 2'!N29+'дод 2'!N128</f>
        <v>3300</v>
      </c>
      <c r="N78" s="62">
        <f>'дод 2'!O29+'дод 2'!O128</f>
        <v>46700</v>
      </c>
      <c r="O78" s="62">
        <f>'дод 2'!P29+'дод 2'!P128</f>
        <v>5256180</v>
      </c>
    </row>
    <row r="79" spans="1:15" s="84" customFormat="1" ht="39.75" customHeight="1" x14ac:dyDescent="0.25">
      <c r="A79" s="46" t="s">
        <v>343</v>
      </c>
      <c r="B79" s="46" t="s">
        <v>94</v>
      </c>
      <c r="C79" s="3" t="s">
        <v>404</v>
      </c>
      <c r="D79" s="62">
        <f>'дод 2'!E30+'дод 2'!E129</f>
        <v>5240900</v>
      </c>
      <c r="E79" s="62">
        <f>'дод 2'!F30+'дод 2'!F129</f>
        <v>5240900</v>
      </c>
      <c r="F79" s="62">
        <f>'дод 2'!G30+'дод 2'!G129</f>
        <v>2753000</v>
      </c>
      <c r="G79" s="62">
        <f>'дод 2'!H30+'дод 2'!H129</f>
        <v>124100</v>
      </c>
      <c r="H79" s="62">
        <f>'дод 2'!I30+'дод 2'!I129</f>
        <v>0</v>
      </c>
      <c r="I79" s="62">
        <f>'дод 2'!J30+'дод 2'!J129</f>
        <v>224000</v>
      </c>
      <c r="J79" s="62">
        <f>'дод 2'!K30+'дод 2'!K129</f>
        <v>224000</v>
      </c>
      <c r="K79" s="62">
        <f>'дод 2'!L30+'дод 2'!L129</f>
        <v>0</v>
      </c>
      <c r="L79" s="62">
        <f>'дод 2'!M30+'дод 2'!M129</f>
        <v>0</v>
      </c>
      <c r="M79" s="62">
        <f>'дод 2'!N30+'дод 2'!N129</f>
        <v>0</v>
      </c>
      <c r="N79" s="62">
        <f>'дод 2'!O30+'дод 2'!O129</f>
        <v>224000</v>
      </c>
      <c r="O79" s="62">
        <f>'дод 2'!P30+'дод 2'!P129</f>
        <v>5464900</v>
      </c>
    </row>
    <row r="80" spans="1:15" s="84" customFormat="1" ht="30" customHeight="1" x14ac:dyDescent="0.25">
      <c r="A80" s="46" t="s">
        <v>344</v>
      </c>
      <c r="B80" s="46" t="s">
        <v>94</v>
      </c>
      <c r="C80" s="3" t="s">
        <v>345</v>
      </c>
      <c r="D80" s="62">
        <f>'дод 2'!E31+'дод 2'!E130</f>
        <v>2965700</v>
      </c>
      <c r="E80" s="62">
        <f>'дод 2'!F31+'дод 2'!F130</f>
        <v>2965700</v>
      </c>
      <c r="F80" s="62">
        <f>'дод 2'!G31+'дод 2'!G130</f>
        <v>0</v>
      </c>
      <c r="G80" s="62">
        <f>'дод 2'!H31+'дод 2'!H130</f>
        <v>0</v>
      </c>
      <c r="H80" s="62">
        <f>'дод 2'!I31+'дод 2'!I130</f>
        <v>0</v>
      </c>
      <c r="I80" s="62">
        <f>'дод 2'!J31+'дод 2'!J130</f>
        <v>0</v>
      </c>
      <c r="J80" s="62">
        <f>'дод 2'!K31+'дод 2'!K130</f>
        <v>0</v>
      </c>
      <c r="K80" s="62">
        <f>'дод 2'!L31+'дод 2'!L130</f>
        <v>0</v>
      </c>
      <c r="L80" s="62">
        <f>'дод 2'!M31+'дод 2'!M130</f>
        <v>0</v>
      </c>
      <c r="M80" s="62">
        <f>'дод 2'!N31+'дод 2'!N130</f>
        <v>0</v>
      </c>
      <c r="N80" s="62">
        <f>'дод 2'!O31+'дод 2'!O130</f>
        <v>0</v>
      </c>
      <c r="O80" s="62">
        <f>'дод 2'!P31+'дод 2'!P130</f>
        <v>2965700</v>
      </c>
    </row>
    <row r="81" spans="1:15" s="82" customFormat="1" ht="21.75" customHeight="1" x14ac:dyDescent="0.25">
      <c r="A81" s="47" t="s">
        <v>97</v>
      </c>
      <c r="B81" s="50"/>
      <c r="C81" s="2" t="s">
        <v>98</v>
      </c>
      <c r="D81" s="61">
        <f t="shared" ref="D81:O81" si="7">D82+D83+D84+D85+D86+D87</f>
        <v>46652470</v>
      </c>
      <c r="E81" s="61">
        <f t="shared" si="7"/>
        <v>46652470</v>
      </c>
      <c r="F81" s="61">
        <f t="shared" si="7"/>
        <v>17286800</v>
      </c>
      <c r="G81" s="61">
        <f t="shared" si="7"/>
        <v>1430790</v>
      </c>
      <c r="H81" s="61">
        <f t="shared" si="7"/>
        <v>0</v>
      </c>
      <c r="I81" s="61">
        <f t="shared" si="7"/>
        <v>2700570</v>
      </c>
      <c r="J81" s="61">
        <f t="shared" si="7"/>
        <v>2521450</v>
      </c>
      <c r="K81" s="61">
        <f t="shared" si="7"/>
        <v>179120</v>
      </c>
      <c r="L81" s="61">
        <f t="shared" si="7"/>
        <v>91105</v>
      </c>
      <c r="M81" s="61">
        <f t="shared" si="7"/>
        <v>51050</v>
      </c>
      <c r="N81" s="61">
        <f t="shared" si="7"/>
        <v>2521450</v>
      </c>
      <c r="O81" s="61">
        <f t="shared" si="7"/>
        <v>49353040</v>
      </c>
    </row>
    <row r="82" spans="1:15" s="84" customFormat="1" ht="43.5" customHeight="1" x14ac:dyDescent="0.25">
      <c r="A82" s="46" t="s">
        <v>99</v>
      </c>
      <c r="B82" s="46" t="s">
        <v>100</v>
      </c>
      <c r="C82" s="3" t="s">
        <v>29</v>
      </c>
      <c r="D82" s="62">
        <f>'дод 2'!E32</f>
        <v>1761000</v>
      </c>
      <c r="E82" s="62">
        <f>'дод 2'!F32</f>
        <v>1761000</v>
      </c>
      <c r="F82" s="62">
        <f>'дод 2'!G32</f>
        <v>0</v>
      </c>
      <c r="G82" s="62">
        <f>'дод 2'!H32</f>
        <v>0</v>
      </c>
      <c r="H82" s="62">
        <f>'дод 2'!I32</f>
        <v>0</v>
      </c>
      <c r="I82" s="62">
        <f>'дод 2'!J32</f>
        <v>0</v>
      </c>
      <c r="J82" s="62">
        <f>'дод 2'!K32</f>
        <v>0</v>
      </c>
      <c r="K82" s="62">
        <f>'дод 2'!L32</f>
        <v>0</v>
      </c>
      <c r="L82" s="62">
        <f>'дод 2'!M32</f>
        <v>0</v>
      </c>
      <c r="M82" s="62">
        <f>'дод 2'!N32</f>
        <v>0</v>
      </c>
      <c r="N82" s="62">
        <f>'дод 2'!O32</f>
        <v>0</v>
      </c>
      <c r="O82" s="62">
        <f>'дод 2'!P32</f>
        <v>1761000</v>
      </c>
    </row>
    <row r="83" spans="1:15" s="84" customFormat="1" ht="39.75" customHeight="1" x14ac:dyDescent="0.25">
      <c r="A83" s="46" t="s">
        <v>101</v>
      </c>
      <c r="B83" s="46" t="s">
        <v>100</v>
      </c>
      <c r="C83" s="3" t="s">
        <v>22</v>
      </c>
      <c r="D83" s="62">
        <f>'дод 2'!E33</f>
        <v>2275000</v>
      </c>
      <c r="E83" s="62">
        <f>'дод 2'!F33</f>
        <v>2275000</v>
      </c>
      <c r="F83" s="62">
        <f>'дод 2'!G33</f>
        <v>0</v>
      </c>
      <c r="G83" s="62">
        <f>'дод 2'!H33</f>
        <v>0</v>
      </c>
      <c r="H83" s="62">
        <f>'дод 2'!I33</f>
        <v>0</v>
      </c>
      <c r="I83" s="62">
        <f>'дод 2'!J33</f>
        <v>0</v>
      </c>
      <c r="J83" s="62">
        <f>'дод 2'!K33</f>
        <v>0</v>
      </c>
      <c r="K83" s="62">
        <f>'дод 2'!L33</f>
        <v>0</v>
      </c>
      <c r="L83" s="62">
        <f>'дод 2'!M33</f>
        <v>0</v>
      </c>
      <c r="M83" s="62">
        <f>'дод 2'!N33</f>
        <v>0</v>
      </c>
      <c r="N83" s="62">
        <f>'дод 2'!O33</f>
        <v>0</v>
      </c>
      <c r="O83" s="62">
        <f>'дод 2'!P33</f>
        <v>2275000</v>
      </c>
    </row>
    <row r="84" spans="1:15" s="84" customFormat="1" ht="36.75" customHeight="1" x14ac:dyDescent="0.25">
      <c r="A84" s="46" t="s">
        <v>137</v>
      </c>
      <c r="B84" s="46" t="s">
        <v>100</v>
      </c>
      <c r="C84" s="3" t="s">
        <v>30</v>
      </c>
      <c r="D84" s="62">
        <f>'дод 2'!E72+'дод 2'!E34</f>
        <v>20343330</v>
      </c>
      <c r="E84" s="62">
        <f>'дод 2'!F72+'дод 2'!F34</f>
        <v>20343330</v>
      </c>
      <c r="F84" s="62">
        <f>'дод 2'!G72+'дод 2'!G34</f>
        <v>14839900</v>
      </c>
      <c r="G84" s="62">
        <f>'дод 2'!H72+'дод 2'!H34</f>
        <v>1060690</v>
      </c>
      <c r="H84" s="62">
        <f>'дод 2'!I72+'дод 2'!I34</f>
        <v>0</v>
      </c>
      <c r="I84" s="62">
        <f>'дод 2'!J72+'дод 2'!J34</f>
        <v>1478000</v>
      </c>
      <c r="J84" s="62">
        <f>'дод 2'!K72+'дод 2'!K34</f>
        <v>1478000</v>
      </c>
      <c r="K84" s="62">
        <f>'дод 2'!L72+'дод 2'!L34</f>
        <v>0</v>
      </c>
      <c r="L84" s="62">
        <f>'дод 2'!M72+'дод 2'!M34</f>
        <v>0</v>
      </c>
      <c r="M84" s="62">
        <f>'дод 2'!N72+'дод 2'!N34</f>
        <v>0</v>
      </c>
      <c r="N84" s="62">
        <f>'дод 2'!O72+'дод 2'!O34</f>
        <v>1478000</v>
      </c>
      <c r="O84" s="62">
        <f>'дод 2'!P72+'дод 2'!P34</f>
        <v>21821330</v>
      </c>
    </row>
    <row r="85" spans="1:15" s="84" customFormat="1" ht="31.5" customHeight="1" x14ac:dyDescent="0.25">
      <c r="A85" s="46" t="s">
        <v>138</v>
      </c>
      <c r="B85" s="46" t="s">
        <v>100</v>
      </c>
      <c r="C85" s="3" t="s">
        <v>31</v>
      </c>
      <c r="D85" s="62">
        <f>'дод 2'!E35</f>
        <v>11306630</v>
      </c>
      <c r="E85" s="62">
        <f>'дод 2'!F35</f>
        <v>11306630</v>
      </c>
      <c r="F85" s="62">
        <f>'дод 2'!G35</f>
        <v>0</v>
      </c>
      <c r="G85" s="62">
        <f>'дод 2'!H35</f>
        <v>0</v>
      </c>
      <c r="H85" s="62">
        <f>'дод 2'!I35</f>
        <v>0</v>
      </c>
      <c r="I85" s="62">
        <f>'дод 2'!J35</f>
        <v>100000</v>
      </c>
      <c r="J85" s="62">
        <f>'дод 2'!K35</f>
        <v>100000</v>
      </c>
      <c r="K85" s="62">
        <f>'дод 2'!L35</f>
        <v>0</v>
      </c>
      <c r="L85" s="62">
        <f>'дод 2'!M35</f>
        <v>0</v>
      </c>
      <c r="M85" s="62">
        <f>'дод 2'!N35</f>
        <v>0</v>
      </c>
      <c r="N85" s="62">
        <f>'дод 2'!O35</f>
        <v>100000</v>
      </c>
      <c r="O85" s="62">
        <f>'дод 2'!P35</f>
        <v>11406630</v>
      </c>
    </row>
    <row r="86" spans="1:15" s="84" customFormat="1" ht="60" customHeight="1" x14ac:dyDescent="0.25">
      <c r="A86" s="46" t="s">
        <v>133</v>
      </c>
      <c r="B86" s="46" t="s">
        <v>100</v>
      </c>
      <c r="C86" s="3" t="s">
        <v>134</v>
      </c>
      <c r="D86" s="62">
        <f>'дод 2'!E36</f>
        <v>3943120</v>
      </c>
      <c r="E86" s="62">
        <f>'дод 2'!F36</f>
        <v>3943120</v>
      </c>
      <c r="F86" s="62">
        <f>'дод 2'!G36</f>
        <v>2446900</v>
      </c>
      <c r="G86" s="62">
        <f>'дод 2'!H36</f>
        <v>370100</v>
      </c>
      <c r="H86" s="62">
        <f>'дод 2'!I36</f>
        <v>0</v>
      </c>
      <c r="I86" s="62">
        <f>'дод 2'!J36</f>
        <v>1079120</v>
      </c>
      <c r="J86" s="62">
        <f>'дод 2'!K36</f>
        <v>900000</v>
      </c>
      <c r="K86" s="62">
        <f>'дод 2'!L36</f>
        <v>179120</v>
      </c>
      <c r="L86" s="62">
        <f>'дод 2'!M36</f>
        <v>91105</v>
      </c>
      <c r="M86" s="62">
        <f>'дод 2'!N36</f>
        <v>51050</v>
      </c>
      <c r="N86" s="62">
        <f>'дод 2'!O36</f>
        <v>900000</v>
      </c>
      <c r="O86" s="62">
        <f>'дод 2'!P36</f>
        <v>5022240</v>
      </c>
    </row>
    <row r="87" spans="1:15" s="84" customFormat="1" ht="42" customHeight="1" x14ac:dyDescent="0.25">
      <c r="A87" s="46" t="s">
        <v>136</v>
      </c>
      <c r="B87" s="46" t="s">
        <v>100</v>
      </c>
      <c r="C87" s="3" t="s">
        <v>135</v>
      </c>
      <c r="D87" s="62">
        <f>'дод 2'!E37</f>
        <v>7023390</v>
      </c>
      <c r="E87" s="62">
        <f>'дод 2'!F37</f>
        <v>7023390</v>
      </c>
      <c r="F87" s="62">
        <f>'дод 2'!G37</f>
        <v>0</v>
      </c>
      <c r="G87" s="62">
        <f>'дод 2'!H37</f>
        <v>0</v>
      </c>
      <c r="H87" s="62">
        <f>'дод 2'!I37</f>
        <v>0</v>
      </c>
      <c r="I87" s="62">
        <f>'дод 2'!J37</f>
        <v>43450</v>
      </c>
      <c r="J87" s="62">
        <f>'дод 2'!K37</f>
        <v>43450</v>
      </c>
      <c r="K87" s="62">
        <f>'дод 2'!L37</f>
        <v>0</v>
      </c>
      <c r="L87" s="62">
        <f>'дод 2'!M37</f>
        <v>0</v>
      </c>
      <c r="M87" s="62">
        <f>'дод 2'!N37</f>
        <v>0</v>
      </c>
      <c r="N87" s="62">
        <f>'дод 2'!O37</f>
        <v>43450</v>
      </c>
      <c r="O87" s="62">
        <f>'дод 2'!P37</f>
        <v>7066840</v>
      </c>
    </row>
    <row r="88" spans="1:15" s="82" customFormat="1" ht="27" customHeight="1" x14ac:dyDescent="0.25">
      <c r="A88" s="47" t="s">
        <v>85</v>
      </c>
      <c r="B88" s="50"/>
      <c r="C88" s="2" t="s">
        <v>86</v>
      </c>
      <c r="D88" s="61">
        <f>D89+D90+D91+D92+D93+D94+D95+D96</f>
        <v>241474657.95999998</v>
      </c>
      <c r="E88" s="61">
        <f t="shared" ref="E88:O88" si="8">E89+E90+E91+E92+E93+E94+E95+E96</f>
        <v>206290219.95999998</v>
      </c>
      <c r="F88" s="61">
        <f t="shared" si="8"/>
        <v>0</v>
      </c>
      <c r="G88" s="61">
        <f t="shared" si="8"/>
        <v>27897106</v>
      </c>
      <c r="H88" s="61">
        <f t="shared" si="8"/>
        <v>35184438</v>
      </c>
      <c r="I88" s="61">
        <f t="shared" si="8"/>
        <v>78004232.75999999</v>
      </c>
      <c r="J88" s="61">
        <f t="shared" si="8"/>
        <v>77846529.699999988</v>
      </c>
      <c r="K88" s="61">
        <f t="shared" si="8"/>
        <v>0</v>
      </c>
      <c r="L88" s="61">
        <f t="shared" si="8"/>
        <v>0</v>
      </c>
      <c r="M88" s="61">
        <f t="shared" si="8"/>
        <v>0</v>
      </c>
      <c r="N88" s="61">
        <f t="shared" si="8"/>
        <v>78004232.75999999</v>
      </c>
      <c r="O88" s="61">
        <f t="shared" si="8"/>
        <v>319478890.72000003</v>
      </c>
    </row>
    <row r="89" spans="1:15" s="84" customFormat="1" ht="33.75" customHeight="1" x14ac:dyDescent="0.25">
      <c r="A89" s="46" t="s">
        <v>155</v>
      </c>
      <c r="B89" s="46" t="s">
        <v>87</v>
      </c>
      <c r="C89" s="3" t="s">
        <v>156</v>
      </c>
      <c r="D89" s="62">
        <f>'дод 2'!E138</f>
        <v>0</v>
      </c>
      <c r="E89" s="62">
        <f>'дод 2'!F138</f>
        <v>0</v>
      </c>
      <c r="F89" s="62">
        <f>'дод 2'!G138</f>
        <v>0</v>
      </c>
      <c r="G89" s="62">
        <f>'дод 2'!H138</f>
        <v>0</v>
      </c>
      <c r="H89" s="62">
        <f>'дод 2'!I138</f>
        <v>0</v>
      </c>
      <c r="I89" s="62">
        <f>'дод 2'!J138</f>
        <v>10918067.93</v>
      </c>
      <c r="J89" s="62">
        <f>'дод 2'!K138</f>
        <v>10888067.93</v>
      </c>
      <c r="K89" s="62">
        <f>'дод 2'!L138</f>
        <v>0</v>
      </c>
      <c r="L89" s="62">
        <f>'дод 2'!M138</f>
        <v>0</v>
      </c>
      <c r="M89" s="62">
        <f>'дод 2'!N138</f>
        <v>0</v>
      </c>
      <c r="N89" s="62">
        <f>'дод 2'!O138</f>
        <v>10918067.93</v>
      </c>
      <c r="O89" s="62">
        <f>'дод 2'!P138</f>
        <v>10918067.93</v>
      </c>
    </row>
    <row r="90" spans="1:15" s="84" customFormat="1" ht="36.75" customHeight="1" x14ac:dyDescent="0.25">
      <c r="A90" s="46" t="s">
        <v>157</v>
      </c>
      <c r="B90" s="46" t="s">
        <v>89</v>
      </c>
      <c r="C90" s="3" t="s">
        <v>178</v>
      </c>
      <c r="D90" s="62">
        <f>'дод 2'!E139</f>
        <v>30925000</v>
      </c>
      <c r="E90" s="62">
        <f>'дод 2'!F139</f>
        <v>425000</v>
      </c>
      <c r="F90" s="62">
        <f>'дод 2'!G139</f>
        <v>0</v>
      </c>
      <c r="G90" s="62">
        <f>'дод 2'!H139</f>
        <v>0</v>
      </c>
      <c r="H90" s="62">
        <f>'дод 2'!I139</f>
        <v>30500000</v>
      </c>
      <c r="I90" s="62">
        <f>'дод 2'!J139</f>
        <v>1721000</v>
      </c>
      <c r="J90" s="62">
        <f>'дод 2'!K139</f>
        <v>1721000</v>
      </c>
      <c r="K90" s="62">
        <f>'дод 2'!L139</f>
        <v>0</v>
      </c>
      <c r="L90" s="62">
        <f>'дод 2'!M139</f>
        <v>0</v>
      </c>
      <c r="M90" s="62">
        <f>'дод 2'!N139</f>
        <v>0</v>
      </c>
      <c r="N90" s="62">
        <f>'дод 2'!O139</f>
        <v>1721000</v>
      </c>
      <c r="O90" s="62">
        <f>'дод 2'!P139</f>
        <v>32646000</v>
      </c>
    </row>
    <row r="91" spans="1:15" s="84" customFormat="1" ht="36.75" customHeight="1" x14ac:dyDescent="0.25">
      <c r="A91" s="49" t="s">
        <v>302</v>
      </c>
      <c r="B91" s="49" t="s">
        <v>89</v>
      </c>
      <c r="C91" s="3" t="s">
        <v>303</v>
      </c>
      <c r="D91" s="62">
        <f>'дод 2'!E140</f>
        <v>193887</v>
      </c>
      <c r="E91" s="62">
        <f>'дод 2'!F140</f>
        <v>193887</v>
      </c>
      <c r="F91" s="62">
        <f>'дод 2'!G140</f>
        <v>0</v>
      </c>
      <c r="G91" s="62">
        <f>'дод 2'!H140</f>
        <v>0</v>
      </c>
      <c r="H91" s="62">
        <f>'дод 2'!I140</f>
        <v>0</v>
      </c>
      <c r="I91" s="62">
        <f>'дод 2'!J140</f>
        <v>13408448.83</v>
      </c>
      <c r="J91" s="62">
        <f>'дод 2'!K140</f>
        <v>13358448.83</v>
      </c>
      <c r="K91" s="62">
        <f>'дод 2'!L140</f>
        <v>0</v>
      </c>
      <c r="L91" s="62">
        <f>'дод 2'!M140</f>
        <v>0</v>
      </c>
      <c r="M91" s="62">
        <f>'дод 2'!N140</f>
        <v>0</v>
      </c>
      <c r="N91" s="62">
        <f>'дод 2'!O140</f>
        <v>13408448.83</v>
      </c>
      <c r="O91" s="62">
        <f>'дод 2'!P140</f>
        <v>13602335.83</v>
      </c>
    </row>
    <row r="92" spans="1:15" s="84" customFormat="1" ht="33" customHeight="1" x14ac:dyDescent="0.25">
      <c r="A92" s="46" t="s">
        <v>305</v>
      </c>
      <c r="B92" s="46" t="s">
        <v>89</v>
      </c>
      <c r="C92" s="3" t="s">
        <v>405</v>
      </c>
      <c r="D92" s="62">
        <f>'дод 2'!E141</f>
        <v>100000</v>
      </c>
      <c r="E92" s="62">
        <f>'дод 2'!F141</f>
        <v>100000</v>
      </c>
      <c r="F92" s="62">
        <f>'дод 2'!G141</f>
        <v>0</v>
      </c>
      <c r="G92" s="62">
        <f>'дод 2'!H141</f>
        <v>0</v>
      </c>
      <c r="H92" s="62">
        <f>'дод 2'!I141</f>
        <v>0</v>
      </c>
      <c r="I92" s="62">
        <f>'дод 2'!J141</f>
        <v>0</v>
      </c>
      <c r="J92" s="62">
        <f>'дод 2'!K141</f>
        <v>0</v>
      </c>
      <c r="K92" s="62">
        <f>'дод 2'!L141</f>
        <v>0</v>
      </c>
      <c r="L92" s="62">
        <f>'дод 2'!M141</f>
        <v>0</v>
      </c>
      <c r="M92" s="62">
        <f>'дод 2'!N141</f>
        <v>0</v>
      </c>
      <c r="N92" s="62">
        <f>'дод 2'!O141</f>
        <v>0</v>
      </c>
      <c r="O92" s="62">
        <f>'дод 2'!P141</f>
        <v>100000</v>
      </c>
    </row>
    <row r="93" spans="1:15" s="84" customFormat="1" ht="52.5" customHeight="1" x14ac:dyDescent="0.25">
      <c r="A93" s="46" t="s">
        <v>88</v>
      </c>
      <c r="B93" s="46" t="s">
        <v>89</v>
      </c>
      <c r="C93" s="3" t="s">
        <v>160</v>
      </c>
      <c r="D93" s="62">
        <f>'дод 2'!E142</f>
        <v>4595232</v>
      </c>
      <c r="E93" s="62">
        <f>'дод 2'!F142</f>
        <v>0</v>
      </c>
      <c r="F93" s="62">
        <f>'дод 2'!G142</f>
        <v>0</v>
      </c>
      <c r="G93" s="62">
        <f>'дод 2'!H142</f>
        <v>0</v>
      </c>
      <c r="H93" s="62">
        <f>'дод 2'!I142</f>
        <v>4595232</v>
      </c>
      <c r="I93" s="62">
        <f>'дод 2'!J142</f>
        <v>0</v>
      </c>
      <c r="J93" s="62">
        <f>'дод 2'!K142</f>
        <v>0</v>
      </c>
      <c r="K93" s="62">
        <f>'дод 2'!L142</f>
        <v>0</v>
      </c>
      <c r="L93" s="62">
        <f>'дод 2'!M142</f>
        <v>0</v>
      </c>
      <c r="M93" s="62">
        <f>'дод 2'!N142</f>
        <v>0</v>
      </c>
      <c r="N93" s="62">
        <f>'дод 2'!O142</f>
        <v>0</v>
      </c>
      <c r="O93" s="62">
        <f>'дод 2'!P142</f>
        <v>4595232</v>
      </c>
    </row>
    <row r="94" spans="1:15" ht="30" customHeight="1" x14ac:dyDescent="0.25">
      <c r="A94" s="46" t="s">
        <v>158</v>
      </c>
      <c r="B94" s="46" t="s">
        <v>89</v>
      </c>
      <c r="C94" s="3" t="s">
        <v>159</v>
      </c>
      <c r="D94" s="62">
        <f>'дод 2'!E143+'дод 2'!E167</f>
        <v>191566286.56999999</v>
      </c>
      <c r="E94" s="62">
        <f>'дод 2'!F143+'дод 2'!F167</f>
        <v>191566286.56999999</v>
      </c>
      <c r="F94" s="62">
        <f>'дод 2'!G143+'дод 2'!G167</f>
        <v>0</v>
      </c>
      <c r="G94" s="62">
        <f>'дод 2'!H143+'дод 2'!H167</f>
        <v>27854706</v>
      </c>
      <c r="H94" s="62">
        <f>'дод 2'!I143+'дод 2'!I167</f>
        <v>0</v>
      </c>
      <c r="I94" s="62">
        <f>'дод 2'!J143+'дод 2'!J167</f>
        <v>51078304.150000006</v>
      </c>
      <c r="J94" s="62">
        <f>'дод 2'!K143+'дод 2'!K167</f>
        <v>51078304.150000006</v>
      </c>
      <c r="K94" s="62">
        <f>'дод 2'!L143+'дод 2'!L167</f>
        <v>0</v>
      </c>
      <c r="L94" s="62">
        <f>'дод 2'!M143+'дод 2'!M167</f>
        <v>0</v>
      </c>
      <c r="M94" s="62">
        <f>'дод 2'!N143+'дод 2'!N167</f>
        <v>0</v>
      </c>
      <c r="N94" s="62">
        <f>'дод 2'!O143+'дод 2'!O167</f>
        <v>51078304.150000006</v>
      </c>
      <c r="O94" s="62">
        <f>'дод 2'!P143+'дод 2'!P167</f>
        <v>242644590.72</v>
      </c>
    </row>
    <row r="95" spans="1:15" s="84" customFormat="1" ht="57" customHeight="1" x14ac:dyDescent="0.25">
      <c r="A95" s="46" t="s">
        <v>162</v>
      </c>
      <c r="B95" s="51" t="s">
        <v>87</v>
      </c>
      <c r="C95" s="3" t="s">
        <v>163</v>
      </c>
      <c r="D95" s="62">
        <f>'дод 2'!E168</f>
        <v>84906</v>
      </c>
      <c r="E95" s="62">
        <f>'дод 2'!F168</f>
        <v>0</v>
      </c>
      <c r="F95" s="62">
        <f>'дод 2'!G168</f>
        <v>0</v>
      </c>
      <c r="G95" s="62">
        <f>'дод 2'!H168</f>
        <v>0</v>
      </c>
      <c r="H95" s="62">
        <f>'дод 2'!I168</f>
        <v>84906</v>
      </c>
      <c r="I95" s="62">
        <f>'дод 2'!J168</f>
        <v>77703.06</v>
      </c>
      <c r="J95" s="62">
        <f>'дод 2'!K168</f>
        <v>0</v>
      </c>
      <c r="K95" s="62">
        <f>'дод 2'!L168</f>
        <v>0</v>
      </c>
      <c r="L95" s="62">
        <f>'дод 2'!M168</f>
        <v>0</v>
      </c>
      <c r="M95" s="62">
        <f>'дод 2'!N168</f>
        <v>0</v>
      </c>
      <c r="N95" s="62">
        <f>'дод 2'!O168</f>
        <v>77703.06</v>
      </c>
      <c r="O95" s="62">
        <f>'дод 2'!P168</f>
        <v>162609.06</v>
      </c>
    </row>
    <row r="96" spans="1:15" ht="39.75" customHeight="1" x14ac:dyDescent="0.25">
      <c r="A96" s="46" t="s">
        <v>172</v>
      </c>
      <c r="B96" s="51" t="s">
        <v>364</v>
      </c>
      <c r="C96" s="3" t="s">
        <v>173</v>
      </c>
      <c r="D96" s="62">
        <f>'дод 2'!E144+'дод 2'!E181</f>
        <v>14009346.390000001</v>
      </c>
      <c r="E96" s="62">
        <f>'дод 2'!F144+'дод 2'!F181</f>
        <v>14005046.390000001</v>
      </c>
      <c r="F96" s="62">
        <f>'дод 2'!G144+'дод 2'!G181</f>
        <v>0</v>
      </c>
      <c r="G96" s="62">
        <f>'дод 2'!H144+'дод 2'!H181</f>
        <v>42400</v>
      </c>
      <c r="H96" s="62">
        <f>'дод 2'!I144+'дод 2'!I181</f>
        <v>4300</v>
      </c>
      <c r="I96" s="62">
        <f>'дод 2'!J144+'дод 2'!J181</f>
        <v>800708.78999999911</v>
      </c>
      <c r="J96" s="62">
        <f>'дод 2'!K144+'дод 2'!K181</f>
        <v>800708.78999999911</v>
      </c>
      <c r="K96" s="62">
        <f>'дод 2'!L144+'дод 2'!L181</f>
        <v>0</v>
      </c>
      <c r="L96" s="62">
        <f>'дод 2'!M144+'дод 2'!M181</f>
        <v>0</v>
      </c>
      <c r="M96" s="62">
        <f>'дод 2'!N144+'дод 2'!N181</f>
        <v>0</v>
      </c>
      <c r="N96" s="62">
        <f>'дод 2'!O144+'дод 2'!O181</f>
        <v>800708.78999999911</v>
      </c>
      <c r="O96" s="62">
        <f>'дод 2'!P144+'дод 2'!P181</f>
        <v>14810055.18</v>
      </c>
    </row>
    <row r="97" spans="1:15" s="82" customFormat="1" ht="29.25" customHeight="1" x14ac:dyDescent="0.25">
      <c r="A97" s="47" t="s">
        <v>164</v>
      </c>
      <c r="B97" s="50"/>
      <c r="C97" s="2" t="s">
        <v>165</v>
      </c>
      <c r="D97" s="61">
        <f>D99+D101+D113+D120+D122+D131</f>
        <v>50749667</v>
      </c>
      <c r="E97" s="61">
        <f t="shared" ref="E97:O97" si="9">E99+E101+E113+E120+E122+E131</f>
        <v>20932667</v>
      </c>
      <c r="F97" s="61">
        <f t="shared" si="9"/>
        <v>0</v>
      </c>
      <c r="G97" s="61">
        <f t="shared" si="9"/>
        <v>0</v>
      </c>
      <c r="H97" s="61">
        <f t="shared" si="9"/>
        <v>29817000</v>
      </c>
      <c r="I97" s="61">
        <f>I99+I101+I113+I120+I122+I131</f>
        <v>332501633.25999999</v>
      </c>
      <c r="J97" s="61">
        <f t="shared" si="9"/>
        <v>237992501.13</v>
      </c>
      <c r="K97" s="61">
        <f t="shared" si="9"/>
        <v>82171363.010000005</v>
      </c>
      <c r="L97" s="61">
        <f t="shared" si="9"/>
        <v>0</v>
      </c>
      <c r="M97" s="61">
        <f t="shared" si="9"/>
        <v>0</v>
      </c>
      <c r="N97" s="61">
        <f t="shared" si="9"/>
        <v>250330270.25</v>
      </c>
      <c r="O97" s="61">
        <f t="shared" si="9"/>
        <v>383251300.25999999</v>
      </c>
    </row>
    <row r="98" spans="1:15" s="82" customFormat="1" ht="18.75" customHeight="1" x14ac:dyDescent="0.25">
      <c r="A98" s="47"/>
      <c r="B98" s="50"/>
      <c r="C98" s="2" t="s">
        <v>308</v>
      </c>
      <c r="D98" s="61">
        <f>D102+D114</f>
        <v>0</v>
      </c>
      <c r="E98" s="61">
        <f t="shared" ref="E98:O98" si="10">E102+E114</f>
        <v>0</v>
      </c>
      <c r="F98" s="61">
        <f t="shared" si="10"/>
        <v>0</v>
      </c>
      <c r="G98" s="61">
        <f t="shared" si="10"/>
        <v>0</v>
      </c>
      <c r="H98" s="61">
        <f t="shared" si="10"/>
        <v>0</v>
      </c>
      <c r="I98" s="61">
        <f t="shared" si="10"/>
        <v>81187498.930000007</v>
      </c>
      <c r="J98" s="61">
        <f t="shared" si="10"/>
        <v>1187498.93</v>
      </c>
      <c r="K98" s="61">
        <f t="shared" si="10"/>
        <v>80000000</v>
      </c>
      <c r="L98" s="61">
        <f t="shared" si="10"/>
        <v>0</v>
      </c>
      <c r="M98" s="61">
        <f t="shared" si="10"/>
        <v>0</v>
      </c>
      <c r="N98" s="61">
        <f t="shared" si="10"/>
        <v>1187498.93</v>
      </c>
      <c r="O98" s="61">
        <f t="shared" si="10"/>
        <v>81187498.930000007</v>
      </c>
    </row>
    <row r="99" spans="1:15" s="82" customFormat="1" x14ac:dyDescent="0.25">
      <c r="A99" s="47" t="s">
        <v>174</v>
      </c>
      <c r="B99" s="50"/>
      <c r="C99" s="2" t="s">
        <v>175</v>
      </c>
      <c r="D99" s="61">
        <f t="shared" ref="D99:O99" si="11">D100</f>
        <v>700000</v>
      </c>
      <c r="E99" s="61">
        <f t="shared" si="11"/>
        <v>700000</v>
      </c>
      <c r="F99" s="61">
        <f t="shared" si="11"/>
        <v>0</v>
      </c>
      <c r="G99" s="61">
        <f t="shared" si="11"/>
        <v>0</v>
      </c>
      <c r="H99" s="61">
        <f t="shared" si="11"/>
        <v>0</v>
      </c>
      <c r="I99" s="61">
        <f t="shared" si="11"/>
        <v>0</v>
      </c>
      <c r="J99" s="61">
        <f t="shared" si="11"/>
        <v>0</v>
      </c>
      <c r="K99" s="61">
        <f t="shared" si="11"/>
        <v>0</v>
      </c>
      <c r="L99" s="61">
        <f t="shared" si="11"/>
        <v>0</v>
      </c>
      <c r="M99" s="61">
        <f t="shared" si="11"/>
        <v>0</v>
      </c>
      <c r="N99" s="61">
        <f t="shared" si="11"/>
        <v>0</v>
      </c>
      <c r="O99" s="61">
        <f t="shared" si="11"/>
        <v>700000</v>
      </c>
    </row>
    <row r="100" spans="1:15" ht="24" customHeight="1" x14ac:dyDescent="0.25">
      <c r="A100" s="46" t="s">
        <v>166</v>
      </c>
      <c r="B100" s="46" t="s">
        <v>103</v>
      </c>
      <c r="C100" s="3" t="s">
        <v>406</v>
      </c>
      <c r="D100" s="62">
        <f>'дод 2'!E189</f>
        <v>700000</v>
      </c>
      <c r="E100" s="62">
        <f>'дод 2'!F189</f>
        <v>700000</v>
      </c>
      <c r="F100" s="62">
        <f>'дод 2'!G189</f>
        <v>0</v>
      </c>
      <c r="G100" s="62">
        <f>'дод 2'!H189</f>
        <v>0</v>
      </c>
      <c r="H100" s="62">
        <f>'дод 2'!I189</f>
        <v>0</v>
      </c>
      <c r="I100" s="62">
        <f>'дод 2'!J189</f>
        <v>0</v>
      </c>
      <c r="J100" s="62">
        <f>'дод 2'!K189</f>
        <v>0</v>
      </c>
      <c r="K100" s="62">
        <f>'дод 2'!L189</f>
        <v>0</v>
      </c>
      <c r="L100" s="62">
        <f>'дод 2'!M189</f>
        <v>0</v>
      </c>
      <c r="M100" s="62">
        <f>'дод 2'!N189</f>
        <v>0</v>
      </c>
      <c r="N100" s="62">
        <f>'дод 2'!O189</f>
        <v>0</v>
      </c>
      <c r="O100" s="62">
        <f>'дод 2'!P189</f>
        <v>700000</v>
      </c>
    </row>
    <row r="101" spans="1:15" s="82" customFormat="1" ht="21" customHeight="1" x14ac:dyDescent="0.25">
      <c r="A101" s="47" t="s">
        <v>117</v>
      </c>
      <c r="B101" s="47"/>
      <c r="C101" s="13" t="s">
        <v>167</v>
      </c>
      <c r="D101" s="61">
        <f>D103+D104+D105+D107+D108+D110+D106+D109+D111</f>
        <v>0</v>
      </c>
      <c r="E101" s="61">
        <f t="shared" ref="E101:O101" si="12">E103+E104+E105+E107+E108+E110+E106+E109+E111</f>
        <v>0</v>
      </c>
      <c r="F101" s="61">
        <f t="shared" si="12"/>
        <v>0</v>
      </c>
      <c r="G101" s="61">
        <f t="shared" si="12"/>
        <v>0</v>
      </c>
      <c r="H101" s="61">
        <f t="shared" si="12"/>
        <v>0</v>
      </c>
      <c r="I101" s="61">
        <f t="shared" si="12"/>
        <v>92527449.129999995</v>
      </c>
      <c r="J101" s="61">
        <f t="shared" si="12"/>
        <v>92527449.129999995</v>
      </c>
      <c r="K101" s="61">
        <f t="shared" si="12"/>
        <v>0</v>
      </c>
      <c r="L101" s="61">
        <f t="shared" si="12"/>
        <v>0</v>
      </c>
      <c r="M101" s="61">
        <f t="shared" si="12"/>
        <v>0</v>
      </c>
      <c r="N101" s="61">
        <f t="shared" si="12"/>
        <v>92527449.129999995</v>
      </c>
      <c r="O101" s="61">
        <f t="shared" si="12"/>
        <v>92527449.129999995</v>
      </c>
    </row>
    <row r="102" spans="1:15" s="82" customFormat="1" ht="21" customHeight="1" x14ac:dyDescent="0.25">
      <c r="A102" s="47"/>
      <c r="B102" s="47"/>
      <c r="C102" s="2" t="s">
        <v>308</v>
      </c>
      <c r="D102" s="61">
        <f>D112</f>
        <v>0</v>
      </c>
      <c r="E102" s="61">
        <f t="shared" ref="E102:O102" si="13">E112</f>
        <v>0</v>
      </c>
      <c r="F102" s="61">
        <f t="shared" si="13"/>
        <v>0</v>
      </c>
      <c r="G102" s="61">
        <f t="shared" si="13"/>
        <v>0</v>
      </c>
      <c r="H102" s="61">
        <f t="shared" si="13"/>
        <v>0</v>
      </c>
      <c r="I102" s="61">
        <f t="shared" si="13"/>
        <v>1187498.93</v>
      </c>
      <c r="J102" s="61">
        <f t="shared" si="13"/>
        <v>1187498.93</v>
      </c>
      <c r="K102" s="61">
        <f t="shared" si="13"/>
        <v>0</v>
      </c>
      <c r="L102" s="61">
        <f t="shared" si="13"/>
        <v>0</v>
      </c>
      <c r="M102" s="61">
        <f t="shared" si="13"/>
        <v>0</v>
      </c>
      <c r="N102" s="61">
        <f t="shared" si="13"/>
        <v>1187498.93</v>
      </c>
      <c r="O102" s="61">
        <f t="shared" si="13"/>
        <v>1187498.93</v>
      </c>
    </row>
    <row r="103" spans="1:15" ht="28.5" customHeight="1" x14ac:dyDescent="0.25">
      <c r="A103" s="49" t="s">
        <v>315</v>
      </c>
      <c r="B103" s="49" t="s">
        <v>132</v>
      </c>
      <c r="C103" s="3" t="s">
        <v>324</v>
      </c>
      <c r="D103" s="62">
        <f>'дод 2'!E169+'дод 2'!E145</f>
        <v>0</v>
      </c>
      <c r="E103" s="62">
        <f>'дод 2'!F169+'дод 2'!F145</f>
        <v>0</v>
      </c>
      <c r="F103" s="62">
        <f>'дод 2'!G169+'дод 2'!G145</f>
        <v>0</v>
      </c>
      <c r="G103" s="62">
        <f>'дод 2'!H169+'дод 2'!H145</f>
        <v>0</v>
      </c>
      <c r="H103" s="62">
        <f>'дод 2'!I169+'дод 2'!I145</f>
        <v>0</v>
      </c>
      <c r="I103" s="62">
        <f>'дод 2'!J169+'дод 2'!J145</f>
        <v>13462297.759999998</v>
      </c>
      <c r="J103" s="62">
        <f>'дод 2'!K169+'дод 2'!K145</f>
        <v>13462297.759999998</v>
      </c>
      <c r="K103" s="62">
        <f>'дод 2'!L169+'дод 2'!L145</f>
        <v>0</v>
      </c>
      <c r="L103" s="62">
        <f>'дод 2'!M169+'дод 2'!M145</f>
        <v>0</v>
      </c>
      <c r="M103" s="62">
        <f>'дод 2'!N169+'дод 2'!N145</f>
        <v>0</v>
      </c>
      <c r="N103" s="62">
        <f>'дод 2'!O169+'дод 2'!O145</f>
        <v>13462297.759999998</v>
      </c>
      <c r="O103" s="62">
        <f>'дод 2'!P169+'дод 2'!P145</f>
        <v>13462297.759999998</v>
      </c>
    </row>
    <row r="104" spans="1:15" s="84" customFormat="1" ht="28.5" customHeight="1" x14ac:dyDescent="0.25">
      <c r="A104" s="49" t="s">
        <v>320</v>
      </c>
      <c r="B104" s="49" t="s">
        <v>132</v>
      </c>
      <c r="C104" s="3" t="s">
        <v>325</v>
      </c>
      <c r="D104" s="62">
        <f>'дод 2'!E170</f>
        <v>0</v>
      </c>
      <c r="E104" s="62">
        <f>'дод 2'!F170</f>
        <v>0</v>
      </c>
      <c r="F104" s="62">
        <f>'дод 2'!G170</f>
        <v>0</v>
      </c>
      <c r="G104" s="62">
        <f>'дод 2'!H170</f>
        <v>0</v>
      </c>
      <c r="H104" s="62">
        <f>'дод 2'!I170</f>
        <v>0</v>
      </c>
      <c r="I104" s="62">
        <f>'дод 2'!J170</f>
        <v>4000000</v>
      </c>
      <c r="J104" s="62">
        <f>'дод 2'!K170</f>
        <v>4000000</v>
      </c>
      <c r="K104" s="62">
        <f>'дод 2'!L170</f>
        <v>0</v>
      </c>
      <c r="L104" s="62">
        <f>'дод 2'!M170</f>
        <v>0</v>
      </c>
      <c r="M104" s="62">
        <f>'дод 2'!N170</f>
        <v>0</v>
      </c>
      <c r="N104" s="62">
        <f>'дод 2'!O170</f>
        <v>4000000</v>
      </c>
      <c r="O104" s="62">
        <f>'дод 2'!P170</f>
        <v>4000000</v>
      </c>
    </row>
    <row r="105" spans="1:15" s="84" customFormat="1" ht="28.5" customHeight="1" x14ac:dyDescent="0.25">
      <c r="A105" s="49" t="s">
        <v>322</v>
      </c>
      <c r="B105" s="49" t="s">
        <v>132</v>
      </c>
      <c r="C105" s="3" t="s">
        <v>326</v>
      </c>
      <c r="D105" s="62">
        <f>'дод 2'!E171</f>
        <v>0</v>
      </c>
      <c r="E105" s="62">
        <f>'дод 2'!F171</f>
        <v>0</v>
      </c>
      <c r="F105" s="62">
        <f>'дод 2'!G171</f>
        <v>0</v>
      </c>
      <c r="G105" s="62">
        <f>'дод 2'!H171</f>
        <v>0</v>
      </c>
      <c r="H105" s="62">
        <f>'дод 2'!I171</f>
        <v>0</v>
      </c>
      <c r="I105" s="62">
        <f>'дод 2'!J171</f>
        <v>12454849</v>
      </c>
      <c r="J105" s="62">
        <f>'дод 2'!K171</f>
        <v>12454849</v>
      </c>
      <c r="K105" s="62">
        <f>'дод 2'!L171</f>
        <v>0</v>
      </c>
      <c r="L105" s="62">
        <f>'дод 2'!M171</f>
        <v>0</v>
      </c>
      <c r="M105" s="62">
        <f>'дод 2'!N171</f>
        <v>0</v>
      </c>
      <c r="N105" s="62">
        <f>'дод 2'!O171</f>
        <v>12454849</v>
      </c>
      <c r="O105" s="62">
        <f>'дод 2'!P171</f>
        <v>12454849</v>
      </c>
    </row>
    <row r="106" spans="1:15" s="84" customFormat="1" ht="31.5" x14ac:dyDescent="0.25">
      <c r="A106" s="49">
        <v>7325</v>
      </c>
      <c r="B106" s="49">
        <v>443</v>
      </c>
      <c r="C106" s="3" t="s">
        <v>422</v>
      </c>
      <c r="D106" s="62">
        <f>'дод 2'!E172</f>
        <v>0</v>
      </c>
      <c r="E106" s="62">
        <f>'дод 2'!F172</f>
        <v>0</v>
      </c>
      <c r="F106" s="62">
        <f>'дод 2'!G172</f>
        <v>0</v>
      </c>
      <c r="G106" s="62">
        <f>'дод 2'!H172</f>
        <v>0</v>
      </c>
      <c r="H106" s="62">
        <f>'дод 2'!I172</f>
        <v>0</v>
      </c>
      <c r="I106" s="62">
        <f>'дод 2'!J172</f>
        <v>100000</v>
      </c>
      <c r="J106" s="62">
        <f>'дод 2'!K172</f>
        <v>100000</v>
      </c>
      <c r="K106" s="62">
        <f>'дод 2'!L172</f>
        <v>0</v>
      </c>
      <c r="L106" s="62">
        <f>'дод 2'!M172</f>
        <v>0</v>
      </c>
      <c r="M106" s="62">
        <f>'дод 2'!N172</f>
        <v>0</v>
      </c>
      <c r="N106" s="62">
        <f>'дод 2'!O172</f>
        <v>100000</v>
      </c>
      <c r="O106" s="62">
        <f>'дод 2'!P172</f>
        <v>100000</v>
      </c>
    </row>
    <row r="107" spans="1:15" ht="32.25" customHeight="1" x14ac:dyDescent="0.25">
      <c r="A107" s="49" t="s">
        <v>317</v>
      </c>
      <c r="B107" s="49" t="s">
        <v>132</v>
      </c>
      <c r="C107" s="3" t="s">
        <v>389</v>
      </c>
      <c r="D107" s="62">
        <f>'дод 2'!E173+'дод 2'!E146</f>
        <v>0</v>
      </c>
      <c r="E107" s="62">
        <f>'дод 2'!F173+'дод 2'!F146</f>
        <v>0</v>
      </c>
      <c r="F107" s="62">
        <f>'дод 2'!G173+'дод 2'!G146</f>
        <v>0</v>
      </c>
      <c r="G107" s="62">
        <f>'дод 2'!H173+'дод 2'!H146</f>
        <v>0</v>
      </c>
      <c r="H107" s="62">
        <f>'дод 2'!I173+'дод 2'!I146</f>
        <v>0</v>
      </c>
      <c r="I107" s="62">
        <f>'дод 2'!J173+'дод 2'!J146</f>
        <v>48739821.769999996</v>
      </c>
      <c r="J107" s="62">
        <f>'дод 2'!K173+'дод 2'!K146</f>
        <v>48739821.769999996</v>
      </c>
      <c r="K107" s="62">
        <f>'дод 2'!L173+'дод 2'!L146</f>
        <v>0</v>
      </c>
      <c r="L107" s="62">
        <f>'дод 2'!M173+'дод 2'!M146</f>
        <v>0</v>
      </c>
      <c r="M107" s="62">
        <f>'дод 2'!N173+'дод 2'!N146</f>
        <v>0</v>
      </c>
      <c r="N107" s="62">
        <f>'дод 2'!O173+'дод 2'!O146</f>
        <v>48739821.769999996</v>
      </c>
      <c r="O107" s="62">
        <f>'дод 2'!P173+'дод 2'!P146</f>
        <v>48739821.769999996</v>
      </c>
    </row>
    <row r="108" spans="1:15" ht="35.25" customHeight="1" x14ac:dyDescent="0.25">
      <c r="A108" s="46" t="s">
        <v>168</v>
      </c>
      <c r="B108" s="46" t="s">
        <v>132</v>
      </c>
      <c r="C108" s="3" t="s">
        <v>1</v>
      </c>
      <c r="D108" s="62">
        <f>'дод 2'!E148</f>
        <v>0</v>
      </c>
      <c r="E108" s="62">
        <f>'дод 2'!F148</f>
        <v>0</v>
      </c>
      <c r="F108" s="62">
        <f>'дод 2'!G148</f>
        <v>0</v>
      </c>
      <c r="G108" s="62">
        <f>'дод 2'!H148</f>
        <v>0</v>
      </c>
      <c r="H108" s="62">
        <f>'дод 2'!I148</f>
        <v>0</v>
      </c>
      <c r="I108" s="62">
        <f>'дод 2'!J148</f>
        <v>3000000</v>
      </c>
      <c r="J108" s="62">
        <f>'дод 2'!K148</f>
        <v>3000000</v>
      </c>
      <c r="K108" s="62">
        <f>'дод 2'!L148</f>
        <v>0</v>
      </c>
      <c r="L108" s="62">
        <f>'дод 2'!M148</f>
        <v>0</v>
      </c>
      <c r="M108" s="62">
        <f>'дод 2'!N148</f>
        <v>0</v>
      </c>
      <c r="N108" s="62">
        <f>'дод 2'!O148</f>
        <v>3000000</v>
      </c>
      <c r="O108" s="62">
        <f>'дод 2'!P148</f>
        <v>3000000</v>
      </c>
    </row>
    <row r="109" spans="1:15" ht="51.75" customHeight="1" x14ac:dyDescent="0.25">
      <c r="A109" s="46">
        <v>7361</v>
      </c>
      <c r="B109" s="46" t="s">
        <v>102</v>
      </c>
      <c r="C109" s="3" t="s">
        <v>449</v>
      </c>
      <c r="D109" s="62">
        <f>'дод 2'!E147+'дод 2'!E174+'дод 2'!E93</f>
        <v>0</v>
      </c>
      <c r="E109" s="62">
        <f>'дод 2'!F147+'дод 2'!F174+'дод 2'!F93</f>
        <v>0</v>
      </c>
      <c r="F109" s="62">
        <f>'дод 2'!G147+'дод 2'!G174+'дод 2'!G93</f>
        <v>0</v>
      </c>
      <c r="G109" s="62">
        <f>'дод 2'!H147+'дод 2'!H174+'дод 2'!H93</f>
        <v>0</v>
      </c>
      <c r="H109" s="62">
        <f>'дод 2'!I147+'дод 2'!I174+'дод 2'!I93</f>
        <v>0</v>
      </c>
      <c r="I109" s="62">
        <f>'дод 2'!J147+'дод 2'!J174+'дод 2'!J93</f>
        <v>9386113</v>
      </c>
      <c r="J109" s="62">
        <f>'дод 2'!K147+'дод 2'!K174+'дод 2'!K93</f>
        <v>9386113</v>
      </c>
      <c r="K109" s="62">
        <f>'дод 2'!L147+'дод 2'!L174+'дод 2'!L93</f>
        <v>0</v>
      </c>
      <c r="L109" s="62">
        <f>'дод 2'!M147+'дод 2'!M174+'дод 2'!M93</f>
        <v>0</v>
      </c>
      <c r="M109" s="62">
        <f>'дод 2'!N147+'дод 2'!N174+'дод 2'!N93</f>
        <v>0</v>
      </c>
      <c r="N109" s="62">
        <f>'дод 2'!O147+'дод 2'!O174+'дод 2'!O93</f>
        <v>9386113</v>
      </c>
      <c r="O109" s="62">
        <f>'дод 2'!P147+'дод 2'!P174+'дод 2'!P93</f>
        <v>9386113</v>
      </c>
    </row>
    <row r="110" spans="1:15" s="84" customFormat="1" ht="46.5" customHeight="1" x14ac:dyDescent="0.25">
      <c r="A110" s="46">
        <v>7362</v>
      </c>
      <c r="B110" s="46" t="s">
        <v>102</v>
      </c>
      <c r="C110" s="3" t="s">
        <v>428</v>
      </c>
      <c r="D110" s="62">
        <f>'дод 2'!E149</f>
        <v>0</v>
      </c>
      <c r="E110" s="62">
        <f>'дод 2'!F149</f>
        <v>0</v>
      </c>
      <c r="F110" s="62">
        <f>'дод 2'!G149</f>
        <v>0</v>
      </c>
      <c r="G110" s="62">
        <f>'дод 2'!H149</f>
        <v>0</v>
      </c>
      <c r="H110" s="62">
        <f>'дод 2'!I149</f>
        <v>0</v>
      </c>
      <c r="I110" s="62">
        <f>'дод 2'!J149</f>
        <v>75600</v>
      </c>
      <c r="J110" s="62">
        <f>'дод 2'!K149</f>
        <v>75600</v>
      </c>
      <c r="K110" s="62">
        <f>'дод 2'!L149</f>
        <v>0</v>
      </c>
      <c r="L110" s="62">
        <f>'дод 2'!M149</f>
        <v>0</v>
      </c>
      <c r="M110" s="62">
        <f>'дод 2'!N149</f>
        <v>0</v>
      </c>
      <c r="N110" s="62">
        <f>'дод 2'!O149</f>
        <v>75600</v>
      </c>
      <c r="O110" s="62">
        <f>'дод 2'!P149</f>
        <v>75600</v>
      </c>
    </row>
    <row r="111" spans="1:15" s="84" customFormat="1" ht="46.5" customHeight="1" x14ac:dyDescent="0.25">
      <c r="A111" s="46">
        <v>7363</v>
      </c>
      <c r="B111" s="106" t="s">
        <v>102</v>
      </c>
      <c r="C111" s="107" t="s">
        <v>438</v>
      </c>
      <c r="D111" s="62">
        <f>'дод 2'!E73+'дод 2'!E150+'дод 2'!E175</f>
        <v>0</v>
      </c>
      <c r="E111" s="62">
        <f>'дод 2'!F73+'дод 2'!F150+'дод 2'!F175</f>
        <v>0</v>
      </c>
      <c r="F111" s="62">
        <f>'дод 2'!G73+'дод 2'!G150+'дод 2'!G175</f>
        <v>0</v>
      </c>
      <c r="G111" s="62">
        <f>'дод 2'!H73+'дод 2'!H150+'дод 2'!H175</f>
        <v>0</v>
      </c>
      <c r="H111" s="62">
        <f>'дод 2'!I73+'дод 2'!I150+'дод 2'!I175</f>
        <v>0</v>
      </c>
      <c r="I111" s="62">
        <f>'дод 2'!J73+'дод 2'!J150+'дод 2'!J175</f>
        <v>1308767.6000000001</v>
      </c>
      <c r="J111" s="62">
        <f>'дод 2'!K73+'дод 2'!K150+'дод 2'!K175</f>
        <v>1308767.6000000001</v>
      </c>
      <c r="K111" s="62">
        <f>'дод 2'!L73+'дод 2'!L150+'дод 2'!L175</f>
        <v>0</v>
      </c>
      <c r="L111" s="62">
        <f>'дод 2'!M73+'дод 2'!M150+'дод 2'!M175</f>
        <v>0</v>
      </c>
      <c r="M111" s="62">
        <f>'дод 2'!N73+'дод 2'!N150+'дод 2'!N175</f>
        <v>0</v>
      </c>
      <c r="N111" s="62">
        <f>'дод 2'!O73+'дод 2'!O150+'дод 2'!O175</f>
        <v>1308767.6000000001</v>
      </c>
      <c r="O111" s="62">
        <f>'дод 2'!P73+'дод 2'!P150+'дод 2'!P175</f>
        <v>1308767.6000000001</v>
      </c>
    </row>
    <row r="112" spans="1:15" s="84" customFormat="1" x14ac:dyDescent="0.25">
      <c r="A112" s="46"/>
      <c r="B112" s="106"/>
      <c r="C112" s="3" t="s">
        <v>308</v>
      </c>
      <c r="D112" s="62">
        <f>'дод 2'!E74+'дод 2'!E151</f>
        <v>0</v>
      </c>
      <c r="E112" s="62">
        <f>'дод 2'!F74+'дод 2'!F151</f>
        <v>0</v>
      </c>
      <c r="F112" s="62">
        <f>'дод 2'!G74+'дод 2'!G151</f>
        <v>0</v>
      </c>
      <c r="G112" s="62">
        <f>'дод 2'!H74+'дод 2'!H151</f>
        <v>0</v>
      </c>
      <c r="H112" s="62">
        <f>'дод 2'!I74+'дод 2'!I151</f>
        <v>0</v>
      </c>
      <c r="I112" s="62">
        <f>'дод 2'!J74+'дод 2'!J151</f>
        <v>1187498.93</v>
      </c>
      <c r="J112" s="62">
        <f>'дод 2'!K74+'дод 2'!K151</f>
        <v>1187498.93</v>
      </c>
      <c r="K112" s="62">
        <f>'дод 2'!L74+'дод 2'!L151</f>
        <v>0</v>
      </c>
      <c r="L112" s="62">
        <f>'дод 2'!M74+'дод 2'!M151</f>
        <v>0</v>
      </c>
      <c r="M112" s="62">
        <f>'дод 2'!N74+'дод 2'!N151</f>
        <v>0</v>
      </c>
      <c r="N112" s="62">
        <f>'дод 2'!O74+'дод 2'!O151</f>
        <v>1187498.93</v>
      </c>
      <c r="O112" s="62">
        <f>'дод 2'!P74+'дод 2'!P151</f>
        <v>1187498.93</v>
      </c>
    </row>
    <row r="113" spans="1:15" s="82" customFormat="1" ht="39.75" customHeight="1" x14ac:dyDescent="0.25">
      <c r="A113" s="47" t="s">
        <v>105</v>
      </c>
      <c r="B113" s="50"/>
      <c r="C113" s="2" t="s">
        <v>2</v>
      </c>
      <c r="D113" s="61">
        <f>D115+D118+D116+D117</f>
        <v>28000000</v>
      </c>
      <c r="E113" s="61">
        <f t="shared" ref="E113:O113" si="14">E115+E118+E116+E117</f>
        <v>0</v>
      </c>
      <c r="F113" s="61">
        <f t="shared" si="14"/>
        <v>0</v>
      </c>
      <c r="G113" s="61">
        <f t="shared" si="14"/>
        <v>0</v>
      </c>
      <c r="H113" s="61">
        <f t="shared" si="14"/>
        <v>28000000</v>
      </c>
      <c r="I113" s="61">
        <f t="shared" si="14"/>
        <v>80000000</v>
      </c>
      <c r="J113" s="61">
        <f t="shared" si="14"/>
        <v>0</v>
      </c>
      <c r="K113" s="61">
        <f t="shared" si="14"/>
        <v>80000000</v>
      </c>
      <c r="L113" s="61">
        <f t="shared" si="14"/>
        <v>0</v>
      </c>
      <c r="M113" s="61">
        <f t="shared" si="14"/>
        <v>0</v>
      </c>
      <c r="N113" s="61">
        <f t="shared" si="14"/>
        <v>0</v>
      </c>
      <c r="O113" s="61">
        <f t="shared" si="14"/>
        <v>108000000</v>
      </c>
    </row>
    <row r="114" spans="1:15" s="82" customFormat="1" ht="17.25" customHeight="1" x14ac:dyDescent="0.25">
      <c r="A114" s="47"/>
      <c r="B114" s="50"/>
      <c r="C114" s="2" t="s">
        <v>308</v>
      </c>
      <c r="D114" s="61">
        <f>D119</f>
        <v>0</v>
      </c>
      <c r="E114" s="61">
        <f t="shared" ref="E114:O114" si="15">E119</f>
        <v>0</v>
      </c>
      <c r="F114" s="61">
        <f t="shared" si="15"/>
        <v>0</v>
      </c>
      <c r="G114" s="61">
        <f t="shared" si="15"/>
        <v>0</v>
      </c>
      <c r="H114" s="61">
        <f t="shared" si="15"/>
        <v>0</v>
      </c>
      <c r="I114" s="61">
        <f t="shared" si="15"/>
        <v>80000000</v>
      </c>
      <c r="J114" s="61">
        <f t="shared" si="15"/>
        <v>0</v>
      </c>
      <c r="K114" s="61">
        <f t="shared" si="15"/>
        <v>80000000</v>
      </c>
      <c r="L114" s="61">
        <f t="shared" si="15"/>
        <v>0</v>
      </c>
      <c r="M114" s="61">
        <f t="shared" si="15"/>
        <v>0</v>
      </c>
      <c r="N114" s="61">
        <f t="shared" si="15"/>
        <v>0</v>
      </c>
      <c r="O114" s="61">
        <f t="shared" si="15"/>
        <v>80000000</v>
      </c>
    </row>
    <row r="115" spans="1:15" s="84" customFormat="1" ht="30" customHeight="1" x14ac:dyDescent="0.25">
      <c r="A115" s="46" t="s">
        <v>4</v>
      </c>
      <c r="B115" s="46" t="s">
        <v>104</v>
      </c>
      <c r="C115" s="3" t="s">
        <v>49</v>
      </c>
      <c r="D115" s="62">
        <f>'дод 2'!E38</f>
        <v>10000000</v>
      </c>
      <c r="E115" s="62">
        <f>'дод 2'!F38</f>
        <v>0</v>
      </c>
      <c r="F115" s="62">
        <f>'дод 2'!G38</f>
        <v>0</v>
      </c>
      <c r="G115" s="62">
        <f>'дод 2'!H38</f>
        <v>0</v>
      </c>
      <c r="H115" s="62">
        <f>'дод 2'!I38</f>
        <v>10000000</v>
      </c>
      <c r="I115" s="62">
        <f>'дод 2'!J38</f>
        <v>0</v>
      </c>
      <c r="J115" s="62">
        <f>'дод 2'!K38</f>
        <v>0</v>
      </c>
      <c r="K115" s="62">
        <f>'дод 2'!L38</f>
        <v>0</v>
      </c>
      <c r="L115" s="62">
        <f>'дод 2'!M38</f>
        <v>0</v>
      </c>
      <c r="M115" s="62">
        <f>'дод 2'!N38</f>
        <v>0</v>
      </c>
      <c r="N115" s="62">
        <f>'дод 2'!O38</f>
        <v>0</v>
      </c>
      <c r="O115" s="62">
        <f>'дод 2'!P38</f>
        <v>10000000</v>
      </c>
    </row>
    <row r="116" spans="1:15" s="84" customFormat="1" ht="30" customHeight="1" x14ac:dyDescent="0.25">
      <c r="A116" s="46">
        <v>7413</v>
      </c>
      <c r="B116" s="46" t="s">
        <v>104</v>
      </c>
      <c r="C116" s="3" t="s">
        <v>467</v>
      </c>
      <c r="D116" s="62">
        <f>'дод 2'!E39</f>
        <v>2800000</v>
      </c>
      <c r="E116" s="62">
        <f>'дод 2'!F39</f>
        <v>0</v>
      </c>
      <c r="F116" s="62">
        <f>'дод 2'!G39</f>
        <v>0</v>
      </c>
      <c r="G116" s="62">
        <f>'дод 2'!H39</f>
        <v>0</v>
      </c>
      <c r="H116" s="62">
        <f>'дод 2'!I39</f>
        <v>2800000</v>
      </c>
      <c r="I116" s="62">
        <f>'дод 2'!J39</f>
        <v>0</v>
      </c>
      <c r="J116" s="62">
        <f>'дод 2'!K39</f>
        <v>0</v>
      </c>
      <c r="K116" s="62">
        <f>'дод 2'!L39</f>
        <v>0</v>
      </c>
      <c r="L116" s="62">
        <f>'дод 2'!M39</f>
        <v>0</v>
      </c>
      <c r="M116" s="62">
        <f>'дод 2'!N39</f>
        <v>0</v>
      </c>
      <c r="N116" s="62">
        <f>'дод 2'!O39</f>
        <v>0</v>
      </c>
      <c r="O116" s="62">
        <f>'дод 2'!P39</f>
        <v>2800000</v>
      </c>
    </row>
    <row r="117" spans="1:15" s="84" customFormat="1" ht="30" customHeight="1" x14ac:dyDescent="0.25">
      <c r="A117" s="46">
        <v>7426</v>
      </c>
      <c r="B117" s="46">
        <v>453</v>
      </c>
      <c r="C117" s="3" t="s">
        <v>468</v>
      </c>
      <c r="D117" s="62">
        <f>'дод 2'!E40</f>
        <v>15200000</v>
      </c>
      <c r="E117" s="62">
        <f>'дод 2'!F40</f>
        <v>0</v>
      </c>
      <c r="F117" s="62">
        <f>'дод 2'!G40</f>
        <v>0</v>
      </c>
      <c r="G117" s="62">
        <f>'дод 2'!H40</f>
        <v>0</v>
      </c>
      <c r="H117" s="62">
        <f>'дод 2'!I40</f>
        <v>15200000</v>
      </c>
      <c r="I117" s="62">
        <f>'дод 2'!J40</f>
        <v>0</v>
      </c>
      <c r="J117" s="62">
        <f>'дод 2'!K40</f>
        <v>0</v>
      </c>
      <c r="K117" s="62">
        <f>'дод 2'!L40</f>
        <v>0</v>
      </c>
      <c r="L117" s="62">
        <f>'дод 2'!M40</f>
        <v>0</v>
      </c>
      <c r="M117" s="62">
        <f>'дод 2'!N40</f>
        <v>0</v>
      </c>
      <c r="N117" s="62">
        <f>'дод 2'!O40</f>
        <v>0</v>
      </c>
      <c r="O117" s="62">
        <f>'дод 2'!P40</f>
        <v>15200000</v>
      </c>
    </row>
    <row r="118" spans="1:15" s="84" customFormat="1" ht="53.25" customHeight="1" x14ac:dyDescent="0.25">
      <c r="A118" s="46">
        <v>7462</v>
      </c>
      <c r="B118" s="46">
        <v>456</v>
      </c>
      <c r="C118" s="3" t="s">
        <v>452</v>
      </c>
      <c r="D118" s="62">
        <f>'дод 2'!E152</f>
        <v>0</v>
      </c>
      <c r="E118" s="62">
        <f>'дод 2'!F152</f>
        <v>0</v>
      </c>
      <c r="F118" s="62">
        <f>'дод 2'!G152</f>
        <v>0</v>
      </c>
      <c r="G118" s="62">
        <f>'дод 2'!H152</f>
        <v>0</v>
      </c>
      <c r="H118" s="62">
        <f>'дод 2'!I152</f>
        <v>0</v>
      </c>
      <c r="I118" s="62">
        <f>'дод 2'!J152</f>
        <v>80000000</v>
      </c>
      <c r="J118" s="62">
        <f>'дод 2'!K152</f>
        <v>0</v>
      </c>
      <c r="K118" s="62">
        <f>'дод 2'!L152</f>
        <v>80000000</v>
      </c>
      <c r="L118" s="62">
        <f>'дод 2'!M152</f>
        <v>0</v>
      </c>
      <c r="M118" s="62">
        <f>'дод 2'!N152</f>
        <v>0</v>
      </c>
      <c r="N118" s="62">
        <f>'дод 2'!O152</f>
        <v>0</v>
      </c>
      <c r="O118" s="62">
        <f>'дод 2'!P152</f>
        <v>80000000</v>
      </c>
    </row>
    <row r="119" spans="1:15" s="84" customFormat="1" ht="17.25" customHeight="1" x14ac:dyDescent="0.25">
      <c r="A119" s="46"/>
      <c r="B119" s="46"/>
      <c r="C119" s="3" t="s">
        <v>308</v>
      </c>
      <c r="D119" s="62">
        <f>'дод 2'!E153</f>
        <v>0</v>
      </c>
      <c r="E119" s="62">
        <f>'дод 2'!F153</f>
        <v>0</v>
      </c>
      <c r="F119" s="62">
        <f>'дод 2'!G153</f>
        <v>0</v>
      </c>
      <c r="G119" s="62">
        <f>'дод 2'!H153</f>
        <v>0</v>
      </c>
      <c r="H119" s="62">
        <f>'дод 2'!I153</f>
        <v>0</v>
      </c>
      <c r="I119" s="62">
        <f>'дод 2'!J153</f>
        <v>80000000</v>
      </c>
      <c r="J119" s="62">
        <f>'дод 2'!K153</f>
        <v>0</v>
      </c>
      <c r="K119" s="62">
        <f>'дод 2'!L153</f>
        <v>80000000</v>
      </c>
      <c r="L119" s="62">
        <f>'дод 2'!M153</f>
        <v>0</v>
      </c>
      <c r="M119" s="62">
        <f>'дод 2'!N153</f>
        <v>0</v>
      </c>
      <c r="N119" s="62">
        <f>'дод 2'!O153</f>
        <v>0</v>
      </c>
      <c r="O119" s="62">
        <f>'дод 2'!P153</f>
        <v>80000000</v>
      </c>
    </row>
    <row r="120" spans="1:15" s="82" customFormat="1" ht="28.5" customHeight="1" x14ac:dyDescent="0.25">
      <c r="A120" s="48" t="s">
        <v>279</v>
      </c>
      <c r="B120" s="50"/>
      <c r="C120" s="2" t="s">
        <v>280</v>
      </c>
      <c r="D120" s="61">
        <f t="shared" ref="D120:O120" si="16">D121</f>
        <v>13450000</v>
      </c>
      <c r="E120" s="61">
        <f t="shared" si="16"/>
        <v>13450000</v>
      </c>
      <c r="F120" s="61">
        <f t="shared" si="16"/>
        <v>0</v>
      </c>
      <c r="G120" s="61">
        <f t="shared" si="16"/>
        <v>0</v>
      </c>
      <c r="H120" s="61">
        <f t="shared" si="16"/>
        <v>0</v>
      </c>
      <c r="I120" s="61">
        <f t="shared" si="16"/>
        <v>6050000</v>
      </c>
      <c r="J120" s="61">
        <f t="shared" si="16"/>
        <v>6050000</v>
      </c>
      <c r="K120" s="61">
        <f t="shared" si="16"/>
        <v>0</v>
      </c>
      <c r="L120" s="61">
        <f t="shared" si="16"/>
        <v>0</v>
      </c>
      <c r="M120" s="61">
        <f t="shared" si="16"/>
        <v>0</v>
      </c>
      <c r="N120" s="61">
        <f t="shared" si="16"/>
        <v>6050000</v>
      </c>
      <c r="O120" s="61">
        <f t="shared" si="16"/>
        <v>19500000</v>
      </c>
    </row>
    <row r="121" spans="1:15" ht="37.5" customHeight="1" x14ac:dyDescent="0.25">
      <c r="A121" s="49" t="s">
        <v>277</v>
      </c>
      <c r="B121" s="49" t="s">
        <v>278</v>
      </c>
      <c r="C121" s="11" t="s">
        <v>276</v>
      </c>
      <c r="D121" s="62">
        <f>'дод 2'!E41</f>
        <v>13450000</v>
      </c>
      <c r="E121" s="62">
        <f>'дод 2'!F41</f>
        <v>13450000</v>
      </c>
      <c r="F121" s="62">
        <f>'дод 2'!G41</f>
        <v>0</v>
      </c>
      <c r="G121" s="62">
        <f>'дод 2'!H41</f>
        <v>0</v>
      </c>
      <c r="H121" s="62">
        <f>'дод 2'!I41</f>
        <v>0</v>
      </c>
      <c r="I121" s="62">
        <f>'дод 2'!J41</f>
        <v>6050000</v>
      </c>
      <c r="J121" s="62">
        <f>'дод 2'!K41</f>
        <v>6050000</v>
      </c>
      <c r="K121" s="62">
        <f>'дод 2'!L41</f>
        <v>0</v>
      </c>
      <c r="L121" s="62">
        <f>'дод 2'!M41</f>
        <v>0</v>
      </c>
      <c r="M121" s="62">
        <f>'дод 2'!N41</f>
        <v>0</v>
      </c>
      <c r="N121" s="62">
        <f>'дод 2'!O41</f>
        <v>6050000</v>
      </c>
      <c r="O121" s="62">
        <f>'дод 2'!P41</f>
        <v>19500000</v>
      </c>
    </row>
    <row r="122" spans="1:15" s="82" customFormat="1" ht="38.25" customHeight="1" x14ac:dyDescent="0.25">
      <c r="A122" s="47" t="s">
        <v>108</v>
      </c>
      <c r="B122" s="50"/>
      <c r="C122" s="2" t="s">
        <v>5</v>
      </c>
      <c r="D122" s="61">
        <f t="shared" ref="D122:O122" si="17">D123+D124+D125+D126+D127+D128+D129+D130</f>
        <v>8599667</v>
      </c>
      <c r="E122" s="61">
        <f t="shared" si="17"/>
        <v>6782667</v>
      </c>
      <c r="F122" s="61">
        <f t="shared" si="17"/>
        <v>0</v>
      </c>
      <c r="G122" s="61">
        <f t="shared" si="17"/>
        <v>0</v>
      </c>
      <c r="H122" s="61">
        <f t="shared" si="17"/>
        <v>1817000</v>
      </c>
      <c r="I122" s="61">
        <f t="shared" si="17"/>
        <v>153039184.13</v>
      </c>
      <c r="J122" s="61">
        <f t="shared" si="17"/>
        <v>139415052</v>
      </c>
      <c r="K122" s="61">
        <f t="shared" si="17"/>
        <v>2171363.0100000002</v>
      </c>
      <c r="L122" s="61">
        <f t="shared" si="17"/>
        <v>0</v>
      </c>
      <c r="M122" s="61">
        <f t="shared" si="17"/>
        <v>0</v>
      </c>
      <c r="N122" s="61">
        <f t="shared" si="17"/>
        <v>150867821.12</v>
      </c>
      <c r="O122" s="61">
        <f t="shared" si="17"/>
        <v>161638851.13</v>
      </c>
    </row>
    <row r="123" spans="1:15" ht="30.75" customHeight="1" x14ac:dyDescent="0.25">
      <c r="A123" s="46" t="s">
        <v>6</v>
      </c>
      <c r="B123" s="46" t="s">
        <v>107</v>
      </c>
      <c r="C123" s="3" t="s">
        <v>32</v>
      </c>
      <c r="D123" s="62">
        <f>'дод 2'!E42+'дод 2'!E190</f>
        <v>1235000</v>
      </c>
      <c r="E123" s="62">
        <f>'дод 2'!F42+'дод 2'!F190</f>
        <v>617000</v>
      </c>
      <c r="F123" s="62">
        <f>'дод 2'!G42+'дод 2'!G190</f>
        <v>0</v>
      </c>
      <c r="G123" s="62">
        <f>'дод 2'!H42+'дод 2'!H190</f>
        <v>0</v>
      </c>
      <c r="H123" s="62">
        <f>'дод 2'!I42+'дод 2'!I190</f>
        <v>618000</v>
      </c>
      <c r="I123" s="62">
        <f>'дод 2'!J42+'дод 2'!J190</f>
        <v>0</v>
      </c>
      <c r="J123" s="62">
        <f>'дод 2'!K42+'дод 2'!K190</f>
        <v>0</v>
      </c>
      <c r="K123" s="62">
        <f>'дод 2'!L42+'дод 2'!L190</f>
        <v>0</v>
      </c>
      <c r="L123" s="62">
        <f>'дод 2'!M42+'дод 2'!M190</f>
        <v>0</v>
      </c>
      <c r="M123" s="62">
        <f>'дод 2'!N42+'дод 2'!N190</f>
        <v>0</v>
      </c>
      <c r="N123" s="62">
        <f>'дод 2'!O42+'дод 2'!O190</f>
        <v>0</v>
      </c>
      <c r="O123" s="62">
        <f>'дод 2'!P42+'дод 2'!P190</f>
        <v>1235000</v>
      </c>
    </row>
    <row r="124" spans="1:15" ht="24.75" customHeight="1" x14ac:dyDescent="0.25">
      <c r="A124" s="46" t="s">
        <v>3</v>
      </c>
      <c r="B124" s="46" t="s">
        <v>106</v>
      </c>
      <c r="C124" s="3" t="s">
        <v>45</v>
      </c>
      <c r="D124" s="62">
        <f>'дод 2'!E75+'дод 2'!E94+'дод 2'!E131+'дод 2'!E154+'дод 2'!E176+'дод 2'!E197</f>
        <v>4350811</v>
      </c>
      <c r="E124" s="62">
        <f>'дод 2'!F75+'дод 2'!F94+'дод 2'!F131+'дод 2'!F154+'дод 2'!F176+'дод 2'!F197</f>
        <v>3151811</v>
      </c>
      <c r="F124" s="62">
        <f>'дод 2'!G75+'дод 2'!G94+'дод 2'!G131+'дод 2'!G154+'дод 2'!G176+'дод 2'!G197</f>
        <v>0</v>
      </c>
      <c r="G124" s="62">
        <f>'дод 2'!H75+'дод 2'!H94+'дод 2'!H131+'дод 2'!H154+'дод 2'!H176+'дод 2'!H197</f>
        <v>0</v>
      </c>
      <c r="H124" s="62">
        <f>'дод 2'!I75+'дод 2'!I94+'дод 2'!I131+'дод 2'!I154+'дод 2'!I176+'дод 2'!I197</f>
        <v>1199000</v>
      </c>
      <c r="I124" s="62">
        <f>'дод 2'!J75+'дод 2'!J94+'дод 2'!J131+'дод 2'!J154+'дод 2'!J176+'дод 2'!J197</f>
        <v>109462174</v>
      </c>
      <c r="J124" s="62">
        <f>'дод 2'!K75+'дод 2'!K94+'дод 2'!K131+'дод 2'!K154+'дод 2'!K176+'дод 2'!K197</f>
        <v>99725722</v>
      </c>
      <c r="K124" s="62">
        <f>'дод 2'!L75+'дод 2'!L94+'дод 2'!L131+'дод 2'!L154+'дод 2'!L176+'дод 2'!L197</f>
        <v>0</v>
      </c>
      <c r="L124" s="62">
        <f>'дод 2'!M75+'дод 2'!M94+'дод 2'!M131+'дод 2'!M154+'дод 2'!M176+'дод 2'!M197</f>
        <v>0</v>
      </c>
      <c r="M124" s="62">
        <f>'дод 2'!N75+'дод 2'!N94+'дод 2'!N131+'дод 2'!N154+'дод 2'!N176+'дод 2'!N197</f>
        <v>0</v>
      </c>
      <c r="N124" s="62">
        <f>'дод 2'!O75+'дод 2'!O94+'дод 2'!O131+'дод 2'!O154+'дод 2'!O176+'дод 2'!O197</f>
        <v>109462174</v>
      </c>
      <c r="O124" s="62">
        <f>'дод 2'!P75+'дод 2'!P94+'дод 2'!P131+'дод 2'!P154+'дод 2'!P176+'дод 2'!P197</f>
        <v>113812985</v>
      </c>
    </row>
    <row r="125" spans="1:15" ht="33.75" customHeight="1" x14ac:dyDescent="0.25">
      <c r="A125" s="46" t="s">
        <v>310</v>
      </c>
      <c r="B125" s="46" t="s">
        <v>102</v>
      </c>
      <c r="C125" s="3" t="s">
        <v>407</v>
      </c>
      <c r="D125" s="62">
        <f>'дод 2'!E191</f>
        <v>0</v>
      </c>
      <c r="E125" s="62">
        <f>'дод 2'!F191</f>
        <v>0</v>
      </c>
      <c r="F125" s="62">
        <f>'дод 2'!G191</f>
        <v>0</v>
      </c>
      <c r="G125" s="62">
        <f>'дод 2'!H191</f>
        <v>0</v>
      </c>
      <c r="H125" s="62">
        <f>'дод 2'!I191</f>
        <v>0</v>
      </c>
      <c r="I125" s="62">
        <f>'дод 2'!J191</f>
        <v>30000</v>
      </c>
      <c r="J125" s="62">
        <f>'дод 2'!K191</f>
        <v>30000</v>
      </c>
      <c r="K125" s="62">
        <f>'дод 2'!L191</f>
        <v>0</v>
      </c>
      <c r="L125" s="62">
        <f>'дод 2'!M191</f>
        <v>0</v>
      </c>
      <c r="M125" s="62">
        <f>'дод 2'!N191</f>
        <v>0</v>
      </c>
      <c r="N125" s="62">
        <f>'дод 2'!O191</f>
        <v>30000</v>
      </c>
      <c r="O125" s="62">
        <f>'дод 2'!P191</f>
        <v>30000</v>
      </c>
    </row>
    <row r="126" spans="1:15" ht="59.25" customHeight="1" x14ac:dyDescent="0.25">
      <c r="A126" s="46" t="s">
        <v>312</v>
      </c>
      <c r="B126" s="46" t="s">
        <v>102</v>
      </c>
      <c r="C126" s="3" t="s">
        <v>313</v>
      </c>
      <c r="D126" s="62">
        <f>'дод 2'!E192</f>
        <v>0</v>
      </c>
      <c r="E126" s="62">
        <f>'дод 2'!F192</f>
        <v>0</v>
      </c>
      <c r="F126" s="62">
        <f>'дод 2'!G192</f>
        <v>0</v>
      </c>
      <c r="G126" s="62">
        <f>'дод 2'!H192</f>
        <v>0</v>
      </c>
      <c r="H126" s="62">
        <f>'дод 2'!I192</f>
        <v>0</v>
      </c>
      <c r="I126" s="62">
        <f>'дод 2'!J192</f>
        <v>45000</v>
      </c>
      <c r="J126" s="62">
        <f>'дод 2'!K192</f>
        <v>45000</v>
      </c>
      <c r="K126" s="62">
        <f>'дод 2'!L192</f>
        <v>0</v>
      </c>
      <c r="L126" s="62">
        <f>'дод 2'!M192</f>
        <v>0</v>
      </c>
      <c r="M126" s="62">
        <f>'дод 2'!N192</f>
        <v>0</v>
      </c>
      <c r="N126" s="62">
        <f>'дод 2'!O192</f>
        <v>45000</v>
      </c>
      <c r="O126" s="62">
        <f>'дод 2'!P192</f>
        <v>45000</v>
      </c>
    </row>
    <row r="127" spans="1:15" ht="30.75" customHeight="1" x14ac:dyDescent="0.25">
      <c r="A127" s="46" t="s">
        <v>7</v>
      </c>
      <c r="B127" s="46" t="s">
        <v>102</v>
      </c>
      <c r="C127" s="3" t="s">
        <v>33</v>
      </c>
      <c r="D127" s="62">
        <f>'дод 2'!E43+'дод 2'!E155</f>
        <v>0</v>
      </c>
      <c r="E127" s="62">
        <f>'дод 2'!F43+'дод 2'!F155</f>
        <v>0</v>
      </c>
      <c r="F127" s="62">
        <f>'дод 2'!G43+'дод 2'!G155</f>
        <v>0</v>
      </c>
      <c r="G127" s="62">
        <f>'дод 2'!H43+'дод 2'!H155</f>
        <v>0</v>
      </c>
      <c r="H127" s="62">
        <f>'дод 2'!I43+'дод 2'!I155</f>
        <v>0</v>
      </c>
      <c r="I127" s="62">
        <f>'дод 2'!J43+'дод 2'!J155</f>
        <v>39614330</v>
      </c>
      <c r="J127" s="62">
        <f>'дод 2'!K43+'дод 2'!K155</f>
        <v>39614330</v>
      </c>
      <c r="K127" s="62">
        <f>'дод 2'!L43+'дод 2'!L155</f>
        <v>0</v>
      </c>
      <c r="L127" s="62">
        <f>'дод 2'!M43+'дод 2'!M155</f>
        <v>0</v>
      </c>
      <c r="M127" s="62">
        <f>'дод 2'!N43+'дод 2'!N155</f>
        <v>0</v>
      </c>
      <c r="N127" s="62">
        <f>'дод 2'!O43+'дод 2'!O155</f>
        <v>39614330</v>
      </c>
      <c r="O127" s="62">
        <f>'дод 2'!P43+'дод 2'!P155</f>
        <v>39614330</v>
      </c>
    </row>
    <row r="128" spans="1:15" ht="36.75" customHeight="1" x14ac:dyDescent="0.25">
      <c r="A128" s="46" t="s">
        <v>290</v>
      </c>
      <c r="B128" s="46" t="s">
        <v>102</v>
      </c>
      <c r="C128" s="3" t="s">
        <v>291</v>
      </c>
      <c r="D128" s="62">
        <f>'дод 2'!E44</f>
        <v>241467</v>
      </c>
      <c r="E128" s="62">
        <f>'дод 2'!F44</f>
        <v>241467</v>
      </c>
      <c r="F128" s="62">
        <f>'дод 2'!G44</f>
        <v>0</v>
      </c>
      <c r="G128" s="62">
        <f>'дод 2'!H44</f>
        <v>0</v>
      </c>
      <c r="H128" s="62">
        <f>'дод 2'!I44</f>
        <v>0</v>
      </c>
      <c r="I128" s="62">
        <f>'дод 2'!J44</f>
        <v>0</v>
      </c>
      <c r="J128" s="62">
        <f>'дод 2'!K44</f>
        <v>0</v>
      </c>
      <c r="K128" s="62">
        <f>'дод 2'!L44</f>
        <v>0</v>
      </c>
      <c r="L128" s="62">
        <f>'дод 2'!M44</f>
        <v>0</v>
      </c>
      <c r="M128" s="62">
        <f>'дод 2'!N44</f>
        <v>0</v>
      </c>
      <c r="N128" s="62">
        <f>'дод 2'!O44</f>
        <v>0</v>
      </c>
      <c r="O128" s="62">
        <f>'дод 2'!P44</f>
        <v>241467</v>
      </c>
    </row>
    <row r="129" spans="1:15" s="84" customFormat="1" ht="108" customHeight="1" x14ac:dyDescent="0.25">
      <c r="A129" s="46" t="s">
        <v>346</v>
      </c>
      <c r="B129" s="46" t="s">
        <v>102</v>
      </c>
      <c r="C129" s="3" t="s">
        <v>367</v>
      </c>
      <c r="D129" s="62">
        <f>'дод 2'!E45+'дод 2'!E156+'дод 2'!E177+'дод 2'!E182</f>
        <v>0</v>
      </c>
      <c r="E129" s="62">
        <f>'дод 2'!F45+'дод 2'!F156+'дод 2'!F177+'дод 2'!F182</f>
        <v>0</v>
      </c>
      <c r="F129" s="62">
        <f>'дод 2'!G45+'дод 2'!G156+'дод 2'!G177+'дод 2'!G182</f>
        <v>0</v>
      </c>
      <c r="G129" s="62">
        <f>'дод 2'!H45+'дод 2'!H156+'дод 2'!H177+'дод 2'!H182</f>
        <v>0</v>
      </c>
      <c r="H129" s="62">
        <f>'дод 2'!I45+'дод 2'!I156+'дод 2'!I177+'дод 2'!I182</f>
        <v>0</v>
      </c>
      <c r="I129" s="62">
        <f>'дод 2'!J45+'дод 2'!J156+'дод 2'!J177+'дод 2'!J182</f>
        <v>3887680.13</v>
      </c>
      <c r="J129" s="62">
        <f>'дод 2'!K45+'дод 2'!K156+'дод 2'!K177+'дод 2'!K182</f>
        <v>0</v>
      </c>
      <c r="K129" s="62">
        <f>'дод 2'!L45+'дод 2'!L156+'дод 2'!L177+'дод 2'!L182</f>
        <v>2171363.0100000002</v>
      </c>
      <c r="L129" s="62">
        <f>'дод 2'!M45+'дод 2'!M156+'дод 2'!M177+'дод 2'!M182</f>
        <v>0</v>
      </c>
      <c r="M129" s="62">
        <f>'дод 2'!N45+'дод 2'!N156+'дод 2'!N177+'дод 2'!N182</f>
        <v>0</v>
      </c>
      <c r="N129" s="62">
        <f>'дод 2'!O45+'дод 2'!O156+'дод 2'!O177+'дод 2'!O182</f>
        <v>1716317.12</v>
      </c>
      <c r="O129" s="62">
        <f>'дод 2'!P45+'дод 2'!P156+'дод 2'!P177+'дод 2'!P182</f>
        <v>3887680.13</v>
      </c>
    </row>
    <row r="130" spans="1:15" s="84" customFormat="1" ht="30.75" customHeight="1" x14ac:dyDescent="0.25">
      <c r="A130" s="46" t="s">
        <v>281</v>
      </c>
      <c r="B130" s="46" t="s">
        <v>102</v>
      </c>
      <c r="C130" s="3" t="s">
        <v>23</v>
      </c>
      <c r="D130" s="62">
        <f>'дод 2'!E46+'дод 2'!E193+'дод 2'!E198</f>
        <v>2772389</v>
      </c>
      <c r="E130" s="62">
        <f>'дод 2'!F46+'дод 2'!F193+'дод 2'!F198</f>
        <v>2772389</v>
      </c>
      <c r="F130" s="62">
        <f>'дод 2'!G46+'дод 2'!G193+'дод 2'!G198</f>
        <v>0</v>
      </c>
      <c r="G130" s="62">
        <f>'дод 2'!H46+'дод 2'!H193+'дод 2'!H198</f>
        <v>0</v>
      </c>
      <c r="H130" s="62">
        <f>'дод 2'!I46+'дод 2'!I193+'дод 2'!I198</f>
        <v>0</v>
      </c>
      <c r="I130" s="62">
        <f>'дод 2'!J46+'дод 2'!J193+'дод 2'!J198</f>
        <v>0</v>
      </c>
      <c r="J130" s="62">
        <f>'дод 2'!K46+'дод 2'!K193+'дод 2'!K198</f>
        <v>0</v>
      </c>
      <c r="K130" s="62">
        <f>'дод 2'!L46+'дод 2'!L193+'дод 2'!L198</f>
        <v>0</v>
      </c>
      <c r="L130" s="62">
        <f>'дод 2'!M46+'дод 2'!M193+'дод 2'!M198</f>
        <v>0</v>
      </c>
      <c r="M130" s="62">
        <f>'дод 2'!N46+'дод 2'!N193+'дод 2'!N198</f>
        <v>0</v>
      </c>
      <c r="N130" s="62">
        <f>'дод 2'!O46+'дод 2'!O193+'дод 2'!O198</f>
        <v>0</v>
      </c>
      <c r="O130" s="62">
        <f>'дод 2'!P46+'дод 2'!P193+'дод 2'!P198</f>
        <v>2772389</v>
      </c>
    </row>
    <row r="131" spans="1:15" s="83" customFormat="1" ht="48.75" customHeight="1" x14ac:dyDescent="0.25">
      <c r="A131" s="47">
        <v>7700</v>
      </c>
      <c r="B131" s="47"/>
      <c r="C131" s="99" t="s">
        <v>426</v>
      </c>
      <c r="D131" s="61">
        <f>D132</f>
        <v>0</v>
      </c>
      <c r="E131" s="61">
        <f t="shared" ref="E131:O131" si="18">E132</f>
        <v>0</v>
      </c>
      <c r="F131" s="61">
        <f t="shared" si="18"/>
        <v>0</v>
      </c>
      <c r="G131" s="61">
        <f t="shared" si="18"/>
        <v>0</v>
      </c>
      <c r="H131" s="61">
        <f t="shared" si="18"/>
        <v>0</v>
      </c>
      <c r="I131" s="61">
        <f t="shared" si="18"/>
        <v>885000</v>
      </c>
      <c r="J131" s="61">
        <f t="shared" si="18"/>
        <v>0</v>
      </c>
      <c r="K131" s="61">
        <f t="shared" si="18"/>
        <v>0</v>
      </c>
      <c r="L131" s="61">
        <f t="shared" si="18"/>
        <v>0</v>
      </c>
      <c r="M131" s="61">
        <f t="shared" si="18"/>
        <v>0</v>
      </c>
      <c r="N131" s="61">
        <f t="shared" si="18"/>
        <v>885000</v>
      </c>
      <c r="O131" s="61">
        <f t="shared" si="18"/>
        <v>885000</v>
      </c>
    </row>
    <row r="132" spans="1:15" s="84" customFormat="1" ht="46.5" customHeight="1" x14ac:dyDescent="0.25">
      <c r="A132" s="46">
        <v>7700</v>
      </c>
      <c r="B132" s="98" t="s">
        <v>113</v>
      </c>
      <c r="C132" s="24" t="s">
        <v>426</v>
      </c>
      <c r="D132" s="62">
        <f>'дод 2'!E95</f>
        <v>0</v>
      </c>
      <c r="E132" s="62">
        <f>'дод 2'!F95</f>
        <v>0</v>
      </c>
      <c r="F132" s="62">
        <f>'дод 2'!G95</f>
        <v>0</v>
      </c>
      <c r="G132" s="62">
        <f>'дод 2'!H95</f>
        <v>0</v>
      </c>
      <c r="H132" s="62">
        <f>'дод 2'!I95</f>
        <v>0</v>
      </c>
      <c r="I132" s="62">
        <f>'дод 2'!J95</f>
        <v>885000</v>
      </c>
      <c r="J132" s="62">
        <f>'дод 2'!K95</f>
        <v>0</v>
      </c>
      <c r="K132" s="62">
        <f>'дод 2'!L95</f>
        <v>0</v>
      </c>
      <c r="L132" s="62">
        <f>'дод 2'!M95</f>
        <v>0</v>
      </c>
      <c r="M132" s="62">
        <f>'дод 2'!N95</f>
        <v>0</v>
      </c>
      <c r="N132" s="62">
        <f>'дод 2'!O95</f>
        <v>885000</v>
      </c>
      <c r="O132" s="62">
        <f>'дод 2'!P95</f>
        <v>885000</v>
      </c>
    </row>
    <row r="133" spans="1:15" s="82" customFormat="1" x14ac:dyDescent="0.25">
      <c r="A133" s="47" t="s">
        <v>114</v>
      </c>
      <c r="B133" s="48"/>
      <c r="C133" s="2" t="s">
        <v>9</v>
      </c>
      <c r="D133" s="61">
        <f t="shared" ref="D133:O133" si="19">D134+D137+D139+D142+D144+D145</f>
        <v>14380585</v>
      </c>
      <c r="E133" s="61">
        <f t="shared" si="19"/>
        <v>7238195</v>
      </c>
      <c r="F133" s="61">
        <f t="shared" si="19"/>
        <v>1542220</v>
      </c>
      <c r="G133" s="61">
        <f t="shared" si="19"/>
        <v>365540</v>
      </c>
      <c r="H133" s="61">
        <f t="shared" si="19"/>
        <v>0</v>
      </c>
      <c r="I133" s="61">
        <f t="shared" si="19"/>
        <v>8664643.4499999993</v>
      </c>
      <c r="J133" s="61">
        <f t="shared" si="19"/>
        <v>2299600</v>
      </c>
      <c r="K133" s="61">
        <f t="shared" si="19"/>
        <v>2552000</v>
      </c>
      <c r="L133" s="61">
        <f t="shared" si="19"/>
        <v>0</v>
      </c>
      <c r="M133" s="61">
        <f t="shared" si="19"/>
        <v>541400</v>
      </c>
      <c r="N133" s="61">
        <f t="shared" si="19"/>
        <v>6112643.4500000002</v>
      </c>
      <c r="O133" s="61">
        <f t="shared" si="19"/>
        <v>23045228.449999999</v>
      </c>
    </row>
    <row r="134" spans="1:15" s="82" customFormat="1" ht="39.75" customHeight="1" x14ac:dyDescent="0.25">
      <c r="A134" s="47" t="s">
        <v>116</v>
      </c>
      <c r="B134" s="48"/>
      <c r="C134" s="2" t="s">
        <v>10</v>
      </c>
      <c r="D134" s="61">
        <f t="shared" ref="D134:O134" si="20">D135+D136</f>
        <v>5667770</v>
      </c>
      <c r="E134" s="61">
        <f t="shared" si="20"/>
        <v>5667770</v>
      </c>
      <c r="F134" s="61">
        <f t="shared" si="20"/>
        <v>1542220</v>
      </c>
      <c r="G134" s="61">
        <f t="shared" si="20"/>
        <v>87380</v>
      </c>
      <c r="H134" s="61">
        <f t="shared" si="20"/>
        <v>0</v>
      </c>
      <c r="I134" s="61">
        <f t="shared" si="20"/>
        <v>2305100</v>
      </c>
      <c r="J134" s="61">
        <f t="shared" si="20"/>
        <v>2299600</v>
      </c>
      <c r="K134" s="61">
        <f t="shared" si="20"/>
        <v>5500</v>
      </c>
      <c r="L134" s="61">
        <f t="shared" si="20"/>
        <v>0</v>
      </c>
      <c r="M134" s="61">
        <f t="shared" si="20"/>
        <v>1400</v>
      </c>
      <c r="N134" s="61">
        <f t="shared" si="20"/>
        <v>2299600</v>
      </c>
      <c r="O134" s="61">
        <f t="shared" si="20"/>
        <v>7972870</v>
      </c>
    </row>
    <row r="135" spans="1:15" s="82" customFormat="1" ht="36.75" customHeight="1" x14ac:dyDescent="0.25">
      <c r="A135" s="49" t="s">
        <v>11</v>
      </c>
      <c r="B135" s="49" t="s">
        <v>109</v>
      </c>
      <c r="C135" s="3" t="s">
        <v>347</v>
      </c>
      <c r="D135" s="62">
        <f>'дод 2'!E47+'дод 2'!E157</f>
        <v>3637500</v>
      </c>
      <c r="E135" s="62">
        <f>'дод 2'!F47+'дод 2'!F157</f>
        <v>3637500</v>
      </c>
      <c r="F135" s="62">
        <f>'дод 2'!G47+'дод 2'!G157</f>
        <v>0</v>
      </c>
      <c r="G135" s="62">
        <f>'дод 2'!H47+'дод 2'!H157</f>
        <v>7500</v>
      </c>
      <c r="H135" s="62">
        <f>'дод 2'!I47+'дод 2'!I157</f>
        <v>0</v>
      </c>
      <c r="I135" s="62">
        <f>'дод 2'!J47+'дод 2'!J157</f>
        <v>2299600</v>
      </c>
      <c r="J135" s="62">
        <f>'дод 2'!K47+'дод 2'!K157</f>
        <v>2299600</v>
      </c>
      <c r="K135" s="62">
        <f>'дод 2'!L47+'дод 2'!L157</f>
        <v>0</v>
      </c>
      <c r="L135" s="62">
        <f>'дод 2'!M47+'дод 2'!M157</f>
        <v>0</v>
      </c>
      <c r="M135" s="62">
        <f>'дод 2'!N47+'дод 2'!N157</f>
        <v>0</v>
      </c>
      <c r="N135" s="62">
        <f>'дод 2'!O47+'дод 2'!O157</f>
        <v>2299600</v>
      </c>
      <c r="O135" s="62">
        <f>'дод 2'!P47+'дод 2'!P157</f>
        <v>5937100</v>
      </c>
    </row>
    <row r="136" spans="1:15" ht="24.75" customHeight="1" x14ac:dyDescent="0.25">
      <c r="A136" s="46" t="s">
        <v>179</v>
      </c>
      <c r="B136" s="51" t="s">
        <v>109</v>
      </c>
      <c r="C136" s="3" t="s">
        <v>12</v>
      </c>
      <c r="D136" s="62">
        <f>'дод 2'!E48</f>
        <v>2030270</v>
      </c>
      <c r="E136" s="62">
        <f>'дод 2'!F48</f>
        <v>2030270</v>
      </c>
      <c r="F136" s="62">
        <f>'дод 2'!G48</f>
        <v>1542220</v>
      </c>
      <c r="G136" s="62">
        <f>'дод 2'!H48</f>
        <v>79880</v>
      </c>
      <c r="H136" s="62">
        <f>'дод 2'!I48</f>
        <v>0</v>
      </c>
      <c r="I136" s="62">
        <f>'дод 2'!J48</f>
        <v>5500</v>
      </c>
      <c r="J136" s="62">
        <f>'дод 2'!K48</f>
        <v>0</v>
      </c>
      <c r="K136" s="62">
        <f>'дод 2'!L48</f>
        <v>5500</v>
      </c>
      <c r="L136" s="62">
        <f>'дод 2'!M48</f>
        <v>0</v>
      </c>
      <c r="M136" s="62">
        <f>'дод 2'!N48</f>
        <v>1400</v>
      </c>
      <c r="N136" s="62">
        <f>'дод 2'!O48</f>
        <v>0</v>
      </c>
      <c r="O136" s="62">
        <f>'дод 2'!P48</f>
        <v>2035770</v>
      </c>
    </row>
    <row r="137" spans="1:15" s="82" customFormat="1" ht="30" customHeight="1" x14ac:dyDescent="0.25">
      <c r="A137" s="47" t="s">
        <v>292</v>
      </c>
      <c r="B137" s="47"/>
      <c r="C137" s="12" t="s">
        <v>293</v>
      </c>
      <c r="D137" s="61">
        <f t="shared" ref="D137:O137" si="21">D138</f>
        <v>683360</v>
      </c>
      <c r="E137" s="61">
        <f t="shared" si="21"/>
        <v>683360</v>
      </c>
      <c r="F137" s="61">
        <f t="shared" si="21"/>
        <v>0</v>
      </c>
      <c r="G137" s="61">
        <f t="shared" si="21"/>
        <v>278160</v>
      </c>
      <c r="H137" s="61">
        <f t="shared" si="21"/>
        <v>0</v>
      </c>
      <c r="I137" s="61">
        <f t="shared" si="21"/>
        <v>0</v>
      </c>
      <c r="J137" s="61">
        <f t="shared" si="21"/>
        <v>0</v>
      </c>
      <c r="K137" s="61">
        <f t="shared" si="21"/>
        <v>0</v>
      </c>
      <c r="L137" s="61">
        <f t="shared" si="21"/>
        <v>0</v>
      </c>
      <c r="M137" s="61">
        <f t="shared" si="21"/>
        <v>0</v>
      </c>
      <c r="N137" s="61">
        <f t="shared" si="21"/>
        <v>0</v>
      </c>
      <c r="O137" s="61">
        <f t="shared" si="21"/>
        <v>683360</v>
      </c>
    </row>
    <row r="138" spans="1:15" ht="30" customHeight="1" x14ac:dyDescent="0.25">
      <c r="A138" s="46" t="s">
        <v>286</v>
      </c>
      <c r="B138" s="51" t="s">
        <v>287</v>
      </c>
      <c r="C138" s="3" t="s">
        <v>288</v>
      </c>
      <c r="D138" s="62">
        <f>'дод 2'!E49+'дод 2'!E158</f>
        <v>683360</v>
      </c>
      <c r="E138" s="62">
        <f>'дод 2'!F49+'дод 2'!F158</f>
        <v>683360</v>
      </c>
      <c r="F138" s="62">
        <f>'дод 2'!G49+'дод 2'!G158</f>
        <v>0</v>
      </c>
      <c r="G138" s="62">
        <f>'дод 2'!H49+'дод 2'!H158</f>
        <v>278160</v>
      </c>
      <c r="H138" s="62">
        <f>'дод 2'!I49+'дод 2'!I158</f>
        <v>0</v>
      </c>
      <c r="I138" s="62">
        <f>'дод 2'!J49+'дод 2'!J158</f>
        <v>0</v>
      </c>
      <c r="J138" s="62">
        <f>'дод 2'!K49+'дод 2'!K158</f>
        <v>0</v>
      </c>
      <c r="K138" s="62">
        <f>'дод 2'!L49+'дод 2'!L158</f>
        <v>0</v>
      </c>
      <c r="L138" s="62">
        <f>'дод 2'!M49+'дод 2'!M158</f>
        <v>0</v>
      </c>
      <c r="M138" s="62">
        <f>'дод 2'!N49+'дод 2'!N158</f>
        <v>0</v>
      </c>
      <c r="N138" s="62">
        <f>'дод 2'!O49+'дод 2'!O158</f>
        <v>0</v>
      </c>
      <c r="O138" s="62">
        <f>'дод 2'!P49+'дод 2'!P158</f>
        <v>683360</v>
      </c>
    </row>
    <row r="139" spans="1:15" s="82" customFormat="1" ht="22.5" customHeight="1" x14ac:dyDescent="0.25">
      <c r="A139" s="47" t="s">
        <v>8</v>
      </c>
      <c r="B139" s="48"/>
      <c r="C139" s="2" t="s">
        <v>13</v>
      </c>
      <c r="D139" s="61">
        <f t="shared" ref="D139:O139" si="22">D141+D140</f>
        <v>75000</v>
      </c>
      <c r="E139" s="61">
        <f t="shared" si="22"/>
        <v>75000</v>
      </c>
      <c r="F139" s="61">
        <f t="shared" si="22"/>
        <v>0</v>
      </c>
      <c r="G139" s="61">
        <f t="shared" si="22"/>
        <v>0</v>
      </c>
      <c r="H139" s="61">
        <f t="shared" si="22"/>
        <v>0</v>
      </c>
      <c r="I139" s="61">
        <f t="shared" si="22"/>
        <v>6359543.4500000002</v>
      </c>
      <c r="J139" s="61">
        <f t="shared" si="22"/>
        <v>0</v>
      </c>
      <c r="K139" s="61">
        <f t="shared" si="22"/>
        <v>2546500</v>
      </c>
      <c r="L139" s="61">
        <f t="shared" si="22"/>
        <v>0</v>
      </c>
      <c r="M139" s="61">
        <f t="shared" si="22"/>
        <v>540000</v>
      </c>
      <c r="N139" s="61">
        <f t="shared" si="22"/>
        <v>3813043.45</v>
      </c>
      <c r="O139" s="61">
        <f t="shared" si="22"/>
        <v>6434543.4500000002</v>
      </c>
    </row>
    <row r="140" spans="1:15" s="82" customFormat="1" ht="46.5" customHeight="1" x14ac:dyDescent="0.25">
      <c r="A140" s="46">
        <v>8330</v>
      </c>
      <c r="B140" s="46">
        <v>540</v>
      </c>
      <c r="C140" s="3" t="s">
        <v>409</v>
      </c>
      <c r="D140" s="62">
        <f>'дод 2'!E199</f>
        <v>75000</v>
      </c>
      <c r="E140" s="62">
        <f>'дод 2'!F199</f>
        <v>75000</v>
      </c>
      <c r="F140" s="62">
        <f>'дод 2'!G199</f>
        <v>0</v>
      </c>
      <c r="G140" s="62">
        <f>'дод 2'!H199</f>
        <v>0</v>
      </c>
      <c r="H140" s="62">
        <f>'дод 2'!I199</f>
        <v>0</v>
      </c>
      <c r="I140" s="62">
        <f>'дод 2'!J199</f>
        <v>0</v>
      </c>
      <c r="J140" s="62">
        <f>'дод 2'!K199</f>
        <v>0</v>
      </c>
      <c r="K140" s="62">
        <f>'дод 2'!L199</f>
        <v>0</v>
      </c>
      <c r="L140" s="62">
        <f>'дод 2'!M199</f>
        <v>0</v>
      </c>
      <c r="M140" s="62">
        <f>'дод 2'!N199</f>
        <v>0</v>
      </c>
      <c r="N140" s="62">
        <f>'дод 2'!O199</f>
        <v>0</v>
      </c>
      <c r="O140" s="62">
        <f>'дод 2'!P199</f>
        <v>75000</v>
      </c>
    </row>
    <row r="141" spans="1:15" s="82" customFormat="1" ht="25.5" customHeight="1" x14ac:dyDescent="0.25">
      <c r="A141" s="46" t="s">
        <v>14</v>
      </c>
      <c r="B141" s="46" t="s">
        <v>112</v>
      </c>
      <c r="C141" s="3" t="s">
        <v>15</v>
      </c>
      <c r="D141" s="62">
        <f>'дод 2'!E50+'дод 2'!E76+'дод 2'!E159+'дод 2'!E200+'дод 2'!E132</f>
        <v>0</v>
      </c>
      <c r="E141" s="62">
        <f>'дод 2'!F50+'дод 2'!F76+'дод 2'!F159+'дод 2'!F200+'дод 2'!F132</f>
        <v>0</v>
      </c>
      <c r="F141" s="62">
        <f>'дод 2'!G50+'дод 2'!G76+'дод 2'!G159+'дод 2'!G200+'дод 2'!G132</f>
        <v>0</v>
      </c>
      <c r="G141" s="62">
        <f>'дод 2'!H50+'дод 2'!H76+'дод 2'!H159+'дод 2'!H200+'дод 2'!H132</f>
        <v>0</v>
      </c>
      <c r="H141" s="62">
        <f>'дод 2'!I50+'дод 2'!I76+'дод 2'!I159+'дод 2'!I200+'дод 2'!I132</f>
        <v>0</v>
      </c>
      <c r="I141" s="62">
        <f>'дод 2'!J50+'дод 2'!J76+'дод 2'!J159+'дод 2'!J200+'дод 2'!J132</f>
        <v>6359543.4500000002</v>
      </c>
      <c r="J141" s="62">
        <f>'дод 2'!K50+'дод 2'!K76+'дод 2'!K159+'дод 2'!K200+'дод 2'!K132</f>
        <v>0</v>
      </c>
      <c r="K141" s="62">
        <f>'дод 2'!L50+'дод 2'!L76+'дод 2'!L159+'дод 2'!L200+'дод 2'!L132</f>
        <v>2546500</v>
      </c>
      <c r="L141" s="62">
        <f>'дод 2'!M50+'дод 2'!M76+'дод 2'!M159+'дод 2'!M200+'дод 2'!M132</f>
        <v>0</v>
      </c>
      <c r="M141" s="62">
        <f>'дод 2'!N50+'дод 2'!N76+'дод 2'!N159+'дод 2'!N200+'дод 2'!N132</f>
        <v>540000</v>
      </c>
      <c r="N141" s="62">
        <f>'дод 2'!O50+'дод 2'!O76+'дод 2'!O159+'дод 2'!O200+'дод 2'!O132</f>
        <v>3813043.45</v>
      </c>
      <c r="O141" s="62">
        <f>'дод 2'!P50+'дод 2'!P76+'дод 2'!P159+'дод 2'!P200+'дод 2'!P132</f>
        <v>6359543.4500000002</v>
      </c>
    </row>
    <row r="142" spans="1:15" s="82" customFormat="1" ht="26.25" customHeight="1" x14ac:dyDescent="0.25">
      <c r="A142" s="47" t="s">
        <v>161</v>
      </c>
      <c r="B142" s="48"/>
      <c r="C142" s="2" t="s">
        <v>95</v>
      </c>
      <c r="D142" s="61">
        <f t="shared" ref="D142:O142" si="23">D143</f>
        <v>100000</v>
      </c>
      <c r="E142" s="61">
        <f t="shared" si="23"/>
        <v>100000</v>
      </c>
      <c r="F142" s="61">
        <f t="shared" si="23"/>
        <v>0</v>
      </c>
      <c r="G142" s="61">
        <f t="shared" si="23"/>
        <v>0</v>
      </c>
      <c r="H142" s="61">
        <f t="shared" si="23"/>
        <v>0</v>
      </c>
      <c r="I142" s="61">
        <f t="shared" si="23"/>
        <v>0</v>
      </c>
      <c r="J142" s="61">
        <f t="shared" si="23"/>
        <v>0</v>
      </c>
      <c r="K142" s="61">
        <f t="shared" si="23"/>
        <v>0</v>
      </c>
      <c r="L142" s="61">
        <f t="shared" si="23"/>
        <v>0</v>
      </c>
      <c r="M142" s="61">
        <f t="shared" si="23"/>
        <v>0</v>
      </c>
      <c r="N142" s="61">
        <f t="shared" si="23"/>
        <v>0</v>
      </c>
      <c r="O142" s="61">
        <f t="shared" si="23"/>
        <v>100000</v>
      </c>
    </row>
    <row r="143" spans="1:15" s="82" customFormat="1" ht="25.5" customHeight="1" x14ac:dyDescent="0.25">
      <c r="A143" s="46" t="s">
        <v>297</v>
      </c>
      <c r="B143" s="51" t="s">
        <v>96</v>
      </c>
      <c r="C143" s="3" t="s">
        <v>298</v>
      </c>
      <c r="D143" s="62">
        <f>'дод 2'!E51</f>
        <v>100000</v>
      </c>
      <c r="E143" s="62">
        <f>'дод 2'!F51</f>
        <v>100000</v>
      </c>
      <c r="F143" s="62">
        <f>'дод 2'!G51</f>
        <v>0</v>
      </c>
      <c r="G143" s="62">
        <f>'дод 2'!H51</f>
        <v>0</v>
      </c>
      <c r="H143" s="62">
        <f>'дод 2'!I51</f>
        <v>0</v>
      </c>
      <c r="I143" s="62">
        <f>'дод 2'!J51</f>
        <v>0</v>
      </c>
      <c r="J143" s="62">
        <f>'дод 2'!K51</f>
        <v>0</v>
      </c>
      <c r="K143" s="62">
        <f>'дод 2'!L51</f>
        <v>0</v>
      </c>
      <c r="L143" s="62">
        <f>'дод 2'!M51</f>
        <v>0</v>
      </c>
      <c r="M143" s="62">
        <f>'дод 2'!N51</f>
        <v>0</v>
      </c>
      <c r="N143" s="62">
        <f>'дод 2'!O51</f>
        <v>0</v>
      </c>
      <c r="O143" s="62">
        <f>'дод 2'!P51</f>
        <v>100000</v>
      </c>
    </row>
    <row r="144" spans="1:15" s="82" customFormat="1" ht="26.25" customHeight="1" x14ac:dyDescent="0.25">
      <c r="A144" s="47" t="s">
        <v>115</v>
      </c>
      <c r="B144" s="47" t="s">
        <v>110</v>
      </c>
      <c r="C144" s="2" t="s">
        <v>16</v>
      </c>
      <c r="D144" s="61">
        <f>'дод 2'!E201</f>
        <v>712065</v>
      </c>
      <c r="E144" s="61">
        <f>'дод 2'!F201</f>
        <v>712065</v>
      </c>
      <c r="F144" s="61">
        <f>'дод 2'!G201</f>
        <v>0</v>
      </c>
      <c r="G144" s="61">
        <f>'дод 2'!H201</f>
        <v>0</v>
      </c>
      <c r="H144" s="61">
        <f>'дод 2'!I201</f>
        <v>0</v>
      </c>
      <c r="I144" s="61">
        <f>'дод 2'!J201</f>
        <v>0</v>
      </c>
      <c r="J144" s="61">
        <f>'дод 2'!K201</f>
        <v>0</v>
      </c>
      <c r="K144" s="61">
        <f>'дод 2'!L201</f>
        <v>0</v>
      </c>
      <c r="L144" s="61">
        <f>'дод 2'!M201</f>
        <v>0</v>
      </c>
      <c r="M144" s="61">
        <f>'дод 2'!N201</f>
        <v>0</v>
      </c>
      <c r="N144" s="61">
        <f>'дод 2'!O201</f>
        <v>0</v>
      </c>
      <c r="O144" s="61">
        <f>'дод 2'!P201</f>
        <v>712065</v>
      </c>
    </row>
    <row r="145" spans="1:16" s="82" customFormat="1" ht="26.25" customHeight="1" x14ac:dyDescent="0.25">
      <c r="A145" s="47" t="s">
        <v>17</v>
      </c>
      <c r="B145" s="47" t="s">
        <v>113</v>
      </c>
      <c r="C145" s="2" t="s">
        <v>26</v>
      </c>
      <c r="D145" s="61">
        <f>'дод 2'!E202</f>
        <v>7142390</v>
      </c>
      <c r="E145" s="61">
        <f>'дод 2'!F202</f>
        <v>0</v>
      </c>
      <c r="F145" s="61">
        <f>'дод 2'!G202</f>
        <v>0</v>
      </c>
      <c r="G145" s="61">
        <f>'дод 2'!H202</f>
        <v>0</v>
      </c>
      <c r="H145" s="61">
        <f>'дод 2'!I202</f>
        <v>0</v>
      </c>
      <c r="I145" s="61">
        <f>'дод 2'!J202</f>
        <v>0</v>
      </c>
      <c r="J145" s="61">
        <f>'дод 2'!K202</f>
        <v>0</v>
      </c>
      <c r="K145" s="61">
        <f>'дод 2'!L202</f>
        <v>0</v>
      </c>
      <c r="L145" s="61">
        <f>'дод 2'!M202</f>
        <v>0</v>
      </c>
      <c r="M145" s="61">
        <f>'дод 2'!N202</f>
        <v>0</v>
      </c>
      <c r="N145" s="61">
        <f>'дод 2'!O202</f>
        <v>0</v>
      </c>
      <c r="O145" s="61">
        <f>'дод 2'!P202</f>
        <v>7142390</v>
      </c>
    </row>
    <row r="146" spans="1:16" s="82" customFormat="1" ht="27.75" customHeight="1" x14ac:dyDescent="0.25">
      <c r="A146" s="47" t="s">
        <v>18</v>
      </c>
      <c r="B146" s="47"/>
      <c r="C146" s="2" t="s">
        <v>131</v>
      </c>
      <c r="D146" s="61">
        <f>D147+D149+D151</f>
        <v>109639485</v>
      </c>
      <c r="E146" s="61">
        <f t="shared" ref="E146:O146" si="24">E147+E149+E151</f>
        <v>109639485</v>
      </c>
      <c r="F146" s="61">
        <f t="shared" si="24"/>
        <v>0</v>
      </c>
      <c r="G146" s="61">
        <f t="shared" si="24"/>
        <v>0</v>
      </c>
      <c r="H146" s="61">
        <f t="shared" si="24"/>
        <v>0</v>
      </c>
      <c r="I146" s="61">
        <f t="shared" si="24"/>
        <v>7632000</v>
      </c>
      <c r="J146" s="61">
        <f t="shared" si="24"/>
        <v>7632000</v>
      </c>
      <c r="K146" s="61">
        <f t="shared" si="24"/>
        <v>0</v>
      </c>
      <c r="L146" s="61">
        <f t="shared" si="24"/>
        <v>0</v>
      </c>
      <c r="M146" s="61">
        <f t="shared" si="24"/>
        <v>0</v>
      </c>
      <c r="N146" s="61">
        <f t="shared" si="24"/>
        <v>7632000</v>
      </c>
      <c r="O146" s="61">
        <f t="shared" si="24"/>
        <v>117271485</v>
      </c>
    </row>
    <row r="147" spans="1:16" s="82" customFormat="1" ht="21.75" customHeight="1" x14ac:dyDescent="0.25">
      <c r="A147" s="47" t="s">
        <v>295</v>
      </c>
      <c r="B147" s="47"/>
      <c r="C147" s="2" t="s">
        <v>348</v>
      </c>
      <c r="D147" s="61">
        <f t="shared" ref="D147:O147" si="25">D148</f>
        <v>108116600</v>
      </c>
      <c r="E147" s="61">
        <f t="shared" si="25"/>
        <v>108116600</v>
      </c>
      <c r="F147" s="61">
        <f t="shared" si="25"/>
        <v>0</v>
      </c>
      <c r="G147" s="61">
        <f t="shared" si="25"/>
        <v>0</v>
      </c>
      <c r="H147" s="61">
        <f t="shared" si="25"/>
        <v>0</v>
      </c>
      <c r="I147" s="61">
        <f t="shared" si="25"/>
        <v>0</v>
      </c>
      <c r="J147" s="61">
        <f t="shared" si="25"/>
        <v>0</v>
      </c>
      <c r="K147" s="61">
        <f t="shared" si="25"/>
        <v>0</v>
      </c>
      <c r="L147" s="61">
        <f t="shared" si="25"/>
        <v>0</v>
      </c>
      <c r="M147" s="61">
        <f t="shared" si="25"/>
        <v>0</v>
      </c>
      <c r="N147" s="61">
        <f t="shared" si="25"/>
        <v>0</v>
      </c>
      <c r="O147" s="61">
        <f t="shared" si="25"/>
        <v>108116600</v>
      </c>
    </row>
    <row r="148" spans="1:16" s="82" customFormat="1" ht="21.75" customHeight="1" x14ac:dyDescent="0.25">
      <c r="A148" s="46" t="s">
        <v>111</v>
      </c>
      <c r="B148" s="51" t="s">
        <v>59</v>
      </c>
      <c r="C148" s="3" t="s">
        <v>130</v>
      </c>
      <c r="D148" s="62">
        <f>'дод 2'!E203</f>
        <v>108116600</v>
      </c>
      <c r="E148" s="62">
        <f>'дод 2'!F203</f>
        <v>108116600</v>
      </c>
      <c r="F148" s="62">
        <f>'дод 2'!G203</f>
        <v>0</v>
      </c>
      <c r="G148" s="62">
        <f>'дод 2'!H203</f>
        <v>0</v>
      </c>
      <c r="H148" s="62">
        <f>'дод 2'!I203</f>
        <v>0</v>
      </c>
      <c r="I148" s="62">
        <f>'дод 2'!J203</f>
        <v>0</v>
      </c>
      <c r="J148" s="62">
        <f>'дод 2'!K203</f>
        <v>0</v>
      </c>
      <c r="K148" s="62">
        <f>'дод 2'!L203</f>
        <v>0</v>
      </c>
      <c r="L148" s="62">
        <f>'дод 2'!M203</f>
        <v>0</v>
      </c>
      <c r="M148" s="62">
        <f>'дод 2'!N203</f>
        <v>0</v>
      </c>
      <c r="N148" s="62">
        <f>'дод 2'!O203</f>
        <v>0</v>
      </c>
      <c r="O148" s="62">
        <f>'дод 2'!P203</f>
        <v>108116600</v>
      </c>
    </row>
    <row r="149" spans="1:16" s="82" customFormat="1" ht="50.25" customHeight="1" x14ac:dyDescent="0.25">
      <c r="A149" s="47" t="s">
        <v>19</v>
      </c>
      <c r="B149" s="48"/>
      <c r="C149" s="2" t="s">
        <v>408</v>
      </c>
      <c r="D149" s="61">
        <f t="shared" ref="D149:O149" si="26">D150</f>
        <v>1438000</v>
      </c>
      <c r="E149" s="61">
        <f t="shared" si="26"/>
        <v>1438000</v>
      </c>
      <c r="F149" s="61">
        <f t="shared" si="26"/>
        <v>0</v>
      </c>
      <c r="G149" s="61">
        <f t="shared" si="26"/>
        <v>0</v>
      </c>
      <c r="H149" s="61">
        <f t="shared" si="26"/>
        <v>0</v>
      </c>
      <c r="I149" s="61">
        <f t="shared" si="26"/>
        <v>7632000</v>
      </c>
      <c r="J149" s="61">
        <f t="shared" si="26"/>
        <v>7632000</v>
      </c>
      <c r="K149" s="61">
        <f t="shared" si="26"/>
        <v>0</v>
      </c>
      <c r="L149" s="61">
        <f t="shared" si="26"/>
        <v>0</v>
      </c>
      <c r="M149" s="61">
        <f t="shared" si="26"/>
        <v>0</v>
      </c>
      <c r="N149" s="61">
        <f t="shared" si="26"/>
        <v>7632000</v>
      </c>
      <c r="O149" s="61">
        <f t="shared" si="26"/>
        <v>9070000</v>
      </c>
    </row>
    <row r="150" spans="1:16" s="82" customFormat="1" ht="30.75" customHeight="1" x14ac:dyDescent="0.25">
      <c r="A150" s="46" t="s">
        <v>20</v>
      </c>
      <c r="B150" s="51" t="s">
        <v>59</v>
      </c>
      <c r="C150" s="6" t="s">
        <v>417</v>
      </c>
      <c r="D150" s="62">
        <f>'дод 2'!E160+'дод 2'!E117</f>
        <v>1438000</v>
      </c>
      <c r="E150" s="62">
        <f>'дод 2'!F160+'дод 2'!F117</f>
        <v>1438000</v>
      </c>
      <c r="F150" s="62">
        <f>'дод 2'!G160+'дод 2'!G117</f>
        <v>0</v>
      </c>
      <c r="G150" s="62">
        <f>'дод 2'!H160+'дод 2'!H117</f>
        <v>0</v>
      </c>
      <c r="H150" s="62">
        <f>'дод 2'!I160+'дод 2'!I117</f>
        <v>0</v>
      </c>
      <c r="I150" s="62">
        <f>'дод 2'!J160+'дод 2'!J117</f>
        <v>7632000</v>
      </c>
      <c r="J150" s="62">
        <f>'дод 2'!K160+'дод 2'!K117</f>
        <v>7632000</v>
      </c>
      <c r="K150" s="62">
        <f>'дод 2'!L160+'дод 2'!L117</f>
        <v>0</v>
      </c>
      <c r="L150" s="62">
        <f>'дод 2'!M160+'дод 2'!M117</f>
        <v>0</v>
      </c>
      <c r="M150" s="62">
        <f>'дод 2'!N160+'дод 2'!N117</f>
        <v>0</v>
      </c>
      <c r="N150" s="62">
        <f>'дод 2'!O160+'дод 2'!O117</f>
        <v>7632000</v>
      </c>
      <c r="O150" s="62">
        <f>'дод 2'!P160+'дод 2'!P117</f>
        <v>9070000</v>
      </c>
    </row>
    <row r="151" spans="1:16" s="82" customFormat="1" ht="55.5" customHeight="1" x14ac:dyDescent="0.25">
      <c r="A151" s="47" t="s">
        <v>444</v>
      </c>
      <c r="B151" s="48" t="s">
        <v>59</v>
      </c>
      <c r="C151" s="9" t="s">
        <v>441</v>
      </c>
      <c r="D151" s="62">
        <f>'дод 2'!E77</f>
        <v>84885</v>
      </c>
      <c r="E151" s="62">
        <f>'дод 2'!F77</f>
        <v>84885</v>
      </c>
      <c r="F151" s="62">
        <f>'дод 2'!G77</f>
        <v>0</v>
      </c>
      <c r="G151" s="62">
        <f>'дод 2'!H77</f>
        <v>0</v>
      </c>
      <c r="H151" s="62">
        <f>'дод 2'!I77</f>
        <v>0</v>
      </c>
      <c r="I151" s="62">
        <f>'дод 2'!J77</f>
        <v>0</v>
      </c>
      <c r="J151" s="62">
        <f>'дод 2'!K77</f>
        <v>0</v>
      </c>
      <c r="K151" s="62">
        <f>'дод 2'!L77</f>
        <v>0</v>
      </c>
      <c r="L151" s="62">
        <f>'дод 2'!M77</f>
        <v>0</v>
      </c>
      <c r="M151" s="62">
        <f>'дод 2'!N77</f>
        <v>0</v>
      </c>
      <c r="N151" s="62">
        <f>'дод 2'!O77</f>
        <v>0</v>
      </c>
      <c r="O151" s="62">
        <f>'дод 2'!P77</f>
        <v>84885</v>
      </c>
    </row>
    <row r="152" spans="1:16" s="82" customFormat="1" ht="25.5" customHeight="1" x14ac:dyDescent="0.25">
      <c r="A152" s="7"/>
      <c r="B152" s="7"/>
      <c r="C152" s="2" t="s">
        <v>27</v>
      </c>
      <c r="D152" s="61">
        <f t="shared" ref="D152:O152" si="27">D19+D22+D39+D52+D76+D81+D88+D97+D133+D146</f>
        <v>2079769361.5900002</v>
      </c>
      <c r="E152" s="61">
        <f t="shared" si="27"/>
        <v>2007625533.5900002</v>
      </c>
      <c r="F152" s="61">
        <f t="shared" si="27"/>
        <v>908969732</v>
      </c>
      <c r="G152" s="61">
        <f t="shared" si="27"/>
        <v>121583763</v>
      </c>
      <c r="H152" s="61">
        <f t="shared" si="27"/>
        <v>65001438</v>
      </c>
      <c r="I152" s="61">
        <f t="shared" si="27"/>
        <v>599489667.11000001</v>
      </c>
      <c r="J152" s="61">
        <f t="shared" si="27"/>
        <v>438838420.46999997</v>
      </c>
      <c r="K152" s="61">
        <f t="shared" si="27"/>
        <v>144233011.00999999</v>
      </c>
      <c r="L152" s="61">
        <f t="shared" si="27"/>
        <v>9012497</v>
      </c>
      <c r="M152" s="61">
        <f t="shared" si="27"/>
        <v>3810541</v>
      </c>
      <c r="N152" s="61">
        <f t="shared" si="27"/>
        <v>455256656.09999996</v>
      </c>
      <c r="O152" s="61">
        <f t="shared" si="27"/>
        <v>2679259028.6999998</v>
      </c>
    </row>
    <row r="153" spans="1:16" s="82" customFormat="1" ht="25.5" customHeight="1" x14ac:dyDescent="0.25">
      <c r="A153" s="7"/>
      <c r="B153" s="7"/>
      <c r="C153" s="2" t="s">
        <v>308</v>
      </c>
      <c r="D153" s="61">
        <f>D23+D40+D98</f>
        <v>439414289</v>
      </c>
      <c r="E153" s="61">
        <f t="shared" ref="E153:O153" si="28">E23+E40+E98</f>
        <v>439414289</v>
      </c>
      <c r="F153" s="61">
        <f t="shared" si="28"/>
        <v>307191100</v>
      </c>
      <c r="G153" s="61">
        <f t="shared" si="28"/>
        <v>0</v>
      </c>
      <c r="H153" s="61">
        <f t="shared" si="28"/>
        <v>0</v>
      </c>
      <c r="I153" s="61">
        <f t="shared" si="28"/>
        <v>82674037.930000007</v>
      </c>
      <c r="J153" s="61">
        <f t="shared" si="28"/>
        <v>2674037.9299999997</v>
      </c>
      <c r="K153" s="61">
        <f t="shared" si="28"/>
        <v>80000000</v>
      </c>
      <c r="L153" s="61">
        <f t="shared" si="28"/>
        <v>0</v>
      </c>
      <c r="M153" s="61">
        <f t="shared" si="28"/>
        <v>0</v>
      </c>
      <c r="N153" s="61">
        <f t="shared" si="28"/>
        <v>2674037.9299999997</v>
      </c>
      <c r="O153" s="61">
        <f t="shared" si="28"/>
        <v>522088326.93000001</v>
      </c>
    </row>
    <row r="154" spans="1:16" s="82" customFormat="1" ht="25.5" customHeight="1" x14ac:dyDescent="0.25">
      <c r="A154" s="146"/>
      <c r="B154" s="146"/>
      <c r="C154" s="147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</row>
    <row r="155" spans="1:16" s="82" customFormat="1" ht="25.5" customHeight="1" x14ac:dyDescent="0.25">
      <c r="A155" s="146"/>
      <c r="B155" s="146"/>
      <c r="C155" s="147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</row>
    <row r="156" spans="1:16" s="82" customFormat="1" ht="25.5" customHeight="1" x14ac:dyDescent="0.25">
      <c r="A156" s="146"/>
      <c r="B156" s="146"/>
      <c r="C156" s="147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</row>
    <row r="157" spans="1:16" s="82" customFormat="1" ht="25.5" customHeight="1" x14ac:dyDescent="0.25">
      <c r="A157" s="146"/>
      <c r="B157" s="146"/>
      <c r="C157" s="147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</row>
    <row r="158" spans="1:16" s="54" customFormat="1" x14ac:dyDescent="0.25">
      <c r="A158" s="108"/>
      <c r="B158" s="53"/>
      <c r="C158" s="53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</row>
    <row r="159" spans="1:16" ht="15.75" customHeight="1" x14ac:dyDescent="0.2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1:16" ht="28.5" customHeight="1" x14ac:dyDescent="0.45">
      <c r="A160" s="138" t="s">
        <v>459</v>
      </c>
      <c r="B160" s="138"/>
      <c r="C160" s="138"/>
      <c r="D160" s="138"/>
      <c r="E160" s="138"/>
      <c r="F160" s="138"/>
      <c r="G160" s="138"/>
      <c r="H160" s="138"/>
      <c r="I160" s="139"/>
      <c r="J160" s="139"/>
      <c r="K160" s="139"/>
      <c r="L160" s="140"/>
      <c r="M160" s="140"/>
      <c r="N160" s="154" t="s">
        <v>460</v>
      </c>
      <c r="O160" s="154"/>
      <c r="P160" s="154"/>
    </row>
    <row r="161" spans="1:24" ht="30" customHeight="1" x14ac:dyDescent="0.45">
      <c r="A161" s="141"/>
      <c r="B161" s="141"/>
      <c r="C161" s="141"/>
      <c r="D161" s="142"/>
      <c r="E161" s="143"/>
      <c r="F161" s="143"/>
      <c r="G161" s="143"/>
      <c r="H161" s="143"/>
      <c r="I161" s="143"/>
      <c r="J161" s="143"/>
      <c r="K161" s="144"/>
      <c r="L161" s="143"/>
      <c r="M161" s="143"/>
      <c r="N161" s="34"/>
      <c r="O161" s="34"/>
      <c r="P161" s="34"/>
    </row>
    <row r="162" spans="1:24" ht="30" customHeight="1" x14ac:dyDescent="0.4">
      <c r="A162" s="145" t="s">
        <v>461</v>
      </c>
      <c r="B162" s="112"/>
      <c r="C162" s="112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1:24" ht="15.75" customHeight="1" x14ac:dyDescent="0.4">
      <c r="A163" s="145" t="s">
        <v>462</v>
      </c>
      <c r="B163" s="112"/>
      <c r="C163" s="112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1:24" s="128" customFormat="1" ht="35.25" customHeight="1" x14ac:dyDescent="0.5">
      <c r="A164" s="126"/>
      <c r="B164" s="126"/>
      <c r="C164" s="126"/>
      <c r="D164" s="126"/>
      <c r="E164" s="126"/>
      <c r="F164" s="126"/>
      <c r="G164" s="126"/>
      <c r="H164" s="126"/>
      <c r="I164" s="127"/>
      <c r="J164" s="127"/>
      <c r="K164" s="127"/>
      <c r="M164" s="162"/>
      <c r="N164" s="162"/>
      <c r="O164" s="162"/>
      <c r="P164" s="105"/>
      <c r="Q164" s="129"/>
      <c r="R164" s="129"/>
      <c r="S164" s="129"/>
      <c r="T164" s="129"/>
      <c r="U164" s="129"/>
      <c r="V164" s="129"/>
      <c r="W164" s="130"/>
      <c r="X164" s="131"/>
    </row>
    <row r="165" spans="1:24" ht="23.25" customHeight="1" x14ac:dyDescent="0.25"/>
    <row r="167" spans="1:24" ht="22.5" customHeight="1" x14ac:dyDescent="0.25"/>
  </sheetData>
  <mergeCells count="23">
    <mergeCell ref="M164:O164"/>
    <mergeCell ref="N160:P160"/>
    <mergeCell ref="I16:N16"/>
    <mergeCell ref="H17:H18"/>
    <mergeCell ref="I17:I18"/>
    <mergeCell ref="J17:J18"/>
    <mergeCell ref="O16:O18"/>
    <mergeCell ref="K1:N1"/>
    <mergeCell ref="K3:O3"/>
    <mergeCell ref="K4:O4"/>
    <mergeCell ref="F17:G17"/>
    <mergeCell ref="K17:K18"/>
    <mergeCell ref="L17:M17"/>
    <mergeCell ref="N17:N18"/>
    <mergeCell ref="D16:H16"/>
    <mergeCell ref="A12:O12"/>
    <mergeCell ref="B16:B18"/>
    <mergeCell ref="C16:C18"/>
    <mergeCell ref="A16:A18"/>
    <mergeCell ref="D17:D18"/>
    <mergeCell ref="A13:B13"/>
    <mergeCell ref="A14:B14"/>
    <mergeCell ref="E17:E18"/>
  </mergeCells>
  <phoneticPr fontId="3" type="noConversion"/>
  <printOptions horizontalCentered="1"/>
  <pageMargins left="0" right="0" top="0.78740157480314965" bottom="0.59055118110236227" header="0.59055118110236227" footer="0.19685039370078741"/>
  <pageSetup paperSize="9" scale="44" fitToHeight="10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2020-04-01T06:28:23Z</cp:lastPrinted>
  <dcterms:created xsi:type="dcterms:W3CDTF">2014-01-17T10:52:16Z</dcterms:created>
  <dcterms:modified xsi:type="dcterms:W3CDTF">2020-04-02T14:12:23Z</dcterms:modified>
</cp:coreProperties>
</file>