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<sst xmlns="http://schemas.openxmlformats.org/spreadsheetml/2006/main" count="738" uniqueCount="487">
  <si>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</si>
  <si>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</si>
  <si>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</si>
  <si>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</si>
  <si>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</si>
  <si>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</si>
  <si>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</si>
  <si>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</si>
  <si>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</si>
  <si>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</si>
  <si>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</si>
  <si>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</si>
  <si>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</si>
  <si>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</si>
  <si>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</si>
  <si>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</si>
  <si>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</si>
  <si>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</si>
  <si>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</si>
  <si>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</si>
  <si>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</si>
  <si>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</si>
  <si>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</si>
  <si>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</si>
  <si>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</si>
  <si>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</si>
  <si>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</si>
  <si>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</si>
  <si>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</si>
  <si>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</si>
  <si>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</si>
  <si>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</si>
  <si>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</si>
  <si>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</si>
  <si>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</si>
  <si>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</si>
  <si>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</si>
  <si>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</si>
  <si>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</si>
  <si>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</si>
  <si>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</si>
  <si>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</si>
  <si>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</si>
  <si>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</si>
  <si>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</si>
  <si>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</si>
  <si>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</si>
  <si>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</si>
  <si>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</si>
  <si>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</si>
  <si>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</si>
  <si>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</si>
  <si>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</si>
  <si>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</si>
  <si>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</si>
  <si>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</si>
  <si>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</si>
  <si>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</si>
  <si>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</si>
  <si>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</si>
  <si>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</si>
  <si>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</si>
  <si>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</si>
  <si>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</si>
  <si>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</si>
  <si>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</si>
  <si>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</si>
  <si>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</si>
  <si>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</si>
  <si>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</si>
  <si>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</si>
  <si>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</si>
  <si>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</si>
  <si>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</si>
  <si>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</si>
  <si>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</si>
  <si>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</si>
  <si>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</si>
  <si>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</si>
  <si>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</si>
  <si>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</si>
  <si>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</si>
  <si>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</si>
  <si>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</si>
  <si>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</si>
  <si>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</si>
  <si>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</si>
  <si>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</si>
  <si>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</si>
  <si>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</si>
  <si>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</si>
  <si>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</si>
  <si>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</si>
  <si>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</si>
  <si>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</si>
  <si>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</si>
  <si>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</si>
  <si>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</si>
  <si>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</si>
  <si>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</si>
  <si>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</si>
  <si>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</si>
  <si>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</si>
  <si>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</si>
  <si>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</si>
  <si>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</si>
  <si>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</si>
  <si>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</si>
  <si>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</si>
  <si>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</si>
  <si>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</si>
  <si>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</si>
  <si>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</si>
  <si>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</si>
  <si>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</si>
  <si>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</si>
  <si>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</si>
  <si>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</si>
  <si>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</si>
  <si>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</si>
  <si>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</si>
  <si>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</si>
  <si>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</si>
  <si>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</si>
  <si>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</si>
  <si>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</si>
  <si>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</si>
  <si>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</si>
  <si>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</si>
  <si>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</si>
  <si>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</si>
  <si>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</si>
  <si>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</si>
  <si>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</si>
  <si>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</si>
  <si>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</si>
  <si>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</si>
  <si>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</si>
  <si>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</si>
  <si>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</si>
  <si>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</si>
  <si>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</si>
  <si>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</si>
  <si>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</si>
  <si>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</si>
  <si>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</si>
  <si>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</si>
  <si>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</si>
  <si>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</si>
  <si>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</si>
  <si>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</si>
  <si>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</si>
  <si>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</si>
  <si>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</si>
  <si>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</si>
  <si>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</si>
  <si>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</si>
  <si>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</si>
  <si>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</si>
  <si>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</si>
  <si>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</si>
  <si>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</si>
  <si>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</si>
  <si>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</si>
  <si>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</si>
  <si>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</si>
  <si>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</si>
  <si>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</si>
  <si>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</si>
  <si>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</si>
  <si>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</si>
  <si>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</si>
  <si>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</si>
  <si>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</si>
  <si>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</si>
  <si>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</si>
  <si>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</si>
  <si>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</si>
  <si>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</si>
  <si>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</si>
  <si>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</si>
  <si>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</si>
  <si>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</si>
  <si>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</si>
  <si>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</si>
  <si>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</si>
  <si>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</si>
  <si>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</si>
  <si>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</si>
  <si>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</si>
  <si>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</si>
  <si>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</si>
  <si>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</si>
  <si>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</si>
  <si>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</si>
  <si>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</si>
  <si>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</si>
  <si>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</si>
  <si>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</si>
  <si>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</si>
  <si>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</si>
  <si>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</si>
  <si>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</si>
  <si>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</si>
  <si>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</si>
  <si>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</si>
  <si>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</si>
  <si>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</si>
  <si>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</si>
  <si>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</si>
  <si>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</si>
  <si>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</si>
  <si>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</si>
  <si>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</si>
  <si>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</si>
  <si>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</si>
  <si>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</si>
  <si>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</si>
  <si>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</si>
  <si>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</si>
  <si>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</si>
  <si>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</si>
  <si>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</si>
  <si>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</si>
  <si>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</si>
  <si>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</si>
  <si>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</si>
  <si>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</si>
  <si>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</si>
  <si>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</si>
  <si>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</si>
  <si>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</si>
  <si>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</si>
  <si>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</si>
  <si>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</si>
  <si>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</si>
  <si>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</si>
  <si>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</si>
  <si>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</si>
  <si>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</si>
  <si>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</si>
  <si>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</si>
  <si>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</si>
  <si>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</si>
  <si>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</si>
  <si>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</si>
  <si>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</si>
  <si>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</si>
  <si>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</si>
  <si>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</si>
  <si>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</si>
  <si>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</si>
  <si>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</si>
  <si>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</si>
  <si>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</si>
  <si>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</si>
  <si>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</si>
  <si>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</si>
  <si>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</si>
  <si>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</si>
  <si>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</si>
  <si>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</si>
  <si>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</si>
  <si>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</si>
  <si>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</si>
  <si>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</si>
  <si>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</si>
  <si>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</si>
  <si>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</si>
  <si>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</si>
  <si>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</si>
  <si>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</si>
  <si>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</si>
  <si>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</si>
  <si>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</si>
  <si>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</si>
  <si>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</si>
  <si>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</si>
  <si>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</si>
  <si>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</si>
  <si>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</si>
  <si>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</si>
  <si>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</si>
  <si>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</si>
  <si>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</si>
  <si>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</si>
  <si>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</si>
  <si>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</si>
  <si>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</si>
  <si>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</si>
  <si>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</si>
  <si>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</si>
  <si>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</si>
  <si>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</si>
  <si>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</si>
  <si>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</si>
  <si>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</si>
  <si>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</si>
  <si>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</si>
  <si>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</si>
  <si>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</si>
  <si>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</si>
  <si>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</si>
  <si>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</si>
  <si>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</si>
  <si>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</si>
  <si>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</si>
  <si>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</si>
  <si>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</si>
  <si>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</si>
  <si>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</si>
  <si>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</si>
  <si>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</si>
  <si>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</si>
  <si>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</si>
  <si>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</si>
  <si>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</si>
  <si>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</si>
  <si>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</si>
  <si>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</si>
  <si>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</si>
  <si>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</si>
  <si>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</si>
  <si>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</si>
  <si>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</si>
  <si>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</si>
  <si>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</si>
  <si>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</si>
  <si>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</si>
  <si>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</si>
  <si>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</si>
  <si>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</si>
  <si>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</si>
  <si>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</si>
  <si>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</si>
  <si>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</si>
  <si>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</si>
  <si>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</si>
  <si>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</si>
  <si>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</si>
  <si>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</si>
  <si>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</si>
  <si>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</si>
  <si>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</si>
  <si>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</si>
  <si>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</si>
  <si>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</si>
  <si>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</si>
  <si>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</si>
  <si>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</si>
  <si>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</si>
  <si>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</si>
  <si>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</si>
  <si>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</si>
  <si>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</si>
  <si>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</si>
  <si>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</si>
  <si>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</si>
  <si>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</si>
  <si>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</si>
  <si>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</si>
  <si>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</si>
  <si>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</si>
  <si>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</si>
  <si>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</si>
  <si>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</si>
  <si>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</si>
  <si>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</si>
  <si>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</si>
  <si>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</si>
  <si>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</si>
  <si>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</si>
  <si>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</si>
  <si>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</si>
  <si>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</si>
  <si>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</si>
  <si>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</si>
  <si>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</si>
  <si>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</si>
  <si>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</si>
  <si>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</si>
  <si>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</si>
  <si>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</si>
  <si>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</si>
  <si>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</si>
  <si>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</si>
  <si>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</si>
  <si>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</si>
  <si>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</si>
  <si>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</si>
  <si>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</si>
  <si>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</si>
  <si>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</si>
  <si>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</si>
  <si>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</si>
  <si>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</si>
  <si>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</si>
  <si>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</si>
  <si>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</si>
  <si>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</si>
  <si>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</si>
  <si>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</si>
  <si>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</si>
  <si>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</si>
  <si>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</si>
  <si>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</si>
  <si>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</si>
  <si>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</si>
  <si>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</si>
  <si>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</si>
  <si>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</si>
  <si>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</si>
  <si>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</si>
  <si>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</si>
  <si>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</si>
  <si>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</si>
  <si>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</si>
  <si>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</si>
  <si>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</si>
  <si>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</si>
  <si>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</si>
  <si>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</si>
  <si>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</si>
  <si>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</si>
  <si>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</si>
  <si>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</si>
  <si>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</si>
  <si>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</si>
  <si>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</si>
  <si>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</si>
  <si>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</si>
  <si>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</si>
  <si>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</si>
  <si>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</si>
  <si>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</si>
  <si>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</si>
  <si>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</si>
  <si>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</si>
  <si>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</si>
  <si>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</si>
  <si>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</si>
  <si>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</si>
  <si>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</si>
  <si>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</si>
  <si>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</si>
  <si>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</si>
  <si>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</si>
  <si>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</si>
  <si>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</si>
  <si>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</si>
  <si>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</si>
  <si>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</si>
  <si>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</si>
  <si>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</si>
  <si>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</si>
  <si>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</si>
  <si>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</si>
  <si>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</si>
  <si>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</si>
  <si>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</si>
  <si>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</si>
  <si>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</si>
  <si>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</si>
  <si>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</si>
  <si>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</si>
  <si>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</si>
  <si>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</si>
  <si>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</si>
  <si>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</si>
  <si>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</si>
  <si>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</si>
  <si>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</si>
  <si>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</si>
  <si>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</si>
  <si>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</si>
  <si>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</si>
  <si>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</si>
  <si>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</si>
  <si>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</si>
  <si>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</si>
  <si>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</si>
  <si>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>КПКВК 6013, 8340</t>
  </si>
  <si>
    <t xml:space="preserve"> Завдання: 31.3 Фінансова підтримка (погашення заборгованості за судовим рішенням, сплата поточної заборгованості з розподілу електричної енергії)</t>
  </si>
  <si>
    <t xml:space="preserve">комунального господарства Сумської міської </t>
  </si>
  <si>
    <t xml:space="preserve">від                               № </t>
  </si>
  <si>
    <t xml:space="preserve">Сумський міський голова                </t>
  </si>
  <si>
    <t>О.М. Лисенко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</si>
</sst>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7717098"/>
        <c:axId val="62831435"/>
      </c:barChart>
      <c:catAx>
        <c:axId val="177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1435"/>
        <c:crosses val="autoZero"/>
        <c:auto val="1"/>
        <c:lblOffset val="100"/>
        <c:tickLblSkip val="1"/>
        <c:noMultiLvlLbl val="0"/>
      </c:catAx>
      <c:valAx>
        <c:axId val="6283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709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658">
      <selection activeCell="A674" sqref="A674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20" style="25" customWidth="1"/>
    <col min="19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78" t="s">
        <v>430</v>
      </c>
      <c r="K2" s="178"/>
      <c r="L2" s="178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483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447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448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449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484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79" t="s">
        <v>271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  <row r="14" spans="1:16" ht="16.5" customHeight="1">
      <c r="A14" s="120"/>
      <c r="B14" s="120"/>
      <c r="C14" s="120"/>
      <c r="D14" s="121"/>
      <c r="E14" s="121"/>
      <c r="F14" s="177" t="s">
        <v>272</v>
      </c>
      <c r="G14" s="177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90"/>
      <c r="B15" s="190" t="s">
        <v>34</v>
      </c>
      <c r="C15" s="190" t="s">
        <v>35</v>
      </c>
      <c r="D15" s="181" t="s">
        <v>427</v>
      </c>
      <c r="E15" s="182"/>
      <c r="F15" s="183"/>
      <c r="G15" s="181" t="s">
        <v>428</v>
      </c>
      <c r="H15" s="182"/>
      <c r="I15" s="182"/>
      <c r="J15" s="183"/>
      <c r="K15" s="32"/>
      <c r="L15" s="32"/>
      <c r="M15" s="32"/>
      <c r="N15" s="181" t="s">
        <v>429</v>
      </c>
      <c r="O15" s="182"/>
      <c r="P15" s="183"/>
      <c r="ET15" s="25"/>
      <c r="EU15" s="25"/>
      <c r="EV15" s="25"/>
      <c r="EW15" s="25"/>
      <c r="EX15" s="25"/>
      <c r="EY15" s="25"/>
    </row>
    <row r="16" spans="1:155" ht="12" customHeight="1">
      <c r="A16" s="191"/>
      <c r="B16" s="191"/>
      <c r="C16" s="191"/>
      <c r="D16" s="184" t="s">
        <v>36</v>
      </c>
      <c r="E16" s="185"/>
      <c r="F16" s="186" t="s">
        <v>26</v>
      </c>
      <c r="G16" s="184" t="s">
        <v>36</v>
      </c>
      <c r="H16" s="189"/>
      <c r="I16" s="185"/>
      <c r="J16" s="186" t="s">
        <v>26</v>
      </c>
      <c r="K16" s="181" t="s">
        <v>25</v>
      </c>
      <c r="L16" s="182"/>
      <c r="M16" s="183"/>
      <c r="N16" s="184" t="s">
        <v>36</v>
      </c>
      <c r="O16" s="185"/>
      <c r="P16" s="186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92"/>
      <c r="B17" s="192"/>
      <c r="C17" s="192"/>
      <c r="D17" s="32" t="s">
        <v>0</v>
      </c>
      <c r="E17" s="32" t="s">
        <v>1</v>
      </c>
      <c r="F17" s="187"/>
      <c r="G17" s="32" t="s">
        <v>0</v>
      </c>
      <c r="H17" s="32" t="s">
        <v>1</v>
      </c>
      <c r="I17" s="32" t="s">
        <v>185</v>
      </c>
      <c r="J17" s="187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87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SUM(N24)+N303+N342+N483+N492+N610+N628+N637+N646+N656+N674+N687+N696+N714+N666</f>
        <v>389475954.8344447</v>
      </c>
      <c r="O19" s="32">
        <f>SUM(O24)+O303+O342+O483+O492+O610+O628+O637+O646+O656+O666+O674+O687+O696+O714+O705</f>
        <v>448576531.252365</v>
      </c>
      <c r="P19" s="32">
        <f>SUM(P24)+P303+P342+P483+P492+P610+P628+P637+P646+P656+P674+P687+P696+P714+P666+P705</f>
        <v>838052486.0868098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55232699.99995345</v>
      </c>
      <c r="O20" s="32">
        <f t="shared" si="0"/>
        <v>164363001.15679845</v>
      </c>
      <c r="P20" s="32">
        <f>P25</f>
        <v>219595701.1567519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8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445061174.83439815</v>
      </c>
      <c r="O22" s="32">
        <f t="shared" si="2"/>
        <v>613727064.4091635</v>
      </c>
      <c r="P22" s="32">
        <f>P19+P20+P21</f>
        <v>1058788239.2435616</v>
      </c>
      <c r="Q22" s="32">
        <f t="shared" si="2"/>
        <v>0</v>
      </c>
      <c r="R22" s="26"/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374755025.4524485</v>
      </c>
      <c r="O23" s="140">
        <f>O24+O25</f>
        <v>377149785.1671635</v>
      </c>
      <c r="P23" s="140">
        <f t="shared" si="3"/>
        <v>751904810.619612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SUM(N49)+N77+(N92*N95)+N99+N142+N168+N222+N246+N272+N293+N285+N35+N44</f>
        <v>319522325.45249504</v>
      </c>
      <c r="O24" s="140">
        <f>SUM(O49)+O77+(O92*O95)+O99+O142+O168+O222+O246+O272+O293+O215+O285-O215+O44</f>
        <v>212786784.010365</v>
      </c>
      <c r="P24" s="140">
        <f>N24+O24</f>
        <v>532309109.46286005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55232699.99995345</v>
      </c>
      <c r="O25" s="140">
        <f>SUM(O26)+O35+O58+O113+(O91*O94)</f>
        <v>164363001.15679845</v>
      </c>
      <c r="P25" s="140">
        <f>N25+O25</f>
        <v>219595701.1567519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>
        <f>0+40000000</f>
        <v>40000000</v>
      </c>
      <c r="O44" s="7">
        <f>80000000</f>
        <v>80000000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>
        <v>19675.36</v>
      </c>
      <c r="O46" s="7">
        <v>39350.71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>
        <v>2033</v>
      </c>
      <c r="O48" s="7">
        <v>2033</v>
      </c>
      <c r="P48" s="7">
        <f>N48+O48</f>
        <v>4066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500000</v>
      </c>
      <c r="O49" s="35">
        <f>O53*O55</f>
        <v>14550000</v>
      </c>
      <c r="P49" s="35">
        <f>O49+N49</f>
        <v>15050000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f>450000+50000</f>
        <v>500000</v>
      </c>
      <c r="O55" s="7">
        <v>14550000</v>
      </c>
      <c r="P55" s="7">
        <f>N55</f>
        <v>500000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172" customFormat="1" ht="48" customHeight="1">
      <c r="A113" s="168" t="s">
        <v>371</v>
      </c>
      <c r="B113" s="169"/>
      <c r="C113" s="169"/>
      <c r="D113" s="170">
        <f>(D121*D129)+(D122*D130)+(D123*D131)+(D124*D132)+(D125*D133)+(D134*D122*D135)-10</f>
        <v>8110000</v>
      </c>
      <c r="E113" s="170">
        <f aca="true" t="shared" si="11" ref="E113:M113">(E121*E129)+(E122*E130)+(E123*E131)+(E124*E132)+(E125*E133)+(E134*E122*E135)</f>
        <v>0</v>
      </c>
      <c r="F113" s="170">
        <f>D113+E113</f>
        <v>8110000</v>
      </c>
      <c r="G113" s="170">
        <f>(G121*G129)+(G122*G130)+(G123*G131)+(G124*G132)+(G125*G133)+(G134*G122*G135)+G126-0.22</f>
        <v>9041700.003999999</v>
      </c>
      <c r="H113" s="170">
        <f t="shared" si="11"/>
        <v>0</v>
      </c>
      <c r="I113" s="170"/>
      <c r="J113" s="170">
        <f>G113+H113</f>
        <v>9041700.003999999</v>
      </c>
      <c r="K113" s="170">
        <f t="shared" si="11"/>
        <v>0</v>
      </c>
      <c r="L113" s="170">
        <f t="shared" si="11"/>
        <v>0</v>
      </c>
      <c r="M113" s="170">
        <f t="shared" si="11"/>
        <v>0</v>
      </c>
      <c r="N113" s="170">
        <f>(N121*N129)+(N122*N130)+(N123*N131)+(N124*N132)+(N125*N133)+(N134*N122*N135)-15.8</f>
        <v>9508300</v>
      </c>
      <c r="O113" s="170">
        <f>(O121*O129)+(O122*O130)+(O123*O131)+(O124*O132)+(O125*O133)+(O134*O122*O135)</f>
        <v>0</v>
      </c>
      <c r="P113" s="170">
        <f>N113+O113</f>
        <v>9508300</v>
      </c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SUM(O186)*O200+O194*O209+O195*O210+0.01</f>
        <v>23177000.001995</v>
      </c>
      <c r="P168" s="35">
        <f>N168+O168</f>
        <v>44722000.00178762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208</v>
      </c>
      <c r="P186" s="7">
        <f>O186</f>
        <v>208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850.9615</v>
      </c>
      <c r="P200" s="7">
        <f>O200</f>
        <v>850.9615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156891</v>
      </c>
      <c r="P215" s="44">
        <f>P217</f>
        <v>156891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156891</v>
      </c>
      <c r="P217" s="47">
        <f>O217</f>
        <v>156891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440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356.57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166" customFormat="1" ht="45">
      <c r="A222" s="163" t="s">
        <v>375</v>
      </c>
      <c r="B222" s="164"/>
      <c r="C222" s="164"/>
      <c r="D222" s="165">
        <f>D224+D225+D226+D228</f>
        <v>20696700</v>
      </c>
      <c r="E222" s="165">
        <f>E229</f>
        <v>1000000</v>
      </c>
      <c r="F222" s="165">
        <f>D222+E222</f>
        <v>21696700</v>
      </c>
      <c r="G222" s="165">
        <f>G224+G225+G226+G228+120000</f>
        <v>21211500</v>
      </c>
      <c r="H222" s="165">
        <f>H229</f>
        <v>1500000</v>
      </c>
      <c r="I222" s="165"/>
      <c r="J222" s="165">
        <f>G222+H222</f>
        <v>22711500</v>
      </c>
      <c r="K222" s="165" t="e">
        <f>(K224*K237)+(K232*K238)+(K233*K239)+(#REF!*#REF!)+11.5</f>
        <v>#REF!</v>
      </c>
      <c r="L222" s="165" t="e">
        <f>(L224*L237)+(L232*L238)+(L233*L239)+(#REF!*#REF!)+11.5</f>
        <v>#REF!</v>
      </c>
      <c r="M222" s="165" t="e">
        <f>(M224*M237)+(M232*M238)+(M233*M239)+(#REF!*#REF!)+11.5</f>
        <v>#REF!</v>
      </c>
      <c r="N222" s="165">
        <f>N224+N225+N226+N228+125000-125000</f>
        <v>22846092</v>
      </c>
      <c r="O222" s="165">
        <f>O229</f>
        <v>2000000</v>
      </c>
      <c r="P222" s="165">
        <f>N222+O222</f>
        <v>24846092</v>
      </c>
      <c r="ET222" s="167"/>
      <c r="EU222" s="167"/>
      <c r="EV222" s="167"/>
      <c r="EW222" s="167"/>
      <c r="EX222" s="167"/>
      <c r="EY222" s="167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15404000+1506000+3000+125000</f>
        <v>17038000</v>
      </c>
      <c r="O224" s="7"/>
      <c r="P224" s="7">
        <f>N224+O224</f>
        <v>17038000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SUM(N235)*N240-822</f>
        <v>193092</v>
      </c>
      <c r="O228" s="7"/>
      <c r="P228" s="7">
        <f>N228+O228</f>
        <v>193092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54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f>2312.5+1278.5</f>
        <v>3591</v>
      </c>
      <c r="O240" s="7"/>
      <c r="P240" s="7">
        <f t="shared" si="30"/>
        <v>3591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7.630003521540087E-05</v>
      </c>
      <c r="O243" s="7"/>
      <c r="P243" s="7">
        <f t="shared" si="30"/>
        <v>7.630003521540087E-05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9999900</v>
      </c>
      <c r="O246" s="35">
        <f>(O256*O262)+(O257*O263)+(O259*O265)</f>
        <v>0</v>
      </c>
      <c r="P246" s="35">
        <f aca="true" t="shared" si="32" ref="P246:P254">N246+O246</f>
        <v>9999900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478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f>540000+49900</f>
        <v>589900</v>
      </c>
      <c r="O254" s="7"/>
      <c r="P254" s="7">
        <f t="shared" si="32"/>
        <v>589900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479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(N273*N277)+(N274*N278)+(N275*N280)+0.03</f>
        <v>23934000.11711</v>
      </c>
      <c r="O272" s="35">
        <f>(O273*O277)+(O274*O278)+(O275*O280)</f>
        <v>0</v>
      </c>
      <c r="P272" s="35">
        <f>N272+O272</f>
        <v>23934000.11711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29</v>
      </c>
      <c r="O273" s="7"/>
      <c r="P273" s="7">
        <f>N273+O273</f>
        <v>29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723758.6237</v>
      </c>
      <c r="O277" s="7"/>
      <c r="P277" s="7">
        <f t="shared" si="39"/>
        <v>723758.6237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395833.33333-21547.619+3571.4285</f>
        <v>377857.14282999997</v>
      </c>
      <c r="O278" s="7"/>
      <c r="P278" s="7">
        <f t="shared" si="39"/>
        <v>377857.14282999997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121.98179051192125</v>
      </c>
      <c r="O282" s="7"/>
      <c r="P282" s="7">
        <f t="shared" si="39"/>
        <v>121.98179051192125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102.81827015782312</v>
      </c>
      <c r="O283" s="7"/>
      <c r="P283" s="7">
        <f t="shared" si="39"/>
        <v>102.81827015782312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175" customFormat="1" ht="37.5" customHeight="1">
      <c r="A334" s="173" t="s">
        <v>383</v>
      </c>
      <c r="B334" s="150"/>
      <c r="C334" s="150"/>
      <c r="D334" s="151"/>
      <c r="E334" s="151">
        <f aca="true" t="shared" si="43" ref="E334:P334">SUM(E336)</f>
        <v>800003</v>
      </c>
      <c r="F334" s="151">
        <f t="shared" si="43"/>
        <v>800003</v>
      </c>
      <c r="G334" s="151">
        <f t="shared" si="43"/>
        <v>0</v>
      </c>
      <c r="H334" s="151">
        <f t="shared" si="43"/>
        <v>742600</v>
      </c>
      <c r="I334" s="151">
        <f t="shared" si="43"/>
        <v>742600</v>
      </c>
      <c r="J334" s="151">
        <f t="shared" si="43"/>
        <v>742600</v>
      </c>
      <c r="K334" s="151">
        <f t="shared" si="43"/>
        <v>0</v>
      </c>
      <c r="L334" s="151">
        <f t="shared" si="43"/>
        <v>0</v>
      </c>
      <c r="M334" s="151">
        <f t="shared" si="43"/>
        <v>0</v>
      </c>
      <c r="N334" s="151">
        <f t="shared" si="43"/>
        <v>0</v>
      </c>
      <c r="O334" s="151">
        <f t="shared" si="43"/>
        <v>133200</v>
      </c>
      <c r="P334" s="151">
        <f t="shared" si="43"/>
        <v>133200</v>
      </c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4"/>
      <c r="AT334" s="174"/>
      <c r="AU334" s="174"/>
      <c r="AV334" s="174"/>
      <c r="AW334" s="174"/>
      <c r="AX334" s="174"/>
      <c r="AY334" s="174"/>
      <c r="AZ334" s="174"/>
      <c r="BA334" s="174"/>
      <c r="BB334" s="174"/>
      <c r="BC334" s="174"/>
      <c r="BD334" s="174"/>
      <c r="BE334" s="174"/>
      <c r="BF334" s="174"/>
      <c r="BG334" s="174"/>
      <c r="BH334" s="174"/>
      <c r="BI334" s="174"/>
      <c r="BJ334" s="174"/>
      <c r="BK334" s="174"/>
      <c r="BL334" s="174"/>
      <c r="BM334" s="174"/>
      <c r="BN334" s="174"/>
      <c r="BO334" s="174"/>
      <c r="BP334" s="174"/>
      <c r="BQ334" s="174"/>
      <c r="BR334" s="174"/>
      <c r="BS334" s="174"/>
      <c r="BT334" s="174"/>
      <c r="BU334" s="174"/>
      <c r="BV334" s="174"/>
      <c r="BW334" s="174"/>
      <c r="BX334" s="174"/>
      <c r="BY334" s="174"/>
      <c r="BZ334" s="174"/>
      <c r="CA334" s="174"/>
      <c r="CB334" s="174"/>
      <c r="CC334" s="174"/>
      <c r="CD334" s="174"/>
      <c r="CE334" s="174"/>
      <c r="CF334" s="174"/>
      <c r="CG334" s="174"/>
      <c r="CH334" s="174"/>
      <c r="CI334" s="174"/>
      <c r="CJ334" s="174"/>
      <c r="CK334" s="174"/>
      <c r="CL334" s="174"/>
      <c r="CM334" s="174"/>
      <c r="CN334" s="174"/>
      <c r="CO334" s="174"/>
      <c r="CP334" s="174"/>
      <c r="CQ334" s="174"/>
      <c r="CR334" s="174"/>
      <c r="CS334" s="174"/>
      <c r="CT334" s="174"/>
      <c r="CU334" s="174"/>
      <c r="CV334" s="174"/>
      <c r="CW334" s="174"/>
      <c r="CX334" s="174"/>
      <c r="CY334" s="174"/>
      <c r="CZ334" s="174"/>
      <c r="DA334" s="174"/>
      <c r="DB334" s="174"/>
      <c r="DC334" s="174"/>
      <c r="DD334" s="174"/>
      <c r="DE334" s="174"/>
      <c r="DF334" s="174"/>
      <c r="DG334" s="174"/>
      <c r="DH334" s="174"/>
      <c r="DI334" s="174"/>
      <c r="DJ334" s="174"/>
      <c r="DK334" s="174"/>
      <c r="DL334" s="174"/>
      <c r="DM334" s="174"/>
      <c r="DN334" s="174"/>
      <c r="DO334" s="174"/>
      <c r="DP334" s="174"/>
      <c r="DQ334" s="174"/>
      <c r="DR334" s="174"/>
      <c r="DS334" s="174"/>
      <c r="DT334" s="174"/>
      <c r="DU334" s="174"/>
      <c r="DV334" s="174"/>
      <c r="DW334" s="174"/>
      <c r="DX334" s="174"/>
      <c r="DY334" s="174"/>
      <c r="DZ334" s="174"/>
      <c r="EA334" s="174"/>
      <c r="EB334" s="174"/>
      <c r="EC334" s="174"/>
      <c r="ED334" s="174"/>
      <c r="EE334" s="174"/>
      <c r="EF334" s="174"/>
      <c r="EG334" s="174"/>
      <c r="EH334" s="174"/>
      <c r="EI334" s="174"/>
      <c r="EJ334" s="174"/>
      <c r="EK334" s="174"/>
      <c r="EL334" s="174"/>
      <c r="EM334" s="174"/>
      <c r="EN334" s="174"/>
      <c r="EO334" s="174"/>
      <c r="EP334" s="174"/>
      <c r="EQ334" s="174"/>
      <c r="ER334" s="174"/>
      <c r="ES334" s="174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5818061.99999968</v>
      </c>
      <c r="O341" s="29">
        <f>O342+O343</f>
        <v>787532</v>
      </c>
      <c r="P341" s="29">
        <f>N341+O341</f>
        <v>6605593.99999968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5465541.99999968</v>
      </c>
      <c r="O342" s="29">
        <f>O345+O352+O430+O435</f>
        <v>0</v>
      </c>
      <c r="P342" s="29">
        <f>N342+O342</f>
        <v>5465541.99999968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475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2105650</v>
      </c>
      <c r="O435" s="10"/>
      <c r="P435" s="10">
        <f>N435</f>
        <v>2105650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f>8+8</f>
        <v>16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450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451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452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456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457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476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f>37500</f>
        <v>37500</v>
      </c>
      <c r="O467" s="43"/>
      <c r="P467" s="43">
        <v>37500</v>
      </c>
    </row>
    <row r="468" spans="1:16" ht="21.75" customHeight="1">
      <c r="A468" s="20" t="s">
        <v>453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454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455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458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459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477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5945229.9999</v>
      </c>
      <c r="O483" s="29">
        <f>O484</f>
        <v>2000000</v>
      </c>
      <c r="P483" s="29">
        <f>N483+O483</f>
        <v>7945229.9999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5945229.9999</v>
      </c>
      <c r="O484" s="35">
        <f>O486</f>
        <v>2000000</v>
      </c>
      <c r="P484" s="35">
        <f>N484+O484</f>
        <v>7945229.9999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5945229.9999</v>
      </c>
      <c r="O486" s="7">
        <f>O489*O491</f>
        <v>2000000</v>
      </c>
      <c r="P486" s="7">
        <f>N486+O486</f>
        <v>7945229.9999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3</v>
      </c>
      <c r="O489" s="7">
        <v>1</v>
      </c>
      <c r="P489" s="7">
        <f>N489+O489</f>
        <v>4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1981743.3333</v>
      </c>
      <c r="O491" s="7">
        <v>2000000</v>
      </c>
      <c r="P491" s="7">
        <f>P486/P489</f>
        <v>1986307.499975</v>
      </c>
    </row>
    <row r="492" spans="1:17" ht="15" customHeight="1">
      <c r="A492" s="36" t="s">
        <v>481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45549857.38205</v>
      </c>
      <c r="O492" s="35">
        <f>O494+O511+O518+O527+O534+O545+O566</f>
        <v>4598293</v>
      </c>
      <c r="P492" s="35">
        <f>P494+P511+P518+P527+P534+P545+P566+P601</f>
        <v>50148150.38205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480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44210000</v>
      </c>
      <c r="O494" s="35"/>
      <c r="P494" s="35">
        <f>SUM(P495)+P502+P508+P505</f>
        <v>44210000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4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35800000</v>
      </c>
      <c r="O505" s="7"/>
      <c r="P505" s="7">
        <f>N505</f>
        <v>35800000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</f>
        <v>35800000</v>
      </c>
      <c r="O507" s="7"/>
      <c r="P507" s="7">
        <f>N507</f>
        <v>35800000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7" s="137" customFormat="1" ht="22.5">
      <c r="A601" s="153" t="s">
        <v>460</v>
      </c>
      <c r="B601" s="134"/>
      <c r="C601" s="134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43">
        <f>80000+9857.38</f>
        <v>89857.38</v>
      </c>
      <c r="O601" s="143"/>
      <c r="P601" s="143">
        <f>N601+O601</f>
        <v>89857.38</v>
      </c>
      <c r="Q601" s="1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89857.38</v>
      </c>
      <c r="O603" s="7"/>
      <c r="P603" s="7">
        <f>N603</f>
        <v>89857.38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461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2</v>
      </c>
      <c r="O605" s="7"/>
      <c r="P605" s="7">
        <f>N605</f>
        <v>2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462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44928.69</v>
      </c>
      <c r="O607" s="7"/>
      <c r="P607" s="7">
        <f>N607</f>
        <v>44928.69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463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464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465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466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467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468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469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470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92837042.62</v>
      </c>
      <c r="P674" s="35">
        <f t="shared" si="65"/>
        <v>92837042.62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471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92837042.62</v>
      </c>
      <c r="P676" s="35">
        <f>N676+O676</f>
        <v>92837042.62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f>95000000-2153100-9857.38</f>
        <v>92837042.62</v>
      </c>
      <c r="P678" s="86">
        <f>O678</f>
        <v>92837042.62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5802315.16375</v>
      </c>
      <c r="P682" s="86">
        <f>SUM(P678)/P680</f>
        <v>5802315.16375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472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473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474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76" t="s">
        <v>485</v>
      </c>
      <c r="B725" s="176"/>
      <c r="C725" s="176"/>
      <c r="D725" s="176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80" t="s">
        <v>486</v>
      </c>
      <c r="P725" s="180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88" t="s">
        <v>443</v>
      </c>
      <c r="B728" s="188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2020-12-04T06:43:22Z</cp:lastPrinted>
  <dcterms:created xsi:type="dcterms:W3CDTF">2014-04-22T08:24:49Z</dcterms:created>
  <dcterms:modified xsi:type="dcterms:W3CDTF">2020-12-04T06:43:46Z</dcterms:modified>
  <cp:category/>
  <cp:version/>
  <cp:contentType/>
  <cp:contentStatus/>
</cp:coreProperties>
</file>