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2" sheetId="24" r:id="rId2"/>
    <sheet name="Додаток 3" sheetId="25" r:id="rId3"/>
    <sheet name="Додаток 4" sheetId="14" r:id="rId4"/>
    <sheet name="порівняльна" sheetId="26" r:id="rId5"/>
  </sheets>
  <externalReferences>
    <externalReference r:id="rId6"/>
  </externalReferences>
  <definedNames>
    <definedName name="_xlnm._FilterDatabase" localSheetId="2" hidden="1">'Додаток 3'!$A$7:$L$433</definedName>
    <definedName name="_xlnm.Print_Titles" localSheetId="2">'Додаток 3'!$7:$10</definedName>
    <definedName name="_xlnm.Print_Titles" localSheetId="3">'Додаток 4'!$7:$11</definedName>
    <definedName name="_xlnm.Print_Area" localSheetId="0">'Додаток 1'!$A$1:$C$28</definedName>
    <definedName name="_xlnm.Print_Area" localSheetId="1">'Додаток 2'!$A$1:$I$28</definedName>
    <definedName name="_xlnm.Print_Area" localSheetId="2">'Додаток 3'!$A$2:$L$438</definedName>
    <definedName name="_xlnm.Print_Area" localSheetId="3">'Додаток 4'!$A$1:$K$336</definedName>
    <definedName name="_xlnm.Print_Area" localSheetId="4">порівняльна!$A$1:$R$435</definedName>
  </definedNames>
  <calcPr calcId="125725"/>
</workbook>
</file>

<file path=xl/calcChain.xml><?xml version="1.0" encoding="utf-8"?>
<calcChain xmlns="http://schemas.openxmlformats.org/spreadsheetml/2006/main">
  <c r="C15" i="14"/>
  <c r="J38"/>
  <c r="G38"/>
  <c r="F38"/>
  <c r="C38"/>
  <c r="I38" l="1"/>
  <c r="B38" s="1"/>
  <c r="G103" l="1"/>
  <c r="J245"/>
  <c r="G245"/>
  <c r="J164"/>
  <c r="G164"/>
  <c r="G71"/>
  <c r="I45" i="25"/>
  <c r="G29" i="14"/>
  <c r="J29"/>
  <c r="J24"/>
  <c r="G24"/>
  <c r="E313"/>
  <c r="I247" i="25"/>
  <c r="H313" i="14"/>
  <c r="J247" i="25"/>
  <c r="D295" i="14"/>
  <c r="K313"/>
  <c r="K312"/>
  <c r="K311"/>
  <c r="I311" s="1"/>
  <c r="H311"/>
  <c r="F311" s="1"/>
  <c r="E311"/>
  <c r="C311" s="1"/>
  <c r="H312"/>
  <c r="G295"/>
  <c r="F295" s="1"/>
  <c r="J287"/>
  <c r="I287" s="1"/>
  <c r="G287"/>
  <c r="G291" s="1"/>
  <c r="J169"/>
  <c r="J171" s="1"/>
  <c r="G169"/>
  <c r="F169" s="1"/>
  <c r="J52"/>
  <c r="I54" s="1"/>
  <c r="G52"/>
  <c r="F54" s="1"/>
  <c r="H301" l="1"/>
  <c r="F287"/>
  <c r="I169"/>
  <c r="L313"/>
  <c r="B311"/>
  <c r="K301"/>
  <c r="I52"/>
  <c r="G171"/>
  <c r="G47"/>
  <c r="P248" i="26"/>
  <c r="M358"/>
  <c r="M245"/>
  <c r="I236" i="25"/>
  <c r="I233" s="1"/>
  <c r="I224" s="1"/>
  <c r="I235"/>
  <c r="I234"/>
  <c r="I248" s="1"/>
  <c r="I225"/>
  <c r="P352" i="26"/>
  <c r="P358"/>
  <c r="P341"/>
  <c r="P322" l="1"/>
  <c r="M175"/>
  <c r="M352"/>
  <c r="M341"/>
  <c r="P264"/>
  <c r="M264"/>
  <c r="P245"/>
  <c r="P236"/>
  <c r="O236"/>
  <c r="Q238"/>
  <c r="Q239"/>
  <c r="Q240"/>
  <c r="Q241"/>
  <c r="Q237"/>
  <c r="Q222"/>
  <c r="P223"/>
  <c r="Q223" s="1"/>
  <c r="Q226"/>
  <c r="Q227"/>
  <c r="Q228"/>
  <c r="Q229"/>
  <c r="Q225"/>
  <c r="Q30"/>
  <c r="N162"/>
  <c r="N161"/>
  <c r="Q236" l="1"/>
  <c r="K430"/>
  <c r="J430"/>
  <c r="I430"/>
  <c r="I423"/>
  <c r="I420"/>
  <c r="J416"/>
  <c r="I416"/>
  <c r="J414"/>
  <c r="I414"/>
  <c r="I410"/>
  <c r="I408"/>
  <c r="K403"/>
  <c r="J403"/>
  <c r="I403"/>
  <c r="K402"/>
  <c r="J402"/>
  <c r="I402"/>
  <c r="K401"/>
  <c r="J401"/>
  <c r="I401"/>
  <c r="K399"/>
  <c r="J399"/>
  <c r="I399"/>
  <c r="J394"/>
  <c r="I394"/>
  <c r="K392"/>
  <c r="J392"/>
  <c r="I392"/>
  <c r="K387"/>
  <c r="J387"/>
  <c r="I387"/>
  <c r="K385"/>
  <c r="J385"/>
  <c r="I385"/>
  <c r="I381"/>
  <c r="I379"/>
  <c r="K370"/>
  <c r="J370"/>
  <c r="I370"/>
  <c r="K369"/>
  <c r="J369"/>
  <c r="I369"/>
  <c r="K368"/>
  <c r="J368"/>
  <c r="I368"/>
  <c r="K367"/>
  <c r="J367"/>
  <c r="I367"/>
  <c r="K357"/>
  <c r="J356"/>
  <c r="J410" s="1"/>
  <c r="K355"/>
  <c r="K394" s="1"/>
  <c r="H354"/>
  <c r="H387" s="1"/>
  <c r="J353"/>
  <c r="J381" s="1"/>
  <c r="I352"/>
  <c r="I372" s="1"/>
  <c r="J351"/>
  <c r="J350"/>
  <c r="K350" s="1"/>
  <c r="J349"/>
  <c r="J348"/>
  <c r="J420" s="1"/>
  <c r="K347"/>
  <c r="K414" s="1"/>
  <c r="J346"/>
  <c r="H345"/>
  <c r="H399" s="1"/>
  <c r="H344"/>
  <c r="H392" s="1"/>
  <c r="H343"/>
  <c r="H385" s="1"/>
  <c r="J342"/>
  <c r="I341"/>
  <c r="I371" s="1"/>
  <c r="H340"/>
  <c r="H339"/>
  <c r="H338"/>
  <c r="H337"/>
  <c r="K336"/>
  <c r="K335" s="1"/>
  <c r="J336"/>
  <c r="J335" s="1"/>
  <c r="I336"/>
  <c r="I335" s="1"/>
  <c r="H334"/>
  <c r="K333"/>
  <c r="J333"/>
  <c r="I333"/>
  <c r="H333"/>
  <c r="H332"/>
  <c r="H403" s="1"/>
  <c r="K331"/>
  <c r="J331"/>
  <c r="I331"/>
  <c r="H331"/>
  <c r="H330"/>
  <c r="H329"/>
  <c r="H401" s="1"/>
  <c r="J328"/>
  <c r="J322" s="1"/>
  <c r="I328"/>
  <c r="I327"/>
  <c r="H327" s="1"/>
  <c r="H324"/>
  <c r="K323"/>
  <c r="H323" s="1"/>
  <c r="K321"/>
  <c r="J321"/>
  <c r="H320"/>
  <c r="H319"/>
  <c r="I318"/>
  <c r="H318" s="1"/>
  <c r="H317"/>
  <c r="K316"/>
  <c r="J316"/>
  <c r="I316"/>
  <c r="K263"/>
  <c r="K314" s="1"/>
  <c r="K431" s="1"/>
  <c r="J263"/>
  <c r="J314" s="1"/>
  <c r="J431" s="1"/>
  <c r="K262"/>
  <c r="K429" s="1"/>
  <c r="J262"/>
  <c r="J429" s="1"/>
  <c r="I262"/>
  <c r="I429" s="1"/>
  <c r="J261"/>
  <c r="K260"/>
  <c r="K302" s="1"/>
  <c r="K415" s="1"/>
  <c r="J260"/>
  <c r="J302" s="1"/>
  <c r="J415" s="1"/>
  <c r="K259"/>
  <c r="K297" s="1"/>
  <c r="K406" s="1"/>
  <c r="J259"/>
  <c r="J297" s="1"/>
  <c r="J406" s="1"/>
  <c r="I259"/>
  <c r="I297" s="1"/>
  <c r="I406" s="1"/>
  <c r="K258"/>
  <c r="K298" s="1"/>
  <c r="K409" s="1"/>
  <c r="K256"/>
  <c r="K292" s="1"/>
  <c r="K398" s="1"/>
  <c r="J256"/>
  <c r="J292" s="1"/>
  <c r="J398" s="1"/>
  <c r="K255"/>
  <c r="K293" s="1"/>
  <c r="K400" s="1"/>
  <c r="K253"/>
  <c r="K288" s="1"/>
  <c r="K393" s="1"/>
  <c r="K252"/>
  <c r="K283" s="1"/>
  <c r="K386" s="1"/>
  <c r="K251"/>
  <c r="K277" s="1"/>
  <c r="K377" s="1"/>
  <c r="J251"/>
  <c r="J277" s="1"/>
  <c r="J377" s="1"/>
  <c r="I251"/>
  <c r="I277" s="1"/>
  <c r="I377" s="1"/>
  <c r="K250"/>
  <c r="K279" s="1"/>
  <c r="K380" s="1"/>
  <c r="K247"/>
  <c r="K271" s="1"/>
  <c r="K366" s="1"/>
  <c r="J247"/>
  <c r="J271" s="1"/>
  <c r="I247"/>
  <c r="I271" s="1"/>
  <c r="I366" s="1"/>
  <c r="K246"/>
  <c r="K270" s="1"/>
  <c r="K364" s="1"/>
  <c r="J246"/>
  <c r="J270" s="1"/>
  <c r="J364" s="1"/>
  <c r="H244"/>
  <c r="H262" s="1"/>
  <c r="H429" s="1"/>
  <c r="I243"/>
  <c r="H243" s="1"/>
  <c r="H242"/>
  <c r="J241"/>
  <c r="H241" s="1"/>
  <c r="J240"/>
  <c r="H240" s="1"/>
  <c r="J239"/>
  <c r="I239"/>
  <c r="J238"/>
  <c r="I238"/>
  <c r="J237"/>
  <c r="I237"/>
  <c r="K236"/>
  <c r="I236"/>
  <c r="H235"/>
  <c r="H234"/>
  <c r="H259" s="1"/>
  <c r="H297" s="1"/>
  <c r="H406" s="1"/>
  <c r="I233"/>
  <c r="I256" s="1"/>
  <c r="I292" s="1"/>
  <c r="I398" s="1"/>
  <c r="H232"/>
  <c r="H251" s="1"/>
  <c r="H277" s="1"/>
  <c r="H377" s="1"/>
  <c r="K231"/>
  <c r="J231"/>
  <c r="I230"/>
  <c r="I260" s="1"/>
  <c r="I302" s="1"/>
  <c r="I415" s="1"/>
  <c r="J229"/>
  <c r="I229"/>
  <c r="I258" s="1"/>
  <c r="J228"/>
  <c r="J255" s="1"/>
  <c r="I228"/>
  <c r="I255" s="1"/>
  <c r="J227"/>
  <c r="J253" s="1"/>
  <c r="J288" s="1"/>
  <c r="J393" s="1"/>
  <c r="I227"/>
  <c r="J226"/>
  <c r="J252" s="1"/>
  <c r="J283" s="1"/>
  <c r="J386" s="1"/>
  <c r="I226"/>
  <c r="J225"/>
  <c r="J250" s="1"/>
  <c r="I225"/>
  <c r="I224"/>
  <c r="I263" s="1"/>
  <c r="I314" s="1"/>
  <c r="I431" s="1"/>
  <c r="K223"/>
  <c r="K220"/>
  <c r="J220"/>
  <c r="I220"/>
  <c r="K219"/>
  <c r="J219"/>
  <c r="K218"/>
  <c r="J218"/>
  <c r="K217"/>
  <c r="J217"/>
  <c r="J216"/>
  <c r="K215"/>
  <c r="J215"/>
  <c r="K214"/>
  <c r="K305" s="1"/>
  <c r="K419" s="1"/>
  <c r="J214"/>
  <c r="J305" s="1"/>
  <c r="J419" s="1"/>
  <c r="I214"/>
  <c r="I305" s="1"/>
  <c r="I419" s="1"/>
  <c r="K212"/>
  <c r="J212"/>
  <c r="I212"/>
  <c r="K209"/>
  <c r="J209"/>
  <c r="I209"/>
  <c r="H206"/>
  <c r="H220" s="1"/>
  <c r="I205"/>
  <c r="I219" s="1"/>
  <c r="I204"/>
  <c r="I218" s="1"/>
  <c r="H203"/>
  <c r="I202"/>
  <c r="I217" s="1"/>
  <c r="I201"/>
  <c r="I215" s="1"/>
  <c r="K200"/>
  <c r="K208" s="1"/>
  <c r="J200"/>
  <c r="J208" s="1"/>
  <c r="H199"/>
  <c r="H214" s="1"/>
  <c r="I197"/>
  <c r="I216" s="1"/>
  <c r="K196"/>
  <c r="K216" s="1"/>
  <c r="K195"/>
  <c r="J195"/>
  <c r="I195"/>
  <c r="H194"/>
  <c r="H193"/>
  <c r="K191"/>
  <c r="J191"/>
  <c r="J310" s="1"/>
  <c r="K190"/>
  <c r="K311" s="1"/>
  <c r="K428" s="1"/>
  <c r="J190"/>
  <c r="J311" s="1"/>
  <c r="J428" s="1"/>
  <c r="K189"/>
  <c r="K312" s="1"/>
  <c r="K427" s="1"/>
  <c r="J189"/>
  <c r="J312" s="1"/>
  <c r="J427" s="1"/>
  <c r="I189"/>
  <c r="I312" s="1"/>
  <c r="I427" s="1"/>
  <c r="J188"/>
  <c r="J187"/>
  <c r="I187"/>
  <c r="K186"/>
  <c r="J186"/>
  <c r="I186"/>
  <c r="K185"/>
  <c r="J185"/>
  <c r="I185"/>
  <c r="K184"/>
  <c r="J184"/>
  <c r="J183"/>
  <c r="K182"/>
  <c r="J182"/>
  <c r="K181"/>
  <c r="J181"/>
  <c r="K180"/>
  <c r="K179" s="1"/>
  <c r="J180"/>
  <c r="I180"/>
  <c r="J179"/>
  <c r="K178"/>
  <c r="J178"/>
  <c r="K177"/>
  <c r="J177"/>
  <c r="I177"/>
  <c r="J176"/>
  <c r="H174"/>
  <c r="K173"/>
  <c r="K183" s="1"/>
  <c r="I173"/>
  <c r="I183" s="1"/>
  <c r="I172"/>
  <c r="H172" s="1"/>
  <c r="H171"/>
  <c r="H180" s="1"/>
  <c r="I170"/>
  <c r="I181" s="1"/>
  <c r="J169"/>
  <c r="I168"/>
  <c r="I191" s="1"/>
  <c r="I167"/>
  <c r="I190" s="1"/>
  <c r="H166"/>
  <c r="H189" s="1"/>
  <c r="K165"/>
  <c r="J165"/>
  <c r="H164"/>
  <c r="H163"/>
  <c r="H185" s="1"/>
  <c r="I162"/>
  <c r="H162" s="1"/>
  <c r="K161"/>
  <c r="J161"/>
  <c r="H160"/>
  <c r="H159"/>
  <c r="H158"/>
  <c r="I157"/>
  <c r="I184" s="1"/>
  <c r="K156"/>
  <c r="J156"/>
  <c r="H155"/>
  <c r="K154"/>
  <c r="K187" s="1"/>
  <c r="H153"/>
  <c r="J152"/>
  <c r="I152"/>
  <c r="X151"/>
  <c r="W151"/>
  <c r="H151"/>
  <c r="X150"/>
  <c r="W150"/>
  <c r="H150"/>
  <c r="K149"/>
  <c r="J149"/>
  <c r="I149"/>
  <c r="G126"/>
  <c r="G276" s="1"/>
  <c r="J125"/>
  <c r="J274" s="1"/>
  <c r="K118"/>
  <c r="K144" s="1"/>
  <c r="K301" s="1"/>
  <c r="K413" s="1"/>
  <c r="J118"/>
  <c r="J144" s="1"/>
  <c r="J301" s="1"/>
  <c r="J413" s="1"/>
  <c r="I118"/>
  <c r="I144" s="1"/>
  <c r="I301" s="1"/>
  <c r="I413" s="1"/>
  <c r="H115"/>
  <c r="H114"/>
  <c r="H118" s="1"/>
  <c r="K113"/>
  <c r="K117" s="1"/>
  <c r="K143" s="1"/>
  <c r="J113"/>
  <c r="J117" s="1"/>
  <c r="J143" s="1"/>
  <c r="I113"/>
  <c r="I117" s="1"/>
  <c r="I143" s="1"/>
  <c r="I112"/>
  <c r="I116" s="1"/>
  <c r="K111"/>
  <c r="K141" s="1"/>
  <c r="K296" s="1"/>
  <c r="K407" s="1"/>
  <c r="J111"/>
  <c r="J141" s="1"/>
  <c r="J296" s="1"/>
  <c r="J407" s="1"/>
  <c r="I111"/>
  <c r="I141" s="1"/>
  <c r="I296" s="1"/>
  <c r="I407" s="1"/>
  <c r="K110"/>
  <c r="K140" s="1"/>
  <c r="J110"/>
  <c r="J140" s="1"/>
  <c r="H108"/>
  <c r="H107"/>
  <c r="I106"/>
  <c r="H106" s="1"/>
  <c r="H105"/>
  <c r="H111" s="1"/>
  <c r="H141" s="1"/>
  <c r="H296" s="1"/>
  <c r="H407" s="1"/>
  <c r="I104"/>
  <c r="I103" s="1"/>
  <c r="I109" s="1"/>
  <c r="K103"/>
  <c r="K109" s="1"/>
  <c r="J103"/>
  <c r="J109" s="1"/>
  <c r="K102"/>
  <c r="K147" s="1"/>
  <c r="K308" s="1"/>
  <c r="K424" s="1"/>
  <c r="J102"/>
  <c r="J147" s="1"/>
  <c r="J308" s="1"/>
  <c r="J424" s="1"/>
  <c r="I102"/>
  <c r="I147" s="1"/>
  <c r="I308" s="1"/>
  <c r="I424" s="1"/>
  <c r="K101"/>
  <c r="K138" s="1"/>
  <c r="K291" s="1"/>
  <c r="K397" s="1"/>
  <c r="J101"/>
  <c r="J138" s="1"/>
  <c r="J291" s="1"/>
  <c r="J397" s="1"/>
  <c r="I101"/>
  <c r="I138" s="1"/>
  <c r="I291" s="1"/>
  <c r="I397" s="1"/>
  <c r="K100"/>
  <c r="K137" s="1"/>
  <c r="K98"/>
  <c r="K135" s="1"/>
  <c r="K287" s="1"/>
  <c r="K391" s="1"/>
  <c r="J98"/>
  <c r="J135" s="1"/>
  <c r="J287" s="1"/>
  <c r="J391" s="1"/>
  <c r="I98"/>
  <c r="I135" s="1"/>
  <c r="I287" s="1"/>
  <c r="I391" s="1"/>
  <c r="K97"/>
  <c r="K134" s="1"/>
  <c r="K286" s="1"/>
  <c r="K390" s="1"/>
  <c r="J97"/>
  <c r="J134" s="1"/>
  <c r="J286" s="1"/>
  <c r="J390" s="1"/>
  <c r="I97"/>
  <c r="I134" s="1"/>
  <c r="I286" s="1"/>
  <c r="I390" s="1"/>
  <c r="J96"/>
  <c r="J133" s="1"/>
  <c r="K94"/>
  <c r="K131" s="1"/>
  <c r="K282" s="1"/>
  <c r="K384" s="1"/>
  <c r="J94"/>
  <c r="J131" s="1"/>
  <c r="J282" s="1"/>
  <c r="J384" s="1"/>
  <c r="I94"/>
  <c r="I131" s="1"/>
  <c r="I282" s="1"/>
  <c r="I384" s="1"/>
  <c r="K93"/>
  <c r="K130" s="1"/>
  <c r="J93"/>
  <c r="J130" s="1"/>
  <c r="K91"/>
  <c r="K127" s="1"/>
  <c r="K278" s="1"/>
  <c r="K378" s="1"/>
  <c r="J91"/>
  <c r="J127" s="1"/>
  <c r="J278" s="1"/>
  <c r="J378" s="1"/>
  <c r="I91"/>
  <c r="I127" s="1"/>
  <c r="I278" s="1"/>
  <c r="I378" s="1"/>
  <c r="K90"/>
  <c r="K126" s="1"/>
  <c r="J90"/>
  <c r="J126" s="1"/>
  <c r="J276" s="1"/>
  <c r="J376" s="1"/>
  <c r="I90"/>
  <c r="I126" s="1"/>
  <c r="K89"/>
  <c r="K128" s="1"/>
  <c r="K275" s="1"/>
  <c r="K375" s="1"/>
  <c r="J89"/>
  <c r="J128" s="1"/>
  <c r="J275" s="1"/>
  <c r="J375" s="1"/>
  <c r="I89"/>
  <c r="I128" s="1"/>
  <c r="I275" s="1"/>
  <c r="I375" s="1"/>
  <c r="J88"/>
  <c r="K85"/>
  <c r="K123" s="1"/>
  <c r="K272" s="1"/>
  <c r="K365" s="1"/>
  <c r="J85"/>
  <c r="J123" s="1"/>
  <c r="J272" s="1"/>
  <c r="J365" s="1"/>
  <c r="I85"/>
  <c r="I123" s="1"/>
  <c r="I272" s="1"/>
  <c r="I365" s="1"/>
  <c r="K84"/>
  <c r="K122" s="1"/>
  <c r="J84"/>
  <c r="J122" s="1"/>
  <c r="J269" s="1"/>
  <c r="J362" s="1"/>
  <c r="I84"/>
  <c r="I122" s="1"/>
  <c r="H80"/>
  <c r="H79"/>
  <c r="H78"/>
  <c r="H77"/>
  <c r="H76"/>
  <c r="H75"/>
  <c r="H74"/>
  <c r="K73"/>
  <c r="J73"/>
  <c r="I73"/>
  <c r="H72"/>
  <c r="H71"/>
  <c r="H70"/>
  <c r="H69"/>
  <c r="K68"/>
  <c r="J68"/>
  <c r="I68"/>
  <c r="H67"/>
  <c r="H66"/>
  <c r="H65"/>
  <c r="H102" s="1"/>
  <c r="H147" s="1"/>
  <c r="H308" s="1"/>
  <c r="H424" s="1"/>
  <c r="I64"/>
  <c r="H64" s="1"/>
  <c r="H63"/>
  <c r="H62"/>
  <c r="H61"/>
  <c r="H60"/>
  <c r="K59"/>
  <c r="J59"/>
  <c r="I59"/>
  <c r="H58"/>
  <c r="H57"/>
  <c r="H56"/>
  <c r="K55"/>
  <c r="J55"/>
  <c r="I55"/>
  <c r="K54"/>
  <c r="K96" s="1"/>
  <c r="H53"/>
  <c r="H98" s="1"/>
  <c r="H135" s="1"/>
  <c r="H287" s="1"/>
  <c r="H391" s="1"/>
  <c r="J52"/>
  <c r="I52"/>
  <c r="H51"/>
  <c r="K50"/>
  <c r="K88" s="1"/>
  <c r="H49"/>
  <c r="I48"/>
  <c r="I100" s="1"/>
  <c r="H47"/>
  <c r="H46"/>
  <c r="H45"/>
  <c r="I44"/>
  <c r="H44" s="1"/>
  <c r="K43"/>
  <c r="J43"/>
  <c r="H42"/>
  <c r="I41"/>
  <c r="H41" s="1"/>
  <c r="H40"/>
  <c r="H39"/>
  <c r="K38"/>
  <c r="J38"/>
  <c r="H37"/>
  <c r="H101" s="1"/>
  <c r="H138" s="1"/>
  <c r="H291" s="1"/>
  <c r="H397" s="1"/>
  <c r="H36"/>
  <c r="H97" s="1"/>
  <c r="H134" s="1"/>
  <c r="H286" s="1"/>
  <c r="H390" s="1"/>
  <c r="H35"/>
  <c r="H94" s="1"/>
  <c r="H131" s="1"/>
  <c r="H282" s="1"/>
  <c r="H384" s="1"/>
  <c r="H34"/>
  <c r="H89" s="1"/>
  <c r="H128" s="1"/>
  <c r="H275" s="1"/>
  <c r="H375" s="1"/>
  <c r="K33"/>
  <c r="K83" s="1"/>
  <c r="J33"/>
  <c r="J83" s="1"/>
  <c r="I33"/>
  <c r="I83" s="1"/>
  <c r="H32"/>
  <c r="H31"/>
  <c r="J30"/>
  <c r="J100" s="1"/>
  <c r="I29"/>
  <c r="I96" s="1"/>
  <c r="I28"/>
  <c r="I93" s="1"/>
  <c r="I27"/>
  <c r="I88" s="1"/>
  <c r="K26"/>
  <c r="K24"/>
  <c r="K146" s="1"/>
  <c r="K307" s="1"/>
  <c r="J24"/>
  <c r="J146" s="1"/>
  <c r="J307" s="1"/>
  <c r="K23"/>
  <c r="K145" s="1"/>
  <c r="K304" s="1"/>
  <c r="J23"/>
  <c r="J145" s="1"/>
  <c r="J304" s="1"/>
  <c r="H21"/>
  <c r="H20"/>
  <c r="K19"/>
  <c r="J19"/>
  <c r="I19"/>
  <c r="H18"/>
  <c r="H17"/>
  <c r="K16"/>
  <c r="J16"/>
  <c r="I16"/>
  <c r="I15"/>
  <c r="H14"/>
  <c r="K13"/>
  <c r="J13"/>
  <c r="I12"/>
  <c r="H12" s="1"/>
  <c r="I11"/>
  <c r="I23" s="1"/>
  <c r="I145" s="1"/>
  <c r="I304" s="1"/>
  <c r="K10"/>
  <c r="J10"/>
  <c r="I10"/>
  <c r="I4"/>
  <c r="J243" i="25"/>
  <c r="J242"/>
  <c r="J241"/>
  <c r="J240"/>
  <c r="J239"/>
  <c r="J231"/>
  <c r="J230"/>
  <c r="J229"/>
  <c r="J228"/>
  <c r="J227"/>
  <c r="I164"/>
  <c r="I381"/>
  <c r="K112" i="26" l="1"/>
  <c r="K116" s="1"/>
  <c r="I250"/>
  <c r="I252"/>
  <c r="I283" s="1"/>
  <c r="I386" s="1"/>
  <c r="I253"/>
  <c r="I288" s="1"/>
  <c r="I393" s="1"/>
  <c r="I38"/>
  <c r="K82"/>
  <c r="K25"/>
  <c r="I269"/>
  <c r="I362" s="1"/>
  <c r="K269"/>
  <c r="K362" s="1"/>
  <c r="J87"/>
  <c r="I276"/>
  <c r="I376" s="1"/>
  <c r="K276"/>
  <c r="K376" s="1"/>
  <c r="J112"/>
  <c r="J116" s="1"/>
  <c r="I161"/>
  <c r="I179"/>
  <c r="H173"/>
  <c r="H183" s="1"/>
  <c r="J268"/>
  <c r="J363" s="1"/>
  <c r="H196"/>
  <c r="H197"/>
  <c r="J198"/>
  <c r="J207" s="1"/>
  <c r="J210" s="1"/>
  <c r="I200"/>
  <c r="I198" s="1"/>
  <c r="K248"/>
  <c r="K266" s="1"/>
  <c r="K360" s="1"/>
  <c r="H228"/>
  <c r="J258"/>
  <c r="H238"/>
  <c r="H239"/>
  <c r="J352"/>
  <c r="J372" s="1"/>
  <c r="H11"/>
  <c r="H10" s="1"/>
  <c r="I26"/>
  <c r="H50"/>
  <c r="H68"/>
  <c r="H113"/>
  <c r="J175"/>
  <c r="H186"/>
  <c r="K152"/>
  <c r="H154"/>
  <c r="H152" s="1"/>
  <c r="H161"/>
  <c r="K268"/>
  <c r="K363" s="1"/>
  <c r="I213"/>
  <c r="K213"/>
  <c r="K222"/>
  <c r="K245" s="1"/>
  <c r="K257"/>
  <c r="H347"/>
  <c r="H414" s="1"/>
  <c r="K348"/>
  <c r="K420" s="1"/>
  <c r="H350"/>
  <c r="K353"/>
  <c r="H353" s="1"/>
  <c r="H381" s="1"/>
  <c r="H355"/>
  <c r="H394" s="1"/>
  <c r="K356"/>
  <c r="K410" s="1"/>
  <c r="H149"/>
  <c r="I176"/>
  <c r="J22"/>
  <c r="H23"/>
  <c r="H145" s="1"/>
  <c r="H38"/>
  <c r="H55"/>
  <c r="H59"/>
  <c r="H73"/>
  <c r="H255"/>
  <c r="K249"/>
  <c r="H321"/>
  <c r="I322"/>
  <c r="H328"/>
  <c r="H187"/>
  <c r="K169"/>
  <c r="K175" s="1"/>
  <c r="K188"/>
  <c r="H195"/>
  <c r="J213"/>
  <c r="I223"/>
  <c r="I248" s="1"/>
  <c r="I266" s="1"/>
  <c r="I360" s="1"/>
  <c r="H316"/>
  <c r="I24"/>
  <c r="I146" s="1"/>
  <c r="I307" s="1"/>
  <c r="K52"/>
  <c r="H54"/>
  <c r="H52" s="1"/>
  <c r="J92"/>
  <c r="J95"/>
  <c r="H182"/>
  <c r="I207"/>
  <c r="K211"/>
  <c r="H204"/>
  <c r="H218" s="1"/>
  <c r="H205"/>
  <c r="H219" s="1"/>
  <c r="H226"/>
  <c r="H252" s="1"/>
  <c r="H283" s="1"/>
  <c r="H386" s="1"/>
  <c r="H230"/>
  <c r="H260" s="1"/>
  <c r="H302" s="1"/>
  <c r="H415" s="1"/>
  <c r="H237"/>
  <c r="J236"/>
  <c r="H247"/>
  <c r="H271" s="1"/>
  <c r="H313" s="1"/>
  <c r="H336"/>
  <c r="H335" s="1"/>
  <c r="K81"/>
  <c r="I156"/>
  <c r="I169"/>
  <c r="I182"/>
  <c r="I210"/>
  <c r="J211"/>
  <c r="K254"/>
  <c r="H19"/>
  <c r="K22"/>
  <c r="K120" s="1"/>
  <c r="H16"/>
  <c r="H307"/>
  <c r="I422"/>
  <c r="I421" s="1"/>
  <c r="I306"/>
  <c r="I125"/>
  <c r="I87"/>
  <c r="I133"/>
  <c r="I95"/>
  <c r="K125"/>
  <c r="K87"/>
  <c r="I130"/>
  <c r="I92"/>
  <c r="I137"/>
  <c r="I99"/>
  <c r="K133"/>
  <c r="K95"/>
  <c r="J300"/>
  <c r="J142"/>
  <c r="H144"/>
  <c r="H301" s="1"/>
  <c r="H413" s="1"/>
  <c r="S151"/>
  <c r="S150"/>
  <c r="J418"/>
  <c r="J417" s="1"/>
  <c r="J303"/>
  <c r="J422"/>
  <c r="J306"/>
  <c r="H90"/>
  <c r="H126" s="1"/>
  <c r="H276" s="1"/>
  <c r="H376" s="1"/>
  <c r="H84"/>
  <c r="H122" s="1"/>
  <c r="J281"/>
  <c r="J129"/>
  <c r="K290"/>
  <c r="K136"/>
  <c r="I110"/>
  <c r="I140" s="1"/>
  <c r="H104"/>
  <c r="K295"/>
  <c r="K139"/>
  <c r="I142"/>
  <c r="I300"/>
  <c r="K300"/>
  <c r="K142"/>
  <c r="J374"/>
  <c r="H312"/>
  <c r="H427" s="1"/>
  <c r="I279"/>
  <c r="I380" s="1"/>
  <c r="I249"/>
  <c r="I293"/>
  <c r="I400" s="1"/>
  <c r="I254"/>
  <c r="I298"/>
  <c r="I409" s="1"/>
  <c r="I257"/>
  <c r="H366"/>
  <c r="J366"/>
  <c r="J313"/>
  <c r="I13"/>
  <c r="I22" s="1"/>
  <c r="H15"/>
  <c r="H13" s="1"/>
  <c r="H22" s="1"/>
  <c r="J26"/>
  <c r="H27"/>
  <c r="H28"/>
  <c r="H93" s="1"/>
  <c r="H29"/>
  <c r="H96" s="1"/>
  <c r="H30"/>
  <c r="H33"/>
  <c r="H83" s="1"/>
  <c r="H121" s="1"/>
  <c r="H267" s="1"/>
  <c r="H361" s="1"/>
  <c r="I43"/>
  <c r="H48"/>
  <c r="H43" s="1"/>
  <c r="K92"/>
  <c r="K99"/>
  <c r="J121"/>
  <c r="J267" s="1"/>
  <c r="J361" s="1"/>
  <c r="J124"/>
  <c r="I310"/>
  <c r="K310"/>
  <c r="H236"/>
  <c r="I418"/>
  <c r="I417" s="1"/>
  <c r="I303"/>
  <c r="K418"/>
  <c r="K417" s="1"/>
  <c r="K303"/>
  <c r="K422"/>
  <c r="K306"/>
  <c r="J137"/>
  <c r="J99"/>
  <c r="H91"/>
  <c r="H127" s="1"/>
  <c r="H278" s="1"/>
  <c r="H378" s="1"/>
  <c r="H85"/>
  <c r="H123" s="1"/>
  <c r="H272" s="1"/>
  <c r="H365" s="1"/>
  <c r="K281"/>
  <c r="K129"/>
  <c r="J285"/>
  <c r="J132"/>
  <c r="J295"/>
  <c r="J139"/>
  <c r="I311"/>
  <c r="I428" s="1"/>
  <c r="I188"/>
  <c r="H305"/>
  <c r="H419" s="1"/>
  <c r="J279"/>
  <c r="J380" s="1"/>
  <c r="J249"/>
  <c r="H293"/>
  <c r="H400" s="1"/>
  <c r="J293"/>
  <c r="J400" s="1"/>
  <c r="J254"/>
  <c r="J298"/>
  <c r="J409" s="1"/>
  <c r="J257"/>
  <c r="J379"/>
  <c r="K342"/>
  <c r="H342" s="1"/>
  <c r="J341"/>
  <c r="J371" s="1"/>
  <c r="J408"/>
  <c r="K346"/>
  <c r="K408" s="1"/>
  <c r="J423"/>
  <c r="K351"/>
  <c r="K349" s="1"/>
  <c r="K423" s="1"/>
  <c r="I121"/>
  <c r="I267" s="1"/>
  <c r="I361" s="1"/>
  <c r="K121"/>
  <c r="K267" s="1"/>
  <c r="K361" s="1"/>
  <c r="H157"/>
  <c r="H156" s="1"/>
  <c r="I165"/>
  <c r="H167"/>
  <c r="H168"/>
  <c r="H191" s="1"/>
  <c r="H170"/>
  <c r="K176"/>
  <c r="I178"/>
  <c r="I268" s="1"/>
  <c r="I363" s="1"/>
  <c r="K198"/>
  <c r="K207" s="1"/>
  <c r="K210" s="1"/>
  <c r="H201"/>
  <c r="H202"/>
  <c r="H217" s="1"/>
  <c r="H209"/>
  <c r="H212"/>
  <c r="H216"/>
  <c r="J223"/>
  <c r="H224"/>
  <c r="H225"/>
  <c r="H250" s="1"/>
  <c r="H227"/>
  <c r="H253" s="1"/>
  <c r="H288" s="1"/>
  <c r="H393" s="1"/>
  <c r="H229"/>
  <c r="H258" s="1"/>
  <c r="I231"/>
  <c r="I222" s="1"/>
  <c r="I245" s="1"/>
  <c r="H233"/>
  <c r="I246"/>
  <c r="I270" s="1"/>
  <c r="I364" s="1"/>
  <c r="I261"/>
  <c r="K261"/>
  <c r="I313"/>
  <c r="K322"/>
  <c r="J426"/>
  <c r="J425" s="1"/>
  <c r="J309"/>
  <c r="H402"/>
  <c r="H369"/>
  <c r="H430"/>
  <c r="H367"/>
  <c r="H357"/>
  <c r="H416" s="1"/>
  <c r="K416"/>
  <c r="H177"/>
  <c r="I208"/>
  <c r="I211" s="1"/>
  <c r="H246"/>
  <c r="H270" s="1"/>
  <c r="H364" s="1"/>
  <c r="K313"/>
  <c r="H322"/>
  <c r="K381"/>
  <c r="H368"/>
  <c r="H370"/>
  <c r="I114" i="25"/>
  <c r="J32"/>
  <c r="K325"/>
  <c r="J330"/>
  <c r="J324" s="1"/>
  <c r="I175" i="26" l="1"/>
  <c r="H351"/>
  <c r="H349"/>
  <c r="H346"/>
  <c r="H408" s="1"/>
  <c r="H117"/>
  <c r="H143" s="1"/>
  <c r="H300" s="1"/>
  <c r="H112"/>
  <c r="H116" s="1"/>
  <c r="H356"/>
  <c r="K352"/>
  <c r="K372" s="1"/>
  <c r="H348"/>
  <c r="H420" s="1"/>
  <c r="I82"/>
  <c r="I25"/>
  <c r="I81" s="1"/>
  <c r="I119" s="1"/>
  <c r="I264" s="1"/>
  <c r="I358" s="1"/>
  <c r="K119"/>
  <c r="K264" s="1"/>
  <c r="H176"/>
  <c r="H100"/>
  <c r="H99" s="1"/>
  <c r="H263"/>
  <c r="H223"/>
  <c r="H181"/>
  <c r="H179" s="1"/>
  <c r="H169"/>
  <c r="H190"/>
  <c r="H178"/>
  <c r="H268" s="1"/>
  <c r="H363" s="1"/>
  <c r="H165"/>
  <c r="K379"/>
  <c r="K341"/>
  <c r="K371" s="1"/>
  <c r="J405"/>
  <c r="J404" s="1"/>
  <c r="J294"/>
  <c r="J389"/>
  <c r="J388" s="1"/>
  <c r="J284"/>
  <c r="K383"/>
  <c r="K382" s="1"/>
  <c r="K280"/>
  <c r="J290"/>
  <c r="J136"/>
  <c r="I426"/>
  <c r="I425" s="1"/>
  <c r="I309"/>
  <c r="H133"/>
  <c r="H95"/>
  <c r="H88"/>
  <c r="H26"/>
  <c r="I412"/>
  <c r="I411" s="1"/>
  <c r="I299"/>
  <c r="H103"/>
  <c r="H109" s="1"/>
  <c r="H110"/>
  <c r="H140" s="1"/>
  <c r="J412"/>
  <c r="J411" s="1"/>
  <c r="J299"/>
  <c r="H412"/>
  <c r="H411" s="1"/>
  <c r="H299"/>
  <c r="K285"/>
  <c r="K132"/>
  <c r="I136"/>
  <c r="I290"/>
  <c r="I129"/>
  <c r="I281"/>
  <c r="H422"/>
  <c r="H306"/>
  <c r="H184"/>
  <c r="K421"/>
  <c r="J273"/>
  <c r="H269"/>
  <c r="H362" s="1"/>
  <c r="H24"/>
  <c r="H146" s="1"/>
  <c r="K265"/>
  <c r="K359" s="1"/>
  <c r="H256"/>
  <c r="H231"/>
  <c r="H298"/>
  <c r="H409" s="1"/>
  <c r="H257"/>
  <c r="H279"/>
  <c r="H380" s="1"/>
  <c r="H249"/>
  <c r="J248"/>
  <c r="J266" s="1"/>
  <c r="J360" s="1"/>
  <c r="J222"/>
  <c r="J245" s="1"/>
  <c r="H215"/>
  <c r="H200"/>
  <c r="H379"/>
  <c r="K426"/>
  <c r="K425" s="1"/>
  <c r="K309"/>
  <c r="H137"/>
  <c r="H130"/>
  <c r="H92"/>
  <c r="J82"/>
  <c r="J120" s="1"/>
  <c r="J265" s="1"/>
  <c r="J359" s="1"/>
  <c r="J25"/>
  <c r="J81" s="1"/>
  <c r="J119" s="1"/>
  <c r="J264" s="1"/>
  <c r="I120"/>
  <c r="I265" s="1"/>
  <c r="I359" s="1"/>
  <c r="K412"/>
  <c r="K411" s="1"/>
  <c r="K299"/>
  <c r="K405"/>
  <c r="K404" s="1"/>
  <c r="K294"/>
  <c r="I139"/>
  <c r="I295"/>
  <c r="K396"/>
  <c r="K395" s="1"/>
  <c r="K289"/>
  <c r="J383"/>
  <c r="J382" s="1"/>
  <c r="J280"/>
  <c r="K274"/>
  <c r="K124"/>
  <c r="I132"/>
  <c r="I285"/>
  <c r="I274"/>
  <c r="I124"/>
  <c r="H310"/>
  <c r="J373"/>
  <c r="J421"/>
  <c r="H142"/>
  <c r="K198" i="25"/>
  <c r="K115"/>
  <c r="J115"/>
  <c r="K323"/>
  <c r="J323"/>
  <c r="J163"/>
  <c r="I239"/>
  <c r="I240"/>
  <c r="I230"/>
  <c r="I229"/>
  <c r="I172"/>
  <c r="I175"/>
  <c r="I174"/>
  <c r="I108"/>
  <c r="I106"/>
  <c r="I105" s="1"/>
  <c r="I30"/>
  <c r="I29"/>
  <c r="I31"/>
  <c r="I66"/>
  <c r="H341" i="26" l="1"/>
  <c r="H371" s="1"/>
  <c r="H423"/>
  <c r="H421" s="1"/>
  <c r="K358"/>
  <c r="H410"/>
  <c r="H352"/>
  <c r="H372" s="1"/>
  <c r="H175"/>
  <c r="H281"/>
  <c r="H129"/>
  <c r="H290"/>
  <c r="H136"/>
  <c r="H304"/>
  <c r="H213"/>
  <c r="K389"/>
  <c r="K388" s="1"/>
  <c r="K284"/>
  <c r="H87"/>
  <c r="H125"/>
  <c r="H285"/>
  <c r="H132"/>
  <c r="J396"/>
  <c r="J395" s="1"/>
  <c r="J289"/>
  <c r="H248"/>
  <c r="H266" s="1"/>
  <c r="H360" s="1"/>
  <c r="H222"/>
  <c r="H245" s="1"/>
  <c r="H426"/>
  <c r="I273"/>
  <c r="I374"/>
  <c r="I373" s="1"/>
  <c r="K273"/>
  <c r="K374"/>
  <c r="K373" s="1"/>
  <c r="H292"/>
  <c r="H398" s="1"/>
  <c r="H254"/>
  <c r="I389"/>
  <c r="I388" s="1"/>
  <c r="I284"/>
  <c r="I405"/>
  <c r="I404" s="1"/>
  <c r="I294"/>
  <c r="J358"/>
  <c r="S264"/>
  <c r="H198"/>
  <c r="H207" s="1"/>
  <c r="H210" s="1"/>
  <c r="H208"/>
  <c r="H211" s="1"/>
  <c r="I383"/>
  <c r="I382" s="1"/>
  <c r="I280"/>
  <c r="I396"/>
  <c r="I395" s="1"/>
  <c r="I289"/>
  <c r="H295"/>
  <c r="H139"/>
  <c r="H82"/>
  <c r="H120" s="1"/>
  <c r="H25"/>
  <c r="H81" s="1"/>
  <c r="H119" s="1"/>
  <c r="H311"/>
  <c r="H428" s="1"/>
  <c r="H188"/>
  <c r="H314"/>
  <c r="H431" s="1"/>
  <c r="H261"/>
  <c r="I17" i="25"/>
  <c r="H264" i="26" l="1"/>
  <c r="H358" s="1"/>
  <c r="H405"/>
  <c r="H404" s="1"/>
  <c r="H294"/>
  <c r="H389"/>
  <c r="H388" s="1"/>
  <c r="H284"/>
  <c r="H418"/>
  <c r="H417" s="1"/>
  <c r="H303"/>
  <c r="H396"/>
  <c r="H395" s="1"/>
  <c r="H289"/>
  <c r="H383"/>
  <c r="H382" s="1"/>
  <c r="H280"/>
  <c r="H265"/>
  <c r="H359" s="1"/>
  <c r="H425"/>
  <c r="H274"/>
  <c r="H124"/>
  <c r="H309"/>
  <c r="J25" i="25"/>
  <c r="K25"/>
  <c r="H374" i="26" l="1"/>
  <c r="H373" s="1"/>
  <c r="H273"/>
  <c r="J86" i="25"/>
  <c r="K86"/>
  <c r="J87"/>
  <c r="K87"/>
  <c r="J26"/>
  <c r="J21"/>
  <c r="K21"/>
  <c r="I21"/>
  <c r="H22"/>
  <c r="J18"/>
  <c r="H23"/>
  <c r="J105"/>
  <c r="H21" l="1"/>
  <c r="J28"/>
  <c r="J61"/>
  <c r="J45"/>
  <c r="J40"/>
  <c r="J35"/>
  <c r="J85" s="1"/>
  <c r="J15"/>
  <c r="J12"/>
  <c r="J90"/>
  <c r="J127"/>
  <c r="J183"/>
  <c r="J318"/>
  <c r="J188"/>
  <c r="R152"/>
  <c r="R153"/>
  <c r="Q153"/>
  <c r="Q152"/>
  <c r="I188"/>
  <c r="I112"/>
  <c r="I70"/>
  <c r="J70"/>
  <c r="K70"/>
  <c r="H73"/>
  <c r="J114"/>
  <c r="K114"/>
  <c r="J158"/>
  <c r="J151"/>
  <c r="I75"/>
  <c r="J75"/>
  <c r="K75"/>
  <c r="H81"/>
  <c r="H82"/>
  <c r="H77"/>
  <c r="H78"/>
  <c r="H79"/>
  <c r="H80"/>
  <c r="H237"/>
  <c r="J276" l="1"/>
  <c r="J24"/>
  <c r="J27"/>
  <c r="I231"/>
  <c r="I199"/>
  <c r="K324" l="1"/>
  <c r="H325"/>
  <c r="H326"/>
  <c r="I227"/>
  <c r="H205"/>
  <c r="H76"/>
  <c r="H75" s="1"/>
  <c r="H74"/>
  <c r="I241" l="1"/>
  <c r="I207"/>
  <c r="I43" l="1"/>
  <c r="I40" s="1"/>
  <c r="I28"/>
  <c r="I98" l="1"/>
  <c r="K359" l="1"/>
  <c r="K349"/>
  <c r="I115"/>
  <c r="H115"/>
  <c r="I330" l="1"/>
  <c r="I338"/>
  <c r="J338"/>
  <c r="K338"/>
  <c r="H342"/>
  <c r="I159"/>
  <c r="I50"/>
  <c r="J254"/>
  <c r="I255"/>
  <c r="H240"/>
  <c r="I206"/>
  <c r="I204" l="1"/>
  <c r="I203"/>
  <c r="I119"/>
  <c r="K26" l="1"/>
  <c r="H20"/>
  <c r="I202"/>
  <c r="I103"/>
  <c r="I95"/>
  <c r="I169"/>
  <c r="I170"/>
  <c r="C316" i="14" l="1"/>
  <c r="I245" i="25"/>
  <c r="I257" s="1"/>
  <c r="I329" l="1"/>
  <c r="I324" s="1"/>
  <c r="I228"/>
  <c r="I254" s="1"/>
  <c r="I226"/>
  <c r="E15" i="14"/>
  <c r="H15"/>
  <c r="K15"/>
  <c r="D130"/>
  <c r="C130" s="1"/>
  <c r="C132" s="1"/>
  <c r="I130"/>
  <c r="F130"/>
  <c r="I104" i="25"/>
  <c r="I149" s="1"/>
  <c r="I310" s="1"/>
  <c r="I426" s="1"/>
  <c r="J104"/>
  <c r="J149" s="1"/>
  <c r="J310" s="1"/>
  <c r="J426" s="1"/>
  <c r="K104"/>
  <c r="K149" s="1"/>
  <c r="K310" s="1"/>
  <c r="K426" s="1"/>
  <c r="H67"/>
  <c r="H104" s="1"/>
  <c r="H149" s="1"/>
  <c r="H310" s="1"/>
  <c r="H426" s="1"/>
  <c r="I232"/>
  <c r="C83" i="14"/>
  <c r="C82"/>
  <c r="C81"/>
  <c r="C80"/>
  <c r="I210" i="25" l="1"/>
  <c r="B130" i="14"/>
  <c r="F92"/>
  <c r="C92"/>
  <c r="I369" i="25"/>
  <c r="J369"/>
  <c r="K369"/>
  <c r="I432"/>
  <c r="J432"/>
  <c r="K432"/>
  <c r="J257"/>
  <c r="K257"/>
  <c r="I264"/>
  <c r="I431" s="1"/>
  <c r="J264"/>
  <c r="J431" s="1"/>
  <c r="K264"/>
  <c r="K431" s="1"/>
  <c r="H336"/>
  <c r="H432" s="1"/>
  <c r="K335"/>
  <c r="J335"/>
  <c r="I335"/>
  <c r="H335"/>
  <c r="I249"/>
  <c r="I273" s="1"/>
  <c r="I315" s="1"/>
  <c r="J249"/>
  <c r="J273" s="1"/>
  <c r="J315" s="1"/>
  <c r="K249"/>
  <c r="K273" s="1"/>
  <c r="K315" s="1"/>
  <c r="H245"/>
  <c r="I14"/>
  <c r="I26" s="1"/>
  <c r="C143" i="14"/>
  <c r="C153"/>
  <c r="J273"/>
  <c r="G273"/>
  <c r="D273"/>
  <c r="C273" s="1"/>
  <c r="C195"/>
  <c r="C194"/>
  <c r="H369" i="25" l="1"/>
  <c r="K368"/>
  <c r="J368"/>
  <c r="I368"/>
  <c r="C110" i="14"/>
  <c r="J248" i="25"/>
  <c r="K248"/>
  <c r="J225"/>
  <c r="K225"/>
  <c r="J233"/>
  <c r="K233"/>
  <c r="I218"/>
  <c r="J218"/>
  <c r="K218"/>
  <c r="H196"/>
  <c r="I211"/>
  <c r="J211"/>
  <c r="K211"/>
  <c r="I197"/>
  <c r="J197"/>
  <c r="K197"/>
  <c r="H199"/>
  <c r="I191"/>
  <c r="I167"/>
  <c r="I163"/>
  <c r="I158"/>
  <c r="I154"/>
  <c r="I151"/>
  <c r="I61"/>
  <c r="D114" i="14" s="1"/>
  <c r="J224" i="25" l="1"/>
  <c r="K224"/>
  <c r="E312" i="14"/>
  <c r="H33" i="25"/>
  <c r="C312" i="14" l="1"/>
  <c r="C320" s="1"/>
  <c r="E301"/>
  <c r="L318"/>
  <c r="M318" s="1"/>
  <c r="L312"/>
  <c r="D164"/>
  <c r="I273"/>
  <c r="I277" s="1"/>
  <c r="F273"/>
  <c r="F277" l="1"/>
  <c r="B273"/>
  <c r="E259" l="1"/>
  <c r="H259"/>
  <c r="K259"/>
  <c r="D287" l="1"/>
  <c r="J280"/>
  <c r="G280"/>
  <c r="D280"/>
  <c r="C270"/>
  <c r="J263"/>
  <c r="G263"/>
  <c r="D263"/>
  <c r="E173"/>
  <c r="H173"/>
  <c r="K173"/>
  <c r="F242"/>
  <c r="I242"/>
  <c r="C242"/>
  <c r="G259" l="1"/>
  <c r="J259"/>
  <c r="J229"/>
  <c r="G229"/>
  <c r="D229"/>
  <c r="C226"/>
  <c r="J213"/>
  <c r="I213" s="1"/>
  <c r="I217" s="1"/>
  <c r="G213"/>
  <c r="F213" s="1"/>
  <c r="F217" s="1"/>
  <c r="D213"/>
  <c r="C213" s="1"/>
  <c r="D206"/>
  <c r="J198"/>
  <c r="G198"/>
  <c r="D198"/>
  <c r="C193"/>
  <c r="F187"/>
  <c r="F195" s="1"/>
  <c r="F186"/>
  <c r="F194" s="1"/>
  <c r="F185"/>
  <c r="F193" s="1"/>
  <c r="I153"/>
  <c r="F153"/>
  <c r="D147"/>
  <c r="C147" s="1"/>
  <c r="C154" s="1"/>
  <c r="C142"/>
  <c r="B213" l="1"/>
  <c r="C217"/>
  <c r="I185"/>
  <c r="I193" s="1"/>
  <c r="I186"/>
  <c r="I194" s="1"/>
  <c r="I187"/>
  <c r="I195" s="1"/>
  <c r="D135" l="1"/>
  <c r="C135" s="1"/>
  <c r="C144" s="1"/>
  <c r="F137"/>
  <c r="F136"/>
  <c r="F142" s="1"/>
  <c r="C127"/>
  <c r="F127" s="1"/>
  <c r="I127" s="1"/>
  <c r="J121"/>
  <c r="I121" s="1"/>
  <c r="I126" s="1"/>
  <c r="G121"/>
  <c r="F121" s="1"/>
  <c r="F126" s="1"/>
  <c r="D121"/>
  <c r="C121" s="1"/>
  <c r="I137" l="1"/>
  <c r="I143" s="1"/>
  <c r="F143"/>
  <c r="B121"/>
  <c r="I136"/>
  <c r="I142" s="1"/>
  <c r="C126"/>
  <c r="D86"/>
  <c r="C86" s="1"/>
  <c r="C91" s="1"/>
  <c r="D71"/>
  <c r="C71" s="1"/>
  <c r="F68"/>
  <c r="I68"/>
  <c r="C68"/>
  <c r="D62"/>
  <c r="C62" s="1"/>
  <c r="C67" s="1"/>
  <c r="F52"/>
  <c r="F35"/>
  <c r="I35"/>
  <c r="C35"/>
  <c r="F47" l="1"/>
  <c r="F49" s="1"/>
  <c r="I19"/>
  <c r="F19"/>
  <c r="I187" i="25"/>
  <c r="I24" i="14" l="1"/>
  <c r="I26" s="1"/>
  <c r="F24"/>
  <c r="I418" i="25"/>
  <c r="I416"/>
  <c r="I412"/>
  <c r="I410"/>
  <c r="I405"/>
  <c r="J405"/>
  <c r="K405"/>
  <c r="I404"/>
  <c r="J404"/>
  <c r="K404"/>
  <c r="I403"/>
  <c r="J403"/>
  <c r="K403"/>
  <c r="I401"/>
  <c r="I396"/>
  <c r="I394"/>
  <c r="I389"/>
  <c r="I387"/>
  <c r="I422"/>
  <c r="I425"/>
  <c r="I383"/>
  <c r="I370"/>
  <c r="J370"/>
  <c r="K370"/>
  <c r="I371"/>
  <c r="J371"/>
  <c r="K371"/>
  <c r="I372"/>
  <c r="J372"/>
  <c r="K372"/>
  <c r="K318"/>
  <c r="H321"/>
  <c r="H322"/>
  <c r="H323"/>
  <c r="H319"/>
  <c r="F26" i="14" l="1"/>
  <c r="I320" i="25"/>
  <c r="H340"/>
  <c r="H341"/>
  <c r="H339"/>
  <c r="I295"/>
  <c r="I402" s="1"/>
  <c r="J295"/>
  <c r="J402" s="1"/>
  <c r="K295"/>
  <c r="K402" s="1"/>
  <c r="I252"/>
  <c r="J252"/>
  <c r="K252"/>
  <c r="I272"/>
  <c r="I366" s="1"/>
  <c r="J272"/>
  <c r="J366" s="1"/>
  <c r="K272"/>
  <c r="K366" s="1"/>
  <c r="I238"/>
  <c r="J238"/>
  <c r="K238"/>
  <c r="H226"/>
  <c r="I216"/>
  <c r="I307" s="1"/>
  <c r="I421" s="1"/>
  <c r="J216"/>
  <c r="K216"/>
  <c r="K307" s="1"/>
  <c r="K421" s="1"/>
  <c r="I217"/>
  <c r="J217"/>
  <c r="K217"/>
  <c r="I222"/>
  <c r="J222"/>
  <c r="K222"/>
  <c r="I221"/>
  <c r="J221"/>
  <c r="K221"/>
  <c r="I220"/>
  <c r="J220"/>
  <c r="K220"/>
  <c r="I219"/>
  <c r="J219"/>
  <c r="K219"/>
  <c r="I214"/>
  <c r="J214"/>
  <c r="K214"/>
  <c r="H338" l="1"/>
  <c r="H337" s="1"/>
  <c r="H265"/>
  <c r="H316" s="1"/>
  <c r="J250"/>
  <c r="J268" s="1"/>
  <c r="J362" s="1"/>
  <c r="K250"/>
  <c r="K268" s="1"/>
  <c r="K362" s="1"/>
  <c r="K247"/>
  <c r="I250"/>
  <c r="I268" s="1"/>
  <c r="I362" s="1"/>
  <c r="J281"/>
  <c r="J382" s="1"/>
  <c r="K281"/>
  <c r="K382" s="1"/>
  <c r="I281"/>
  <c r="I382" s="1"/>
  <c r="I318"/>
  <c r="H320"/>
  <c r="H318" s="1"/>
  <c r="J215"/>
  <c r="K215"/>
  <c r="I215"/>
  <c r="J307"/>
  <c r="J421" s="1"/>
  <c r="J187"/>
  <c r="K187"/>
  <c r="I193"/>
  <c r="J193"/>
  <c r="J312" s="1"/>
  <c r="J428" s="1"/>
  <c r="K193"/>
  <c r="K312" s="1"/>
  <c r="K428" s="1"/>
  <c r="I192"/>
  <c r="I313" s="1"/>
  <c r="I430" s="1"/>
  <c r="J192"/>
  <c r="J313" s="1"/>
  <c r="J430" s="1"/>
  <c r="K192"/>
  <c r="K313" s="1"/>
  <c r="K430" s="1"/>
  <c r="I314"/>
  <c r="I429" s="1"/>
  <c r="J191"/>
  <c r="J314" s="1"/>
  <c r="J429" s="1"/>
  <c r="K191"/>
  <c r="K314" s="1"/>
  <c r="K429" s="1"/>
  <c r="I189"/>
  <c r="I186"/>
  <c r="I185"/>
  <c r="I184"/>
  <c r="I183"/>
  <c r="I182"/>
  <c r="J182"/>
  <c r="K182"/>
  <c r="I178"/>
  <c r="I171"/>
  <c r="D253" i="14" s="1"/>
  <c r="D245"/>
  <c r="J167" i="25"/>
  <c r="K167"/>
  <c r="H166"/>
  <c r="D220" i="14"/>
  <c r="G220"/>
  <c r="K163" i="25"/>
  <c r="J220" i="14" s="1"/>
  <c r="G206"/>
  <c r="K158" i="25"/>
  <c r="J206" i="14" s="1"/>
  <c r="D184"/>
  <c r="C184" s="1"/>
  <c r="D177"/>
  <c r="G177"/>
  <c r="K151" i="25"/>
  <c r="J177" i="14" s="1"/>
  <c r="I179" i="25"/>
  <c r="J179"/>
  <c r="K179"/>
  <c r="I180"/>
  <c r="I270" s="1"/>
  <c r="I365" s="1"/>
  <c r="J180"/>
  <c r="J270" s="1"/>
  <c r="J365" s="1"/>
  <c r="K180"/>
  <c r="K270" s="1"/>
  <c r="K365" s="1"/>
  <c r="I140"/>
  <c r="I293" s="1"/>
  <c r="I399" s="1"/>
  <c r="J103"/>
  <c r="J140" s="1"/>
  <c r="J293" s="1"/>
  <c r="J399" s="1"/>
  <c r="K103"/>
  <c r="K140" s="1"/>
  <c r="K293" s="1"/>
  <c r="K399" s="1"/>
  <c r="I100"/>
  <c r="I137" s="1"/>
  <c r="I289" s="1"/>
  <c r="I393" s="1"/>
  <c r="J100"/>
  <c r="J137" s="1"/>
  <c r="J289" s="1"/>
  <c r="J393" s="1"/>
  <c r="I99"/>
  <c r="I136" s="1"/>
  <c r="I288" s="1"/>
  <c r="I392" s="1"/>
  <c r="J99"/>
  <c r="J136" s="1"/>
  <c r="J288" s="1"/>
  <c r="J392" s="1"/>
  <c r="K99"/>
  <c r="K136" s="1"/>
  <c r="K288" s="1"/>
  <c r="K392" s="1"/>
  <c r="I96"/>
  <c r="I133" s="1"/>
  <c r="I284" s="1"/>
  <c r="I386" s="1"/>
  <c r="J96"/>
  <c r="J133" s="1"/>
  <c r="J284" s="1"/>
  <c r="J386" s="1"/>
  <c r="K96"/>
  <c r="K133" s="1"/>
  <c r="K284" s="1"/>
  <c r="K386" s="1"/>
  <c r="I93"/>
  <c r="I129" s="1"/>
  <c r="I280" s="1"/>
  <c r="I380" s="1"/>
  <c r="J93"/>
  <c r="J129" s="1"/>
  <c r="J280" s="1"/>
  <c r="J380" s="1"/>
  <c r="K93"/>
  <c r="K129" s="1"/>
  <c r="K280" s="1"/>
  <c r="K380" s="1"/>
  <c r="I92"/>
  <c r="I128" s="1"/>
  <c r="J92"/>
  <c r="J128" s="1"/>
  <c r="K92"/>
  <c r="K128" s="1"/>
  <c r="I91"/>
  <c r="I130" s="1"/>
  <c r="I277" s="1"/>
  <c r="I377" s="1"/>
  <c r="J91"/>
  <c r="J130" s="1"/>
  <c r="J277" s="1"/>
  <c r="J377" s="1"/>
  <c r="K91"/>
  <c r="K130" s="1"/>
  <c r="K277" s="1"/>
  <c r="K377" s="1"/>
  <c r="I87"/>
  <c r="I125" s="1"/>
  <c r="I274" s="1"/>
  <c r="I367" s="1"/>
  <c r="J125"/>
  <c r="J274" s="1"/>
  <c r="J367" s="1"/>
  <c r="K125"/>
  <c r="K274" s="1"/>
  <c r="K367" s="1"/>
  <c r="I86"/>
  <c r="I124" s="1"/>
  <c r="J124"/>
  <c r="D52" i="14"/>
  <c r="C52" s="1"/>
  <c r="K40" i="25"/>
  <c r="K28"/>
  <c r="I35"/>
  <c r="K35"/>
  <c r="K85" s="1"/>
  <c r="I120"/>
  <c r="I146" s="1"/>
  <c r="I303" s="1"/>
  <c r="I415" s="1"/>
  <c r="J120"/>
  <c r="J146" s="1"/>
  <c r="J303" s="1"/>
  <c r="J415" s="1"/>
  <c r="K120"/>
  <c r="K146" s="1"/>
  <c r="K303" s="1"/>
  <c r="K415" s="1"/>
  <c r="J119"/>
  <c r="J145" s="1"/>
  <c r="K119"/>
  <c r="K145" s="1"/>
  <c r="I113"/>
  <c r="I143" s="1"/>
  <c r="I298" s="1"/>
  <c r="I409" s="1"/>
  <c r="J113"/>
  <c r="J143" s="1"/>
  <c r="J298" s="1"/>
  <c r="J409" s="1"/>
  <c r="K113"/>
  <c r="K143" s="1"/>
  <c r="K298" s="1"/>
  <c r="K409" s="1"/>
  <c r="J118"/>
  <c r="K118"/>
  <c r="I148"/>
  <c r="D157" i="14"/>
  <c r="C157" s="1"/>
  <c r="C161" s="1"/>
  <c r="I57" i="25"/>
  <c r="D103" i="14" s="1"/>
  <c r="C114"/>
  <c r="B52" l="1"/>
  <c r="C54"/>
  <c r="I85" i="25"/>
  <c r="I27"/>
  <c r="C118" i="14"/>
  <c r="I309" i="25"/>
  <c r="I312"/>
  <c r="I428" s="1"/>
  <c r="D173" i="14"/>
  <c r="K144" i="25"/>
  <c r="K302"/>
  <c r="K414" s="1"/>
  <c r="I271"/>
  <c r="I364" s="1"/>
  <c r="J278"/>
  <c r="J378" s="1"/>
  <c r="J144"/>
  <c r="J302"/>
  <c r="J414" s="1"/>
  <c r="J271"/>
  <c r="J364" s="1"/>
  <c r="K278"/>
  <c r="K378" s="1"/>
  <c r="I278"/>
  <c r="I378" s="1"/>
  <c r="K190"/>
  <c r="I190"/>
  <c r="I181"/>
  <c r="J190"/>
  <c r="I177"/>
  <c r="J123"/>
  <c r="J269" s="1"/>
  <c r="J363" s="1"/>
  <c r="K123"/>
  <c r="K269" s="1"/>
  <c r="K363" s="1"/>
  <c r="I123"/>
  <c r="I269" s="1"/>
  <c r="I363" s="1"/>
  <c r="K27"/>
  <c r="H108"/>
  <c r="H47"/>
  <c r="I46"/>
  <c r="I90" s="1"/>
  <c r="I308" l="1"/>
  <c r="I424"/>
  <c r="I423" s="1"/>
  <c r="D57" i="14"/>
  <c r="C57" s="1"/>
  <c r="I354" i="25"/>
  <c r="I374" s="1"/>
  <c r="J337"/>
  <c r="K337"/>
  <c r="I337"/>
  <c r="I333"/>
  <c r="J333"/>
  <c r="K333"/>
  <c r="I213"/>
  <c r="J202"/>
  <c r="J210" s="1"/>
  <c r="J213" s="1"/>
  <c r="K202"/>
  <c r="K210" s="1"/>
  <c r="K213" s="1"/>
  <c r="H208"/>
  <c r="H222" s="1"/>
  <c r="H207"/>
  <c r="H221" s="1"/>
  <c r="H206"/>
  <c r="H220" s="1"/>
  <c r="H204"/>
  <c r="H219" s="1"/>
  <c r="H203"/>
  <c r="H201"/>
  <c r="H170"/>
  <c r="H193" s="1"/>
  <c r="H169"/>
  <c r="H168"/>
  <c r="H191" s="1"/>
  <c r="H165"/>
  <c r="H187" s="1"/>
  <c r="H164"/>
  <c r="H162"/>
  <c r="H161"/>
  <c r="H160"/>
  <c r="H159"/>
  <c r="H157"/>
  <c r="H153"/>
  <c r="H152"/>
  <c r="H117"/>
  <c r="H119" s="1"/>
  <c r="H217" l="1"/>
  <c r="H202"/>
  <c r="H200" s="1"/>
  <c r="H209" s="1"/>
  <c r="H314"/>
  <c r="H429" s="1"/>
  <c r="H214"/>
  <c r="H211"/>
  <c r="C59" i="14"/>
  <c r="H158" i="25"/>
  <c r="H216"/>
  <c r="H307" s="1"/>
  <c r="K200"/>
  <c r="K209" s="1"/>
  <c r="K212" s="1"/>
  <c r="I200"/>
  <c r="J200"/>
  <c r="J209" s="1"/>
  <c r="J212" s="1"/>
  <c r="H180"/>
  <c r="H270" s="1"/>
  <c r="H192"/>
  <c r="H313" s="1"/>
  <c r="K156"/>
  <c r="J189"/>
  <c r="H151"/>
  <c r="J154"/>
  <c r="H163"/>
  <c r="H167"/>
  <c r="H50"/>
  <c r="H49"/>
  <c r="H48"/>
  <c r="K188"/>
  <c r="H42"/>
  <c r="H43"/>
  <c r="H44"/>
  <c r="H41"/>
  <c r="H39"/>
  <c r="I15"/>
  <c r="D24" i="14" s="1"/>
  <c r="C24" s="1"/>
  <c r="K15" i="25"/>
  <c r="H16"/>
  <c r="H17"/>
  <c r="I13"/>
  <c r="J148"/>
  <c r="J309" s="1"/>
  <c r="J147"/>
  <c r="J306" s="1"/>
  <c r="I18"/>
  <c r="D29" i="14" s="1"/>
  <c r="C29" s="1"/>
  <c r="I111" i="25"/>
  <c r="C164" i="14" s="1"/>
  <c r="H71" i="25"/>
  <c r="G147" i="14"/>
  <c r="F147" s="1"/>
  <c r="G135"/>
  <c r="F135" s="1"/>
  <c r="H66" i="25"/>
  <c r="K105"/>
  <c r="H63"/>
  <c r="G62" i="14"/>
  <c r="F62" s="1"/>
  <c r="J412" i="25"/>
  <c r="J396"/>
  <c r="J389"/>
  <c r="J383"/>
  <c r="J425"/>
  <c r="I343"/>
  <c r="I373" s="1"/>
  <c r="J416"/>
  <c r="J401"/>
  <c r="J394"/>
  <c r="J387"/>
  <c r="J344"/>
  <c r="J381" s="1"/>
  <c r="H334"/>
  <c r="H333" s="1"/>
  <c r="H332"/>
  <c r="H331"/>
  <c r="H330"/>
  <c r="H329"/>
  <c r="K265"/>
  <c r="J265"/>
  <c r="I265"/>
  <c r="K262"/>
  <c r="K304" s="1"/>
  <c r="J262"/>
  <c r="J304" s="1"/>
  <c r="I262"/>
  <c r="I304" s="1"/>
  <c r="I417" s="1"/>
  <c r="K261"/>
  <c r="K299" s="1"/>
  <c r="K408" s="1"/>
  <c r="J261"/>
  <c r="J299" s="1"/>
  <c r="J408" s="1"/>
  <c r="I261"/>
  <c r="I299" s="1"/>
  <c r="I408" s="1"/>
  <c r="K260"/>
  <c r="K300" s="1"/>
  <c r="K411" s="1"/>
  <c r="J260"/>
  <c r="J300" s="1"/>
  <c r="J411" s="1"/>
  <c r="I260"/>
  <c r="I300" s="1"/>
  <c r="I411" s="1"/>
  <c r="K258"/>
  <c r="K294" s="1"/>
  <c r="K400" s="1"/>
  <c r="J258"/>
  <c r="J294" s="1"/>
  <c r="J400" s="1"/>
  <c r="I258"/>
  <c r="I294" s="1"/>
  <c r="I400" s="1"/>
  <c r="K255"/>
  <c r="K290" s="1"/>
  <c r="K395" s="1"/>
  <c r="J255"/>
  <c r="J290" s="1"/>
  <c r="J395" s="1"/>
  <c r="I290"/>
  <c r="I395" s="1"/>
  <c r="K254"/>
  <c r="K285" s="1"/>
  <c r="K388" s="1"/>
  <c r="J285"/>
  <c r="J388" s="1"/>
  <c r="I285"/>
  <c r="I388" s="1"/>
  <c r="K253"/>
  <c r="J253"/>
  <c r="I253"/>
  <c r="H246"/>
  <c r="H264" s="1"/>
  <c r="H244"/>
  <c r="H243"/>
  <c r="H242"/>
  <c r="H241"/>
  <c r="H239"/>
  <c r="H236"/>
  <c r="H235"/>
  <c r="H234"/>
  <c r="H232"/>
  <c r="H262" s="1"/>
  <c r="H304" s="1"/>
  <c r="H231"/>
  <c r="H230"/>
  <c r="H229"/>
  <c r="H228"/>
  <c r="H227"/>
  <c r="H433"/>
  <c r="H198"/>
  <c r="H195"/>
  <c r="J186"/>
  <c r="H173"/>
  <c r="G128"/>
  <c r="G278" s="1"/>
  <c r="H14"/>
  <c r="H26" s="1"/>
  <c r="K12"/>
  <c r="H116"/>
  <c r="H107"/>
  <c r="H38"/>
  <c r="H37"/>
  <c r="H36"/>
  <c r="H91" s="1"/>
  <c r="H34"/>
  <c r="I6"/>
  <c r="H255" l="1"/>
  <c r="H290" s="1"/>
  <c r="H260"/>
  <c r="H257"/>
  <c r="H295" s="1"/>
  <c r="I25"/>
  <c r="I147" s="1"/>
  <c r="I306" s="1"/>
  <c r="I12"/>
  <c r="I24" s="1"/>
  <c r="G184" i="14"/>
  <c r="F184" s="1"/>
  <c r="M153" i="25"/>
  <c r="M152"/>
  <c r="H114"/>
  <c r="H118" s="1"/>
  <c r="H225"/>
  <c r="H253"/>
  <c r="H279" s="1"/>
  <c r="H233"/>
  <c r="H324"/>
  <c r="I209"/>
  <c r="I212" s="1"/>
  <c r="H238"/>
  <c r="H252"/>
  <c r="G57" i="14"/>
  <c r="H46" i="25"/>
  <c r="H45" s="1"/>
  <c r="H263"/>
  <c r="H431"/>
  <c r="H300"/>
  <c r="H411" s="1"/>
  <c r="H261"/>
  <c r="H299" s="1"/>
  <c r="H408" s="1"/>
  <c r="I316"/>
  <c r="I311" s="1"/>
  <c r="I263"/>
  <c r="K316"/>
  <c r="K433" s="1"/>
  <c r="K427" s="1"/>
  <c r="K263"/>
  <c r="H254"/>
  <c r="H285" s="1"/>
  <c r="H388" s="1"/>
  <c r="H258"/>
  <c r="H294" s="1"/>
  <c r="H400" s="1"/>
  <c r="J316"/>
  <c r="J311" s="1"/>
  <c r="J263"/>
  <c r="H218"/>
  <c r="H312" s="1"/>
  <c r="H428" s="1"/>
  <c r="H197"/>
  <c r="H212" s="1"/>
  <c r="I279"/>
  <c r="I379" s="1"/>
  <c r="I251"/>
  <c r="K279"/>
  <c r="K379" s="1"/>
  <c r="K251"/>
  <c r="H248"/>
  <c r="H272" s="1"/>
  <c r="H366" s="1"/>
  <c r="H249"/>
  <c r="H273" s="1"/>
  <c r="J279"/>
  <c r="J379" s="1"/>
  <c r="J251"/>
  <c r="H210"/>
  <c r="H395"/>
  <c r="H15"/>
  <c r="H365"/>
  <c r="J301"/>
  <c r="J417"/>
  <c r="H371"/>
  <c r="H404"/>
  <c r="F67" i="14"/>
  <c r="K301" i="25"/>
  <c r="K417"/>
  <c r="H370"/>
  <c r="H403"/>
  <c r="H372"/>
  <c r="H405"/>
  <c r="K52"/>
  <c r="F71" i="14"/>
  <c r="F154"/>
  <c r="I305" i="25"/>
  <c r="I420"/>
  <c r="I419" s="1"/>
  <c r="J86" i="14"/>
  <c r="I86" s="1"/>
  <c r="G86"/>
  <c r="F86" s="1"/>
  <c r="F91" s="1"/>
  <c r="F144"/>
  <c r="C166"/>
  <c r="C34"/>
  <c r="C26"/>
  <c r="B24"/>
  <c r="J308" i="25"/>
  <c r="J424"/>
  <c r="J423" s="1"/>
  <c r="J305"/>
  <c r="J420"/>
  <c r="K348"/>
  <c r="K410" s="1"/>
  <c r="J410"/>
  <c r="K418"/>
  <c r="J418"/>
  <c r="H190"/>
  <c r="H215"/>
  <c r="H421"/>
  <c r="I256"/>
  <c r="K256"/>
  <c r="J259"/>
  <c r="J256"/>
  <c r="I259"/>
  <c r="K259"/>
  <c r="H156"/>
  <c r="H189" s="1"/>
  <c r="K189"/>
  <c r="J178"/>
  <c r="H182"/>
  <c r="H179"/>
  <c r="K175"/>
  <c r="K185" s="1"/>
  <c r="J185"/>
  <c r="K154"/>
  <c r="J184" i="14" s="1"/>
  <c r="J181" i="25"/>
  <c r="J171"/>
  <c r="K184"/>
  <c r="J184"/>
  <c r="J111"/>
  <c r="F164" i="14" s="1"/>
  <c r="H130" i="25"/>
  <c r="H277" s="1"/>
  <c r="J102"/>
  <c r="H32"/>
  <c r="I102"/>
  <c r="H103"/>
  <c r="H140" s="1"/>
  <c r="K45"/>
  <c r="H92"/>
  <c r="H128" s="1"/>
  <c r="H99"/>
  <c r="H136" s="1"/>
  <c r="H93"/>
  <c r="H129" s="1"/>
  <c r="H87"/>
  <c r="H125" s="1"/>
  <c r="H96"/>
  <c r="H133" s="1"/>
  <c r="J95"/>
  <c r="I84"/>
  <c r="H31"/>
  <c r="I97"/>
  <c r="K100"/>
  <c r="K137" s="1"/>
  <c r="K289" s="1"/>
  <c r="K393" s="1"/>
  <c r="K124"/>
  <c r="K271" s="1"/>
  <c r="K364" s="1"/>
  <c r="H113"/>
  <c r="H143" s="1"/>
  <c r="I145"/>
  <c r="I118"/>
  <c r="D169" i="14" s="1"/>
  <c r="C169" s="1"/>
  <c r="C171" s="1"/>
  <c r="H35" i="25"/>
  <c r="H85" s="1"/>
  <c r="I142"/>
  <c r="I297" s="1"/>
  <c r="J112"/>
  <c r="H40"/>
  <c r="H120"/>
  <c r="K355"/>
  <c r="J354"/>
  <c r="J374" s="1"/>
  <c r="H155"/>
  <c r="H188" s="1"/>
  <c r="H110"/>
  <c r="H13"/>
  <c r="H417"/>
  <c r="H29"/>
  <c r="H30"/>
  <c r="H106"/>
  <c r="H105" s="1"/>
  <c r="J135" i="14"/>
  <c r="I135" s="1"/>
  <c r="I144" s="1"/>
  <c r="G157"/>
  <c r="F157" s="1"/>
  <c r="K147" i="25"/>
  <c r="K306" s="1"/>
  <c r="K148"/>
  <c r="J147" i="14"/>
  <c r="I147" s="1"/>
  <c r="I154" s="1"/>
  <c r="J157"/>
  <c r="I157" s="1"/>
  <c r="I161" s="1"/>
  <c r="H72" i="25"/>
  <c r="H70" s="1"/>
  <c r="H62"/>
  <c r="H64"/>
  <c r="K353"/>
  <c r="K351" s="1"/>
  <c r="K425" s="1"/>
  <c r="H348"/>
  <c r="H410" s="1"/>
  <c r="H55"/>
  <c r="J62" i="14"/>
  <c r="I62" s="1"/>
  <c r="I67" s="1"/>
  <c r="I54" i="25"/>
  <c r="D95" i="14" s="1"/>
  <c r="C95" s="1"/>
  <c r="C100" s="1"/>
  <c r="J98" i="25"/>
  <c r="J97" s="1"/>
  <c r="J57"/>
  <c r="J84" s="1"/>
  <c r="H60"/>
  <c r="K401"/>
  <c r="K358"/>
  <c r="K412" s="1"/>
  <c r="K416"/>
  <c r="K352"/>
  <c r="H352" s="1"/>
  <c r="H359"/>
  <c r="H418" s="1"/>
  <c r="J350"/>
  <c r="K387"/>
  <c r="K357"/>
  <c r="K396" s="1"/>
  <c r="K394"/>
  <c r="K389"/>
  <c r="K344"/>
  <c r="K381" s="1"/>
  <c r="F57" i="14" l="1"/>
  <c r="F59" s="1"/>
  <c r="H12" i="25"/>
  <c r="J142"/>
  <c r="J122"/>
  <c r="J267" s="1"/>
  <c r="J71" i="14"/>
  <c r="I71" s="1"/>
  <c r="B71" s="1"/>
  <c r="K90" i="25"/>
  <c r="J413"/>
  <c r="K311"/>
  <c r="H251"/>
  <c r="J433"/>
  <c r="J427" s="1"/>
  <c r="H281"/>
  <c r="H382" s="1"/>
  <c r="H213"/>
  <c r="H52"/>
  <c r="J57" i="14"/>
  <c r="I57" s="1"/>
  <c r="I59" s="1"/>
  <c r="I433" i="25"/>
  <c r="I427" s="1"/>
  <c r="H315"/>
  <c r="H311" s="1"/>
  <c r="H368"/>
  <c r="F166" i="14"/>
  <c r="H298" i="25"/>
  <c r="H409" s="1"/>
  <c r="H284"/>
  <c r="H386" s="1"/>
  <c r="H280"/>
  <c r="H380" s="1"/>
  <c r="H278"/>
  <c r="H378" s="1"/>
  <c r="H224"/>
  <c r="H247" s="1"/>
  <c r="H250"/>
  <c r="H268" s="1"/>
  <c r="H362" s="1"/>
  <c r="H256"/>
  <c r="H259"/>
  <c r="H274"/>
  <c r="H367" s="1"/>
  <c r="H288"/>
  <c r="H392" s="1"/>
  <c r="H293"/>
  <c r="H399" s="1"/>
  <c r="K309"/>
  <c r="H309" s="1"/>
  <c r="K111"/>
  <c r="G114" i="14"/>
  <c r="F114" s="1"/>
  <c r="H28" i="25"/>
  <c r="H27" s="1"/>
  <c r="I296"/>
  <c r="I407"/>
  <c r="I406" s="1"/>
  <c r="B169" i="14"/>
  <c r="H430" i="25"/>
  <c r="H427" s="1"/>
  <c r="F161" i="14"/>
  <c r="B157"/>
  <c r="D19"/>
  <c r="J177" i="25"/>
  <c r="G253" i="14"/>
  <c r="G173" s="1"/>
  <c r="I184"/>
  <c r="B184" s="1"/>
  <c r="C295"/>
  <c r="D259"/>
  <c r="B86"/>
  <c r="B147"/>
  <c r="H174" i="25"/>
  <c r="H184" s="1"/>
  <c r="H53"/>
  <c r="K413"/>
  <c r="B135" i="14"/>
  <c r="B62"/>
  <c r="J343" i="25"/>
  <c r="J373" s="1"/>
  <c r="J422"/>
  <c r="J419" s="1"/>
  <c r="H355"/>
  <c r="H383" s="1"/>
  <c r="K383"/>
  <c r="K308"/>
  <c r="K305"/>
  <c r="K420"/>
  <c r="H379"/>
  <c r="J141"/>
  <c r="J297"/>
  <c r="H175"/>
  <c r="H185" s="1"/>
  <c r="I144"/>
  <c r="I302"/>
  <c r="H402"/>
  <c r="H377"/>
  <c r="H176"/>
  <c r="H186" s="1"/>
  <c r="K186"/>
  <c r="K183"/>
  <c r="K181" s="1"/>
  <c r="K171"/>
  <c r="H154"/>
  <c r="K178"/>
  <c r="I141"/>
  <c r="K57"/>
  <c r="J135"/>
  <c r="J287" s="1"/>
  <c r="H146"/>
  <c r="H123"/>
  <c r="J89"/>
  <c r="I101"/>
  <c r="I139"/>
  <c r="I292" s="1"/>
  <c r="I94"/>
  <c r="I132"/>
  <c r="I283" s="1"/>
  <c r="I135"/>
  <c r="I89"/>
  <c r="I127"/>
  <c r="J94"/>
  <c r="J132"/>
  <c r="J283" s="1"/>
  <c r="J385" s="1"/>
  <c r="J101"/>
  <c r="J139"/>
  <c r="J292" s="1"/>
  <c r="J398" s="1"/>
  <c r="I83"/>
  <c r="H59"/>
  <c r="H95" s="1"/>
  <c r="K95"/>
  <c r="H65"/>
  <c r="H61" s="1"/>
  <c r="K102"/>
  <c r="H100"/>
  <c r="H137" s="1"/>
  <c r="H86"/>
  <c r="H124" s="1"/>
  <c r="H109"/>
  <c r="H112" s="1"/>
  <c r="H142" s="1"/>
  <c r="H297" s="1"/>
  <c r="K112"/>
  <c r="K142" s="1"/>
  <c r="K297" s="1"/>
  <c r="H145"/>
  <c r="H302" s="1"/>
  <c r="H148"/>
  <c r="H19"/>
  <c r="H25" s="1"/>
  <c r="K354"/>
  <c r="K374" s="1"/>
  <c r="H68"/>
  <c r="K18"/>
  <c r="H69"/>
  <c r="K61"/>
  <c r="H358"/>
  <c r="H412" s="1"/>
  <c r="H353"/>
  <c r="H347"/>
  <c r="H345"/>
  <c r="H387" s="1"/>
  <c r="H351"/>
  <c r="H58"/>
  <c r="K56"/>
  <c r="J54"/>
  <c r="J83" s="1"/>
  <c r="H51"/>
  <c r="H349"/>
  <c r="H416" s="1"/>
  <c r="H344"/>
  <c r="H381" s="1"/>
  <c r="H346"/>
  <c r="H394" s="1"/>
  <c r="H357"/>
  <c r="H396" s="1"/>
  <c r="H356"/>
  <c r="H389" s="1"/>
  <c r="K350"/>
  <c r="H172"/>
  <c r="F118" i="14" l="1"/>
  <c r="K84" i="25"/>
  <c r="H308"/>
  <c r="K24"/>
  <c r="H90"/>
  <c r="H89" s="1"/>
  <c r="H296"/>
  <c r="J121"/>
  <c r="B57" i="14"/>
  <c r="H401" i="25"/>
  <c r="K424"/>
  <c r="K423" s="1"/>
  <c r="H271"/>
  <c r="H364" s="1"/>
  <c r="H303"/>
  <c r="H301" s="1"/>
  <c r="H289"/>
  <c r="H393" s="1"/>
  <c r="H269"/>
  <c r="H363" s="1"/>
  <c r="J114" i="14"/>
  <c r="I114" s="1"/>
  <c r="B114" s="1"/>
  <c r="I164"/>
  <c r="H171" i="25"/>
  <c r="H177" s="1"/>
  <c r="J361"/>
  <c r="I122"/>
  <c r="I267" s="1"/>
  <c r="I361" s="1"/>
  <c r="H147"/>
  <c r="H306" s="1"/>
  <c r="H305" s="1"/>
  <c r="H18"/>
  <c r="H24" s="1"/>
  <c r="H57"/>
  <c r="H111"/>
  <c r="G95" i="14"/>
  <c r="K296" i="25"/>
  <c r="K407"/>
  <c r="K406" s="1"/>
  <c r="I121"/>
  <c r="D47" i="14"/>
  <c r="I301" i="25"/>
  <c r="I414"/>
  <c r="I413" s="1"/>
  <c r="C19" i="14"/>
  <c r="F34"/>
  <c r="F29"/>
  <c r="H414" i="25"/>
  <c r="J291"/>
  <c r="J397"/>
  <c r="J282"/>
  <c r="J384"/>
  <c r="I276"/>
  <c r="I282"/>
  <c r="I385"/>
  <c r="I384" s="1"/>
  <c r="I291"/>
  <c r="I398"/>
  <c r="I397" s="1"/>
  <c r="J286"/>
  <c r="J391"/>
  <c r="J390" s="1"/>
  <c r="K177"/>
  <c r="J253" i="14"/>
  <c r="J173" s="1"/>
  <c r="J296" i="25"/>
  <c r="J407"/>
  <c r="J406" s="1"/>
  <c r="B295" i="14"/>
  <c r="C299"/>
  <c r="K343" i="25"/>
  <c r="K373" s="1"/>
  <c r="K422"/>
  <c r="K419" s="1"/>
  <c r="H424"/>
  <c r="H425"/>
  <c r="H141"/>
  <c r="I134"/>
  <c r="I287"/>
  <c r="J126"/>
  <c r="J275"/>
  <c r="H144"/>
  <c r="H183"/>
  <c r="H181" s="1"/>
  <c r="H178"/>
  <c r="J138"/>
  <c r="J131"/>
  <c r="I126"/>
  <c r="I131"/>
  <c r="I138"/>
  <c r="J134"/>
  <c r="K141"/>
  <c r="K101"/>
  <c r="K139"/>
  <c r="K94"/>
  <c r="K132"/>
  <c r="H94"/>
  <c r="H132"/>
  <c r="H283" s="1"/>
  <c r="H282" s="1"/>
  <c r="K89"/>
  <c r="K127"/>
  <c r="H102"/>
  <c r="H139" s="1"/>
  <c r="H292" s="1"/>
  <c r="H291" s="1"/>
  <c r="K54"/>
  <c r="K83" s="1"/>
  <c r="K98"/>
  <c r="K97" s="1"/>
  <c r="H354"/>
  <c r="H374" s="1"/>
  <c r="H56"/>
  <c r="H98" s="1"/>
  <c r="H350"/>
  <c r="H343" s="1"/>
  <c r="F95" i="14" l="1"/>
  <c r="B19"/>
  <c r="C21"/>
  <c r="I266" i="25"/>
  <c r="I360" s="1"/>
  <c r="I29" i="14"/>
  <c r="I34"/>
  <c r="K122" i="25"/>
  <c r="K267" s="1"/>
  <c r="K361" s="1"/>
  <c r="J266"/>
  <c r="M266" s="1"/>
  <c r="H420"/>
  <c r="H84"/>
  <c r="C47" i="14"/>
  <c r="B47" s="1"/>
  <c r="D15"/>
  <c r="I376" i="25"/>
  <c r="I375" s="1"/>
  <c r="I275"/>
  <c r="H415"/>
  <c r="H413" s="1"/>
  <c r="I118" i="14"/>
  <c r="I166"/>
  <c r="B164"/>
  <c r="B29"/>
  <c r="K121" i="25"/>
  <c r="K266" s="1"/>
  <c r="K360" s="1"/>
  <c r="J95" i="14"/>
  <c r="H398" i="25"/>
  <c r="H397" s="1"/>
  <c r="H385"/>
  <c r="H384" s="1"/>
  <c r="J376"/>
  <c r="J375" s="1"/>
  <c r="I286"/>
  <c r="I391"/>
  <c r="I390" s="1"/>
  <c r="H407"/>
  <c r="H406" s="1"/>
  <c r="H373"/>
  <c r="H422"/>
  <c r="H419" s="1"/>
  <c r="H423"/>
  <c r="K131"/>
  <c r="K283"/>
  <c r="K138"/>
  <c r="K292"/>
  <c r="K126"/>
  <c r="K276"/>
  <c r="K275" s="1"/>
  <c r="H131"/>
  <c r="H101"/>
  <c r="H138"/>
  <c r="H127"/>
  <c r="H276" s="1"/>
  <c r="H275" s="1"/>
  <c r="K135"/>
  <c r="K287" s="1"/>
  <c r="H54"/>
  <c r="H83" s="1"/>
  <c r="H97"/>
  <c r="H122"/>
  <c r="J360" l="1"/>
  <c r="C49" i="14"/>
  <c r="H267" i="25"/>
  <c r="H361" s="1"/>
  <c r="K286"/>
  <c r="K391"/>
  <c r="K390" s="1"/>
  <c r="K376"/>
  <c r="K375" s="1"/>
  <c r="K291"/>
  <c r="K398"/>
  <c r="K397" s="1"/>
  <c r="K282"/>
  <c r="K385"/>
  <c r="K384" s="1"/>
  <c r="I95" i="14"/>
  <c r="H126" i="25"/>
  <c r="K134"/>
  <c r="H135"/>
  <c r="H287" s="1"/>
  <c r="H286" s="1"/>
  <c r="G301" i="14"/>
  <c r="H12"/>
  <c r="J301"/>
  <c r="I301" s="1"/>
  <c r="K12"/>
  <c r="D301"/>
  <c r="D12" s="1"/>
  <c r="G12" l="1"/>
  <c r="F301"/>
  <c r="H121" i="25"/>
  <c r="H266" s="1"/>
  <c r="H360" s="1"/>
  <c r="C301" i="14"/>
  <c r="B301" s="1"/>
  <c r="J12"/>
  <c r="H391" i="25"/>
  <c r="H390" s="1"/>
  <c r="B95" i="14"/>
  <c r="H376" i="25"/>
  <c r="H375" s="1"/>
  <c r="H134"/>
  <c r="F270" i="14" l="1"/>
  <c r="I270"/>
  <c r="F206" l="1"/>
  <c r="F210" s="1"/>
  <c r="I206"/>
  <c r="I210" s="1"/>
  <c r="F229" l="1"/>
  <c r="F241" s="1"/>
  <c r="I229"/>
  <c r="I241" s="1"/>
  <c r="C315"/>
  <c r="C323" l="1"/>
  <c r="B312" l="1"/>
  <c r="C313"/>
  <c r="E12"/>
  <c r="B313" l="1"/>
  <c r="C321"/>
  <c r="C238"/>
  <c r="C229"/>
  <c r="C241" s="1"/>
  <c r="F233"/>
  <c r="I233" s="1"/>
  <c r="F222"/>
  <c r="C206"/>
  <c r="C198"/>
  <c r="C202" s="1"/>
  <c r="I222" l="1"/>
  <c r="I226" s="1"/>
  <c r="F226"/>
  <c r="B206"/>
  <c r="C210"/>
  <c r="C236"/>
  <c r="B229"/>
  <c r="D330" l="1"/>
  <c r="D329" s="1"/>
  <c r="A330"/>
  <c r="E329"/>
  <c r="B328"/>
  <c r="A327"/>
  <c r="E326"/>
  <c r="E325" s="1"/>
  <c r="D325"/>
  <c r="C325" l="1"/>
  <c r="B325" s="1"/>
  <c r="C329"/>
  <c r="B329" s="1"/>
  <c r="F280" l="1"/>
  <c r="F284" s="1"/>
  <c r="I280"/>
  <c r="I284" s="1"/>
  <c r="F263"/>
  <c r="I263"/>
  <c r="I268" l="1"/>
  <c r="I259"/>
  <c r="F268"/>
  <c r="F259"/>
  <c r="C263"/>
  <c r="C245"/>
  <c r="C287"/>
  <c r="C280"/>
  <c r="C268" l="1"/>
  <c r="C259"/>
  <c r="B280"/>
  <c r="C284"/>
  <c r="B245"/>
  <c r="C250"/>
  <c r="C291"/>
  <c r="B287"/>
  <c r="B263"/>
  <c r="F220"/>
  <c r="F225" s="1"/>
  <c r="I220"/>
  <c r="I225" s="1"/>
  <c r="F198"/>
  <c r="F202" s="1"/>
  <c r="I198"/>
  <c r="I202" s="1"/>
  <c r="B259" l="1"/>
  <c r="B198"/>
  <c r="C253"/>
  <c r="C257" s="1"/>
  <c r="C220"/>
  <c r="C225" s="1"/>
  <c r="C177"/>
  <c r="C181" l="1"/>
  <c r="C173"/>
  <c r="B220"/>
  <c r="C103"/>
  <c r="I253"/>
  <c r="I257" s="1"/>
  <c r="F253"/>
  <c r="F257" s="1"/>
  <c r="C108" l="1"/>
  <c r="C12"/>
  <c r="B253"/>
  <c r="B103" l="1"/>
  <c r="F177"/>
  <c r="F181" l="1"/>
  <c r="F173"/>
  <c r="F12" s="1"/>
  <c r="I177"/>
  <c r="I181" l="1"/>
  <c r="I173"/>
  <c r="I12" s="1"/>
  <c r="B177"/>
  <c r="B173" s="1"/>
  <c r="B12" s="1"/>
</calcChain>
</file>

<file path=xl/sharedStrings.xml><?xml version="1.0" encoding="utf-8"?>
<sst xmlns="http://schemas.openxmlformats.org/spreadsheetml/2006/main" count="2146" uniqueCount="478">
  <si>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</si>
  <si>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</si>
  <si>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</si>
  <si>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</si>
  <si>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</si>
  <si>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</si>
  <si>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</si>
  <si>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</si>
  <si>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</si>
  <si>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</si>
  <si>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</si>
  <si>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</si>
  <si>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</si>
  <si>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</si>
  <si>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</si>
  <si>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</si>
  <si>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</si>
  <si>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Відділ охорони здоров’я Сумської міської ради</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</si>
  <si>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</si>
  <si>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</si>
  <si>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</si>
  <si>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</si>
  <si>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</si>
  <si>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</si>
  <si>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</si>
  <si>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</si>
  <si>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</si>
  <si>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</si>
  <si>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</si>
  <si>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</si>
  <si>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</si>
  <si>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</si>
  <si>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</si>
  <si>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</si>
  <si>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</si>
  <si>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</si>
  <si>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</si>
  <si>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</si>
  <si>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</si>
  <si>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</si>
  <si>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</si>
  <si>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</si>
  <si>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</si>
  <si>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</si>
  <si>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</si>
  <si>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</si>
  <si>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</si>
  <si>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</si>
  <si>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</si>
  <si>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</si>
  <si>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</si>
  <si>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</si>
  <si>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</si>
  <si>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</si>
  <si>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</si>
  <si>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</si>
  <si>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</si>
  <si>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</si>
  <si>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</si>
  <si>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</si>
  <si>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</si>
  <si>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</si>
  <si>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</si>
  <si>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</si>
  <si>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</si>
  <si>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</si>
  <si>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</si>
  <si>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</si>
  <si>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</si>
  <si>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</si>
  <si>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</si>
  <si>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</si>
  <si>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</si>
  <si>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</si>
  <si>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</si>
  <si>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</si>
  <si>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</si>
  <si>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</si>
  <si>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</si>
  <si>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</si>
  <si>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</si>
  <si>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</si>
  <si>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</si>
  <si>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</si>
  <si>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</si>
  <si>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</si>
  <si>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</si>
  <si>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</si>
  <si>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</si>
  <si>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</si>
  <si>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</si>
  <si>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</si>
  <si>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</si>
  <si>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</si>
  <si>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</si>
  <si>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</si>
  <si>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</si>
  <si>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</si>
  <si>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</si>
  <si>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</si>
  <si>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</si>
  <si>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</si>
  <si>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</si>
  <si>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</si>
  <si>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</si>
  <si>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</si>
  <si>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</si>
  <si>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</si>
  <si>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</si>
  <si>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</si>
  <si>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</si>
  <si>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</si>
  <si>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</si>
  <si>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</si>
  <si>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</si>
  <si>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</si>
  <si>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</si>
  <si>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</si>
  <si>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</si>
  <si>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</si>
  <si>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</si>
  <si>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</si>
  <si>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</si>
  <si>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</si>
  <si>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</si>
  <si>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</si>
  <si>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</si>
  <si>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</si>
  <si>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</si>
  <si>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</si>
  <si>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</si>
  <si>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</si>
  <si>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</si>
  <si>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</si>
  <si>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</si>
  <si>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</si>
  <si>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</si>
  <si>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</si>
  <si>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</si>
  <si>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</si>
  <si>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</si>
  <si>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</si>
  <si>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</si>
  <si>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</si>
  <si>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</si>
  <si>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</si>
  <si>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</si>
  <si>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</si>
  <si>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</si>
  <si>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</si>
  <si>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</si>
  <si>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</si>
  <si>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</si>
  <si>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</si>
  <si>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</si>
  <si>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</si>
  <si>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</si>
  <si>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</si>
  <si>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</si>
  <si>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</si>
  <si>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</si>
  <si>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</si>
  <si>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</si>
  <si>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</si>
  <si>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</si>
  <si>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</si>
  <si>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</si>
  <si>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</si>
  <si>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</si>
  <si>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</si>
  <si>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</si>
  <si>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</si>
  <si>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</si>
  <si>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</si>
  <si>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</si>
  <si>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</si>
  <si>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</si>
  <si>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</si>
  <si>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</si>
  <si>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</si>
  <si>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</si>
  <si>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</si>
  <si>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</si>
  <si>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</si>
  <si>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</si>
  <si>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</si>
  <si>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</si>
  <si>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</si>
  <si>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</si>
  <si>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</si>
  <si>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</si>
  <si>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</si>
  <si>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</si>
  <si>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</si>
  <si>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</si>
  <si>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</si>
  <si>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</si>
  <si>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</si>
  <si>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</si>
  <si>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</si>
  <si>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одиниць необхідного обладнання</t>
  </si>
  <si>
    <t>Кількість одиниць обладнання, що планується придбати</t>
  </si>
  <si>
    <t>кількість площі, що потребують капітального ремонту</t>
  </si>
  <si>
    <t>кількість площі, що планується ремонтувати</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</si>
  <si>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</si>
  <si>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</si>
  <si>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відсоток охоплення, %</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</si>
  <si>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</si>
  <si>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</si>
  <si>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</si>
  <si>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середня вартість ремонту 1 кв.м приміщень</t>
  </si>
  <si>
    <t>0712150</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</si>
  <si>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</si>
  <si>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Інші програми та  заходи у сфері охорони здоров'я</t>
  </si>
  <si>
    <t>0712140</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</si>
  <si>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</si>
  <si>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</si>
  <si>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 xml:space="preserve">Відділ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</si>
  <si>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Відділ охорони здоров'я Сумської міської ради                                                           Будівництво медичних установ та закладів</t>
  </si>
  <si>
    <t>Відділ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</si>
  <si>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Розвиток первинної медико-санітарної допомоги</t>
  </si>
  <si>
    <t>Розвиток вторинної (спеціалізованої) медичної допомоги</t>
  </si>
  <si>
    <t>Відділ охорони здоров’я СМР</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</si>
  <si>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</si>
  <si>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</si>
  <si>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</si>
  <si>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</si>
  <si>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</si>
  <si>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</si>
  <si>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</si>
  <si>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</si>
  <si>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</si>
  <si>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</si>
  <si>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</si>
  <si>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</si>
  <si>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</si>
  <si>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</si>
  <si>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</si>
  <si>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</si>
  <si>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</si>
  <si>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</si>
  <si>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</si>
  <si>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</si>
  <si>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</si>
  <si>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</si>
  <si>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</si>
  <si>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</si>
  <si>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</si>
  <si>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</si>
  <si>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</si>
  <si>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</si>
  <si>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</si>
  <si>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</si>
  <si>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</si>
  <si>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</si>
  <si>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</si>
  <si>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</si>
  <si>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</si>
  <si>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</si>
  <si>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</si>
  <si>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</si>
  <si>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</si>
  <si>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</si>
  <si>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</si>
  <si>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</si>
  <si>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</si>
  <si>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</si>
  <si>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</si>
  <si>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</si>
  <si>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</si>
  <si>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</si>
  <si>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</si>
  <si>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</si>
  <si>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</si>
  <si>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</si>
  <si>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</si>
  <si>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</si>
  <si>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</si>
  <si>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</si>
  <si>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</si>
  <si>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</si>
  <si>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</si>
  <si>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</si>
  <si>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</si>
  <si>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</si>
  <si>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</si>
  <si>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</si>
  <si>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</si>
  <si>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</si>
  <si>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</si>
  <si>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</si>
  <si>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</si>
  <si>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</si>
  <si>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</si>
  <si>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</si>
  <si>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</si>
  <si>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Відділ охорони здоров'я Сумської міської ради                                            Централізовані заходи з лікування хворих на цукровий та нецукровий діабет</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</si>
  <si>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</si>
  <si>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</si>
  <si>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</si>
  <si>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</si>
  <si>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</si>
  <si>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</si>
  <si>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</si>
  <si>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</si>
  <si>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</si>
  <si>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</si>
  <si>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кількість осіб, які потребують вакцинації</t>
  </si>
  <si>
    <t>кількість осіб, яким планується провести вакцинацію</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</si>
  <si>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</si>
  <si>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</si>
  <si>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</si>
  <si>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</si>
  <si>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молочної кухні</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</si>
  <si>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</si>
  <si>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</si>
  <si>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</si>
  <si>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</si>
  <si>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</si>
  <si>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</si>
  <si>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</si>
  <si>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</si>
  <si>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</si>
  <si>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</si>
  <si>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</si>
  <si>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</si>
  <si>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</si>
  <si>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</si>
  <si>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</si>
  <si>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</si>
  <si>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</si>
  <si>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</si>
  <si>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</si>
  <si>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</si>
  <si>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</si>
  <si>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</si>
  <si>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</si>
  <si>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</si>
  <si>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</si>
  <si>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</si>
  <si>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</si>
  <si>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</si>
  <si>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</si>
  <si>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</si>
  <si>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</si>
  <si>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</si>
  <si>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</si>
  <si>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</si>
  <si>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</si>
  <si>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</si>
  <si>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</si>
  <si>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</si>
  <si>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</si>
  <si>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</si>
  <si>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</si>
  <si>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</si>
  <si>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</si>
  <si>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</si>
  <si>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</si>
  <si>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</si>
  <si>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</si>
  <si>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</si>
  <si>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</si>
  <si>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</si>
  <si>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</si>
  <si>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</si>
  <si>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</si>
  <si>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</si>
  <si>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</si>
  <si>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</si>
  <si>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</si>
  <si>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</si>
  <si>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</si>
  <si>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</si>
  <si>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</si>
  <si>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</si>
  <si>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</si>
  <si>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</si>
  <si>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</si>
  <si>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</si>
  <si>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</si>
  <si>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</si>
  <si>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 xml:space="preserve">Показник продукту: </t>
    </r>
    <r>
      <rPr>
        <sz val="18"/>
        <rFont val="Times New Roman"/>
        <family val="1"/>
        <charset val="204"/>
      </rPr>
      <t>кількість ліжко-днів у стаціонарах, од.</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</si>
  <si>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</si>
  <si>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</si>
  <si>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</si>
  <si>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</si>
  <si>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</si>
  <si>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кількість осіб, які мають пройти профілактичний медичний огляд</t>
  </si>
  <si>
    <t xml:space="preserve">кількість осіб, яким будуть надані послуги  </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</si>
  <si>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</si>
  <si>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</si>
  <si>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</si>
  <si>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</si>
  <si>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</si>
  <si>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</si>
  <si>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</si>
  <si>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</si>
  <si>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</si>
  <si>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</si>
  <si>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</si>
  <si>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</si>
  <si>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</si>
  <si>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</si>
  <si>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</si>
  <si>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</si>
  <si>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</si>
  <si>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</si>
  <si>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</si>
  <si>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</si>
  <si>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</si>
  <si>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</si>
  <si>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</si>
  <si>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</si>
  <si>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</si>
  <si>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</si>
  <si>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</si>
  <si>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Співфінансування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</si>
  <si>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</si>
  <si>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</si>
  <si>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Відділ охорони здоров'я Сумської міської ради                                                         Інші субвенції з місцевого бюджету</t>
  </si>
  <si>
    <t xml:space="preserve">Розвиток лікарсько-акушерської допомоги </t>
  </si>
  <si>
    <t>0712020</t>
  </si>
  <si>
    <t>Відділ охорони здоров'я Сумської міської ради                                                              Спеціалізована стаціонарна медична допомога населенню</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</si>
  <si>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</si>
  <si>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</si>
  <si>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</si>
  <si>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</si>
  <si>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</si>
  <si>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</si>
  <si>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</si>
  <si>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</si>
  <si>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</si>
  <si>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2021 (прогноз)</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</si>
  <si>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</si>
  <si>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</si>
  <si>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</si>
  <si>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</si>
  <si>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</si>
  <si>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</si>
  <si>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</si>
  <si>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</si>
  <si>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</si>
  <si>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</si>
  <si>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</si>
  <si>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</si>
  <si>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</si>
  <si>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</si>
  <si>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</si>
  <si>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</si>
  <si>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</si>
  <si>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</si>
  <si>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 xml:space="preserve">Додаток 4   </t>
  </si>
  <si>
    <t>2020рік</t>
  </si>
  <si>
    <t>Секретар Сумської міської ради</t>
  </si>
  <si>
    <t>О.М.Рєзнік</t>
  </si>
  <si>
    <t>_____________ "___"______________ 2021 р.</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</si>
  <si>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</si>
  <si>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від  ________ 2021 року № ____ -МР</t>
  </si>
  <si>
    <t xml:space="preserve">Додаток 2
до рішення «Про внесення змін до рішення Сумської міської ради від 21 жовтня                   2020 року № 7548 – МР «Про затвердження комплексної Програми територіальної громади «Охорона здоров’я» на 2020-2022 роки» (зі змінами)
від __________ 2021 року № ___-МР
</t>
  </si>
  <si>
    <t xml:space="preserve">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</si>
  <si>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від _________ 2020 року № ____ -МР</t>
  </si>
  <si>
    <t>люфты накинула</t>
  </si>
  <si>
    <t>Затверджено з урахуванням змін станом на 24.12.20</t>
  </si>
  <si>
    <t>Додаткові обсяги коштів або зменшення коштів по програмі, тис.грн</t>
  </si>
  <si>
    <t>Пропонується затвердити_.__.2021, тис.грн</t>
  </si>
  <si>
    <t>2021 рік</t>
  </si>
  <si>
    <t>2021рік</t>
  </si>
  <si>
    <t>Прогноз на 2021 рік станом на 24.12.20</t>
  </si>
  <si>
    <t>Порівняльна таблиця до комплексної Програми Cумської міської територіальної  громади "Охорона здоров'я" на 2020-2022 роки"</t>
  </si>
  <si>
    <t>2021 рік (план)</t>
  </si>
  <si>
    <t>!</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</si>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</sst>
</file>

<file path=xl/styles.xml><?xml version="1.0" encoding="utf-8"?>
<styleSheet xmlns="http://schemas.openxmlformats.org/spreadsheetml/2006/main">
  <numFmts count="3">
    <numFmt numFmtId="164" formatCode="0.0"/>
    <numFmt numFmtId="165" formatCode="0.000"/>
    <numFmt numFmtId="166" formatCode="#,##0.0"/>
  </numFmts>
  <fonts count="47">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b/>
      <sz val="14"/>
      <color rgb="FF7030A0"/>
      <name val="Times New Roman"/>
      <family val="1"/>
      <charset val="204"/>
    </font>
    <font>
      <sz val="10"/>
      <color rgb="FF7030A0"/>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sz val="14"/>
      <color rgb="FF7030A0"/>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b/>
      <sz val="22"/>
      <color rgb="FF7030A0"/>
      <name val="Times New Roman"/>
      <family val="1"/>
      <charset val="204"/>
    </font>
    <font>
      <b/>
      <sz val="24"/>
      <color rgb="FF7030A0"/>
      <name val="Times New Roman"/>
      <family val="1"/>
      <charset val="204"/>
    </font>
    <font>
      <b/>
      <sz val="26"/>
      <color rgb="FF7030A0"/>
      <name val="Times New Roman"/>
      <family val="1"/>
      <charset val="204"/>
    </font>
    <font>
      <sz val="28"/>
      <color rgb="FFFFFF00"/>
      <name val="Times New Roman"/>
      <family val="1"/>
      <charset val="204"/>
    </font>
    <font>
      <sz val="28"/>
      <color rgb="FFFF0000"/>
      <name val="Times New Roman"/>
      <family val="1"/>
      <charset val="204"/>
    </font>
    <font>
      <sz val="26"/>
      <name val="Times New Roman"/>
      <family val="1"/>
      <charset val="204"/>
    </font>
    <font>
      <sz val="48"/>
      <color rgb="FFFF0000"/>
      <name val="Times New Roman"/>
      <family val="1"/>
      <charset val="204"/>
    </font>
    <font>
      <sz val="10"/>
      <name val="Arial Cyr"/>
      <charset val="204"/>
    </font>
    <font>
      <sz val="1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0">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7" fillId="0" borderId="0">
      <alignment horizontal="left"/>
    </xf>
    <xf numFmtId="0" fontId="2" fillId="0" borderId="0"/>
    <xf numFmtId="0" fontId="17" fillId="0" borderId="0">
      <alignment horizontal="left"/>
    </xf>
    <xf numFmtId="0" fontId="45" fillId="0" borderId="0"/>
  </cellStyleXfs>
  <cellXfs count="65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164" fontId="3" fillId="2" borderId="0" xfId="0" applyNumberFormat="1" applyFont="1" applyFill="1"/>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5"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5" fillId="2" borderId="0" xfId="0" applyFont="1" applyFill="1" applyAlignment="1">
      <alignment wrapText="1"/>
    </xf>
    <xf numFmtId="0" fontId="19" fillId="2" borderId="0" xfId="0" applyFont="1" applyFill="1"/>
    <xf numFmtId="0" fontId="19" fillId="2" borderId="0" xfId="0" applyFont="1" applyFill="1" applyAlignment="1">
      <alignment horizontal="center" vertical="center"/>
    </xf>
    <xf numFmtId="0" fontId="19" fillId="2" borderId="0" xfId="0" applyFont="1" applyFill="1" applyAlignment="1">
      <alignment wrapText="1"/>
    </xf>
    <xf numFmtId="0" fontId="19" fillId="2" borderId="0" xfId="0" applyFont="1" applyFill="1" applyAlignment="1">
      <alignment horizontal="center"/>
    </xf>
    <xf numFmtId="0" fontId="25" fillId="2" borderId="0" xfId="0" applyFont="1" applyFill="1" applyAlignment="1">
      <alignment vertical="top"/>
    </xf>
    <xf numFmtId="0" fontId="25" fillId="2" borderId="1" xfId="0" applyNumberFormat="1" applyFont="1" applyFill="1" applyBorder="1" applyAlignment="1">
      <alignment horizontal="left" vertical="top" wrapText="1"/>
    </xf>
    <xf numFmtId="0" fontId="25" fillId="2" borderId="0" xfId="0" applyFont="1" applyFill="1" applyAlignment="1">
      <alignment horizontal="right"/>
    </xf>
    <xf numFmtId="0" fontId="25" fillId="2" borderId="0" xfId="0" applyFont="1" applyFill="1"/>
    <xf numFmtId="166" fontId="16" fillId="2" borderId="9"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top" wrapText="1"/>
    </xf>
    <xf numFmtId="166" fontId="16" fillId="2" borderId="1" xfId="0" applyNumberFormat="1" applyFont="1" applyFill="1" applyBorder="1" applyAlignment="1">
      <alignment horizontal="center" vertical="top" wrapText="1"/>
    </xf>
    <xf numFmtId="49" fontId="22" fillId="2" borderId="6" xfId="0" applyNumberFormat="1" applyFont="1" applyFill="1" applyBorder="1" applyAlignment="1">
      <alignment vertical="top" wrapText="1"/>
    </xf>
    <xf numFmtId="0" fontId="25" fillId="2" borderId="6" xfId="0" applyFont="1" applyFill="1" applyBorder="1" applyAlignment="1">
      <alignment vertical="top" wrapText="1"/>
    </xf>
    <xf numFmtId="166" fontId="16"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3" fontId="15" fillId="2" borderId="1" xfId="0" applyNumberFormat="1" applyFont="1" applyFill="1" applyBorder="1"/>
    <xf numFmtId="3" fontId="15"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8"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5" fillId="2" borderId="1" xfId="0" applyNumberFormat="1" applyFont="1" applyFill="1" applyBorder="1" applyAlignment="1">
      <alignment horizontal="right" vertical="center" wrapText="1"/>
    </xf>
    <xf numFmtId="3" fontId="15" fillId="2" borderId="1" xfId="0" applyNumberFormat="1" applyFont="1" applyFill="1" applyBorder="1" applyAlignment="1">
      <alignment horizontal="left" vertical="top" wrapText="1"/>
    </xf>
    <xf numFmtId="3" fontId="15" fillId="2" borderId="1" xfId="7" applyNumberFormat="1" applyFont="1" applyFill="1" applyBorder="1" applyAlignment="1">
      <alignment vertical="center" wrapText="1"/>
    </xf>
    <xf numFmtId="3" fontId="15" fillId="2" borderId="1" xfId="0" applyNumberFormat="1" applyFont="1" applyFill="1" applyBorder="1" applyAlignment="1">
      <alignment horizontal="right" wrapText="1"/>
    </xf>
    <xf numFmtId="3" fontId="15" fillId="2" borderId="1" xfId="0" applyNumberFormat="1" applyFont="1" applyFill="1" applyBorder="1" applyAlignment="1">
      <alignment vertical="top" wrapText="1"/>
    </xf>
    <xf numFmtId="3" fontId="15" fillId="2" borderId="1" xfId="7" applyNumberFormat="1" applyFont="1" applyFill="1" applyBorder="1" applyAlignment="1">
      <alignment vertical="top" wrapText="1"/>
    </xf>
    <xf numFmtId="3" fontId="15" fillId="2" borderId="1" xfId="0" applyNumberFormat="1" applyFont="1" applyFill="1" applyBorder="1" applyAlignment="1">
      <alignment horizontal="left" vertical="center" wrapText="1"/>
    </xf>
    <xf numFmtId="3" fontId="10" fillId="2" borderId="1" xfId="0" applyNumberFormat="1" applyFont="1" applyFill="1" applyBorder="1"/>
    <xf numFmtId="3" fontId="15" fillId="2" borderId="1" xfId="0" applyNumberFormat="1" applyFont="1" applyFill="1" applyBorder="1" applyAlignment="1">
      <alignment wrapText="1"/>
    </xf>
    <xf numFmtId="3" fontId="15"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5" fillId="2" borderId="0" xfId="0" applyNumberFormat="1" applyFont="1" applyFill="1" applyBorder="1" applyAlignment="1">
      <alignment wrapText="1"/>
    </xf>
    <xf numFmtId="3" fontId="10" fillId="2" borderId="0" xfId="0" applyNumberFormat="1" applyFont="1" applyFill="1" applyBorder="1"/>
    <xf numFmtId="3" fontId="15" fillId="2" borderId="0" xfId="0" applyNumberFormat="1" applyFont="1" applyFill="1" applyBorder="1"/>
    <xf numFmtId="3" fontId="15" fillId="2" borderId="0" xfId="0" applyNumberFormat="1" applyFont="1" applyFill="1"/>
    <xf numFmtId="3" fontId="15" fillId="2" borderId="0" xfId="0" applyNumberFormat="1" applyFont="1" applyFill="1" applyAlignment="1">
      <alignment horizontal="right"/>
    </xf>
    <xf numFmtId="3" fontId="15" fillId="2" borderId="0" xfId="0" applyNumberFormat="1" applyFont="1" applyFill="1" applyAlignment="1">
      <alignment horizontal="center" vertical="center"/>
    </xf>
    <xf numFmtId="3" fontId="15" fillId="2" borderId="0" xfId="0" applyNumberFormat="1" applyFont="1" applyFill="1" applyAlignment="1">
      <alignment wrapText="1"/>
    </xf>
    <xf numFmtId="3" fontId="15"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5" fillId="2" borderId="0" xfId="0" applyNumberFormat="1" applyFont="1" applyFill="1" applyAlignment="1">
      <alignment horizontal="left"/>
    </xf>
    <xf numFmtId="3" fontId="15" fillId="2" borderId="0" xfId="0" applyNumberFormat="1" applyFont="1" applyFill="1" applyAlignment="1">
      <alignment vertical="top"/>
    </xf>
    <xf numFmtId="3" fontId="19" fillId="2" borderId="0" xfId="0" applyNumberFormat="1" applyFont="1" applyFill="1"/>
    <xf numFmtId="3" fontId="19" fillId="2" borderId="0" xfId="0" applyNumberFormat="1" applyFont="1" applyFill="1" applyAlignment="1">
      <alignment horizontal="right"/>
    </xf>
    <xf numFmtId="3" fontId="19" fillId="2" borderId="0" xfId="0" applyNumberFormat="1" applyFont="1" applyFill="1" applyAlignment="1">
      <alignment horizontal="center" vertical="center"/>
    </xf>
    <xf numFmtId="3" fontId="19" fillId="2" borderId="0" xfId="0" applyNumberFormat="1" applyFont="1" applyFill="1" applyAlignment="1">
      <alignment wrapText="1"/>
    </xf>
    <xf numFmtId="3" fontId="19" fillId="2" borderId="0" xfId="0" applyNumberFormat="1" applyFont="1" applyFill="1" applyAlignment="1">
      <alignment horizontal="center"/>
    </xf>
    <xf numFmtId="0" fontId="9" fillId="0" borderId="0" xfId="0" applyFont="1"/>
    <xf numFmtId="0" fontId="34" fillId="0" borderId="0" xfId="0" applyFont="1"/>
    <xf numFmtId="3" fontId="25" fillId="2" borderId="0" xfId="0" applyNumberFormat="1" applyFont="1" applyFill="1" applyAlignment="1">
      <alignment horizontal="left"/>
    </xf>
    <xf numFmtId="3" fontId="25" fillId="2" borderId="0" xfId="0" applyNumberFormat="1" applyFont="1" applyFill="1"/>
    <xf numFmtId="0" fontId="19" fillId="0" borderId="0" xfId="0" applyFont="1"/>
    <xf numFmtId="0" fontId="36" fillId="0" borderId="0" xfId="0" applyFont="1"/>
    <xf numFmtId="0" fontId="19"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7" fillId="2" borderId="0" xfId="0" applyFont="1" applyFill="1"/>
    <xf numFmtId="0" fontId="37" fillId="2" borderId="0" xfId="0" applyFont="1" applyFill="1" applyAlignment="1">
      <alignment horizontal="right"/>
    </xf>
    <xf numFmtId="0" fontId="37" fillId="2" borderId="0" xfId="0" applyFont="1" applyFill="1" applyAlignment="1">
      <alignment horizontal="center" vertical="center"/>
    </xf>
    <xf numFmtId="0" fontId="37" fillId="2" borderId="0" xfId="0" applyFont="1" applyFill="1" applyAlignment="1">
      <alignment wrapText="1"/>
    </xf>
    <xf numFmtId="0" fontId="37" fillId="2" borderId="0" xfId="0" applyFont="1" applyFill="1" applyAlignment="1">
      <alignment horizontal="center"/>
    </xf>
    <xf numFmtId="0" fontId="25" fillId="2" borderId="0" xfId="0" applyFont="1" applyFill="1" applyAlignment="1">
      <alignment horizontal="left"/>
    </xf>
    <xf numFmtId="3" fontId="9" fillId="2" borderId="0" xfId="0" applyNumberFormat="1" applyFont="1" applyFill="1" applyAlignment="1">
      <alignment horizontal="left"/>
    </xf>
    <xf numFmtId="166" fontId="22" fillId="2" borderId="1" xfId="0" applyNumberFormat="1" applyFont="1" applyFill="1" applyBorder="1" applyAlignment="1">
      <alignment horizontal="center" vertical="top" wrapText="1"/>
    </xf>
    <xf numFmtId="166" fontId="25" fillId="2" borderId="1"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6" fontId="25" fillId="2" borderId="6" xfId="0" applyNumberFormat="1" applyFont="1" applyFill="1" applyBorder="1" applyAlignment="1">
      <alignment horizontal="center" vertical="top" wrapText="1"/>
    </xf>
    <xf numFmtId="164" fontId="25"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top"/>
    </xf>
    <xf numFmtId="166" fontId="25" fillId="2" borderId="9" xfId="0" applyNumberFormat="1" applyFont="1" applyFill="1" applyBorder="1" applyAlignment="1">
      <alignment horizontal="center" vertical="top" wrapText="1"/>
    </xf>
    <xf numFmtId="4" fontId="16" fillId="2" borderId="1" xfId="0" applyNumberFormat="1" applyFont="1" applyFill="1" applyBorder="1" applyAlignment="1">
      <alignment horizontal="center" vertical="top" wrapText="1"/>
    </xf>
    <xf numFmtId="166" fontId="22" fillId="2" borderId="9" xfId="0" applyNumberFormat="1" applyFont="1" applyFill="1" applyBorder="1" applyAlignment="1">
      <alignment horizontal="center" vertical="center" wrapText="1"/>
    </xf>
    <xf numFmtId="164" fontId="13" fillId="2" borderId="0" xfId="0" applyNumberFormat="1" applyFont="1" applyFill="1" applyBorder="1" applyAlignment="1">
      <alignment horizontal="center" wrapText="1"/>
    </xf>
    <xf numFmtId="0" fontId="5" fillId="2" borderId="0" xfId="0" applyFont="1" applyFill="1"/>
    <xf numFmtId="1" fontId="3" fillId="2" borderId="0" xfId="0" applyNumberFormat="1" applyFont="1" applyFill="1" applyAlignment="1">
      <alignment horizontal="center" vertical="center"/>
    </xf>
    <xf numFmtId="0" fontId="19" fillId="2" borderId="0" xfId="3" applyFont="1" applyFill="1" applyAlignment="1">
      <alignment horizontal="center" wrapText="1"/>
    </xf>
    <xf numFmtId="0" fontId="19" fillId="2" borderId="0" xfId="0" applyFont="1" applyFill="1" applyAlignment="1">
      <alignment horizontal="center" wrapText="1"/>
    </xf>
    <xf numFmtId="0" fontId="16" fillId="2" borderId="1" xfId="0" applyFont="1" applyFill="1" applyBorder="1" applyAlignment="1">
      <alignment horizontal="center" vertical="center" wrapText="1"/>
    </xf>
    <xf numFmtId="166" fontId="30" fillId="2"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166" fontId="30" fillId="2" borderId="6" xfId="0" applyNumberFormat="1" applyFont="1" applyFill="1" applyBorder="1" applyAlignment="1">
      <alignment horizontal="center" vertical="center" wrapText="1"/>
    </xf>
    <xf numFmtId="166" fontId="19" fillId="2" borderId="9" xfId="0" applyNumberFormat="1" applyFont="1" applyFill="1" applyBorder="1" applyAlignment="1">
      <alignment horizontal="center" vertical="top" wrapText="1"/>
    </xf>
    <xf numFmtId="4" fontId="19" fillId="2" borderId="1" xfId="0"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166" fontId="16" fillId="2" borderId="1" xfId="0" applyNumberFormat="1" applyFont="1" applyFill="1" applyBorder="1" applyAlignment="1">
      <alignment horizontal="center" vertical="center" wrapText="1"/>
    </xf>
    <xf numFmtId="166" fontId="30"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166" fontId="25" fillId="2" borderId="3" xfId="0" applyNumberFormat="1" applyFont="1" applyFill="1" applyBorder="1" applyAlignment="1">
      <alignment horizontal="center" vertical="top" wrapText="1"/>
    </xf>
    <xf numFmtId="0" fontId="37" fillId="2" borderId="0" xfId="0" applyFont="1" applyFill="1" applyAlignment="1">
      <alignment horizontal="center" wrapText="1"/>
    </xf>
    <xf numFmtId="0" fontId="3" fillId="2" borderId="0" xfId="0" applyFont="1" applyFill="1" applyAlignment="1">
      <alignment horizontal="center"/>
    </xf>
    <xf numFmtId="0" fontId="15" fillId="2" borderId="0" xfId="0" applyFont="1" applyFill="1" applyAlignment="1">
      <alignment horizontal="center" vertical="center"/>
    </xf>
    <xf numFmtId="0" fontId="25" fillId="2" borderId="0" xfId="0" applyFont="1" applyFill="1" applyAlignment="1">
      <alignment horizontal="center" vertical="center"/>
    </xf>
    <xf numFmtId="0" fontId="15" fillId="2" borderId="0" xfId="0" applyFont="1" applyFill="1" applyAlignment="1">
      <alignment horizontal="center"/>
    </xf>
    <xf numFmtId="0" fontId="15" fillId="2" borderId="0" xfId="3" applyFont="1" applyFill="1" applyAlignment="1">
      <alignment horizontal="center" wrapText="1"/>
    </xf>
    <xf numFmtId="0" fontId="15" fillId="2" borderId="0" xfId="0" applyFont="1" applyFill="1" applyAlignment="1">
      <alignment horizontal="center" wrapText="1"/>
    </xf>
    <xf numFmtId="0" fontId="25" fillId="2" borderId="0" xfId="0" applyFont="1" applyFill="1" applyAlignment="1">
      <alignment wrapText="1"/>
    </xf>
    <xf numFmtId="0" fontId="1" fillId="2" borderId="0" xfId="0" applyFont="1" applyFill="1" applyAlignment="1">
      <alignment horizontal="center"/>
    </xf>
    <xf numFmtId="0" fontId="25" fillId="2" borderId="0" xfId="0" applyFont="1" applyFill="1" applyAlignment="1">
      <alignment horizontal="left" wrapText="1"/>
    </xf>
    <xf numFmtId="0" fontId="19" fillId="2" borderId="0" xfId="0" applyFont="1" applyFill="1" applyAlignment="1">
      <alignment vertical="top" wrapText="1"/>
    </xf>
    <xf numFmtId="0" fontId="28" fillId="2" borderId="0" xfId="0" applyFont="1" applyFill="1" applyAlignment="1">
      <alignment horizontal="center" wrapText="1"/>
    </xf>
    <xf numFmtId="165" fontId="28" fillId="2" borderId="0" xfId="0" applyNumberFormat="1" applyFont="1" applyFill="1" applyAlignment="1">
      <alignment horizontal="center" wrapText="1"/>
    </xf>
    <xf numFmtId="0" fontId="3" fillId="2" borderId="0" xfId="0" applyFont="1" applyFill="1" applyAlignment="1">
      <alignment horizontal="center" vertical="center"/>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166" fontId="22" fillId="2" borderId="6" xfId="0" applyNumberFormat="1" applyFont="1" applyFill="1" applyBorder="1" applyAlignment="1">
      <alignment horizontal="center" vertical="center" wrapText="1"/>
    </xf>
    <xf numFmtId="0" fontId="22" fillId="2" borderId="3" xfId="0" applyFont="1" applyFill="1" applyBorder="1" applyAlignment="1">
      <alignment vertical="top" wrapText="1"/>
    </xf>
    <xf numFmtId="0" fontId="22" fillId="2" borderId="4" xfId="0" applyFont="1" applyFill="1" applyBorder="1" applyAlignment="1">
      <alignment vertical="top" wrapText="1"/>
    </xf>
    <xf numFmtId="0" fontId="22" fillId="2" borderId="2" xfId="0" applyFont="1" applyFill="1" applyBorder="1" applyAlignment="1">
      <alignment vertical="top" wrapText="1"/>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25" fillId="2" borderId="6" xfId="3" applyFont="1" applyFill="1" applyBorder="1" applyAlignment="1">
      <alignment vertical="top" wrapText="1"/>
    </xf>
    <xf numFmtId="0" fontId="25" fillId="2" borderId="3" xfId="0" applyFont="1" applyFill="1" applyBorder="1" applyAlignment="1">
      <alignment horizontal="left" vertical="top" wrapText="1"/>
    </xf>
    <xf numFmtId="0" fontId="14" fillId="2" borderId="0" xfId="0" applyFont="1" applyFill="1"/>
    <xf numFmtId="0" fontId="26" fillId="2" borderId="0" xfId="0" applyFont="1" applyFill="1" applyBorder="1" applyAlignment="1">
      <alignment horizontal="left"/>
    </xf>
    <xf numFmtId="0" fontId="25" fillId="2" borderId="1" xfId="3" applyFont="1" applyFill="1" applyBorder="1" applyAlignment="1">
      <alignment vertical="top" wrapText="1"/>
    </xf>
    <xf numFmtId="49" fontId="15" fillId="2" borderId="6" xfId="0" applyNumberFormat="1" applyFont="1" applyFill="1" applyBorder="1" applyAlignment="1">
      <alignment vertical="top" wrapText="1"/>
    </xf>
    <xf numFmtId="166" fontId="15" fillId="2" borderId="1" xfId="0" applyNumberFormat="1" applyFont="1" applyFill="1" applyBorder="1" applyAlignment="1">
      <alignment horizontal="center" vertical="top" wrapText="1"/>
    </xf>
    <xf numFmtId="0" fontId="15" fillId="2" borderId="1" xfId="0" applyFont="1" applyFill="1" applyBorder="1" applyAlignment="1">
      <alignment horizont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top" wrapText="1"/>
    </xf>
    <xf numFmtId="0" fontId="18" fillId="2" borderId="1" xfId="0" applyFont="1" applyFill="1" applyBorder="1" applyAlignment="1">
      <alignment horizontal="center" vertical="top" wrapText="1"/>
    </xf>
    <xf numFmtId="0" fontId="31" fillId="2" borderId="1" xfId="0" applyFont="1" applyFill="1" applyBorder="1" applyAlignment="1">
      <alignment horizontal="left" vertical="top" wrapText="1"/>
    </xf>
    <xf numFmtId="166" fontId="15" fillId="2" borderId="0" xfId="0" applyNumberFormat="1" applyFont="1" applyFill="1"/>
    <xf numFmtId="166" fontId="3" fillId="2" borderId="0" xfId="0" applyNumberFormat="1" applyFont="1" applyFill="1"/>
    <xf numFmtId="49" fontId="15" fillId="2" borderId="1" xfId="0" applyNumberFormat="1" applyFont="1" applyFill="1" applyBorder="1" applyAlignment="1">
      <alignment vertical="top" wrapText="1"/>
    </xf>
    <xf numFmtId="49" fontId="15"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25" fillId="2" borderId="8" xfId="0" applyFont="1" applyFill="1" applyBorder="1" applyAlignment="1">
      <alignment horizontal="left" vertical="top" wrapText="1"/>
    </xf>
    <xf numFmtId="0" fontId="11" fillId="2" borderId="12" xfId="0" applyFont="1" applyFill="1" applyBorder="1" applyAlignment="1">
      <alignment vertical="top"/>
    </xf>
    <xf numFmtId="0" fontId="15" fillId="2" borderId="0" xfId="3" applyFont="1" applyFill="1" applyBorder="1" applyAlignment="1">
      <alignment horizontal="center" vertical="top" wrapText="1"/>
    </xf>
    <xf numFmtId="166" fontId="16" fillId="2" borderId="8" xfId="0" applyNumberFormat="1" applyFont="1" applyFill="1" applyBorder="1" applyAlignment="1">
      <alignment horizontal="center" vertical="top" wrapText="1"/>
    </xf>
    <xf numFmtId="49" fontId="22" fillId="2" borderId="1" xfId="0" applyNumberFormat="1" applyFont="1" applyFill="1" applyBorder="1" applyAlignment="1">
      <alignment vertical="top" wrapText="1"/>
    </xf>
    <xf numFmtId="2" fontId="16" fillId="2" borderId="1" xfId="0" applyNumberFormat="1" applyFont="1" applyFill="1" applyBorder="1" applyAlignment="1">
      <alignment horizontal="center" vertical="top" wrapText="1"/>
    </xf>
    <xf numFmtId="166" fontId="15" fillId="2" borderId="6" xfId="0" applyNumberFormat="1" applyFont="1" applyFill="1" applyBorder="1" applyAlignment="1">
      <alignment horizontal="center" vertical="top" wrapText="1"/>
    </xf>
    <xf numFmtId="0" fontId="16" fillId="2" borderId="0" xfId="0" applyFont="1" applyFill="1" applyBorder="1" applyAlignment="1">
      <alignment horizontal="center" vertical="top" wrapText="1"/>
    </xf>
    <xf numFmtId="49" fontId="15" fillId="2" borderId="8" xfId="0" applyNumberFormat="1" applyFont="1" applyFill="1" applyBorder="1" applyAlignment="1">
      <alignment horizontal="left" vertical="top" wrapText="1"/>
    </xf>
    <xf numFmtId="49" fontId="25" fillId="2" borderId="12" xfId="0" applyNumberFormat="1" applyFont="1" applyFill="1" applyBorder="1" applyAlignment="1">
      <alignment horizontal="left" vertical="top" wrapText="1"/>
    </xf>
    <xf numFmtId="49" fontId="25" fillId="2" borderId="1" xfId="0" applyNumberFormat="1" applyFont="1" applyFill="1" applyBorder="1" applyAlignment="1">
      <alignment vertical="top" wrapText="1"/>
    </xf>
    <xf numFmtId="0" fontId="15" fillId="2" borderId="9" xfId="0" applyFont="1" applyFill="1" applyBorder="1" applyAlignment="1">
      <alignment vertical="top" wrapText="1"/>
    </xf>
    <xf numFmtId="0" fontId="18"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19" fillId="2" borderId="12" xfId="0" applyNumberFormat="1" applyFont="1" applyFill="1" applyBorder="1" applyAlignment="1">
      <alignment horizontal="center" vertical="top" wrapText="1"/>
    </xf>
    <xf numFmtId="0" fontId="15" fillId="2" borderId="3" xfId="0" applyFont="1" applyFill="1" applyBorder="1" applyAlignment="1">
      <alignment horizontal="center" vertical="top" wrapText="1"/>
    </xf>
    <xf numFmtId="0" fontId="16" fillId="2" borderId="6" xfId="0" applyFont="1" applyFill="1" applyBorder="1" applyAlignment="1">
      <alignment horizontal="center" vertical="center" wrapText="1"/>
    </xf>
    <xf numFmtId="164" fontId="21" fillId="2" borderId="0" xfId="0" applyNumberFormat="1" applyFont="1" applyFill="1" applyBorder="1" applyAlignment="1">
      <alignment horizontal="center" wrapText="1"/>
    </xf>
    <xf numFmtId="0" fontId="16" fillId="2" borderId="3" xfId="0" applyFont="1" applyFill="1" applyBorder="1" applyAlignment="1">
      <alignment horizontal="center" vertical="top" wrapText="1"/>
    </xf>
    <xf numFmtId="0" fontId="16" fillId="2" borderId="1" xfId="0" applyFont="1" applyFill="1" applyBorder="1" applyAlignment="1">
      <alignment vertical="top" wrapText="1"/>
    </xf>
    <xf numFmtId="0" fontId="16"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6" fillId="2" borderId="3" xfId="0" applyFont="1" applyFill="1" applyBorder="1" applyAlignment="1">
      <alignment horizontal="center" vertical="center"/>
    </xf>
    <xf numFmtId="0" fontId="16" fillId="2" borderId="4" xfId="0" applyFont="1" applyFill="1" applyBorder="1" applyAlignment="1">
      <alignment vertical="center"/>
    </xf>
    <xf numFmtId="0" fontId="23" fillId="2" borderId="3" xfId="0" applyFont="1" applyFill="1" applyBorder="1" applyAlignment="1">
      <alignment vertical="center"/>
    </xf>
    <xf numFmtId="0" fontId="22" fillId="2" borderId="4" xfId="0" applyFont="1" applyFill="1" applyBorder="1" applyAlignment="1">
      <alignment vertical="center"/>
    </xf>
    <xf numFmtId="166" fontId="19" fillId="2" borderId="0" xfId="0" applyNumberFormat="1" applyFont="1" applyFill="1" applyAlignment="1">
      <alignment horizontal="center" wrapText="1"/>
    </xf>
    <xf numFmtId="0" fontId="37" fillId="2" borderId="0" xfId="0" applyFont="1" applyFill="1" applyAlignment="1">
      <alignment vertical="top" wrapText="1"/>
    </xf>
    <xf numFmtId="3" fontId="10" fillId="2" borderId="1" xfId="0" applyNumberFormat="1" applyFont="1" applyFill="1" applyBorder="1" applyAlignment="1">
      <alignment horizontal="right"/>
    </xf>
    <xf numFmtId="3" fontId="15"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5"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3" fillId="2" borderId="1" xfId="8" applyNumberFormat="1" applyFont="1" applyFill="1" applyBorder="1" applyAlignment="1">
      <alignment vertical="center" wrapText="1"/>
    </xf>
    <xf numFmtId="3" fontId="33" fillId="2" borderId="1" xfId="7" applyNumberFormat="1" applyFont="1" applyFill="1" applyBorder="1" applyAlignment="1">
      <alignment vertical="center" wrapText="1"/>
    </xf>
    <xf numFmtId="3" fontId="33" fillId="2" borderId="1" xfId="7" applyNumberFormat="1" applyFont="1" applyFill="1" applyBorder="1" applyAlignment="1">
      <alignment horizontal="left" vertical="center" wrapText="1"/>
    </xf>
    <xf numFmtId="3" fontId="15" fillId="2" borderId="1" xfId="0" applyNumberFormat="1" applyFont="1" applyFill="1" applyBorder="1" applyAlignment="1">
      <alignment horizontal="right" vertical="top" wrapText="1"/>
    </xf>
    <xf numFmtId="3" fontId="33" fillId="2" borderId="1" xfId="7" applyNumberFormat="1" applyFont="1" applyFill="1" applyBorder="1" applyAlignment="1">
      <alignment wrapText="1"/>
    </xf>
    <xf numFmtId="3" fontId="33"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5"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166" fontId="25" fillId="3" borderId="1" xfId="0" applyNumberFormat="1" applyFont="1" applyFill="1" applyBorder="1" applyAlignment="1">
      <alignment horizontal="center" vertical="top" wrapText="1"/>
    </xf>
    <xf numFmtId="166" fontId="22" fillId="3" borderId="1" xfId="0" applyNumberFormat="1" applyFont="1" applyFill="1" applyBorder="1" applyAlignment="1">
      <alignment horizontal="center" vertical="top" wrapText="1"/>
    </xf>
    <xf numFmtId="164" fontId="38" fillId="2" borderId="0" xfId="0" applyNumberFormat="1" applyFont="1" applyFill="1" applyBorder="1" applyAlignment="1">
      <alignment horizontal="center" wrapText="1"/>
    </xf>
    <xf numFmtId="164" fontId="39" fillId="2" borderId="0" xfId="0" applyNumberFormat="1" applyFont="1" applyFill="1" applyBorder="1" applyAlignment="1">
      <alignment horizontal="center" wrapText="1"/>
    </xf>
    <xf numFmtId="164" fontId="40" fillId="2" borderId="0" xfId="0" applyNumberFormat="1" applyFont="1" applyFill="1" applyBorder="1" applyAlignment="1">
      <alignment horizontal="center" wrapText="1"/>
    </xf>
    <xf numFmtId="0" fontId="25" fillId="2" borderId="6" xfId="0" applyFont="1" applyFill="1" applyBorder="1" applyAlignment="1">
      <alignment horizontal="left" vertical="top" wrapText="1"/>
    </xf>
    <xf numFmtId="0" fontId="25" fillId="2" borderId="12" xfId="0" applyFont="1" applyFill="1" applyBorder="1" applyAlignment="1">
      <alignment horizontal="left" vertical="top" wrapText="1"/>
    </xf>
    <xf numFmtId="0" fontId="22" fillId="2" borderId="1" xfId="0" applyFont="1" applyFill="1" applyBorder="1" applyAlignment="1">
      <alignment horizontal="left"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5" fillId="2" borderId="1" xfId="0" applyFont="1" applyFill="1" applyBorder="1" applyAlignment="1">
      <alignment horizontal="center" vertical="top" wrapText="1"/>
    </xf>
    <xf numFmtId="0" fontId="25" fillId="2" borderId="1" xfId="0" applyFont="1" applyFill="1" applyBorder="1" applyAlignment="1">
      <alignment horizontal="left" vertical="top" wrapText="1"/>
    </xf>
    <xf numFmtId="0" fontId="15" fillId="2" borderId="1" xfId="3"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9"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26" fillId="2" borderId="1" xfId="0" applyFont="1" applyFill="1" applyBorder="1"/>
    <xf numFmtId="0" fontId="16" fillId="2" borderId="1" xfId="0" applyFont="1" applyFill="1" applyBorder="1" applyAlignment="1">
      <alignment horizontal="center" vertical="top" wrapText="1"/>
    </xf>
    <xf numFmtId="0" fontId="25" fillId="2" borderId="1" xfId="3" applyFont="1" applyFill="1" applyBorder="1" applyAlignment="1">
      <alignment horizontal="left" vertical="top" wrapText="1"/>
    </xf>
    <xf numFmtId="0" fontId="25" fillId="2" borderId="9" xfId="3"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6"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49" fontId="15" fillId="2" borderId="1" xfId="0" applyNumberFormat="1" applyFont="1" applyFill="1" applyBorder="1" applyAlignment="1">
      <alignment horizontal="left" vertical="top"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5" fillId="2" borderId="1" xfId="0" applyFont="1" applyFill="1" applyBorder="1" applyAlignment="1">
      <alignment vertical="top" wrapText="1"/>
    </xf>
    <xf numFmtId="0" fontId="25"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25" fillId="2" borderId="6" xfId="3" applyFont="1" applyFill="1" applyBorder="1" applyAlignment="1">
      <alignment horizontal="left" vertical="top" wrapText="1"/>
    </xf>
    <xf numFmtId="164" fontId="41" fillId="2" borderId="0" xfId="0" applyNumberFormat="1" applyFont="1" applyFill="1"/>
    <xf numFmtId="166" fontId="25" fillId="3" borderId="9" xfId="0" applyNumberFormat="1" applyFont="1" applyFill="1" applyBorder="1" applyAlignment="1">
      <alignment horizontal="center" vertical="top" wrapText="1"/>
    </xf>
    <xf numFmtId="166" fontId="25" fillId="2" borderId="12" xfId="0" applyNumberFormat="1" applyFont="1" applyFill="1" applyBorder="1" applyAlignment="1">
      <alignment horizontal="center" vertical="top" wrapText="1"/>
    </xf>
    <xf numFmtId="166" fontId="22" fillId="2" borderId="12" xfId="0" applyNumberFormat="1" applyFont="1" applyFill="1" applyBorder="1" applyAlignment="1">
      <alignment horizontal="center" vertical="top" wrapText="1"/>
    </xf>
    <xf numFmtId="166" fontId="22" fillId="2" borderId="12" xfId="0" applyNumberFormat="1" applyFont="1" applyFill="1" applyBorder="1" applyAlignment="1">
      <alignment horizontal="center" vertical="center" wrapText="1"/>
    </xf>
    <xf numFmtId="166" fontId="25" fillId="2" borderId="10" xfId="0" applyNumberFormat="1" applyFont="1" applyFill="1" applyBorder="1" applyAlignment="1">
      <alignment horizontal="center" vertical="top" wrapText="1"/>
    </xf>
    <xf numFmtId="166" fontId="30" fillId="2" borderId="12" xfId="0" applyNumberFormat="1" applyFont="1" applyFill="1" applyBorder="1" applyAlignment="1">
      <alignment horizontal="center" vertical="center" wrapText="1"/>
    </xf>
    <xf numFmtId="166" fontId="25" fillId="2" borderId="12" xfId="0" applyNumberFormat="1" applyFont="1" applyFill="1" applyBorder="1" applyAlignment="1">
      <alignment horizontal="center" vertical="center" wrapText="1"/>
    </xf>
    <xf numFmtId="166" fontId="16" fillId="2" borderId="12" xfId="0" applyNumberFormat="1" applyFont="1" applyFill="1" applyBorder="1" applyAlignment="1">
      <alignment horizontal="center" vertical="top" wrapText="1"/>
    </xf>
    <xf numFmtId="166" fontId="16" fillId="2" borderId="6" xfId="0" applyNumberFormat="1" applyFont="1" applyFill="1" applyBorder="1" applyAlignment="1">
      <alignment horizontal="center" vertical="top" wrapText="1"/>
    </xf>
    <xf numFmtId="4" fontId="16" fillId="2" borderId="6" xfId="0" applyNumberFormat="1" applyFont="1" applyFill="1" applyBorder="1" applyAlignment="1">
      <alignment horizontal="center" vertical="top" wrapText="1"/>
    </xf>
    <xf numFmtId="4" fontId="19" fillId="2" borderId="12" xfId="0" applyNumberFormat="1" applyFont="1" applyFill="1" applyBorder="1" applyAlignment="1">
      <alignment horizontal="center" vertical="top" wrapText="1"/>
    </xf>
    <xf numFmtId="2" fontId="19" fillId="2" borderId="9" xfId="0" applyNumberFormat="1" applyFont="1" applyFill="1" applyBorder="1" applyAlignment="1">
      <alignment horizontal="center" vertical="top" wrapText="1"/>
    </xf>
    <xf numFmtId="166" fontId="16" fillId="2" borderId="12" xfId="0" applyNumberFormat="1" applyFont="1" applyFill="1" applyBorder="1" applyAlignment="1">
      <alignment horizontal="center" vertical="center" wrapText="1"/>
    </xf>
    <xf numFmtId="166" fontId="16" fillId="2" borderId="9" xfId="0" applyNumberFormat="1" applyFont="1" applyFill="1" applyBorder="1" applyAlignment="1">
      <alignment horizontal="center" vertical="center" wrapText="1"/>
    </xf>
    <xf numFmtId="166" fontId="22" fillId="2" borderId="12" xfId="0" applyNumberFormat="1" applyFont="1" applyFill="1" applyBorder="1" applyAlignment="1">
      <alignment horizontal="center" wrapText="1"/>
    </xf>
    <xf numFmtId="164" fontId="25" fillId="2" borderId="12"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xf>
    <xf numFmtId="164" fontId="42" fillId="2" borderId="0" xfId="0" applyNumberFormat="1" applyFont="1" applyFill="1"/>
    <xf numFmtId="0" fontId="3" fillId="2" borderId="1" xfId="0" applyFont="1" applyFill="1" applyBorder="1" applyAlignment="1">
      <alignment horizontal="center" vertical="center"/>
    </xf>
    <xf numFmtId="0" fontId="3" fillId="2" borderId="1" xfId="0" applyFont="1" applyFill="1" applyBorder="1"/>
    <xf numFmtId="0" fontId="31" fillId="2" borderId="1" xfId="0" applyFont="1" applyFill="1" applyBorder="1" applyAlignment="1">
      <alignment horizontal="center" vertical="center" wrapText="1"/>
    </xf>
    <xf numFmtId="0" fontId="37" fillId="2" borderId="0" xfId="0" applyFont="1" applyFill="1" applyAlignment="1">
      <alignment vertical="top"/>
    </xf>
    <xf numFmtId="0" fontId="37" fillId="2" borderId="0" xfId="0" applyFont="1" applyFill="1" applyAlignment="1">
      <alignment horizontal="left"/>
    </xf>
    <xf numFmtId="0" fontId="31" fillId="2" borderId="0" xfId="0" applyFont="1" applyFill="1"/>
    <xf numFmtId="0" fontId="43" fillId="2" borderId="0" xfId="0" applyFont="1" applyFill="1"/>
    <xf numFmtId="0" fontId="43" fillId="2" borderId="0" xfId="0" applyFont="1" applyFill="1" applyAlignment="1">
      <alignment horizontal="left"/>
    </xf>
    <xf numFmtId="0" fontId="3" fillId="2" borderId="0" xfId="0" applyFont="1" applyFill="1" applyAlignment="1">
      <alignment horizontal="left"/>
    </xf>
    <xf numFmtId="0" fontId="31" fillId="2" borderId="6" xfId="0" applyFont="1" applyFill="1" applyBorder="1" applyAlignment="1">
      <alignment wrapText="1"/>
    </xf>
    <xf numFmtId="0" fontId="31" fillId="2" borderId="6" xfId="0" applyFont="1" applyFill="1" applyBorder="1" applyAlignment="1">
      <alignment horizontal="left" wrapText="1"/>
    </xf>
    <xf numFmtId="0" fontId="25" fillId="2" borderId="6" xfId="0" applyFont="1" applyFill="1" applyBorder="1" applyAlignment="1">
      <alignment horizontal="left" vertical="top" wrapText="1"/>
    </xf>
    <xf numFmtId="0" fontId="15" fillId="2" borderId="6" xfId="3" applyFont="1" applyFill="1" applyBorder="1" applyAlignment="1">
      <alignment horizontal="center" vertical="top" wrapText="1"/>
    </xf>
    <xf numFmtId="0" fontId="15" fillId="2" borderId="9" xfId="3" applyFont="1" applyFill="1" applyBorder="1" applyAlignment="1">
      <alignment horizontal="center" vertical="top" wrapText="1"/>
    </xf>
    <xf numFmtId="49" fontId="15" fillId="2" borderId="2" xfId="0" applyNumberFormat="1" applyFont="1" applyFill="1" applyBorder="1" applyAlignment="1">
      <alignment horizontal="left" vertical="top" wrapText="1"/>
    </xf>
    <xf numFmtId="0" fontId="11" fillId="2" borderId="6" xfId="0" applyFont="1" applyFill="1" applyBorder="1" applyAlignment="1">
      <alignment vertical="top"/>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25" fillId="2" borderId="1" xfId="3" applyFont="1" applyFill="1" applyBorder="1" applyAlignment="1">
      <alignment horizontal="left" vertical="top" wrapText="1"/>
    </xf>
    <xf numFmtId="0" fontId="15"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5" fillId="2" borderId="1" xfId="3"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9" xfId="0" applyFont="1" applyFill="1" applyBorder="1" applyAlignment="1">
      <alignment horizontal="center" vertical="top" wrapText="1"/>
    </xf>
    <xf numFmtId="0" fontId="25" fillId="2" borderId="1" xfId="0" applyFont="1" applyFill="1" applyBorder="1" applyAlignment="1">
      <alignment horizontal="left" vertical="top" wrapText="1"/>
    </xf>
    <xf numFmtId="0" fontId="15" fillId="2" borderId="1" xfId="0" applyFont="1" applyFill="1" applyBorder="1" applyAlignment="1">
      <alignment horizontal="center"/>
    </xf>
    <xf numFmtId="0" fontId="25" fillId="2" borderId="1" xfId="0" applyFont="1" applyFill="1" applyBorder="1" applyAlignment="1">
      <alignment horizontal="center" vertical="top" wrapText="1"/>
    </xf>
    <xf numFmtId="0" fontId="25" fillId="2" borderId="1" xfId="0" applyFont="1" applyFill="1" applyBorder="1" applyAlignment="1">
      <alignment vertical="top" wrapText="1"/>
    </xf>
    <xf numFmtId="49" fontId="15" fillId="2" borderId="1" xfId="0" applyNumberFormat="1" applyFont="1" applyFill="1" applyBorder="1" applyAlignment="1">
      <alignment horizontal="left" vertical="top" wrapText="1"/>
    </xf>
    <xf numFmtId="0" fontId="16" fillId="2" borderId="0" xfId="0" applyFont="1" applyFill="1" applyBorder="1" applyAlignment="1">
      <alignment horizontal="left" vertical="top" wrapText="1"/>
    </xf>
    <xf numFmtId="0" fontId="10" fillId="2" borderId="1" xfId="0" applyFont="1" applyFill="1" applyBorder="1" applyAlignment="1">
      <alignment horizontal="center" vertical="top" wrapText="1"/>
    </xf>
    <xf numFmtId="3" fontId="9" fillId="2" borderId="1" xfId="0" applyNumberFormat="1" applyFont="1" applyFill="1" applyBorder="1"/>
    <xf numFmtId="0" fontId="25" fillId="2" borderId="6" xfId="0" applyFont="1" applyFill="1" applyBorder="1" applyAlignment="1">
      <alignment horizontal="left" vertical="top" wrapText="1"/>
    </xf>
    <xf numFmtId="0" fontId="25" fillId="2" borderId="12" xfId="0" applyFont="1" applyFill="1" applyBorder="1" applyAlignment="1">
      <alignment horizontal="left" vertical="top" wrapText="1"/>
    </xf>
    <xf numFmtId="0" fontId="22" fillId="2" borderId="1" xfId="0" applyFont="1" applyFill="1" applyBorder="1" applyAlignment="1">
      <alignment horizontal="left"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5" fillId="2" borderId="1" xfId="0" applyFont="1" applyFill="1" applyBorder="1" applyAlignment="1">
      <alignment horizontal="center" vertical="top" wrapText="1"/>
    </xf>
    <xf numFmtId="0" fontId="25" fillId="2" borderId="1" xfId="0" applyFont="1" applyFill="1" applyBorder="1" applyAlignment="1">
      <alignment horizontal="left" vertical="top" wrapText="1"/>
    </xf>
    <xf numFmtId="0" fontId="15" fillId="2" borderId="1" xfId="3"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9"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26" fillId="2" borderId="1" xfId="0" applyFont="1" applyFill="1" applyBorder="1"/>
    <xf numFmtId="0" fontId="16" fillId="2" borderId="1" xfId="0" applyFont="1" applyFill="1" applyBorder="1" applyAlignment="1">
      <alignment horizontal="center" vertical="top" wrapText="1"/>
    </xf>
    <xf numFmtId="0" fontId="25" fillId="2" borderId="1" xfId="3" applyFont="1" applyFill="1" applyBorder="1" applyAlignment="1">
      <alignment horizontal="left" vertical="top" wrapText="1"/>
    </xf>
    <xf numFmtId="0" fontId="25" fillId="2" borderId="9" xfId="3"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6"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5" fillId="2" borderId="6" xfId="3" applyFont="1" applyFill="1" applyBorder="1" applyAlignment="1">
      <alignment horizontal="center" vertical="top" wrapText="1"/>
    </xf>
    <xf numFmtId="0" fontId="16" fillId="2" borderId="0" xfId="0" applyFont="1" applyFill="1" applyBorder="1" applyAlignment="1">
      <alignment horizontal="left" vertical="top" wrapText="1"/>
    </xf>
    <xf numFmtId="49" fontId="15" fillId="2" borderId="1" xfId="0" applyNumberFormat="1" applyFont="1" applyFill="1" applyBorder="1" applyAlignment="1">
      <alignment horizontal="left" vertical="top"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5" fillId="2" borderId="1" xfId="0" applyFont="1" applyFill="1" applyBorder="1" applyAlignment="1">
      <alignment vertical="top" wrapText="1"/>
    </xf>
    <xf numFmtId="0" fontId="15" fillId="2" borderId="9" xfId="3" applyFont="1" applyFill="1" applyBorder="1" applyAlignment="1">
      <alignment horizontal="center" vertical="top" wrapText="1"/>
    </xf>
    <xf numFmtId="0" fontId="25"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49" fontId="15" fillId="2" borderId="2" xfId="0" applyNumberFormat="1" applyFont="1" applyFill="1" applyBorder="1" applyAlignment="1">
      <alignment horizontal="left" vertical="top" wrapText="1"/>
    </xf>
    <xf numFmtId="0" fontId="15" fillId="2" borderId="1" xfId="0" applyFont="1" applyFill="1" applyBorder="1" applyAlignment="1">
      <alignment horizontal="center"/>
    </xf>
    <xf numFmtId="0" fontId="25" fillId="2" borderId="6" xfId="3" applyFont="1" applyFill="1" applyBorder="1" applyAlignment="1">
      <alignment horizontal="left" vertical="top" wrapText="1"/>
    </xf>
    <xf numFmtId="0" fontId="10" fillId="2" borderId="9" xfId="0" applyFont="1" applyFill="1" applyBorder="1" applyAlignment="1">
      <alignment horizontal="center" vertical="top" wrapText="1"/>
    </xf>
    <xf numFmtId="0" fontId="11" fillId="2" borderId="6" xfId="0" applyFont="1" applyFill="1" applyBorder="1" applyAlignment="1">
      <alignment vertical="top"/>
    </xf>
    <xf numFmtId="3" fontId="15" fillId="2" borderId="1" xfId="0" applyNumberFormat="1" applyFont="1" applyFill="1" applyBorder="1" applyAlignment="1">
      <alignment horizontal="left"/>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5" fillId="2" borderId="1" xfId="0" applyNumberFormat="1" applyFont="1" applyFill="1" applyBorder="1" applyAlignment="1">
      <alignment horizontal="left" wrapText="1"/>
    </xf>
    <xf numFmtId="0" fontId="16" fillId="2" borderId="6" xfId="0" applyFont="1" applyFill="1" applyBorder="1" applyAlignment="1">
      <alignment horizontal="center" vertical="center" wrapText="1"/>
    </xf>
    <xf numFmtId="49" fontId="25" fillId="2" borderId="12" xfId="0" applyNumberFormat="1" applyFont="1" applyFill="1" applyBorder="1" applyAlignment="1">
      <alignment horizontal="left" vertical="top" wrapText="1"/>
    </xf>
    <xf numFmtId="0" fontId="46" fillId="2" borderId="1" xfId="0" applyFont="1" applyFill="1" applyBorder="1" applyAlignment="1">
      <alignment wrapText="1"/>
    </xf>
    <xf numFmtId="1" fontId="46" fillId="2" borderId="1" xfId="9" applyNumberFormat="1" applyFont="1" applyFill="1" applyBorder="1" applyAlignment="1">
      <alignment horizontal="center"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5" fillId="0" borderId="0" xfId="0" applyFont="1" applyFill="1" applyAlignment="1">
      <alignment horizontal="justify" wrapText="1"/>
    </xf>
    <xf numFmtId="0" fontId="16" fillId="0" borderId="0" xfId="0" applyFont="1" applyAlignment="1">
      <alignment horizontal="center"/>
    </xf>
    <xf numFmtId="0" fontId="16"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0" fontId="25" fillId="2" borderId="6" xfId="0" applyFont="1" applyFill="1" applyBorder="1" applyAlignment="1">
      <alignment horizontal="left" vertical="top" wrapText="1"/>
    </xf>
    <xf numFmtId="0" fontId="25"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49" fontId="22" fillId="2" borderId="3" xfId="0" applyNumberFormat="1" applyFont="1" applyFill="1" applyBorder="1" applyAlignment="1">
      <alignment vertical="top" wrapText="1"/>
    </xf>
    <xf numFmtId="49" fontId="22" fillId="2" borderId="4" xfId="0" applyNumberFormat="1" applyFont="1" applyFill="1" applyBorder="1" applyAlignment="1">
      <alignment vertical="top" wrapText="1"/>
    </xf>
    <xf numFmtId="49" fontId="22" fillId="2" borderId="2" xfId="0" applyNumberFormat="1" applyFont="1" applyFill="1" applyBorder="1" applyAlignment="1">
      <alignment vertical="top" wrapText="1"/>
    </xf>
    <xf numFmtId="0" fontId="15" fillId="2" borderId="6" xfId="3" applyFont="1" applyFill="1" applyBorder="1" applyAlignment="1">
      <alignment horizontal="center" vertical="top" wrapText="1"/>
    </xf>
    <xf numFmtId="0" fontId="15" fillId="2" borderId="12" xfId="3" applyFont="1" applyFill="1" applyBorder="1" applyAlignment="1">
      <alignment horizontal="center" vertical="top" wrapText="1"/>
    </xf>
    <xf numFmtId="0" fontId="15" fillId="2" borderId="9" xfId="3"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22" fillId="2" borderId="14" xfId="0" applyFont="1" applyFill="1" applyBorder="1" applyAlignment="1">
      <alignment horizontal="left" vertical="top"/>
    </xf>
    <xf numFmtId="0" fontId="22" fillId="2" borderId="13" xfId="0" applyFont="1" applyFill="1" applyBorder="1" applyAlignment="1">
      <alignment horizontal="left" vertical="top"/>
    </xf>
    <xf numFmtId="0" fontId="22" fillId="2" borderId="0" xfId="0" applyFont="1" applyFill="1" applyBorder="1" applyAlignment="1">
      <alignment horizontal="left" vertical="top"/>
    </xf>
    <xf numFmtId="0" fontId="22" fillId="2" borderId="11" xfId="0" applyFont="1" applyFill="1" applyBorder="1" applyAlignment="1">
      <alignment horizontal="left" vertical="top"/>
    </xf>
    <xf numFmtId="0" fontId="22" fillId="2" borderId="15" xfId="0" applyFont="1" applyFill="1" applyBorder="1" applyAlignment="1">
      <alignment horizontal="left" vertical="top"/>
    </xf>
    <xf numFmtId="0" fontId="22" fillId="2" borderId="8" xfId="0" applyFont="1" applyFill="1" applyBorder="1" applyAlignment="1">
      <alignment horizontal="left" vertical="top"/>
    </xf>
    <xf numFmtId="0" fontId="25" fillId="2" borderId="12" xfId="0" applyFont="1" applyFill="1" applyBorder="1" applyAlignment="1">
      <alignment horizontal="left" vertical="top" wrapText="1"/>
    </xf>
    <xf numFmtId="49" fontId="15" fillId="2" borderId="2" xfId="0" applyNumberFormat="1"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25" fillId="2" borderId="5" xfId="3" applyFont="1" applyFill="1" applyBorder="1" applyAlignment="1">
      <alignment horizontal="left" vertical="top" wrapText="1"/>
    </xf>
    <xf numFmtId="0" fontId="25" fillId="2" borderId="10" xfId="3" applyFont="1" applyFill="1" applyBorder="1" applyAlignment="1">
      <alignment horizontal="left" vertical="top" wrapText="1"/>
    </xf>
    <xf numFmtId="0" fontId="25" fillId="2" borderId="7" xfId="3" applyFont="1" applyFill="1" applyBorder="1" applyAlignment="1">
      <alignment horizontal="left" vertical="top" wrapText="1"/>
    </xf>
    <xf numFmtId="49" fontId="25" fillId="2" borderId="1" xfId="0" applyNumberFormat="1" applyFont="1" applyFill="1" applyBorder="1" applyAlignment="1">
      <alignment horizontal="left" vertical="top" wrapText="1"/>
    </xf>
    <xf numFmtId="0" fontId="25" fillId="2" borderId="1" xfId="3" applyFont="1" applyFill="1" applyBorder="1" applyAlignment="1">
      <alignment horizontal="left" vertical="top" wrapText="1"/>
    </xf>
    <xf numFmtId="0" fontId="25" fillId="2" borderId="6" xfId="3" applyFont="1" applyFill="1" applyBorder="1" applyAlignment="1">
      <alignment horizontal="left" vertical="top" wrapText="1"/>
    </xf>
    <xf numFmtId="0" fontId="25" fillId="2" borderId="12" xfId="3" applyFont="1" applyFill="1" applyBorder="1" applyAlignment="1">
      <alignment horizontal="left" vertical="top" wrapText="1"/>
    </xf>
    <xf numFmtId="0" fontId="25" fillId="2" borderId="9" xfId="3" applyFont="1" applyFill="1" applyBorder="1" applyAlignment="1">
      <alignment horizontal="left" vertical="top" wrapText="1"/>
    </xf>
    <xf numFmtId="0" fontId="15" fillId="2" borderId="1"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19" fillId="2" borderId="3"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9" xfId="0" applyFont="1" applyFill="1" applyBorder="1" applyAlignment="1">
      <alignment horizontal="center" vertical="top" wrapText="1"/>
    </xf>
    <xf numFmtId="0" fontId="22" fillId="2" borderId="1" xfId="0" applyFont="1" applyFill="1" applyBorder="1" applyAlignment="1">
      <alignment horizontal="left" vertical="top" wrapText="1"/>
    </xf>
    <xf numFmtId="49" fontId="15" fillId="2" borderId="6" xfId="0" applyNumberFormat="1" applyFont="1" applyFill="1" applyBorder="1" applyAlignment="1">
      <alignment horizontal="left" vertical="top" wrapText="1"/>
    </xf>
    <xf numFmtId="49" fontId="15" fillId="2" borderId="9" xfId="0" applyNumberFormat="1"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0" fontId="16" fillId="2" borderId="5" xfId="0" applyFont="1" applyFill="1" applyBorder="1" applyAlignment="1">
      <alignment horizontal="center" vertical="top"/>
    </xf>
    <xf numFmtId="0" fontId="16" fillId="2" borderId="14" xfId="0" applyFont="1" applyFill="1" applyBorder="1" applyAlignment="1">
      <alignment horizontal="center" vertical="top"/>
    </xf>
    <xf numFmtId="0" fontId="16" fillId="2" borderId="13" xfId="0" applyFont="1" applyFill="1" applyBorder="1" applyAlignment="1">
      <alignment horizontal="center" vertical="top"/>
    </xf>
    <xf numFmtId="0" fontId="16" fillId="2" borderId="10" xfId="0" applyFont="1" applyFill="1" applyBorder="1" applyAlignment="1">
      <alignment horizontal="center" vertical="top"/>
    </xf>
    <xf numFmtId="0" fontId="16" fillId="2" borderId="0" xfId="0" applyFont="1" applyFill="1" applyBorder="1" applyAlignment="1">
      <alignment horizontal="center" vertical="top"/>
    </xf>
    <xf numFmtId="0" fontId="16" fillId="2" borderId="11" xfId="0" applyFont="1" applyFill="1" applyBorder="1" applyAlignment="1">
      <alignment horizontal="center" vertical="top"/>
    </xf>
    <xf numFmtId="0" fontId="16" fillId="2" borderId="7" xfId="0" applyFont="1" applyFill="1" applyBorder="1" applyAlignment="1">
      <alignment horizontal="center" vertical="top"/>
    </xf>
    <xf numFmtId="0" fontId="16" fillId="2" borderId="15" xfId="0" applyFont="1" applyFill="1" applyBorder="1" applyAlignment="1">
      <alignment horizontal="center" vertical="top"/>
    </xf>
    <xf numFmtId="0" fontId="16" fillId="2" borderId="8" xfId="0" applyFont="1" applyFill="1" applyBorder="1" applyAlignment="1">
      <alignment horizontal="center" vertical="top"/>
    </xf>
    <xf numFmtId="0" fontId="15" fillId="2" borderId="1" xfId="3" applyFont="1" applyFill="1" applyBorder="1" applyAlignment="1">
      <alignment horizontal="center" vertical="top" wrapText="1"/>
    </xf>
    <xf numFmtId="49" fontId="22" fillId="2" borderId="3" xfId="0" applyNumberFormat="1"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0" fontId="15" fillId="2" borderId="6"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9" xfId="0" applyFont="1" applyFill="1" applyBorder="1" applyAlignment="1">
      <alignment horizontal="center" vertical="top" wrapText="1"/>
    </xf>
    <xf numFmtId="0" fontId="22" fillId="2" borderId="1" xfId="0" applyFont="1" applyFill="1" applyBorder="1" applyAlignment="1">
      <alignment horizontal="left" vertical="center" wrapText="1"/>
    </xf>
    <xf numFmtId="0" fontId="11" fillId="2" borderId="1" xfId="0" applyFont="1" applyFill="1" applyBorder="1" applyAlignment="1">
      <alignment horizontal="center" vertical="top"/>
    </xf>
    <xf numFmtId="0" fontId="25" fillId="2" borderId="1"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7" xfId="0" applyFont="1" applyFill="1" applyBorder="1" applyAlignment="1">
      <alignment horizontal="left" vertical="top" wrapText="1"/>
    </xf>
    <xf numFmtId="0" fontId="22" fillId="2" borderId="5" xfId="0" applyFont="1" applyFill="1" applyBorder="1" applyAlignment="1">
      <alignment horizontal="center" vertical="top" wrapText="1"/>
    </xf>
    <xf numFmtId="0" fontId="22" fillId="2" borderId="14" xfId="0" applyFont="1" applyFill="1" applyBorder="1" applyAlignment="1">
      <alignment horizontal="center" vertical="top" wrapText="1"/>
    </xf>
    <xf numFmtId="0" fontId="22" fillId="2" borderId="13"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8" xfId="0" applyFont="1" applyFill="1" applyBorder="1" applyAlignment="1">
      <alignment horizontal="center" vertical="top" wrapText="1"/>
    </xf>
    <xf numFmtId="0" fontId="16"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5" fillId="2" borderId="1" xfId="0" applyFont="1" applyFill="1" applyBorder="1" applyAlignment="1">
      <alignment horizontal="center"/>
    </xf>
    <xf numFmtId="49" fontId="15" fillId="2" borderId="6"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0" fontId="16" fillId="2" borderId="1" xfId="0" applyFont="1" applyFill="1" applyBorder="1" applyAlignment="1">
      <alignment horizontal="center" vertical="top"/>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26" fillId="2" borderId="1" xfId="0" applyFont="1" applyFill="1" applyBorder="1" applyAlignment="1">
      <alignment horizontal="left"/>
    </xf>
    <xf numFmtId="0" fontId="29" fillId="2" borderId="1" xfId="0" applyFont="1" applyFill="1" applyBorder="1"/>
    <xf numFmtId="0" fontId="25" fillId="2" borderId="1" xfId="0" applyFont="1" applyFill="1" applyBorder="1" applyAlignment="1">
      <alignment horizontal="center" vertical="top" wrapText="1"/>
    </xf>
    <xf numFmtId="0" fontId="25" fillId="2" borderId="6" xfId="0" applyFont="1" applyFill="1" applyBorder="1" applyAlignment="1">
      <alignment horizontal="center" vertical="center"/>
    </xf>
    <xf numFmtId="0" fontId="25" fillId="2" borderId="12" xfId="0" applyFont="1" applyFill="1" applyBorder="1" applyAlignment="1">
      <alignment horizontal="center" vertical="center"/>
    </xf>
    <xf numFmtId="0" fontId="0" fillId="2" borderId="1" xfId="0" applyFill="1" applyBorder="1"/>
    <xf numFmtId="0" fontId="15" fillId="2" borderId="5"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25"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15" fillId="2" borderId="12"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16" fillId="2" borderId="6" xfId="0" applyFont="1" applyFill="1" applyBorder="1" applyAlignment="1">
      <alignment horizontal="center" vertical="top"/>
    </xf>
    <xf numFmtId="0" fontId="16" fillId="2" borderId="12" xfId="0" applyFont="1" applyFill="1" applyBorder="1" applyAlignment="1">
      <alignment horizontal="center" vertical="top"/>
    </xf>
    <xf numFmtId="0" fontId="16" fillId="2" borderId="5"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wrapText="1"/>
    </xf>
    <xf numFmtId="0" fontId="35" fillId="2" borderId="0" xfId="0" applyFont="1" applyFill="1" applyAlignment="1">
      <alignment horizontal="center" vertical="center"/>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3" xfId="0" applyFont="1" applyFill="1" applyBorder="1" applyAlignment="1">
      <alignment horizontal="left" wrapText="1"/>
    </xf>
    <xf numFmtId="0" fontId="23" fillId="2" borderId="4" xfId="0" applyFont="1" applyFill="1" applyBorder="1" applyAlignment="1">
      <alignment horizontal="left" wrapText="1"/>
    </xf>
    <xf numFmtId="0" fontId="23" fillId="2" borderId="2" xfId="0" applyFont="1" applyFill="1" applyBorder="1" applyAlignment="1">
      <alignment horizontal="left" wrapText="1"/>
    </xf>
    <xf numFmtId="0" fontId="16" fillId="2" borderId="1" xfId="0" applyFont="1" applyFill="1" applyBorder="1" applyAlignment="1">
      <alignment horizontal="center" wrapText="1"/>
    </xf>
    <xf numFmtId="49" fontId="22" fillId="2" borderId="3" xfId="0" applyNumberFormat="1" applyFont="1" applyFill="1" applyBorder="1" applyAlignment="1">
      <alignment horizontal="left" vertical="center" wrapText="1"/>
    </xf>
    <xf numFmtId="49" fontId="22" fillId="2" borderId="2" xfId="0" applyNumberFormat="1" applyFont="1" applyFill="1" applyBorder="1" applyAlignment="1">
      <alignment horizontal="left" vertical="center" wrapText="1"/>
    </xf>
    <xf numFmtId="0" fontId="26" fillId="2" borderId="12" xfId="0" applyFont="1" applyFill="1" applyBorder="1" applyAlignment="1">
      <alignment horizontal="left"/>
    </xf>
    <xf numFmtId="0" fontId="26" fillId="2" borderId="9" xfId="0" applyFont="1" applyFill="1" applyBorder="1" applyAlignment="1">
      <alignment horizontal="left"/>
    </xf>
    <xf numFmtId="49" fontId="15" fillId="2" borderId="1" xfId="0" applyNumberFormat="1" applyFont="1" applyFill="1" applyBorder="1" applyAlignment="1">
      <alignment horizontal="left" vertical="top" wrapText="1"/>
    </xf>
    <xf numFmtId="0" fontId="15" fillId="2" borderId="1" xfId="0" applyFont="1" applyFill="1" applyBorder="1" applyAlignment="1">
      <alignment horizontal="center" vertical="center"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11" fillId="2" borderId="6" xfId="0" applyFont="1" applyFill="1" applyBorder="1" applyAlignment="1">
      <alignment horizontal="center" vertical="top"/>
    </xf>
    <xf numFmtId="0" fontId="11" fillId="2" borderId="12" xfId="0" applyFont="1" applyFill="1" applyBorder="1" applyAlignment="1">
      <alignment horizontal="center" vertical="top"/>
    </xf>
    <xf numFmtId="0" fontId="11" fillId="2" borderId="9" xfId="0" applyFont="1" applyFill="1" applyBorder="1" applyAlignment="1">
      <alignment horizontal="center" vertical="top"/>
    </xf>
    <xf numFmtId="0" fontId="25" fillId="2" borderId="6" xfId="3" applyFont="1" applyFill="1" applyBorder="1" applyAlignment="1">
      <alignment horizontal="center" vertical="top" wrapText="1"/>
    </xf>
    <xf numFmtId="0" fontId="25" fillId="2" borderId="12" xfId="3" applyFont="1" applyFill="1" applyBorder="1" applyAlignment="1">
      <alignment horizontal="center" vertical="top" wrapText="1"/>
    </xf>
    <xf numFmtId="0" fontId="25" fillId="2" borderId="9" xfId="3" applyFont="1" applyFill="1" applyBorder="1" applyAlignment="1">
      <alignment horizontal="center" vertical="top" wrapText="1"/>
    </xf>
    <xf numFmtId="0" fontId="20" fillId="2" borderId="4" xfId="0" applyFont="1" applyFill="1" applyBorder="1" applyAlignment="1">
      <alignment horizontal="center" vertical="top"/>
    </xf>
    <xf numFmtId="0" fontId="20" fillId="2" borderId="2" xfId="0" applyFont="1" applyFill="1" applyBorder="1" applyAlignment="1">
      <alignment horizontal="center" vertical="top"/>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22" fillId="2" borderId="3" xfId="0" applyFont="1" applyFill="1" applyBorder="1" applyAlignment="1">
      <alignment horizontal="left" vertical="top"/>
    </xf>
    <xf numFmtId="0" fontId="22" fillId="2" borderId="4" xfId="0" applyFont="1" applyFill="1" applyBorder="1" applyAlignment="1">
      <alignment horizontal="left" vertical="top"/>
    </xf>
    <xf numFmtId="0" fontId="22" fillId="2" borderId="2" xfId="0" applyFont="1" applyFill="1" applyBorder="1" applyAlignment="1">
      <alignment horizontal="left" vertical="top"/>
    </xf>
    <xf numFmtId="0" fontId="19" fillId="2" borderId="1" xfId="0" applyFont="1" applyFill="1" applyBorder="1" applyAlignment="1">
      <alignment horizontal="center" vertical="top" wrapText="1"/>
    </xf>
    <xf numFmtId="0" fontId="16" fillId="2" borderId="14"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5" xfId="0" applyFont="1" applyFill="1" applyBorder="1" applyAlignment="1">
      <alignment horizontal="left" vertical="top" wrapText="1"/>
    </xf>
    <xf numFmtId="0" fontId="10" fillId="2" borderId="1" xfId="0" applyFont="1" applyFill="1" applyBorder="1" applyAlignment="1">
      <alignment horizontal="center" vertical="top" wrapText="1"/>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22" fillId="2" borderId="5" xfId="0" applyFont="1" applyFill="1" applyBorder="1" applyAlignment="1">
      <alignment horizontal="left" vertical="top"/>
    </xf>
    <xf numFmtId="0" fontId="22" fillId="2" borderId="10" xfId="0" applyFont="1" applyFill="1" applyBorder="1" applyAlignment="1">
      <alignment horizontal="left" vertical="top"/>
    </xf>
    <xf numFmtId="0" fontId="22"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6" fillId="2" borderId="5" xfId="0" applyFont="1" applyFill="1" applyBorder="1" applyAlignment="1">
      <alignment horizontal="left" vertical="top"/>
    </xf>
    <xf numFmtId="0" fontId="16" fillId="2" borderId="14" xfId="0" applyFont="1" applyFill="1" applyBorder="1" applyAlignment="1">
      <alignment horizontal="left" vertical="top"/>
    </xf>
    <xf numFmtId="0" fontId="16" fillId="2" borderId="13" xfId="0" applyFont="1" applyFill="1" applyBorder="1" applyAlignment="1">
      <alignment horizontal="left" vertical="top"/>
    </xf>
    <xf numFmtId="0" fontId="16" fillId="2" borderId="10" xfId="0" applyFont="1" applyFill="1" applyBorder="1" applyAlignment="1">
      <alignment horizontal="left" vertical="top"/>
    </xf>
    <xf numFmtId="0" fontId="16" fillId="2" borderId="0" xfId="0" applyFont="1" applyFill="1" applyBorder="1" applyAlignment="1">
      <alignment horizontal="left" vertical="top"/>
    </xf>
    <xf numFmtId="0" fontId="16" fillId="2" borderId="11" xfId="0" applyFont="1" applyFill="1" applyBorder="1" applyAlignment="1">
      <alignment horizontal="left" vertical="top"/>
    </xf>
    <xf numFmtId="0" fontId="16" fillId="2" borderId="7" xfId="0" applyFont="1" applyFill="1" applyBorder="1" applyAlignment="1">
      <alignment horizontal="left" vertical="top"/>
    </xf>
    <xf numFmtId="0" fontId="16" fillId="2" borderId="15" xfId="0" applyFont="1" applyFill="1" applyBorder="1" applyAlignment="1">
      <alignment horizontal="left" vertical="top"/>
    </xf>
    <xf numFmtId="0" fontId="16" fillId="2" borderId="8" xfId="0" applyFont="1" applyFill="1" applyBorder="1" applyAlignment="1">
      <alignment horizontal="left" vertical="top"/>
    </xf>
    <xf numFmtId="0" fontId="22" fillId="2" borderId="5" xfId="0" applyFont="1" applyFill="1" applyBorder="1" applyAlignment="1">
      <alignment horizontal="left" vertical="top" wrapText="1"/>
    </xf>
    <xf numFmtId="0" fontId="22" fillId="2" borderId="14"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15" xfId="0" applyFont="1" applyFill="1" applyBorder="1" applyAlignment="1">
      <alignment horizontal="left" vertical="top" wrapText="1"/>
    </xf>
    <xf numFmtId="0" fontId="22" fillId="2" borderId="8" xfId="0" applyFont="1" applyFill="1" applyBorder="1" applyAlignment="1">
      <alignment horizontal="left" vertical="top" wrapText="1"/>
    </xf>
    <xf numFmtId="0" fontId="26" fillId="2" borderId="1" xfId="0" applyFont="1" applyFill="1" applyBorder="1"/>
    <xf numFmtId="0" fontId="16" fillId="2" borderId="1" xfId="0"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top"/>
    </xf>
    <xf numFmtId="0" fontId="23" fillId="2" borderId="4" xfId="0" applyFont="1" applyFill="1" applyBorder="1" applyAlignment="1">
      <alignment horizontal="left" vertical="top"/>
    </xf>
    <xf numFmtId="0" fontId="23" fillId="2" borderId="2" xfId="0" applyFont="1" applyFill="1" applyBorder="1" applyAlignment="1">
      <alignment horizontal="left" vertical="top"/>
    </xf>
    <xf numFmtId="0" fontId="22" fillId="2" borderId="1" xfId="0" applyFont="1" applyFill="1" applyBorder="1" applyAlignment="1">
      <alignment horizontal="center" vertical="top" wrapText="1"/>
    </xf>
    <xf numFmtId="0" fontId="11" fillId="2" borderId="1" xfId="0" applyFont="1" applyFill="1" applyBorder="1" applyAlignment="1">
      <alignment horizontal="lef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22"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5" fillId="2" borderId="1" xfId="0" applyNumberFormat="1" applyFont="1" applyFill="1" applyBorder="1" applyAlignment="1">
      <alignment horizontal="left"/>
    </xf>
    <xf numFmtId="3" fontId="15" fillId="2" borderId="3" xfId="0" applyNumberFormat="1" applyFont="1" applyFill="1" applyBorder="1" applyAlignment="1">
      <alignment horizontal="left" wrapText="1"/>
    </xf>
    <xf numFmtId="3" fontId="15" fillId="2" borderId="4" xfId="0" applyNumberFormat="1" applyFont="1" applyFill="1" applyBorder="1" applyAlignment="1">
      <alignment horizontal="left" wrapText="1"/>
    </xf>
    <xf numFmtId="3" fontId="15"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0" fillId="2" borderId="1" xfId="0" applyNumberFormat="1" applyFont="1" applyFill="1" applyBorder="1" applyAlignment="1">
      <alignment horizontal="left" wrapText="1"/>
    </xf>
    <xf numFmtId="3" fontId="15" fillId="2" borderId="1" xfId="0" applyNumberFormat="1" applyFont="1" applyFill="1" applyBorder="1" applyAlignment="1">
      <alignment horizontal="left" vertical="center"/>
    </xf>
    <xf numFmtId="3" fontId="25" fillId="2" borderId="0" xfId="0" applyNumberFormat="1" applyFont="1" applyFill="1" applyAlignment="1">
      <alignment horizontal="justify" wrapText="1"/>
    </xf>
    <xf numFmtId="3" fontId="25" fillId="2" borderId="0" xfId="0" applyNumberFormat="1" applyFont="1" applyFill="1" applyAlignment="1">
      <alignment horizontal="left" wrapText="1"/>
    </xf>
    <xf numFmtId="3" fontId="24"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5" fillId="2" borderId="3" xfId="0" applyNumberFormat="1" applyFont="1" applyFill="1" applyBorder="1" applyAlignment="1">
      <alignment horizontal="left" vertical="center"/>
    </xf>
    <xf numFmtId="3" fontId="15" fillId="2" borderId="4" xfId="0" applyNumberFormat="1" applyFont="1" applyFill="1" applyBorder="1" applyAlignment="1">
      <alignment horizontal="left" vertical="center"/>
    </xf>
    <xf numFmtId="3" fontId="15" fillId="2" borderId="2" xfId="0" applyNumberFormat="1" applyFont="1" applyFill="1" applyBorder="1" applyAlignment="1">
      <alignment horizontal="left" vertical="center"/>
    </xf>
    <xf numFmtId="3" fontId="15" fillId="2" borderId="3" xfId="0" applyNumberFormat="1" applyFont="1" applyFill="1" applyBorder="1" applyAlignment="1">
      <alignment horizontal="left" vertical="top" wrapText="1"/>
    </xf>
    <xf numFmtId="3" fontId="15" fillId="2" borderId="4" xfId="0" applyNumberFormat="1" applyFont="1" applyFill="1" applyBorder="1" applyAlignment="1">
      <alignment horizontal="left" vertical="top" wrapText="1"/>
    </xf>
    <xf numFmtId="3" fontId="15" fillId="2" borderId="2" xfId="0" applyNumberFormat="1" applyFont="1" applyFill="1" applyBorder="1" applyAlignment="1">
      <alignment horizontal="left" vertical="top" wrapText="1"/>
    </xf>
    <xf numFmtId="0" fontId="31" fillId="2" borderId="1"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3" xfId="0" applyFont="1" applyFill="1" applyBorder="1" applyAlignment="1">
      <alignment horizontal="left" wrapText="1"/>
    </xf>
    <xf numFmtId="0" fontId="31" fillId="2" borderId="4" xfId="0" applyFont="1" applyFill="1" applyBorder="1" applyAlignment="1">
      <alignment horizontal="left" wrapText="1"/>
    </xf>
    <xf numFmtId="0" fontId="31" fillId="2" borderId="2" xfId="0" applyFont="1" applyFill="1" applyBorder="1" applyAlignment="1">
      <alignment horizontal="left" wrapText="1"/>
    </xf>
    <xf numFmtId="0" fontId="31" fillId="2" borderId="1" xfId="0" applyFont="1" applyFill="1" applyBorder="1" applyAlignment="1">
      <alignment horizontal="center" wrapText="1"/>
    </xf>
    <xf numFmtId="49" fontId="25" fillId="2" borderId="6" xfId="0" applyNumberFormat="1" applyFont="1" applyFill="1" applyBorder="1" applyAlignment="1">
      <alignment horizontal="left" vertical="top" wrapText="1"/>
    </xf>
    <xf numFmtId="49" fontId="25" fillId="2" borderId="12" xfId="0" applyNumberFormat="1" applyFont="1" applyFill="1" applyBorder="1" applyAlignment="1">
      <alignment horizontal="left" vertical="top" wrapText="1"/>
    </xf>
    <xf numFmtId="49" fontId="25" fillId="2" borderId="9" xfId="0" applyNumberFormat="1" applyFont="1" applyFill="1" applyBorder="1" applyAlignment="1">
      <alignment horizontal="left" vertical="top"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5" fillId="2" borderId="9" xfId="0" applyFont="1" applyFill="1" applyBorder="1" applyAlignment="1">
      <alignment horizontal="center" vertical="center"/>
    </xf>
    <xf numFmtId="3" fontId="22" fillId="2" borderId="1" xfId="0" applyNumberFormat="1" applyFont="1" applyFill="1" applyBorder="1" applyAlignment="1">
      <alignment horizontal="center" vertical="center" wrapText="1"/>
    </xf>
    <xf numFmtId="0" fontId="46" fillId="2" borderId="1" xfId="7" applyFont="1" applyFill="1" applyBorder="1" applyAlignment="1">
      <alignment wrapText="1"/>
    </xf>
    <xf numFmtId="0" fontId="44" fillId="2" borderId="0" xfId="0" applyFont="1" applyFill="1" applyAlignment="1">
      <alignment horizontal="center" vertical="center"/>
    </xf>
  </cellXfs>
  <cellStyles count="10">
    <cellStyle name="Обычный" xfId="0" builtinId="0"/>
    <cellStyle name="Обычный 2" xfId="1"/>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40</v>
      </c>
      <c r="F2" s="355"/>
      <c r="G2" s="355"/>
      <c r="H2" s="355"/>
      <c r="I2" s="2"/>
      <c r="J2" s="2"/>
      <c r="K2" s="2"/>
      <c r="L2" s="16"/>
      <c r="M2" s="16"/>
    </row>
    <row r="3" spans="1:13" ht="24" customHeight="1">
      <c r="C3" s="4" t="s">
        <v>43</v>
      </c>
      <c r="E3" s="18"/>
      <c r="F3" s="356"/>
      <c r="G3" s="356"/>
      <c r="H3" s="356"/>
      <c r="J3" s="16"/>
      <c r="K3" s="16"/>
      <c r="L3" s="16"/>
      <c r="M3" s="16"/>
    </row>
    <row r="4" spans="1:13" ht="30" customHeight="1">
      <c r="C4" s="4"/>
      <c r="E4" s="18"/>
      <c r="F4" s="17"/>
      <c r="G4" s="17"/>
      <c r="H4" s="17"/>
      <c r="J4" s="16"/>
      <c r="K4" s="16"/>
      <c r="L4" s="16"/>
      <c r="M4" s="16"/>
    </row>
    <row r="5" spans="1:13" ht="17.25" customHeight="1">
      <c r="A5" s="351" t="s">
        <v>7</v>
      </c>
      <c r="B5" s="351"/>
      <c r="C5" s="351"/>
      <c r="F5" s="357"/>
      <c r="G5" s="357"/>
      <c r="H5" s="357"/>
      <c r="I5" s="357"/>
      <c r="J5" s="357"/>
      <c r="K5" s="357"/>
      <c r="L5" s="357"/>
      <c r="M5" s="357"/>
    </row>
    <row r="6" spans="1:13" ht="17.25" customHeight="1">
      <c r="A6" s="351" t="s">
        <v>19</v>
      </c>
      <c r="B6" s="351"/>
      <c r="C6" s="351"/>
    </row>
    <row r="7" spans="1:13" ht="17.25" customHeight="1">
      <c r="A7" s="351" t="s">
        <v>14</v>
      </c>
      <c r="B7" s="351"/>
      <c r="C7" s="351"/>
    </row>
    <row r="8" spans="1:13" ht="22.5" customHeight="1"/>
    <row r="9" spans="1:13" ht="37.5" customHeight="1">
      <c r="A9" s="353" t="s">
        <v>6</v>
      </c>
      <c r="B9" s="360" t="s">
        <v>8</v>
      </c>
      <c r="C9" s="361"/>
    </row>
    <row r="10" spans="1:13" ht="37.5" customHeight="1">
      <c r="A10" s="354"/>
      <c r="B10" s="363" t="s">
        <v>9</v>
      </c>
      <c r="C10" s="364"/>
    </row>
    <row r="11" spans="1:13">
      <c r="A11" s="7">
        <v>1</v>
      </c>
      <c r="B11" s="358">
        <v>2</v>
      </c>
      <c r="C11" s="359"/>
    </row>
    <row r="12" spans="1:13" ht="49.5" customHeight="1">
      <c r="A12" s="21" t="s">
        <v>29</v>
      </c>
      <c r="B12" s="352" t="s">
        <v>10</v>
      </c>
      <c r="C12" s="352"/>
    </row>
    <row r="13" spans="1:13" ht="49.5" customHeight="1">
      <c r="A13" s="21" t="s">
        <v>30</v>
      </c>
      <c r="B13" s="352" t="s">
        <v>13</v>
      </c>
      <c r="C13" s="352"/>
    </row>
    <row r="14" spans="1:13" ht="49.5" customHeight="1">
      <c r="A14" s="21" t="s">
        <v>31</v>
      </c>
      <c r="B14" s="352" t="s">
        <v>11</v>
      </c>
      <c r="C14" s="352"/>
    </row>
    <row r="15" spans="1:13" ht="49.5" customHeight="1">
      <c r="A15" s="21" t="s">
        <v>32</v>
      </c>
      <c r="B15" s="352" t="s">
        <v>22</v>
      </c>
      <c r="C15" s="352"/>
    </row>
    <row r="16" spans="1:13" ht="49.5" customHeight="1">
      <c r="A16" s="21" t="s">
        <v>33</v>
      </c>
      <c r="B16" s="352" t="s">
        <v>21</v>
      </c>
      <c r="C16" s="352"/>
    </row>
    <row r="17" spans="1:11" ht="49.5" customHeight="1">
      <c r="A17" s="21" t="s">
        <v>34</v>
      </c>
      <c r="B17" s="362" t="s">
        <v>42</v>
      </c>
      <c r="C17" s="362"/>
    </row>
    <row r="18" spans="1:11" ht="55.5" customHeight="1">
      <c r="A18" s="21" t="s">
        <v>35</v>
      </c>
      <c r="B18" s="362" t="s">
        <v>41</v>
      </c>
      <c r="C18" s="362"/>
    </row>
    <row r="19" spans="1:11" ht="57" customHeight="1">
      <c r="A19" s="21" t="s">
        <v>36</v>
      </c>
      <c r="B19" s="352" t="s">
        <v>12</v>
      </c>
      <c r="C19" s="352"/>
    </row>
    <row r="20" spans="1:11" ht="41.25" customHeight="1">
      <c r="A20" s="21" t="s">
        <v>37</v>
      </c>
      <c r="B20" s="362" t="s">
        <v>23</v>
      </c>
      <c r="C20" s="362"/>
    </row>
    <row r="21" spans="1:11" ht="41.25" customHeight="1">
      <c r="A21" s="21" t="s">
        <v>38</v>
      </c>
      <c r="B21" s="362" t="s">
        <v>24</v>
      </c>
      <c r="C21" s="362"/>
    </row>
    <row r="22" spans="1:11" ht="41.25" customHeight="1">
      <c r="A22" s="21" t="s">
        <v>39</v>
      </c>
      <c r="B22" s="362" t="s">
        <v>25</v>
      </c>
      <c r="C22" s="362"/>
    </row>
    <row r="23" spans="1:11" ht="14.25" customHeight="1">
      <c r="A23" s="20"/>
      <c r="B23" s="12"/>
      <c r="C23" s="12"/>
    </row>
    <row r="24" spans="1:11" ht="14.25" customHeight="1">
      <c r="A24" s="20"/>
      <c r="B24" s="12"/>
      <c r="C24" s="12"/>
    </row>
    <row r="25" spans="1:11" ht="14.25" customHeight="1">
      <c r="A25" s="20"/>
      <c r="B25" s="12"/>
      <c r="C25" s="12"/>
    </row>
    <row r="26" spans="1:11" ht="14.25" customHeight="1"/>
    <row r="27" spans="1:11" ht="22.5" customHeight="1">
      <c r="A27" s="8" t="s">
        <v>26</v>
      </c>
      <c r="B27" s="11"/>
      <c r="C27" s="9" t="s">
        <v>27</v>
      </c>
      <c r="D27" s="11"/>
      <c r="E27" s="13"/>
      <c r="F27" s="11"/>
      <c r="G27" s="14"/>
      <c r="H27" s="14"/>
      <c r="I27" s="14"/>
      <c r="J27" s="15"/>
      <c r="K27" s="14"/>
    </row>
    <row r="28" spans="1:11" ht="20.25" customHeight="1">
      <c r="A28" s="19" t="s">
        <v>28</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tabSelected="1" view="pageBreakPreview" zoomScale="50" zoomScaleSheetLayoutView="50" workbookViewId="0">
      <selection activeCell="D2" sqref="D2"/>
    </sheetView>
  </sheetViews>
  <sheetFormatPr defaultRowHeight="18.75"/>
  <cols>
    <col min="1" max="1" width="9.140625" style="1"/>
    <col min="2" max="2" width="29.42578125" style="1" customWidth="1"/>
    <col min="3" max="3" width="38.85546875" style="1" customWidth="1"/>
    <col min="4" max="4" width="52.140625" style="1" customWidth="1"/>
    <col min="5" max="5" width="7.7109375" style="1" customWidth="1"/>
    <col min="6" max="6" width="1.7109375" style="1" customWidth="1"/>
    <col min="7" max="8" width="9.140625" style="1"/>
    <col min="9" max="9" width="1.7109375" style="1" customWidth="1"/>
    <col min="10" max="257" width="9.140625" style="1"/>
    <col min="258" max="258" width="32" style="1" customWidth="1"/>
    <col min="259" max="259" width="38.85546875" style="1" customWidth="1"/>
    <col min="260" max="260" width="52.140625" style="1" customWidth="1"/>
    <col min="261" max="513" width="9.140625" style="1"/>
    <col min="514" max="514" width="32" style="1" customWidth="1"/>
    <col min="515" max="515" width="38.85546875" style="1" customWidth="1"/>
    <col min="516" max="516" width="52.140625" style="1" customWidth="1"/>
    <col min="517" max="769" width="9.140625" style="1"/>
    <col min="770" max="770" width="32" style="1" customWidth="1"/>
    <col min="771" max="771" width="38.85546875" style="1" customWidth="1"/>
    <col min="772" max="772" width="52.140625" style="1" customWidth="1"/>
    <col min="773" max="1025" width="9.140625" style="1"/>
    <col min="1026" max="1026" width="32" style="1" customWidth="1"/>
    <col min="1027" max="1027" width="38.85546875" style="1" customWidth="1"/>
    <col min="1028" max="1028" width="52.140625" style="1" customWidth="1"/>
    <col min="1029" max="1281" width="9.140625" style="1"/>
    <col min="1282" max="1282" width="32" style="1" customWidth="1"/>
    <col min="1283" max="1283" width="38.85546875" style="1" customWidth="1"/>
    <col min="1284" max="1284" width="52.140625" style="1" customWidth="1"/>
    <col min="1285" max="1537" width="9.140625" style="1"/>
    <col min="1538" max="1538" width="32" style="1" customWidth="1"/>
    <col min="1539" max="1539" width="38.85546875" style="1" customWidth="1"/>
    <col min="1540" max="1540" width="52.140625" style="1" customWidth="1"/>
    <col min="1541" max="1793" width="9.140625" style="1"/>
    <col min="1794" max="1794" width="32" style="1" customWidth="1"/>
    <col min="1795" max="1795" width="38.85546875" style="1" customWidth="1"/>
    <col min="1796" max="1796" width="52.140625" style="1" customWidth="1"/>
    <col min="1797" max="2049" width="9.140625" style="1"/>
    <col min="2050" max="2050" width="32" style="1" customWidth="1"/>
    <col min="2051" max="2051" width="38.85546875" style="1" customWidth="1"/>
    <col min="2052" max="2052" width="52.140625" style="1" customWidth="1"/>
    <col min="2053" max="2305" width="9.140625" style="1"/>
    <col min="2306" max="2306" width="32" style="1" customWidth="1"/>
    <col min="2307" max="2307" width="38.85546875" style="1" customWidth="1"/>
    <col min="2308" max="2308" width="52.140625" style="1" customWidth="1"/>
    <col min="2309" max="2561" width="9.140625" style="1"/>
    <col min="2562" max="2562" width="32" style="1" customWidth="1"/>
    <col min="2563" max="2563" width="38.85546875" style="1" customWidth="1"/>
    <col min="2564" max="2564" width="52.140625" style="1" customWidth="1"/>
    <col min="2565" max="2817" width="9.140625" style="1"/>
    <col min="2818" max="2818" width="32" style="1" customWidth="1"/>
    <col min="2819" max="2819" width="38.85546875" style="1" customWidth="1"/>
    <col min="2820" max="2820" width="52.140625" style="1" customWidth="1"/>
    <col min="2821" max="3073" width="9.140625" style="1"/>
    <col min="3074" max="3074" width="32" style="1" customWidth="1"/>
    <col min="3075" max="3075" width="38.85546875" style="1" customWidth="1"/>
    <col min="3076" max="3076" width="52.140625" style="1" customWidth="1"/>
    <col min="3077" max="3329" width="9.140625" style="1"/>
    <col min="3330" max="3330" width="32" style="1" customWidth="1"/>
    <col min="3331" max="3331" width="38.85546875" style="1" customWidth="1"/>
    <col min="3332" max="3332" width="52.140625" style="1" customWidth="1"/>
    <col min="3333" max="3585" width="9.140625" style="1"/>
    <col min="3586" max="3586" width="32" style="1" customWidth="1"/>
    <col min="3587" max="3587" width="38.85546875" style="1" customWidth="1"/>
    <col min="3588" max="3588" width="52.140625" style="1" customWidth="1"/>
    <col min="3589" max="3841" width="9.140625" style="1"/>
    <col min="3842" max="3842" width="32" style="1" customWidth="1"/>
    <col min="3843" max="3843" width="38.85546875" style="1" customWidth="1"/>
    <col min="3844" max="3844" width="52.140625" style="1" customWidth="1"/>
    <col min="3845" max="4097" width="9.140625" style="1"/>
    <col min="4098" max="4098" width="32" style="1" customWidth="1"/>
    <col min="4099" max="4099" width="38.85546875" style="1" customWidth="1"/>
    <col min="4100" max="4100" width="52.140625" style="1" customWidth="1"/>
    <col min="4101" max="4353" width="9.140625" style="1"/>
    <col min="4354" max="4354" width="32" style="1" customWidth="1"/>
    <col min="4355" max="4355" width="38.85546875" style="1" customWidth="1"/>
    <col min="4356" max="4356" width="52.140625" style="1" customWidth="1"/>
    <col min="4357" max="4609" width="9.140625" style="1"/>
    <col min="4610" max="4610" width="32" style="1" customWidth="1"/>
    <col min="4611" max="4611" width="38.85546875" style="1" customWidth="1"/>
    <col min="4612" max="4612" width="52.140625" style="1" customWidth="1"/>
    <col min="4613" max="4865" width="9.140625" style="1"/>
    <col min="4866" max="4866" width="32" style="1" customWidth="1"/>
    <col min="4867" max="4867" width="38.85546875" style="1" customWidth="1"/>
    <col min="4868" max="4868" width="52.140625" style="1" customWidth="1"/>
    <col min="4869" max="5121" width="9.140625" style="1"/>
    <col min="5122" max="5122" width="32" style="1" customWidth="1"/>
    <col min="5123" max="5123" width="38.85546875" style="1" customWidth="1"/>
    <col min="5124" max="5124" width="52.140625" style="1" customWidth="1"/>
    <col min="5125" max="5377" width="9.140625" style="1"/>
    <col min="5378" max="5378" width="32" style="1" customWidth="1"/>
    <col min="5379" max="5379" width="38.85546875" style="1" customWidth="1"/>
    <col min="5380" max="5380" width="52.140625" style="1" customWidth="1"/>
    <col min="5381" max="5633" width="9.140625" style="1"/>
    <col min="5634" max="5634" width="32" style="1" customWidth="1"/>
    <col min="5635" max="5635" width="38.85546875" style="1" customWidth="1"/>
    <col min="5636" max="5636" width="52.140625" style="1" customWidth="1"/>
    <col min="5637" max="5889" width="9.140625" style="1"/>
    <col min="5890" max="5890" width="32" style="1" customWidth="1"/>
    <col min="5891" max="5891" width="38.85546875" style="1" customWidth="1"/>
    <col min="5892" max="5892" width="52.140625" style="1" customWidth="1"/>
    <col min="5893" max="6145" width="9.140625" style="1"/>
    <col min="6146" max="6146" width="32" style="1" customWidth="1"/>
    <col min="6147" max="6147" width="38.85546875" style="1" customWidth="1"/>
    <col min="6148" max="6148" width="52.140625" style="1" customWidth="1"/>
    <col min="6149" max="6401" width="9.140625" style="1"/>
    <col min="6402" max="6402" width="32" style="1" customWidth="1"/>
    <col min="6403" max="6403" width="38.85546875" style="1" customWidth="1"/>
    <col min="6404" max="6404" width="52.140625" style="1" customWidth="1"/>
    <col min="6405" max="6657" width="9.140625" style="1"/>
    <col min="6658" max="6658" width="32" style="1" customWidth="1"/>
    <col min="6659" max="6659" width="38.85546875" style="1" customWidth="1"/>
    <col min="6660" max="6660" width="52.140625" style="1" customWidth="1"/>
    <col min="6661" max="6913" width="9.140625" style="1"/>
    <col min="6914" max="6914" width="32" style="1" customWidth="1"/>
    <col min="6915" max="6915" width="38.85546875" style="1" customWidth="1"/>
    <col min="6916" max="6916" width="52.140625" style="1" customWidth="1"/>
    <col min="6917" max="7169" width="9.140625" style="1"/>
    <col min="7170" max="7170" width="32" style="1" customWidth="1"/>
    <col min="7171" max="7171" width="38.85546875" style="1" customWidth="1"/>
    <col min="7172" max="7172" width="52.140625" style="1" customWidth="1"/>
    <col min="7173" max="7425" width="9.140625" style="1"/>
    <col min="7426" max="7426" width="32" style="1" customWidth="1"/>
    <col min="7427" max="7427" width="38.85546875" style="1" customWidth="1"/>
    <col min="7428" max="7428" width="52.140625" style="1" customWidth="1"/>
    <col min="7429" max="7681" width="9.140625" style="1"/>
    <col min="7682" max="7682" width="32" style="1" customWidth="1"/>
    <col min="7683" max="7683" width="38.85546875" style="1" customWidth="1"/>
    <col min="7684" max="7684" width="52.140625" style="1" customWidth="1"/>
    <col min="7685" max="7937" width="9.140625" style="1"/>
    <col min="7938" max="7938" width="32" style="1" customWidth="1"/>
    <col min="7939" max="7939" width="38.85546875" style="1" customWidth="1"/>
    <col min="7940" max="7940" width="52.140625" style="1" customWidth="1"/>
    <col min="7941" max="8193" width="9.140625" style="1"/>
    <col min="8194" max="8194" width="32" style="1" customWidth="1"/>
    <col min="8195" max="8195" width="38.85546875" style="1" customWidth="1"/>
    <col min="8196" max="8196" width="52.140625" style="1" customWidth="1"/>
    <col min="8197" max="8449" width="9.140625" style="1"/>
    <col min="8450" max="8450" width="32" style="1" customWidth="1"/>
    <col min="8451" max="8451" width="38.85546875" style="1" customWidth="1"/>
    <col min="8452" max="8452" width="52.140625" style="1" customWidth="1"/>
    <col min="8453" max="8705" width="9.140625" style="1"/>
    <col min="8706" max="8706" width="32" style="1" customWidth="1"/>
    <col min="8707" max="8707" width="38.85546875" style="1" customWidth="1"/>
    <col min="8708" max="8708" width="52.140625" style="1" customWidth="1"/>
    <col min="8709" max="8961" width="9.140625" style="1"/>
    <col min="8962" max="8962" width="32" style="1" customWidth="1"/>
    <col min="8963" max="8963" width="38.85546875" style="1" customWidth="1"/>
    <col min="8964" max="8964" width="52.140625" style="1" customWidth="1"/>
    <col min="8965" max="9217" width="9.140625" style="1"/>
    <col min="9218" max="9218" width="32" style="1" customWidth="1"/>
    <col min="9219" max="9219" width="38.85546875" style="1" customWidth="1"/>
    <col min="9220" max="9220" width="52.140625" style="1" customWidth="1"/>
    <col min="9221" max="9473" width="9.140625" style="1"/>
    <col min="9474" max="9474" width="32" style="1" customWidth="1"/>
    <col min="9475" max="9475" width="38.85546875" style="1" customWidth="1"/>
    <col min="9476" max="9476" width="52.140625" style="1" customWidth="1"/>
    <col min="9477" max="9729" width="9.140625" style="1"/>
    <col min="9730" max="9730" width="32" style="1" customWidth="1"/>
    <col min="9731" max="9731" width="38.85546875" style="1" customWidth="1"/>
    <col min="9732" max="9732" width="52.140625" style="1" customWidth="1"/>
    <col min="9733" max="9985" width="9.140625" style="1"/>
    <col min="9986" max="9986" width="32" style="1" customWidth="1"/>
    <col min="9987" max="9987" width="38.85546875" style="1" customWidth="1"/>
    <col min="9988" max="9988" width="52.140625" style="1" customWidth="1"/>
    <col min="9989" max="10241" width="9.140625" style="1"/>
    <col min="10242" max="10242" width="32" style="1" customWidth="1"/>
    <col min="10243" max="10243" width="38.85546875" style="1" customWidth="1"/>
    <col min="10244" max="10244" width="52.140625" style="1" customWidth="1"/>
    <col min="10245" max="10497" width="9.140625" style="1"/>
    <col min="10498" max="10498" width="32" style="1" customWidth="1"/>
    <col min="10499" max="10499" width="38.85546875" style="1" customWidth="1"/>
    <col min="10500" max="10500" width="52.140625" style="1" customWidth="1"/>
    <col min="10501" max="10753" width="9.140625" style="1"/>
    <col min="10754" max="10754" width="32" style="1" customWidth="1"/>
    <col min="10755" max="10755" width="38.85546875" style="1" customWidth="1"/>
    <col min="10756" max="10756" width="52.140625" style="1" customWidth="1"/>
    <col min="10757" max="11009" width="9.140625" style="1"/>
    <col min="11010" max="11010" width="32" style="1" customWidth="1"/>
    <col min="11011" max="11011" width="38.85546875" style="1" customWidth="1"/>
    <col min="11012" max="11012" width="52.140625" style="1" customWidth="1"/>
    <col min="11013" max="11265" width="9.140625" style="1"/>
    <col min="11266" max="11266" width="32" style="1" customWidth="1"/>
    <col min="11267" max="11267" width="38.85546875" style="1" customWidth="1"/>
    <col min="11268" max="11268" width="52.140625" style="1" customWidth="1"/>
    <col min="11269" max="11521" width="9.140625" style="1"/>
    <col min="11522" max="11522" width="32" style="1" customWidth="1"/>
    <col min="11523" max="11523" width="38.85546875" style="1" customWidth="1"/>
    <col min="11524" max="11524" width="52.140625" style="1" customWidth="1"/>
    <col min="11525" max="11777" width="9.140625" style="1"/>
    <col min="11778" max="11778" width="32" style="1" customWidth="1"/>
    <col min="11779" max="11779" width="38.85546875" style="1" customWidth="1"/>
    <col min="11780" max="11780" width="52.140625" style="1" customWidth="1"/>
    <col min="11781" max="12033" width="9.140625" style="1"/>
    <col min="12034" max="12034" width="32" style="1" customWidth="1"/>
    <col min="12035" max="12035" width="38.85546875" style="1" customWidth="1"/>
    <col min="12036" max="12036" width="52.140625" style="1" customWidth="1"/>
    <col min="12037" max="12289" width="9.140625" style="1"/>
    <col min="12290" max="12290" width="32" style="1" customWidth="1"/>
    <col min="12291" max="12291" width="38.85546875" style="1" customWidth="1"/>
    <col min="12292" max="12292" width="52.140625" style="1" customWidth="1"/>
    <col min="12293" max="12545" width="9.140625" style="1"/>
    <col min="12546" max="12546" width="32" style="1" customWidth="1"/>
    <col min="12547" max="12547" width="38.85546875" style="1" customWidth="1"/>
    <col min="12548" max="12548" width="52.140625" style="1" customWidth="1"/>
    <col min="12549" max="12801" width="9.140625" style="1"/>
    <col min="12802" max="12802" width="32" style="1" customWidth="1"/>
    <col min="12803" max="12803" width="38.85546875" style="1" customWidth="1"/>
    <col min="12804" max="12804" width="52.140625" style="1" customWidth="1"/>
    <col min="12805" max="13057" width="9.140625" style="1"/>
    <col min="13058" max="13058" width="32" style="1" customWidth="1"/>
    <col min="13059" max="13059" width="38.85546875" style="1" customWidth="1"/>
    <col min="13060" max="13060" width="52.140625" style="1" customWidth="1"/>
    <col min="13061" max="13313" width="9.140625" style="1"/>
    <col min="13314" max="13314" width="32" style="1" customWidth="1"/>
    <col min="13315" max="13315" width="38.85546875" style="1" customWidth="1"/>
    <col min="13316" max="13316" width="52.140625" style="1" customWidth="1"/>
    <col min="13317" max="13569" width="9.140625" style="1"/>
    <col min="13570" max="13570" width="32" style="1" customWidth="1"/>
    <col min="13571" max="13571" width="38.85546875" style="1" customWidth="1"/>
    <col min="13572" max="13572" width="52.140625" style="1" customWidth="1"/>
    <col min="13573" max="13825" width="9.140625" style="1"/>
    <col min="13826" max="13826" width="32" style="1" customWidth="1"/>
    <col min="13827" max="13827" width="38.85546875" style="1" customWidth="1"/>
    <col min="13828" max="13828" width="52.140625" style="1" customWidth="1"/>
    <col min="13829" max="14081" width="9.140625" style="1"/>
    <col min="14082" max="14082" width="32" style="1" customWidth="1"/>
    <col min="14083" max="14083" width="38.85546875" style="1" customWidth="1"/>
    <col min="14084" max="14084" width="52.140625" style="1" customWidth="1"/>
    <col min="14085" max="14337" width="9.140625" style="1"/>
    <col min="14338" max="14338" width="32" style="1" customWidth="1"/>
    <col min="14339" max="14339" width="38.85546875" style="1" customWidth="1"/>
    <col min="14340" max="14340" width="52.140625" style="1" customWidth="1"/>
    <col min="14341" max="14593" width="9.140625" style="1"/>
    <col min="14594" max="14594" width="32" style="1" customWidth="1"/>
    <col min="14595" max="14595" width="38.85546875" style="1" customWidth="1"/>
    <col min="14596" max="14596" width="52.140625" style="1" customWidth="1"/>
    <col min="14597" max="14849" width="9.140625" style="1"/>
    <col min="14850" max="14850" width="32" style="1" customWidth="1"/>
    <col min="14851" max="14851" width="38.85546875" style="1" customWidth="1"/>
    <col min="14852" max="14852" width="52.140625" style="1" customWidth="1"/>
    <col min="14853" max="15105" width="9.140625" style="1"/>
    <col min="15106" max="15106" width="32" style="1" customWidth="1"/>
    <col min="15107" max="15107" width="38.85546875" style="1" customWidth="1"/>
    <col min="15108" max="15108" width="52.140625" style="1" customWidth="1"/>
    <col min="15109" max="15361" width="9.140625" style="1"/>
    <col min="15362" max="15362" width="32" style="1" customWidth="1"/>
    <col min="15363" max="15363" width="38.85546875" style="1" customWidth="1"/>
    <col min="15364" max="15364" width="52.140625" style="1" customWidth="1"/>
    <col min="15365" max="15617" width="9.140625" style="1"/>
    <col min="15618" max="15618" width="32" style="1" customWidth="1"/>
    <col min="15619" max="15619" width="38.85546875" style="1" customWidth="1"/>
    <col min="15620" max="15620" width="52.140625" style="1" customWidth="1"/>
    <col min="15621" max="15873" width="9.140625" style="1"/>
    <col min="15874" max="15874" width="32" style="1" customWidth="1"/>
    <col min="15875" max="15875" width="38.85546875" style="1" customWidth="1"/>
    <col min="15876" max="15876" width="52.140625" style="1" customWidth="1"/>
    <col min="15877" max="16129" width="9.140625" style="1"/>
    <col min="16130" max="16130" width="32" style="1" customWidth="1"/>
    <col min="16131" max="16131" width="38.85546875" style="1" customWidth="1"/>
    <col min="16132" max="16132" width="52.140625" style="1" customWidth="1"/>
    <col min="16133" max="16384" width="9.140625" style="1"/>
  </cols>
  <sheetData>
    <row r="1" spans="2:9" ht="268.5" customHeight="1">
      <c r="D1" s="365" t="s">
        <v>459</v>
      </c>
      <c r="E1" s="365"/>
      <c r="F1" s="365"/>
      <c r="G1" s="365"/>
      <c r="H1" s="365"/>
      <c r="I1" s="365"/>
    </row>
    <row r="2" spans="2:9" ht="15.75" customHeight="1">
      <c r="D2" s="4"/>
    </row>
    <row r="3" spans="2:9" ht="25.5">
      <c r="B3" s="366" t="s">
        <v>7</v>
      </c>
      <c r="C3" s="366"/>
      <c r="D3" s="366"/>
    </row>
    <row r="4" spans="2:9" ht="49.5" customHeight="1">
      <c r="B4" s="367" t="s">
        <v>434</v>
      </c>
      <c r="C4" s="367"/>
      <c r="D4" s="367"/>
    </row>
    <row r="5" spans="2:9" ht="17.25" customHeight="1"/>
    <row r="6" spans="2:9" ht="66" customHeight="1">
      <c r="B6" s="368" t="s">
        <v>6</v>
      </c>
      <c r="C6" s="369" t="s">
        <v>8</v>
      </c>
      <c r="D6" s="370"/>
    </row>
    <row r="7" spans="2:9" ht="87" customHeight="1">
      <c r="B7" s="368"/>
      <c r="C7" s="371" t="s">
        <v>9</v>
      </c>
      <c r="D7" s="372"/>
    </row>
    <row r="8" spans="2:9">
      <c r="B8" s="7">
        <v>1</v>
      </c>
      <c r="C8" s="373">
        <v>2</v>
      </c>
      <c r="D8" s="373"/>
    </row>
    <row r="9" spans="2:9" ht="45" customHeight="1">
      <c r="B9" s="22" t="s">
        <v>29</v>
      </c>
      <c r="C9" s="352" t="s">
        <v>10</v>
      </c>
      <c r="D9" s="352"/>
    </row>
    <row r="10" spans="2:9" ht="45" customHeight="1">
      <c r="B10" s="22" t="s">
        <v>422</v>
      </c>
      <c r="C10" s="352" t="s">
        <v>423</v>
      </c>
      <c r="D10" s="352"/>
    </row>
    <row r="11" spans="2:9" ht="43.5" customHeight="1">
      <c r="B11" s="22" t="s">
        <v>30</v>
      </c>
      <c r="C11" s="352" t="s">
        <v>13</v>
      </c>
      <c r="D11" s="352"/>
    </row>
    <row r="12" spans="2:9" ht="42.75" customHeight="1">
      <c r="B12" s="23" t="s">
        <v>31</v>
      </c>
      <c r="C12" s="352" t="s">
        <v>11</v>
      </c>
      <c r="D12" s="352"/>
    </row>
    <row r="13" spans="2:9" ht="41.25" customHeight="1">
      <c r="B13" s="23" t="s">
        <v>211</v>
      </c>
      <c r="C13" s="352" t="s">
        <v>212</v>
      </c>
      <c r="D13" s="352"/>
    </row>
    <row r="14" spans="2:9" ht="39.75" customHeight="1">
      <c r="B14" s="23" t="s">
        <v>32</v>
      </c>
      <c r="C14" s="352" t="s">
        <v>22</v>
      </c>
      <c r="D14" s="352"/>
    </row>
    <row r="15" spans="2:9" ht="42.75" customHeight="1">
      <c r="B15" s="23" t="s">
        <v>33</v>
      </c>
      <c r="C15" s="352" t="s">
        <v>213</v>
      </c>
      <c r="D15" s="352"/>
    </row>
    <row r="16" spans="2:9" ht="42" customHeight="1">
      <c r="B16" s="23" t="s">
        <v>214</v>
      </c>
      <c r="C16" s="362" t="s">
        <v>215</v>
      </c>
      <c r="D16" s="362"/>
    </row>
    <row r="17" spans="2:9" ht="42.75" customHeight="1">
      <c r="B17" s="23" t="s">
        <v>34</v>
      </c>
      <c r="C17" s="362" t="s">
        <v>296</v>
      </c>
      <c r="D17" s="362"/>
    </row>
    <row r="18" spans="2:9" ht="64.5" customHeight="1">
      <c r="B18" s="23" t="s">
        <v>36</v>
      </c>
      <c r="C18" s="352" t="s">
        <v>216</v>
      </c>
      <c r="D18" s="352"/>
    </row>
    <row r="19" spans="2:9" ht="42.75" customHeight="1">
      <c r="B19" s="91" t="s">
        <v>183</v>
      </c>
      <c r="C19" s="352" t="s">
        <v>218</v>
      </c>
      <c r="D19" s="352"/>
    </row>
    <row r="20" spans="2:9" ht="64.5" customHeight="1">
      <c r="B20" s="91" t="s">
        <v>68</v>
      </c>
      <c r="C20" s="352" t="s">
        <v>217</v>
      </c>
      <c r="D20" s="352"/>
    </row>
    <row r="21" spans="2:9" ht="63.75" customHeight="1">
      <c r="B21" s="91" t="s">
        <v>37</v>
      </c>
      <c r="C21" s="352" t="s">
        <v>219</v>
      </c>
      <c r="D21" s="352"/>
    </row>
    <row r="22" spans="2:9" ht="44.25" customHeight="1">
      <c r="B22" s="91" t="s">
        <v>419</v>
      </c>
      <c r="C22" s="352" t="s">
        <v>420</v>
      </c>
      <c r="D22" s="352"/>
    </row>
    <row r="23" spans="2:9" ht="9.75" customHeight="1"/>
    <row r="24" spans="2:9" ht="24" customHeight="1">
      <c r="B24" s="87" t="s">
        <v>454</v>
      </c>
      <c r="C24" s="88"/>
      <c r="D24" s="89" t="s">
        <v>455</v>
      </c>
      <c r="E24" s="3"/>
      <c r="G24" s="4"/>
      <c r="I24" s="6"/>
    </row>
    <row r="25" spans="2:9" ht="21" customHeight="1">
      <c r="C25"/>
      <c r="D25" s="24"/>
      <c r="E25" s="3"/>
      <c r="G25" s="4"/>
      <c r="I25" s="6"/>
    </row>
    <row r="26" spans="2:9" ht="20.25" customHeight="1">
      <c r="B26" s="90" t="s">
        <v>28</v>
      </c>
      <c r="C26" s="84"/>
      <c r="D26" s="5"/>
      <c r="E26" s="3"/>
      <c r="G26" s="4"/>
      <c r="I26" s="6"/>
    </row>
    <row r="27" spans="2:9" ht="20.25" customHeight="1">
      <c r="B27" s="90"/>
      <c r="C27" s="84"/>
      <c r="D27" s="5"/>
      <c r="E27" s="3"/>
      <c r="G27" s="4"/>
      <c r="I27" s="6"/>
    </row>
    <row r="28" spans="2:9" ht="20.25">
      <c r="B28" s="83" t="s">
        <v>456</v>
      </c>
      <c r="C28" s="83"/>
    </row>
  </sheetData>
  <mergeCells count="21">
    <mergeCell ref="C22:D22"/>
    <mergeCell ref="C20:D20"/>
    <mergeCell ref="C21:D21"/>
    <mergeCell ref="C15:D15"/>
    <mergeCell ref="C14:D14"/>
    <mergeCell ref="D1:I1"/>
    <mergeCell ref="C16:D16"/>
    <mergeCell ref="C17:D17"/>
    <mergeCell ref="C18:D18"/>
    <mergeCell ref="C19:D19"/>
    <mergeCell ref="B3:D3"/>
    <mergeCell ref="B4:D4"/>
    <mergeCell ref="B6:B7"/>
    <mergeCell ref="C6:D6"/>
    <mergeCell ref="C7:D7"/>
    <mergeCell ref="C8:D8"/>
    <mergeCell ref="C9:D9"/>
    <mergeCell ref="C11:D11"/>
    <mergeCell ref="C12:D12"/>
    <mergeCell ref="C13:D13"/>
    <mergeCell ref="C10:D10"/>
  </mergeCells>
  <pageMargins left="1.1811023622047245" right="0.42913385826771655" top="0.78740157480314965" bottom="0.78740157480314965"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R444"/>
  <sheetViews>
    <sheetView view="pageBreakPreview" zoomScale="36" zoomScaleSheetLayoutView="36" workbookViewId="0">
      <selection sqref="A1:XFD1048576"/>
    </sheetView>
  </sheetViews>
  <sheetFormatPr defaultColWidth="9.140625" defaultRowHeight="75" customHeight="1"/>
  <cols>
    <col min="1" max="1" width="8.42578125" style="128" customWidth="1"/>
    <col min="2" max="2" width="38.85546875" style="8" customWidth="1"/>
    <col min="3" max="3" width="51.28515625" style="33" customWidth="1"/>
    <col min="4" max="4" width="18.28515625" style="129" customWidth="1"/>
    <col min="5" max="5" width="69.42578125" style="130" customWidth="1"/>
    <col min="6" max="6" width="22.7109375" style="131" customWidth="1"/>
    <col min="7" max="7" width="43" style="133" customWidth="1"/>
    <col min="8" max="8" width="32.28515625" style="113" customWidth="1"/>
    <col min="9" max="9" width="25.140625" style="113" customWidth="1"/>
    <col min="10" max="10" width="28" style="113" customWidth="1"/>
    <col min="11" max="11" width="28.140625" style="113" customWidth="1"/>
    <col min="12" max="12" width="75.85546875" style="137" customWidth="1"/>
    <col min="13" max="13" width="20.85546875" style="8" customWidth="1"/>
    <col min="14" max="14" width="21.140625" style="8" customWidth="1"/>
    <col min="15" max="15" width="9.140625" style="8" customWidth="1"/>
    <col min="16" max="16" width="9.140625" style="8"/>
    <col min="17" max="17" width="11.140625" style="8" bestFit="1" customWidth="1"/>
    <col min="18" max="16384" width="9.140625" style="8"/>
  </cols>
  <sheetData>
    <row r="1" spans="1:13" ht="33" customHeight="1">
      <c r="G1" s="132"/>
      <c r="H1" s="112"/>
      <c r="I1" s="112"/>
      <c r="J1" s="112"/>
      <c r="K1" s="112"/>
      <c r="L1" s="31"/>
    </row>
    <row r="2" spans="1:13" ht="218.25" customHeight="1">
      <c r="L2" s="134" t="s">
        <v>457</v>
      </c>
    </row>
    <row r="3" spans="1:13" ht="68.25" customHeight="1">
      <c r="A3" s="135"/>
      <c r="L3" s="136" t="s">
        <v>458</v>
      </c>
    </row>
    <row r="4" spans="1:13" ht="75" customHeight="1">
      <c r="A4" s="135"/>
    </row>
    <row r="5" spans="1:13" ht="75" customHeight="1">
      <c r="A5" s="503" t="s">
        <v>435</v>
      </c>
      <c r="B5" s="503"/>
      <c r="C5" s="503"/>
      <c r="D5" s="503"/>
      <c r="E5" s="503"/>
      <c r="F5" s="503"/>
      <c r="G5" s="503"/>
      <c r="H5" s="503"/>
      <c r="I5" s="503"/>
      <c r="J5" s="503"/>
      <c r="K5" s="503"/>
      <c r="L5" s="503"/>
    </row>
    <row r="6" spans="1:13" ht="75" customHeight="1">
      <c r="H6" s="138" t="s">
        <v>20</v>
      </c>
      <c r="I6" s="139" t="e">
        <f>#REF!+#REF!+#REF!+#REF!</f>
        <v>#REF!</v>
      </c>
    </row>
    <row r="7" spans="1:13" ht="75" customHeight="1">
      <c r="A7" s="504" t="s">
        <v>1</v>
      </c>
      <c r="B7" s="505" t="s">
        <v>2</v>
      </c>
      <c r="C7" s="505" t="s">
        <v>3</v>
      </c>
      <c r="D7" s="504" t="s">
        <v>50</v>
      </c>
      <c r="E7" s="506" t="s">
        <v>48</v>
      </c>
      <c r="F7" s="509" t="s">
        <v>45</v>
      </c>
      <c r="G7" s="505" t="s">
        <v>4</v>
      </c>
      <c r="H7" s="510" t="s">
        <v>15</v>
      </c>
      <c r="I7" s="511"/>
      <c r="J7" s="511"/>
      <c r="K7" s="512"/>
      <c r="L7" s="505" t="s">
        <v>5</v>
      </c>
    </row>
    <row r="8" spans="1:13" ht="75" customHeight="1">
      <c r="A8" s="504"/>
      <c r="B8" s="505"/>
      <c r="C8" s="505"/>
      <c r="D8" s="504"/>
      <c r="E8" s="507"/>
      <c r="F8" s="509"/>
      <c r="G8" s="505"/>
      <c r="H8" s="505" t="s">
        <v>85</v>
      </c>
      <c r="I8" s="513" t="s">
        <v>16</v>
      </c>
      <c r="J8" s="513"/>
      <c r="K8" s="513"/>
      <c r="L8" s="505"/>
    </row>
    <row r="9" spans="1:13" s="140" customFormat="1" ht="75" customHeight="1">
      <c r="A9" s="504"/>
      <c r="B9" s="505"/>
      <c r="C9" s="505"/>
      <c r="D9" s="504"/>
      <c r="E9" s="508"/>
      <c r="F9" s="509"/>
      <c r="G9" s="505"/>
      <c r="H9" s="505"/>
      <c r="I9" s="329" t="s">
        <v>44</v>
      </c>
      <c r="J9" s="329" t="s">
        <v>433</v>
      </c>
      <c r="K9" s="329" t="s">
        <v>49</v>
      </c>
      <c r="L9" s="505"/>
    </row>
    <row r="10" spans="1:13" s="140" customFormat="1" ht="75" customHeight="1">
      <c r="A10" s="26">
        <v>1</v>
      </c>
      <c r="B10" s="26">
        <v>2</v>
      </c>
      <c r="C10" s="328">
        <v>3</v>
      </c>
      <c r="D10" s="330">
        <v>4</v>
      </c>
      <c r="E10" s="328">
        <v>5</v>
      </c>
      <c r="F10" s="330">
        <v>6</v>
      </c>
      <c r="G10" s="330">
        <v>7</v>
      </c>
      <c r="H10" s="114">
        <v>8</v>
      </c>
      <c r="I10" s="114">
        <v>9</v>
      </c>
      <c r="J10" s="114">
        <v>10</v>
      </c>
      <c r="K10" s="114">
        <v>11</v>
      </c>
      <c r="L10" s="114">
        <v>12</v>
      </c>
      <c r="M10" s="111"/>
    </row>
    <row r="11" spans="1:13" s="140" customFormat="1" ht="75" customHeight="1">
      <c r="A11" s="422" t="s">
        <v>278</v>
      </c>
      <c r="B11" s="423"/>
      <c r="C11" s="423"/>
      <c r="D11" s="423"/>
      <c r="E11" s="423"/>
      <c r="F11" s="423"/>
      <c r="G11" s="423"/>
      <c r="H11" s="423"/>
      <c r="I11" s="423"/>
      <c r="J11" s="423"/>
      <c r="K11" s="423"/>
      <c r="L11" s="424"/>
      <c r="M11" s="111"/>
    </row>
    <row r="12" spans="1:13" s="11" customFormat="1" ht="75" customHeight="1">
      <c r="A12" s="523" t="s">
        <v>227</v>
      </c>
      <c r="B12" s="520" t="s">
        <v>220</v>
      </c>
      <c r="C12" s="485" t="s">
        <v>228</v>
      </c>
      <c r="D12" s="470" t="s">
        <v>345</v>
      </c>
      <c r="E12" s="471"/>
      <c r="F12" s="471"/>
      <c r="G12" s="472"/>
      <c r="H12" s="99">
        <f>H13+H14</f>
        <v>240</v>
      </c>
      <c r="I12" s="99">
        <f>I13+I14</f>
        <v>240</v>
      </c>
      <c r="J12" s="99">
        <f>J13+J14</f>
        <v>0</v>
      </c>
      <c r="K12" s="99">
        <f>K13+K14</f>
        <v>0</v>
      </c>
      <c r="L12" s="374" t="s">
        <v>272</v>
      </c>
    </row>
    <row r="13" spans="1:13" ht="75" customHeight="1">
      <c r="A13" s="524"/>
      <c r="B13" s="521"/>
      <c r="C13" s="485"/>
      <c r="D13" s="25" t="s">
        <v>36</v>
      </c>
      <c r="E13" s="309" t="s">
        <v>80</v>
      </c>
      <c r="F13" s="418" t="s">
        <v>222</v>
      </c>
      <c r="G13" s="418" t="s">
        <v>446</v>
      </c>
      <c r="H13" s="99">
        <f>I13+J13+K13</f>
        <v>60</v>
      </c>
      <c r="I13" s="100">
        <f>60</f>
        <v>60</v>
      </c>
      <c r="J13" s="100">
        <v>0</v>
      </c>
      <c r="K13" s="100">
        <v>0</v>
      </c>
      <c r="L13" s="393"/>
    </row>
    <row r="14" spans="1:13" ht="75" customHeight="1">
      <c r="A14" s="524"/>
      <c r="B14" s="521"/>
      <c r="C14" s="485"/>
      <c r="D14" s="25" t="s">
        <v>36</v>
      </c>
      <c r="E14" s="309" t="s">
        <v>81</v>
      </c>
      <c r="F14" s="418"/>
      <c r="G14" s="418"/>
      <c r="H14" s="99">
        <f>I14+J14+K14</f>
        <v>180</v>
      </c>
      <c r="I14" s="100">
        <f>150+30</f>
        <v>180</v>
      </c>
      <c r="J14" s="100">
        <v>0</v>
      </c>
      <c r="K14" s="100">
        <v>0</v>
      </c>
      <c r="L14" s="393"/>
    </row>
    <row r="15" spans="1:13" ht="75" customHeight="1">
      <c r="A15" s="524"/>
      <c r="B15" s="521"/>
      <c r="C15" s="485" t="s">
        <v>229</v>
      </c>
      <c r="D15" s="470" t="s">
        <v>353</v>
      </c>
      <c r="E15" s="471"/>
      <c r="F15" s="471"/>
      <c r="G15" s="472"/>
      <c r="H15" s="99">
        <f>H16+H17</f>
        <v>7016.41</v>
      </c>
      <c r="I15" s="99">
        <f>I16+I17</f>
        <v>1577.81</v>
      </c>
      <c r="J15" s="99">
        <f>J16+J17</f>
        <v>2614.6999999999998</v>
      </c>
      <c r="K15" s="99">
        <f>K16+K17</f>
        <v>2823.8999999999996</v>
      </c>
      <c r="L15" s="393"/>
    </row>
    <row r="16" spans="1:13" ht="75" customHeight="1">
      <c r="A16" s="524"/>
      <c r="B16" s="521"/>
      <c r="C16" s="485"/>
      <c r="D16" s="25" t="s">
        <v>36</v>
      </c>
      <c r="E16" s="309" t="s">
        <v>80</v>
      </c>
      <c r="F16" s="418" t="s">
        <v>222</v>
      </c>
      <c r="G16" s="418" t="s">
        <v>446</v>
      </c>
      <c r="H16" s="99">
        <f>I16+J16+K16</f>
        <v>3883.6000000000004</v>
      </c>
      <c r="I16" s="100">
        <v>919</v>
      </c>
      <c r="J16" s="100">
        <v>1425.3</v>
      </c>
      <c r="K16" s="100">
        <v>1539.3</v>
      </c>
      <c r="L16" s="393"/>
    </row>
    <row r="17" spans="1:13" ht="75" customHeight="1">
      <c r="A17" s="524"/>
      <c r="B17" s="521"/>
      <c r="C17" s="485"/>
      <c r="D17" s="25" t="s">
        <v>36</v>
      </c>
      <c r="E17" s="309" t="s">
        <v>81</v>
      </c>
      <c r="F17" s="418"/>
      <c r="G17" s="418"/>
      <c r="H17" s="99">
        <f>I17+J17+K17</f>
        <v>3132.81</v>
      </c>
      <c r="I17" s="100">
        <f>753.5-43.38-51.31</f>
        <v>658.81</v>
      </c>
      <c r="J17" s="100">
        <v>1189.4000000000001</v>
      </c>
      <c r="K17" s="100">
        <v>1284.5999999999999</v>
      </c>
      <c r="L17" s="375"/>
    </row>
    <row r="18" spans="1:13" ht="75" customHeight="1">
      <c r="A18" s="524"/>
      <c r="B18" s="521"/>
      <c r="C18" s="485" t="s">
        <v>230</v>
      </c>
      <c r="D18" s="470" t="s">
        <v>354</v>
      </c>
      <c r="E18" s="471"/>
      <c r="F18" s="471"/>
      <c r="G18" s="472"/>
      <c r="H18" s="104">
        <f>H19+H20</f>
        <v>3495.1</v>
      </c>
      <c r="I18" s="104">
        <f>I19+I20</f>
        <v>1081.8</v>
      </c>
      <c r="J18" s="104">
        <f>J19+J20</f>
        <v>1169.3</v>
      </c>
      <c r="K18" s="104">
        <f>K19+K20</f>
        <v>1244</v>
      </c>
      <c r="L18" s="450" t="s">
        <v>47</v>
      </c>
    </row>
    <row r="19" spans="1:13" ht="75" customHeight="1">
      <c r="A19" s="524"/>
      <c r="B19" s="521"/>
      <c r="C19" s="485"/>
      <c r="D19" s="25" t="s">
        <v>33</v>
      </c>
      <c r="E19" s="309" t="s">
        <v>80</v>
      </c>
      <c r="F19" s="418" t="s">
        <v>222</v>
      </c>
      <c r="G19" s="418" t="s">
        <v>446</v>
      </c>
      <c r="H19" s="99">
        <f>I19+J19+K19</f>
        <v>1721.1</v>
      </c>
      <c r="I19" s="100">
        <v>532</v>
      </c>
      <c r="J19" s="100">
        <v>575.29999999999995</v>
      </c>
      <c r="K19" s="100">
        <v>613.79999999999995</v>
      </c>
      <c r="L19" s="450"/>
    </row>
    <row r="20" spans="1:13" ht="75" customHeight="1">
      <c r="A20" s="524"/>
      <c r="B20" s="521"/>
      <c r="C20" s="485"/>
      <c r="D20" s="25" t="s">
        <v>33</v>
      </c>
      <c r="E20" s="141" t="s">
        <v>81</v>
      </c>
      <c r="F20" s="418"/>
      <c r="G20" s="418"/>
      <c r="H20" s="99">
        <f>I20+J20+K20</f>
        <v>1774</v>
      </c>
      <c r="I20" s="100">
        <v>549.79999999999995</v>
      </c>
      <c r="J20" s="100">
        <v>594</v>
      </c>
      <c r="K20" s="100">
        <v>630.20000000000005</v>
      </c>
      <c r="L20" s="450"/>
    </row>
    <row r="21" spans="1:13" ht="75" customHeight="1">
      <c r="A21" s="524"/>
      <c r="B21" s="521"/>
      <c r="C21" s="475" t="s">
        <v>445</v>
      </c>
      <c r="D21" s="470" t="s">
        <v>444</v>
      </c>
      <c r="E21" s="471"/>
      <c r="F21" s="471"/>
      <c r="G21" s="472"/>
      <c r="H21" s="99">
        <f>I21+J21+K21</f>
        <v>1522</v>
      </c>
      <c r="I21" s="99">
        <f>I22+I23</f>
        <v>0</v>
      </c>
      <c r="J21" s="99">
        <f>J22+J23</f>
        <v>813.80000000000007</v>
      </c>
      <c r="K21" s="99">
        <f>K22+K23</f>
        <v>708.2</v>
      </c>
      <c r="L21" s="303"/>
    </row>
    <row r="22" spans="1:13" ht="75" customHeight="1">
      <c r="A22" s="524"/>
      <c r="B22" s="521"/>
      <c r="C22" s="475"/>
      <c r="D22" s="25" t="s">
        <v>33</v>
      </c>
      <c r="E22" s="309" t="s">
        <v>80</v>
      </c>
      <c r="F22" s="418" t="s">
        <v>222</v>
      </c>
      <c r="G22" s="418" t="s">
        <v>446</v>
      </c>
      <c r="H22" s="99">
        <f>I22+J22+K22</f>
        <v>251.29999999999998</v>
      </c>
      <c r="I22" s="100"/>
      <c r="J22" s="100">
        <v>121.6</v>
      </c>
      <c r="K22" s="100">
        <v>129.69999999999999</v>
      </c>
      <c r="L22" s="303"/>
    </row>
    <row r="23" spans="1:13" ht="112.5" customHeight="1">
      <c r="A23" s="525"/>
      <c r="B23" s="522"/>
      <c r="C23" s="475"/>
      <c r="D23" s="25" t="s">
        <v>33</v>
      </c>
      <c r="E23" s="141" t="s">
        <v>81</v>
      </c>
      <c r="F23" s="418"/>
      <c r="G23" s="418"/>
      <c r="H23" s="99">
        <f>I23+J23+K23</f>
        <v>1270.7</v>
      </c>
      <c r="I23" s="100"/>
      <c r="J23" s="100">
        <v>692.2</v>
      </c>
      <c r="K23" s="100">
        <v>578.5</v>
      </c>
      <c r="L23" s="309"/>
    </row>
    <row r="24" spans="1:13" s="140" customFormat="1" ht="75" customHeight="1">
      <c r="A24" s="486"/>
      <c r="B24" s="487"/>
      <c r="C24" s="487"/>
      <c r="D24" s="487"/>
      <c r="E24" s="490" t="s">
        <v>279</v>
      </c>
      <c r="F24" s="491"/>
      <c r="G24" s="492"/>
      <c r="H24" s="104">
        <f>H12+H15+H18+H21</f>
        <v>12273.51</v>
      </c>
      <c r="I24" s="104">
        <f>I12+I15+I18+I21</f>
        <v>2899.6099999999997</v>
      </c>
      <c r="J24" s="104">
        <f>J12+J15+J18+J21</f>
        <v>4597.8</v>
      </c>
      <c r="K24" s="104">
        <f>K12+K15+K18+K21</f>
        <v>4776.0999999999995</v>
      </c>
      <c r="L24" s="476"/>
      <c r="M24" s="111"/>
    </row>
    <row r="25" spans="1:13" s="140" customFormat="1" ht="75" customHeight="1">
      <c r="A25" s="488"/>
      <c r="B25" s="489"/>
      <c r="C25" s="489"/>
      <c r="D25" s="489"/>
      <c r="E25" s="309" t="s">
        <v>80</v>
      </c>
      <c r="F25" s="404"/>
      <c r="G25" s="407" t="s">
        <v>446</v>
      </c>
      <c r="H25" s="104">
        <f>H13+H16+H19+H22</f>
        <v>5916.0000000000009</v>
      </c>
      <c r="I25" s="104">
        <f>I13+I16+I19</f>
        <v>1511</v>
      </c>
      <c r="J25" s="104">
        <f>J13+J16+J19+J22</f>
        <v>2122.1999999999998</v>
      </c>
      <c r="K25" s="104">
        <f>K13+K16+K19+K22</f>
        <v>2282.7999999999997</v>
      </c>
      <c r="L25" s="477"/>
      <c r="M25" s="111"/>
    </row>
    <row r="26" spans="1:13" s="140" customFormat="1" ht="75" customHeight="1">
      <c r="A26" s="488"/>
      <c r="B26" s="489"/>
      <c r="C26" s="489"/>
      <c r="D26" s="489"/>
      <c r="E26" s="142" t="s">
        <v>81</v>
      </c>
      <c r="F26" s="405"/>
      <c r="G26" s="408"/>
      <c r="H26" s="104">
        <f>H14+H17+H20+H23</f>
        <v>6357.5099999999993</v>
      </c>
      <c r="I26" s="143">
        <f>I14+I17+I20</f>
        <v>1388.61</v>
      </c>
      <c r="J26" s="104">
        <f>J14+J17+J20+J23</f>
        <v>2475.6000000000004</v>
      </c>
      <c r="K26" s="104">
        <f>K14+K17+K20+K23</f>
        <v>2493.3000000000002</v>
      </c>
      <c r="L26" s="477"/>
      <c r="M26" s="111"/>
    </row>
    <row r="27" spans="1:13" s="140" customFormat="1" ht="75" customHeight="1">
      <c r="A27" s="469" t="s">
        <v>233</v>
      </c>
      <c r="B27" s="398" t="s">
        <v>221</v>
      </c>
      <c r="C27" s="450" t="s">
        <v>231</v>
      </c>
      <c r="D27" s="470" t="s">
        <v>346</v>
      </c>
      <c r="E27" s="471"/>
      <c r="F27" s="471"/>
      <c r="G27" s="472"/>
      <c r="H27" s="104">
        <f>H28+H33+H34+H35</f>
        <v>74241.53</v>
      </c>
      <c r="I27" s="104">
        <f>I28+I33+I34+I35</f>
        <v>72841.53</v>
      </c>
      <c r="J27" s="104">
        <f>J28+J33+J34+J35</f>
        <v>1400</v>
      </c>
      <c r="K27" s="104">
        <f>K28+K33+K34+K35</f>
        <v>0</v>
      </c>
      <c r="L27" s="450" t="s">
        <v>347</v>
      </c>
      <c r="M27" s="111"/>
    </row>
    <row r="28" spans="1:13" s="140" customFormat="1" ht="75" customHeight="1">
      <c r="A28" s="469"/>
      <c r="B28" s="516"/>
      <c r="C28" s="473"/>
      <c r="D28" s="144" t="s">
        <v>98</v>
      </c>
      <c r="E28" s="145"/>
      <c r="F28" s="145"/>
      <c r="G28" s="146"/>
      <c r="H28" s="104">
        <f>SUM(H29:H32)</f>
        <v>28677.03</v>
      </c>
      <c r="I28" s="104">
        <f>SUM(I29:I32)</f>
        <v>27277.03</v>
      </c>
      <c r="J28" s="104">
        <f>SUM(J29:J32)</f>
        <v>1400</v>
      </c>
      <c r="K28" s="104">
        <f>SUM(K29:K32)</f>
        <v>0</v>
      </c>
      <c r="L28" s="450"/>
      <c r="M28" s="111"/>
    </row>
    <row r="29" spans="1:13" s="140" customFormat="1" ht="75" customHeight="1">
      <c r="A29" s="469"/>
      <c r="B29" s="516"/>
      <c r="C29" s="473"/>
      <c r="D29" s="25" t="s">
        <v>29</v>
      </c>
      <c r="E29" s="309" t="s">
        <v>82</v>
      </c>
      <c r="F29" s="442" t="s">
        <v>222</v>
      </c>
      <c r="G29" s="418" t="s">
        <v>446</v>
      </c>
      <c r="H29" s="100">
        <f t="shared" ref="H29:H34" si="0">I29+J29+K29</f>
        <v>7149.1299999999992</v>
      </c>
      <c r="I29" s="100">
        <f>8727.9-76-1021.1-481.67</f>
        <v>7149.1299999999992</v>
      </c>
      <c r="J29" s="100">
        <v>0</v>
      </c>
      <c r="K29" s="100">
        <v>0</v>
      </c>
      <c r="L29" s="450"/>
      <c r="M29" s="111"/>
    </row>
    <row r="30" spans="1:13" s="140" customFormat="1" ht="75" customHeight="1">
      <c r="A30" s="469"/>
      <c r="B30" s="516"/>
      <c r="C30" s="473"/>
      <c r="D30" s="25" t="s">
        <v>29</v>
      </c>
      <c r="E30" s="309" t="s">
        <v>76</v>
      </c>
      <c r="F30" s="478"/>
      <c r="G30" s="474"/>
      <c r="H30" s="100">
        <f t="shared" si="0"/>
        <v>2619.9</v>
      </c>
      <c r="I30" s="100">
        <f>3419.9-800</f>
        <v>2619.9</v>
      </c>
      <c r="J30" s="100"/>
      <c r="K30" s="100">
        <v>0</v>
      </c>
      <c r="L30" s="450"/>
      <c r="M30" s="111"/>
    </row>
    <row r="31" spans="1:13" s="140" customFormat="1" ht="75" customHeight="1">
      <c r="A31" s="469"/>
      <c r="B31" s="516"/>
      <c r="C31" s="473"/>
      <c r="D31" s="25" t="s">
        <v>29</v>
      </c>
      <c r="E31" s="309" t="s">
        <v>77</v>
      </c>
      <c r="F31" s="478"/>
      <c r="G31" s="474"/>
      <c r="H31" s="100">
        <f t="shared" si="0"/>
        <v>7191.2</v>
      </c>
      <c r="I31" s="100">
        <f>7232.7-41.5</f>
        <v>7191.2</v>
      </c>
      <c r="J31" s="100"/>
      <c r="K31" s="100">
        <v>0</v>
      </c>
      <c r="L31" s="450"/>
      <c r="M31" s="111"/>
    </row>
    <row r="32" spans="1:13" s="140" customFormat="1" ht="75" customHeight="1">
      <c r="A32" s="469"/>
      <c r="B32" s="516"/>
      <c r="C32" s="473"/>
      <c r="D32" s="25" t="s">
        <v>29</v>
      </c>
      <c r="E32" s="309" t="s">
        <v>75</v>
      </c>
      <c r="F32" s="478"/>
      <c r="G32" s="474"/>
      <c r="H32" s="100">
        <f t="shared" si="0"/>
        <v>11716.8</v>
      </c>
      <c r="I32" s="100">
        <v>10316.799999999999</v>
      </c>
      <c r="J32" s="100">
        <f>1000+400</f>
        <v>1400</v>
      </c>
      <c r="K32" s="100">
        <v>0</v>
      </c>
      <c r="L32" s="450"/>
      <c r="M32" s="111"/>
    </row>
    <row r="33" spans="1:13" s="140" customFormat="1" ht="170.25" customHeight="1">
      <c r="A33" s="469"/>
      <c r="B33" s="516"/>
      <c r="C33" s="473"/>
      <c r="D33" s="25" t="s">
        <v>29</v>
      </c>
      <c r="E33" s="309" t="s">
        <v>82</v>
      </c>
      <c r="F33" s="478"/>
      <c r="G33" s="308" t="s">
        <v>99</v>
      </c>
      <c r="H33" s="99">
        <f>I33+J33+K33</f>
        <v>144.6</v>
      </c>
      <c r="I33" s="99">
        <v>144.6</v>
      </c>
      <c r="J33" s="99">
        <v>0</v>
      </c>
      <c r="K33" s="99">
        <v>0</v>
      </c>
      <c r="L33" s="450"/>
      <c r="M33" s="111"/>
    </row>
    <row r="34" spans="1:13" s="140" customFormat="1" ht="87.75" customHeight="1">
      <c r="A34" s="469"/>
      <c r="B34" s="516"/>
      <c r="C34" s="473"/>
      <c r="D34" s="25" t="s">
        <v>29</v>
      </c>
      <c r="E34" s="309" t="s">
        <v>82</v>
      </c>
      <c r="F34" s="478"/>
      <c r="G34" s="327" t="s">
        <v>344</v>
      </c>
      <c r="H34" s="99">
        <f t="shared" si="0"/>
        <v>60</v>
      </c>
      <c r="I34" s="99">
        <v>60</v>
      </c>
      <c r="J34" s="99">
        <v>0</v>
      </c>
      <c r="K34" s="99">
        <v>0</v>
      </c>
      <c r="L34" s="450"/>
      <c r="M34" s="111"/>
    </row>
    <row r="35" spans="1:13" s="140" customFormat="1" ht="75" customHeight="1">
      <c r="A35" s="469"/>
      <c r="B35" s="516"/>
      <c r="C35" s="473"/>
      <c r="D35" s="514" t="s">
        <v>98</v>
      </c>
      <c r="E35" s="515"/>
      <c r="F35" s="478"/>
      <c r="G35" s="519" t="s">
        <v>96</v>
      </c>
      <c r="H35" s="99">
        <f>SUM(H36:H39)</f>
        <v>45359.9</v>
      </c>
      <c r="I35" s="99">
        <f>SUM(I36:I39)</f>
        <v>45359.9</v>
      </c>
      <c r="J35" s="99">
        <f>SUM(J36:J39)</f>
        <v>0</v>
      </c>
      <c r="K35" s="99">
        <f>SUM(K36:K39)</f>
        <v>0</v>
      </c>
      <c r="L35" s="450"/>
      <c r="M35" s="111"/>
    </row>
    <row r="36" spans="1:13" s="140" customFormat="1" ht="75" customHeight="1">
      <c r="A36" s="469"/>
      <c r="B36" s="516"/>
      <c r="C36" s="473"/>
      <c r="D36" s="25" t="s">
        <v>29</v>
      </c>
      <c r="E36" s="309" t="s">
        <v>82</v>
      </c>
      <c r="F36" s="478"/>
      <c r="G36" s="474"/>
      <c r="H36" s="100">
        <f>I36+J36+K36</f>
        <v>12485.6</v>
      </c>
      <c r="I36" s="100">
        <v>12485.6</v>
      </c>
      <c r="J36" s="100">
        <v>0</v>
      </c>
      <c r="K36" s="100">
        <v>0</v>
      </c>
      <c r="L36" s="450"/>
      <c r="M36" s="111"/>
    </row>
    <row r="37" spans="1:13" s="140" customFormat="1" ht="75" customHeight="1">
      <c r="A37" s="469"/>
      <c r="B37" s="516"/>
      <c r="C37" s="473"/>
      <c r="D37" s="25" t="s">
        <v>29</v>
      </c>
      <c r="E37" s="309" t="s">
        <v>76</v>
      </c>
      <c r="F37" s="478"/>
      <c r="G37" s="474"/>
      <c r="H37" s="100">
        <f>I37+J37+K37</f>
        <v>8160.1</v>
      </c>
      <c r="I37" s="100">
        <v>8160.1</v>
      </c>
      <c r="J37" s="100">
        <v>0</v>
      </c>
      <c r="K37" s="100">
        <v>0</v>
      </c>
      <c r="L37" s="450"/>
      <c r="M37" s="111"/>
    </row>
    <row r="38" spans="1:13" s="140" customFormat="1" ht="75" customHeight="1">
      <c r="A38" s="469"/>
      <c r="B38" s="516"/>
      <c r="C38" s="473"/>
      <c r="D38" s="25" t="s">
        <v>29</v>
      </c>
      <c r="E38" s="309" t="s">
        <v>77</v>
      </c>
      <c r="F38" s="478"/>
      <c r="G38" s="474"/>
      <c r="H38" s="100">
        <f>I38+J38+K38</f>
        <v>12866.2</v>
      </c>
      <c r="I38" s="100">
        <v>12866.2</v>
      </c>
      <c r="J38" s="100">
        <v>0</v>
      </c>
      <c r="K38" s="100">
        <v>0</v>
      </c>
      <c r="L38" s="450"/>
      <c r="M38" s="111"/>
    </row>
    <row r="39" spans="1:13" s="140" customFormat="1" ht="75" customHeight="1">
      <c r="A39" s="469"/>
      <c r="B39" s="516"/>
      <c r="C39" s="473"/>
      <c r="D39" s="25" t="s">
        <v>29</v>
      </c>
      <c r="E39" s="309" t="s">
        <v>75</v>
      </c>
      <c r="F39" s="478"/>
      <c r="G39" s="474"/>
      <c r="H39" s="100">
        <f>I39+J39+K39</f>
        <v>11848</v>
      </c>
      <c r="I39" s="100">
        <v>11848</v>
      </c>
      <c r="J39" s="100">
        <v>0</v>
      </c>
      <c r="K39" s="100">
        <v>0</v>
      </c>
      <c r="L39" s="450"/>
      <c r="M39" s="111"/>
    </row>
    <row r="40" spans="1:13" s="148" customFormat="1" ht="75" customHeight="1">
      <c r="A40" s="469"/>
      <c r="B40" s="516"/>
      <c r="C40" s="450" t="s">
        <v>234</v>
      </c>
      <c r="D40" s="470" t="s">
        <v>355</v>
      </c>
      <c r="E40" s="471"/>
      <c r="F40" s="471"/>
      <c r="G40" s="472"/>
      <c r="H40" s="99">
        <f>SUM(H41:H44)</f>
        <v>55261.611999999994</v>
      </c>
      <c r="I40" s="99">
        <f>SUM(I41:I44)</f>
        <v>18688</v>
      </c>
      <c r="J40" s="99">
        <f>SUM(J41:J44)</f>
        <v>17583.48</v>
      </c>
      <c r="K40" s="99">
        <f>SUM(K41:K44)</f>
        <v>18990.131999999998</v>
      </c>
      <c r="L40" s="450" t="s">
        <v>272</v>
      </c>
      <c r="M40" s="147"/>
    </row>
    <row r="41" spans="1:13" ht="75" customHeight="1">
      <c r="A41" s="469"/>
      <c r="B41" s="516"/>
      <c r="C41" s="450"/>
      <c r="D41" s="25" t="s">
        <v>29</v>
      </c>
      <c r="E41" s="309" t="s">
        <v>82</v>
      </c>
      <c r="F41" s="418" t="s">
        <v>222</v>
      </c>
      <c r="G41" s="418" t="s">
        <v>446</v>
      </c>
      <c r="H41" s="100">
        <f t="shared" ref="H41:H53" si="1">I41+J41+K41</f>
        <v>10965.8</v>
      </c>
      <c r="I41" s="100">
        <v>3629.9</v>
      </c>
      <c r="J41" s="100">
        <v>3526.9</v>
      </c>
      <c r="K41" s="100">
        <v>3809</v>
      </c>
      <c r="L41" s="450"/>
    </row>
    <row r="42" spans="1:13" ht="75" customHeight="1">
      <c r="A42" s="469"/>
      <c r="B42" s="516"/>
      <c r="C42" s="450"/>
      <c r="D42" s="25" t="s">
        <v>29</v>
      </c>
      <c r="E42" s="309" t="s">
        <v>76</v>
      </c>
      <c r="F42" s="478"/>
      <c r="G42" s="474"/>
      <c r="H42" s="100">
        <f t="shared" si="1"/>
        <v>13403.4</v>
      </c>
      <c r="I42" s="100">
        <v>4524.8999999999996</v>
      </c>
      <c r="J42" s="100">
        <v>4268.5</v>
      </c>
      <c r="K42" s="100">
        <v>4610</v>
      </c>
      <c r="L42" s="450"/>
    </row>
    <row r="43" spans="1:13" s="140" customFormat="1" ht="75" customHeight="1">
      <c r="A43" s="469"/>
      <c r="B43" s="516"/>
      <c r="C43" s="450"/>
      <c r="D43" s="25" t="s">
        <v>29</v>
      </c>
      <c r="E43" s="309" t="s">
        <v>77</v>
      </c>
      <c r="F43" s="478"/>
      <c r="G43" s="474"/>
      <c r="H43" s="100">
        <f t="shared" si="1"/>
        <v>17752.25</v>
      </c>
      <c r="I43" s="100">
        <f>5671.7+326.2+422.4</f>
        <v>6420.2999999999993</v>
      </c>
      <c r="J43" s="100">
        <v>5448.05</v>
      </c>
      <c r="K43" s="100">
        <v>5883.9</v>
      </c>
      <c r="L43" s="450"/>
      <c r="M43" s="111"/>
    </row>
    <row r="44" spans="1:13" s="140" customFormat="1" ht="75" customHeight="1">
      <c r="A44" s="469"/>
      <c r="B44" s="516"/>
      <c r="C44" s="450"/>
      <c r="D44" s="25" t="s">
        <v>29</v>
      </c>
      <c r="E44" s="309" t="s">
        <v>75</v>
      </c>
      <c r="F44" s="478"/>
      <c r="G44" s="474"/>
      <c r="H44" s="100">
        <f t="shared" si="1"/>
        <v>13140.162</v>
      </c>
      <c r="I44" s="100">
        <v>4112.8999999999996</v>
      </c>
      <c r="J44" s="100">
        <v>4340.03</v>
      </c>
      <c r="K44" s="100">
        <v>4687.232</v>
      </c>
      <c r="L44" s="450"/>
      <c r="M44" s="111"/>
    </row>
    <row r="45" spans="1:13" s="140" customFormat="1" ht="75" customHeight="1">
      <c r="A45" s="469"/>
      <c r="B45" s="516"/>
      <c r="C45" s="414" t="s">
        <v>280</v>
      </c>
      <c r="D45" s="470" t="s">
        <v>356</v>
      </c>
      <c r="E45" s="471"/>
      <c r="F45" s="471"/>
      <c r="G45" s="472"/>
      <c r="H45" s="99">
        <f>SUM(H46:H50)</f>
        <v>9972.6550000000007</v>
      </c>
      <c r="I45" s="99">
        <f>SUM(I46:I50)</f>
        <v>4584.2129999999997</v>
      </c>
      <c r="J45" s="99">
        <f>SUM(J46:J50)</f>
        <v>2606.9</v>
      </c>
      <c r="K45" s="99">
        <f>SUM(K46:K50)</f>
        <v>2781.5419999999999</v>
      </c>
      <c r="L45" s="374" t="s">
        <v>273</v>
      </c>
      <c r="M45" s="111"/>
    </row>
    <row r="46" spans="1:13" ht="75" customHeight="1">
      <c r="A46" s="469"/>
      <c r="B46" s="516"/>
      <c r="C46" s="414"/>
      <c r="D46" s="518" t="s">
        <v>29</v>
      </c>
      <c r="E46" s="450" t="s">
        <v>82</v>
      </c>
      <c r="F46" s="442" t="s">
        <v>222</v>
      </c>
      <c r="G46" s="308" t="s">
        <v>446</v>
      </c>
      <c r="H46" s="99">
        <f>I46+J46+K46</f>
        <v>2156</v>
      </c>
      <c r="I46" s="100">
        <f>1060.5</f>
        <v>1060.5</v>
      </c>
      <c r="J46" s="100">
        <v>530</v>
      </c>
      <c r="K46" s="100">
        <v>565.5</v>
      </c>
      <c r="L46" s="393"/>
    </row>
    <row r="47" spans="1:13" ht="172.5" customHeight="1">
      <c r="A47" s="469"/>
      <c r="B47" s="516"/>
      <c r="C47" s="414"/>
      <c r="D47" s="518"/>
      <c r="E47" s="450"/>
      <c r="F47" s="442"/>
      <c r="G47" s="308" t="s">
        <v>99</v>
      </c>
      <c r="H47" s="99">
        <f t="shared" si="1"/>
        <v>2.6</v>
      </c>
      <c r="I47" s="100">
        <v>2.6</v>
      </c>
      <c r="J47" s="100">
        <v>0</v>
      </c>
      <c r="K47" s="100">
        <v>0</v>
      </c>
      <c r="L47" s="393"/>
    </row>
    <row r="48" spans="1:13" s="140" customFormat="1" ht="75" customHeight="1">
      <c r="A48" s="469"/>
      <c r="B48" s="516"/>
      <c r="C48" s="414"/>
      <c r="D48" s="25" t="s">
        <v>29</v>
      </c>
      <c r="E48" s="309" t="s">
        <v>76</v>
      </c>
      <c r="F48" s="442"/>
      <c r="G48" s="418" t="s">
        <v>446</v>
      </c>
      <c r="H48" s="99">
        <f>I48+J48+K48</f>
        <v>1349.4</v>
      </c>
      <c r="I48" s="100">
        <v>667.3</v>
      </c>
      <c r="J48" s="100">
        <v>330</v>
      </c>
      <c r="K48" s="100">
        <v>352.1</v>
      </c>
      <c r="L48" s="393"/>
      <c r="M48" s="111"/>
    </row>
    <row r="49" spans="1:14" s="140" customFormat="1" ht="75" customHeight="1">
      <c r="A49" s="469"/>
      <c r="B49" s="516"/>
      <c r="C49" s="414"/>
      <c r="D49" s="25" t="s">
        <v>29</v>
      </c>
      <c r="E49" s="309" t="s">
        <v>77</v>
      </c>
      <c r="F49" s="442"/>
      <c r="G49" s="418"/>
      <c r="H49" s="99">
        <f t="shared" si="1"/>
        <v>2322.19</v>
      </c>
      <c r="I49" s="100">
        <v>1144</v>
      </c>
      <c r="J49" s="100">
        <v>570</v>
      </c>
      <c r="K49" s="100">
        <v>608.19000000000005</v>
      </c>
      <c r="L49" s="393"/>
      <c r="M49" s="111"/>
    </row>
    <row r="50" spans="1:14" s="140" customFormat="1" ht="75" customHeight="1">
      <c r="A50" s="469"/>
      <c r="B50" s="516"/>
      <c r="C50" s="414"/>
      <c r="D50" s="25" t="s">
        <v>29</v>
      </c>
      <c r="E50" s="309" t="s">
        <v>75</v>
      </c>
      <c r="F50" s="442"/>
      <c r="G50" s="418"/>
      <c r="H50" s="99">
        <f t="shared" si="1"/>
        <v>4142.4650000000001</v>
      </c>
      <c r="I50" s="100">
        <f>2748.919-253.468-420-365.638</f>
        <v>1709.8130000000001</v>
      </c>
      <c r="J50" s="100">
        <v>1176.9000000000001</v>
      </c>
      <c r="K50" s="100">
        <v>1255.752</v>
      </c>
      <c r="L50" s="375"/>
      <c r="M50" s="111"/>
    </row>
    <row r="51" spans="1:14" ht="108" customHeight="1">
      <c r="A51" s="469"/>
      <c r="B51" s="516"/>
      <c r="C51" s="309" t="s">
        <v>274</v>
      </c>
      <c r="D51" s="326" t="s">
        <v>29</v>
      </c>
      <c r="E51" s="309" t="s">
        <v>82</v>
      </c>
      <c r="F51" s="308" t="s">
        <v>222</v>
      </c>
      <c r="G51" s="308" t="s">
        <v>446</v>
      </c>
      <c r="H51" s="99">
        <f t="shared" si="1"/>
        <v>1307.3</v>
      </c>
      <c r="I51" s="100">
        <v>690</v>
      </c>
      <c r="J51" s="100">
        <v>300</v>
      </c>
      <c r="K51" s="100">
        <v>317.3</v>
      </c>
      <c r="L51" s="331" t="s">
        <v>59</v>
      </c>
      <c r="M51" s="109"/>
    </row>
    <row r="52" spans="1:14" ht="312.75" customHeight="1">
      <c r="A52" s="469"/>
      <c r="B52" s="516"/>
      <c r="C52" s="309" t="s">
        <v>349</v>
      </c>
      <c r="D52" s="326" t="s">
        <v>29</v>
      </c>
      <c r="E52" s="309" t="s">
        <v>82</v>
      </c>
      <c r="F52" s="308" t="s">
        <v>222</v>
      </c>
      <c r="G52" s="308" t="s">
        <v>446</v>
      </c>
      <c r="H52" s="99">
        <f t="shared" si="1"/>
        <v>1200</v>
      </c>
      <c r="I52" s="100">
        <v>1200</v>
      </c>
      <c r="J52" s="100"/>
      <c r="K52" s="100">
        <f>J52*1.051</f>
        <v>0</v>
      </c>
      <c r="L52" s="331" t="s">
        <v>60</v>
      </c>
      <c r="M52" s="109"/>
    </row>
    <row r="53" spans="1:14" ht="156.75" customHeight="1">
      <c r="A53" s="469"/>
      <c r="B53" s="516"/>
      <c r="C53" s="309" t="s">
        <v>350</v>
      </c>
      <c r="D53" s="326" t="s">
        <v>29</v>
      </c>
      <c r="E53" s="309" t="s">
        <v>82</v>
      </c>
      <c r="F53" s="308" t="s">
        <v>222</v>
      </c>
      <c r="G53" s="308" t="s">
        <v>446</v>
      </c>
      <c r="H53" s="99">
        <f t="shared" si="1"/>
        <v>1300</v>
      </c>
      <c r="I53" s="100">
        <v>1000</v>
      </c>
      <c r="J53" s="100">
        <v>300</v>
      </c>
      <c r="K53" s="100"/>
      <c r="L53" s="331" t="s">
        <v>62</v>
      </c>
      <c r="M53" s="109"/>
    </row>
    <row r="54" spans="1:14" ht="75" customHeight="1">
      <c r="A54" s="469"/>
      <c r="B54" s="516"/>
      <c r="C54" s="414" t="s">
        <v>357</v>
      </c>
      <c r="D54" s="428" t="s">
        <v>358</v>
      </c>
      <c r="E54" s="428"/>
      <c r="F54" s="428"/>
      <c r="G54" s="428"/>
      <c r="H54" s="99">
        <f>H55+H56</f>
        <v>3883</v>
      </c>
      <c r="I54" s="99">
        <f>I55+I56</f>
        <v>3883</v>
      </c>
      <c r="J54" s="99">
        <f>J55+J56</f>
        <v>0</v>
      </c>
      <c r="K54" s="99">
        <f>K55+K56</f>
        <v>0</v>
      </c>
      <c r="L54" s="309"/>
      <c r="M54" s="109"/>
    </row>
    <row r="55" spans="1:14" ht="178.5" customHeight="1">
      <c r="A55" s="469"/>
      <c r="B55" s="516"/>
      <c r="C55" s="414"/>
      <c r="D55" s="493" t="s">
        <v>29</v>
      </c>
      <c r="E55" s="393" t="s">
        <v>77</v>
      </c>
      <c r="F55" s="383" t="s">
        <v>222</v>
      </c>
      <c r="G55" s="312" t="s">
        <v>99</v>
      </c>
      <c r="H55" s="99">
        <f>I55+J55+K55</f>
        <v>2680.3</v>
      </c>
      <c r="I55" s="100">
        <v>2680.3</v>
      </c>
      <c r="J55" s="100">
        <v>0</v>
      </c>
      <c r="K55" s="100">
        <v>0</v>
      </c>
      <c r="L55" s="414" t="s">
        <v>363</v>
      </c>
      <c r="M55" s="109"/>
    </row>
    <row r="56" spans="1:14" ht="75" customHeight="1">
      <c r="A56" s="469"/>
      <c r="B56" s="516"/>
      <c r="C56" s="414"/>
      <c r="D56" s="494"/>
      <c r="E56" s="375"/>
      <c r="F56" s="384"/>
      <c r="G56" s="308" t="s">
        <v>446</v>
      </c>
      <c r="H56" s="99">
        <f>I56+J56+K56</f>
        <v>1202.7</v>
      </c>
      <c r="I56" s="100">
        <v>1202.7</v>
      </c>
      <c r="J56" s="100">
        <v>0</v>
      </c>
      <c r="K56" s="100">
        <f>J56*1.051</f>
        <v>0</v>
      </c>
      <c r="L56" s="414"/>
    </row>
    <row r="57" spans="1:14" ht="75" customHeight="1">
      <c r="A57" s="469"/>
      <c r="B57" s="516"/>
      <c r="C57" s="413" t="s">
        <v>359</v>
      </c>
      <c r="D57" s="428" t="s">
        <v>360</v>
      </c>
      <c r="E57" s="428"/>
      <c r="F57" s="428"/>
      <c r="G57" s="428"/>
      <c r="H57" s="99">
        <f>H58+H59+H60</f>
        <v>850</v>
      </c>
      <c r="I57" s="99">
        <f>I58+I59+I60</f>
        <v>850</v>
      </c>
      <c r="J57" s="99">
        <f>J58+J59+J60</f>
        <v>0</v>
      </c>
      <c r="K57" s="99">
        <f>K58+K59+K60</f>
        <v>0</v>
      </c>
      <c r="L57" s="450" t="s">
        <v>67</v>
      </c>
    </row>
    <row r="58" spans="1:14" ht="102" customHeight="1">
      <c r="A58" s="469"/>
      <c r="B58" s="516"/>
      <c r="C58" s="413"/>
      <c r="D58" s="25" t="s">
        <v>29</v>
      </c>
      <c r="E58" s="309" t="s">
        <v>82</v>
      </c>
      <c r="F58" s="445" t="s">
        <v>222</v>
      </c>
      <c r="G58" s="418" t="s">
        <v>55</v>
      </c>
      <c r="H58" s="99">
        <f>I58+J58+K58</f>
        <v>400</v>
      </c>
      <c r="I58" s="100">
        <v>400</v>
      </c>
      <c r="J58" s="100">
        <v>0</v>
      </c>
      <c r="K58" s="100">
        <v>0</v>
      </c>
      <c r="L58" s="581"/>
      <c r="M58" s="10"/>
    </row>
    <row r="59" spans="1:14" ht="93.75" customHeight="1">
      <c r="A59" s="469"/>
      <c r="B59" s="516"/>
      <c r="C59" s="413"/>
      <c r="D59" s="25" t="s">
        <v>29</v>
      </c>
      <c r="E59" s="309" t="s">
        <v>76</v>
      </c>
      <c r="F59" s="446"/>
      <c r="G59" s="474"/>
      <c r="H59" s="99">
        <f>I59+J59+K59</f>
        <v>150</v>
      </c>
      <c r="I59" s="100">
        <v>150</v>
      </c>
      <c r="J59" s="100">
        <v>0</v>
      </c>
      <c r="K59" s="100">
        <v>0</v>
      </c>
      <c r="L59" s="581"/>
      <c r="M59" s="10"/>
    </row>
    <row r="60" spans="1:14" ht="75" customHeight="1">
      <c r="A60" s="469"/>
      <c r="B60" s="516"/>
      <c r="C60" s="413"/>
      <c r="D60" s="25" t="s">
        <v>29</v>
      </c>
      <c r="E60" s="309" t="s">
        <v>77</v>
      </c>
      <c r="F60" s="447"/>
      <c r="G60" s="474"/>
      <c r="H60" s="99">
        <f>I60+J60+K60</f>
        <v>300</v>
      </c>
      <c r="I60" s="100">
        <v>300</v>
      </c>
      <c r="J60" s="100">
        <v>0</v>
      </c>
      <c r="K60" s="100">
        <v>0</v>
      </c>
      <c r="L60" s="581"/>
      <c r="M60" s="10"/>
    </row>
    <row r="61" spans="1:14" s="140" customFormat="1" ht="75" customHeight="1">
      <c r="A61" s="469"/>
      <c r="B61" s="516"/>
      <c r="C61" s="413" t="s">
        <v>235</v>
      </c>
      <c r="D61" s="428" t="s">
        <v>361</v>
      </c>
      <c r="E61" s="428"/>
      <c r="F61" s="428"/>
      <c r="G61" s="428"/>
      <c r="H61" s="99">
        <f>SUM(H62:H65)</f>
        <v>5412.3880000000008</v>
      </c>
      <c r="I61" s="99">
        <f>SUM(I62:I65)</f>
        <v>2536.1000000000004</v>
      </c>
      <c r="J61" s="99">
        <f>SUM(J62:J65)</f>
        <v>1388.8000000000002</v>
      </c>
      <c r="K61" s="99">
        <f>SUM(K62:K65)</f>
        <v>1487.4879999999998</v>
      </c>
      <c r="L61" s="450" t="s">
        <v>63</v>
      </c>
      <c r="M61" s="111"/>
      <c r="N61" s="650" t="s">
        <v>471</v>
      </c>
    </row>
    <row r="62" spans="1:14" s="140" customFormat="1" ht="75" customHeight="1">
      <c r="A62" s="469"/>
      <c r="B62" s="516"/>
      <c r="C62" s="413"/>
      <c r="D62" s="25" t="s">
        <v>29</v>
      </c>
      <c r="E62" s="309" t="s">
        <v>82</v>
      </c>
      <c r="F62" s="418" t="s">
        <v>17</v>
      </c>
      <c r="G62" s="418" t="s">
        <v>446</v>
      </c>
      <c r="H62" s="99">
        <f t="shared" ref="H62:H68" si="2">I62+J62+K62</f>
        <v>764.6</v>
      </c>
      <c r="I62" s="100">
        <v>324.10000000000002</v>
      </c>
      <c r="J62" s="100">
        <v>213.1</v>
      </c>
      <c r="K62" s="100">
        <v>227.4</v>
      </c>
      <c r="L62" s="581"/>
      <c r="M62" s="111"/>
    </row>
    <row r="63" spans="1:14" s="140" customFormat="1" ht="75" customHeight="1">
      <c r="A63" s="469"/>
      <c r="B63" s="516"/>
      <c r="C63" s="413"/>
      <c r="D63" s="25" t="s">
        <v>29</v>
      </c>
      <c r="E63" s="309" t="s">
        <v>76</v>
      </c>
      <c r="F63" s="418"/>
      <c r="G63" s="418"/>
      <c r="H63" s="99">
        <f t="shared" si="2"/>
        <v>302.98</v>
      </c>
      <c r="I63" s="100">
        <v>125.3</v>
      </c>
      <c r="J63" s="100">
        <v>85.78</v>
      </c>
      <c r="K63" s="100">
        <v>91.9</v>
      </c>
      <c r="L63" s="581"/>
      <c r="M63" s="111"/>
    </row>
    <row r="64" spans="1:14" s="140" customFormat="1" ht="75" customHeight="1">
      <c r="A64" s="469"/>
      <c r="B64" s="516"/>
      <c r="C64" s="413"/>
      <c r="D64" s="25" t="s">
        <v>29</v>
      </c>
      <c r="E64" s="309" t="s">
        <v>77</v>
      </c>
      <c r="F64" s="418"/>
      <c r="G64" s="418"/>
      <c r="H64" s="99">
        <f t="shared" si="2"/>
        <v>3348.27</v>
      </c>
      <c r="I64" s="100">
        <v>1528</v>
      </c>
      <c r="J64" s="100">
        <v>878.52</v>
      </c>
      <c r="K64" s="100">
        <v>941.75</v>
      </c>
      <c r="L64" s="581"/>
      <c r="M64" s="111"/>
    </row>
    <row r="65" spans="1:14" s="140" customFormat="1" ht="75" customHeight="1">
      <c r="A65" s="469"/>
      <c r="B65" s="516"/>
      <c r="C65" s="413"/>
      <c r="D65" s="25" t="s">
        <v>29</v>
      </c>
      <c r="E65" s="309" t="s">
        <v>75</v>
      </c>
      <c r="F65" s="418"/>
      <c r="G65" s="418"/>
      <c r="H65" s="99">
        <f t="shared" si="2"/>
        <v>996.53800000000001</v>
      </c>
      <c r="I65" s="100">
        <v>558.70000000000005</v>
      </c>
      <c r="J65" s="100">
        <v>211.4</v>
      </c>
      <c r="K65" s="100">
        <v>226.43799999999999</v>
      </c>
      <c r="L65" s="581"/>
      <c r="M65" s="111"/>
    </row>
    <row r="66" spans="1:14" ht="306.75" customHeight="1">
      <c r="A66" s="469"/>
      <c r="B66" s="516"/>
      <c r="C66" s="331" t="s">
        <v>236</v>
      </c>
      <c r="D66" s="326" t="s">
        <v>33</v>
      </c>
      <c r="E66" s="309" t="s">
        <v>76</v>
      </c>
      <c r="F66" s="310" t="s">
        <v>17</v>
      </c>
      <c r="G66" s="308" t="s">
        <v>447</v>
      </c>
      <c r="H66" s="99">
        <f t="shared" si="2"/>
        <v>5834</v>
      </c>
      <c r="I66" s="100">
        <f>2500-800</f>
        <v>1700</v>
      </c>
      <c r="J66" s="100">
        <v>2000</v>
      </c>
      <c r="K66" s="105">
        <v>2134</v>
      </c>
      <c r="L66" s="331" t="s">
        <v>362</v>
      </c>
    </row>
    <row r="67" spans="1:14" ht="158.25" customHeight="1">
      <c r="A67" s="469"/>
      <c r="B67" s="516"/>
      <c r="C67" s="331" t="s">
        <v>424</v>
      </c>
      <c r="D67" s="326" t="s">
        <v>422</v>
      </c>
      <c r="E67" s="309" t="s">
        <v>425</v>
      </c>
      <c r="F67" s="310" t="s">
        <v>17</v>
      </c>
      <c r="G67" s="308" t="s">
        <v>447</v>
      </c>
      <c r="H67" s="99">
        <f>I67+J67+K67</f>
        <v>3000</v>
      </c>
      <c r="I67" s="100">
        <v>3000</v>
      </c>
      <c r="J67" s="100">
        <v>0</v>
      </c>
      <c r="K67" s="105">
        <v>0</v>
      </c>
      <c r="L67" s="331" t="s">
        <v>430</v>
      </c>
    </row>
    <row r="68" spans="1:14" ht="123" customHeight="1">
      <c r="A68" s="469"/>
      <c r="B68" s="516"/>
      <c r="C68" s="316" t="s">
        <v>426</v>
      </c>
      <c r="D68" s="326" t="s">
        <v>29</v>
      </c>
      <c r="E68" s="309" t="s">
        <v>75</v>
      </c>
      <c r="F68" s="308" t="s">
        <v>222</v>
      </c>
      <c r="G68" s="308" t="s">
        <v>448</v>
      </c>
      <c r="H68" s="99">
        <f t="shared" si="2"/>
        <v>2173.5</v>
      </c>
      <c r="I68" s="100">
        <v>1867.7</v>
      </c>
      <c r="J68" s="100">
        <v>305.8</v>
      </c>
      <c r="K68" s="100"/>
      <c r="L68" s="316" t="s">
        <v>281</v>
      </c>
      <c r="M68" s="109"/>
    </row>
    <row r="69" spans="1:14" ht="231.75" customHeight="1">
      <c r="A69" s="469"/>
      <c r="B69" s="516"/>
      <c r="C69" s="149" t="s">
        <v>427</v>
      </c>
      <c r="D69" s="326" t="s">
        <v>29</v>
      </c>
      <c r="E69" s="309" t="s">
        <v>75</v>
      </c>
      <c r="F69" s="308" t="s">
        <v>222</v>
      </c>
      <c r="G69" s="308" t="s">
        <v>448</v>
      </c>
      <c r="H69" s="99">
        <f>I69+J69+K69</f>
        <v>3716.54</v>
      </c>
      <c r="I69" s="100">
        <v>946.27</v>
      </c>
      <c r="J69" s="100">
        <v>1337.3</v>
      </c>
      <c r="K69" s="100">
        <v>1432.97</v>
      </c>
      <c r="L69" s="149" t="s">
        <v>106</v>
      </c>
      <c r="M69" s="109"/>
    </row>
    <row r="70" spans="1:14" ht="114.75" customHeight="1">
      <c r="A70" s="469"/>
      <c r="B70" s="516"/>
      <c r="C70" s="414" t="s">
        <v>428</v>
      </c>
      <c r="D70" s="428" t="s">
        <v>429</v>
      </c>
      <c r="E70" s="428"/>
      <c r="F70" s="428"/>
      <c r="G70" s="428"/>
      <c r="H70" s="99">
        <f>H71+H72+H73</f>
        <v>6073.8</v>
      </c>
      <c r="I70" s="99">
        <f>I71+I72+I73</f>
        <v>1217.8</v>
      </c>
      <c r="J70" s="99">
        <f>J71+J72+J73</f>
        <v>2344</v>
      </c>
      <c r="K70" s="99">
        <f>K71+K72+K73</f>
        <v>2512</v>
      </c>
      <c r="L70" s="414" t="s">
        <v>74</v>
      </c>
      <c r="M70" s="109"/>
    </row>
    <row r="71" spans="1:14" ht="75" customHeight="1">
      <c r="A71" s="469"/>
      <c r="B71" s="516"/>
      <c r="C71" s="414"/>
      <c r="D71" s="25" t="s">
        <v>29</v>
      </c>
      <c r="E71" s="150" t="s">
        <v>82</v>
      </c>
      <c r="F71" s="445" t="s">
        <v>222</v>
      </c>
      <c r="G71" s="445" t="s">
        <v>448</v>
      </c>
      <c r="H71" s="99">
        <f>I71+J71+K71</f>
        <v>144</v>
      </c>
      <c r="I71" s="100">
        <v>144</v>
      </c>
      <c r="J71" s="100"/>
      <c r="K71" s="100"/>
      <c r="L71" s="581"/>
      <c r="M71" s="109"/>
    </row>
    <row r="72" spans="1:14" ht="75" customHeight="1">
      <c r="A72" s="469"/>
      <c r="B72" s="517"/>
      <c r="C72" s="414"/>
      <c r="D72" s="25" t="s">
        <v>29</v>
      </c>
      <c r="E72" s="150" t="s">
        <v>76</v>
      </c>
      <c r="F72" s="446"/>
      <c r="G72" s="446"/>
      <c r="H72" s="99">
        <f>I72+J72+K72</f>
        <v>5723.1</v>
      </c>
      <c r="I72" s="100">
        <v>1073.8</v>
      </c>
      <c r="J72" s="100">
        <v>2244</v>
      </c>
      <c r="K72" s="100">
        <v>2405.3000000000002</v>
      </c>
      <c r="L72" s="581"/>
      <c r="M72" s="110"/>
      <c r="N72" s="151"/>
    </row>
    <row r="73" spans="1:14" ht="75" customHeight="1">
      <c r="A73" s="320"/>
      <c r="B73" s="152"/>
      <c r="C73" s="337"/>
      <c r="D73" s="25" t="s">
        <v>33</v>
      </c>
      <c r="E73" s="150" t="s">
        <v>82</v>
      </c>
      <c r="F73" s="446"/>
      <c r="G73" s="446"/>
      <c r="H73" s="99">
        <f>I73+J73+K73</f>
        <v>206.7</v>
      </c>
      <c r="I73" s="100"/>
      <c r="J73" s="100">
        <v>100</v>
      </c>
      <c r="K73" s="100">
        <v>106.7</v>
      </c>
      <c r="L73" s="314"/>
      <c r="M73" s="110"/>
      <c r="N73" s="151"/>
    </row>
    <row r="74" spans="1:14" ht="133.5" customHeight="1">
      <c r="A74" s="320"/>
      <c r="B74" s="152"/>
      <c r="C74" s="149" t="s">
        <v>440</v>
      </c>
      <c r="D74" s="326" t="s">
        <v>29</v>
      </c>
      <c r="E74" s="150" t="s">
        <v>82</v>
      </c>
      <c r="F74" s="446"/>
      <c r="G74" s="446"/>
      <c r="H74" s="99">
        <f>I74+J74+K74</f>
        <v>1000</v>
      </c>
      <c r="I74" s="100">
        <v>0</v>
      </c>
      <c r="J74" s="100">
        <v>1000</v>
      </c>
      <c r="K74" s="100">
        <v>0</v>
      </c>
      <c r="L74" s="316" t="s">
        <v>441</v>
      </c>
      <c r="M74" s="110"/>
      <c r="N74" s="151"/>
    </row>
    <row r="75" spans="1:14" ht="75" customHeight="1">
      <c r="A75" s="320"/>
      <c r="B75" s="152"/>
      <c r="C75" s="415" t="s">
        <v>439</v>
      </c>
      <c r="D75" s="443" t="s">
        <v>443</v>
      </c>
      <c r="E75" s="444"/>
      <c r="F75" s="446"/>
      <c r="G75" s="446"/>
      <c r="H75" s="99">
        <f>H76+H77+H78+H79+H80+H81+H82</f>
        <v>500</v>
      </c>
      <c r="I75" s="99">
        <f>I76+I77+I78+I79+I80+I81+I82</f>
        <v>0</v>
      </c>
      <c r="J75" s="99">
        <f>J76+J77+J78+J79+J80+J81+J82</f>
        <v>500</v>
      </c>
      <c r="K75" s="99">
        <f>K76+K77+K78+K79+K80+K81+K82</f>
        <v>0</v>
      </c>
      <c r="L75" s="526" t="s">
        <v>442</v>
      </c>
      <c r="M75" s="110"/>
      <c r="N75" s="151"/>
    </row>
    <row r="76" spans="1:14" ht="75" customHeight="1">
      <c r="A76" s="320"/>
      <c r="B76" s="152"/>
      <c r="C76" s="417"/>
      <c r="D76" s="326" t="s">
        <v>29</v>
      </c>
      <c r="E76" s="150" t="s">
        <v>82</v>
      </c>
      <c r="F76" s="446"/>
      <c r="G76" s="446"/>
      <c r="H76" s="99">
        <f>I76+J76+K76</f>
        <v>101.2</v>
      </c>
      <c r="I76" s="106">
        <v>0</v>
      </c>
      <c r="J76" s="106">
        <v>101.2</v>
      </c>
      <c r="K76" s="106">
        <v>0</v>
      </c>
      <c r="L76" s="527"/>
      <c r="M76" s="110"/>
      <c r="N76" s="151"/>
    </row>
    <row r="77" spans="1:14" ht="75" customHeight="1">
      <c r="A77" s="320"/>
      <c r="B77" s="152"/>
      <c r="C77" s="153"/>
      <c r="D77" s="326" t="s">
        <v>29</v>
      </c>
      <c r="E77" s="150" t="s">
        <v>76</v>
      </c>
      <c r="F77" s="446"/>
      <c r="G77" s="446"/>
      <c r="H77" s="99">
        <f t="shared" ref="H77:H82" si="3">I77+J77+K77</f>
        <v>40.700000000000003</v>
      </c>
      <c r="I77" s="106">
        <v>0</v>
      </c>
      <c r="J77" s="106">
        <v>40.700000000000003</v>
      </c>
      <c r="K77" s="106">
        <v>0</v>
      </c>
      <c r="L77" s="527"/>
      <c r="M77" s="110"/>
      <c r="N77" s="151"/>
    </row>
    <row r="78" spans="1:14" ht="75" customHeight="1">
      <c r="A78" s="320"/>
      <c r="B78" s="152"/>
      <c r="C78" s="153"/>
      <c r="D78" s="326" t="s">
        <v>29</v>
      </c>
      <c r="E78" s="309" t="s">
        <v>77</v>
      </c>
      <c r="F78" s="446"/>
      <c r="G78" s="446"/>
      <c r="H78" s="99">
        <f t="shared" si="3"/>
        <v>99</v>
      </c>
      <c r="I78" s="106">
        <v>0</v>
      </c>
      <c r="J78" s="106">
        <v>99</v>
      </c>
      <c r="K78" s="106">
        <v>0</v>
      </c>
      <c r="L78" s="527"/>
      <c r="M78" s="110"/>
      <c r="N78" s="151"/>
    </row>
    <row r="79" spans="1:14" ht="75" customHeight="1">
      <c r="A79" s="320"/>
      <c r="B79" s="152"/>
      <c r="C79" s="153"/>
      <c r="D79" s="326" t="s">
        <v>29</v>
      </c>
      <c r="E79" s="309" t="s">
        <v>75</v>
      </c>
      <c r="F79" s="446"/>
      <c r="G79" s="446"/>
      <c r="H79" s="99">
        <f t="shared" si="3"/>
        <v>99</v>
      </c>
      <c r="I79" s="106">
        <v>0</v>
      </c>
      <c r="J79" s="106">
        <v>99</v>
      </c>
      <c r="K79" s="106">
        <v>0</v>
      </c>
      <c r="L79" s="527"/>
      <c r="M79" s="110"/>
      <c r="N79" s="151"/>
    </row>
    <row r="80" spans="1:14" ht="87.75" customHeight="1">
      <c r="A80" s="320"/>
      <c r="B80" s="152"/>
      <c r="C80" s="153"/>
      <c r="D80" s="154" t="s">
        <v>30</v>
      </c>
      <c r="E80" s="41" t="s">
        <v>79</v>
      </c>
      <c r="F80" s="446"/>
      <c r="G80" s="446"/>
      <c r="H80" s="99">
        <f t="shared" si="3"/>
        <v>58.8</v>
      </c>
      <c r="I80" s="106">
        <v>0</v>
      </c>
      <c r="J80" s="106">
        <v>58.8</v>
      </c>
      <c r="K80" s="106">
        <v>0</v>
      </c>
      <c r="L80" s="527"/>
      <c r="M80" s="110"/>
      <c r="N80" s="151"/>
    </row>
    <row r="81" spans="1:14" ht="75" customHeight="1">
      <c r="A81" s="320"/>
      <c r="B81" s="152"/>
      <c r="C81" s="153"/>
      <c r="D81" s="25" t="s">
        <v>33</v>
      </c>
      <c r="E81" s="309" t="s">
        <v>80</v>
      </c>
      <c r="F81" s="446"/>
      <c r="G81" s="446"/>
      <c r="H81" s="99">
        <f t="shared" si="3"/>
        <v>48</v>
      </c>
      <c r="I81" s="106">
        <v>0</v>
      </c>
      <c r="J81" s="106">
        <v>48</v>
      </c>
      <c r="K81" s="106">
        <v>0</v>
      </c>
      <c r="L81" s="527"/>
      <c r="M81" s="110"/>
      <c r="N81" s="151"/>
    </row>
    <row r="82" spans="1:14" ht="79.5" customHeight="1">
      <c r="A82" s="320"/>
      <c r="B82" s="152"/>
      <c r="C82" s="153"/>
      <c r="D82" s="25" t="s">
        <v>33</v>
      </c>
      <c r="E82" s="141" t="s">
        <v>81</v>
      </c>
      <c r="F82" s="447"/>
      <c r="G82" s="447"/>
      <c r="H82" s="99">
        <f t="shared" si="3"/>
        <v>53.3</v>
      </c>
      <c r="I82" s="106">
        <v>0</v>
      </c>
      <c r="J82" s="106">
        <v>53.3</v>
      </c>
      <c r="K82" s="106">
        <v>0</v>
      </c>
      <c r="L82" s="528"/>
      <c r="M82" s="110"/>
      <c r="N82" s="151"/>
    </row>
    <row r="83" spans="1:14" ht="75" customHeight="1">
      <c r="A83" s="433"/>
      <c r="B83" s="434"/>
      <c r="C83" s="434"/>
      <c r="D83" s="435"/>
      <c r="E83" s="497" t="s">
        <v>285</v>
      </c>
      <c r="F83" s="498"/>
      <c r="G83" s="155"/>
      <c r="H83" s="125">
        <f>H27+H40+H45+H51+H52+H53+H54+H57+H61+H66+H68+H69+H70+H67+H74+H75</f>
        <v>175726.32499999998</v>
      </c>
      <c r="I83" s="125">
        <f>I27+I40+I45+I51+I52+I53+I54+I57+I61+I66+I68+I69+I70+I67+I74+I75</f>
        <v>115004.61300000001</v>
      </c>
      <c r="J83" s="125">
        <f>J27+J40+J45+J51+J52+J53+J54+J57+J61+J66+J68+J69+J70+J67+J74+J75</f>
        <v>31066.28</v>
      </c>
      <c r="K83" s="125">
        <f>K27+K40+K45+K51+K52+K53+K54+K57+K61+K66+K68+K69+K70+K67+K74+K75</f>
        <v>29655.432000000001</v>
      </c>
      <c r="L83" s="526"/>
      <c r="M83" s="110"/>
      <c r="N83" s="151"/>
    </row>
    <row r="84" spans="1:14" ht="75" customHeight="1">
      <c r="A84" s="436"/>
      <c r="B84" s="437"/>
      <c r="C84" s="437"/>
      <c r="D84" s="438"/>
      <c r="E84" s="499"/>
      <c r="F84" s="500"/>
      <c r="G84" s="308" t="s">
        <v>448</v>
      </c>
      <c r="H84" s="99">
        <f>H28+H40+H46+H48+H49+H50+H51+H52+H53+H56+H57+H61+H66+H68+H69+H70+H67</f>
        <v>125978.92499999999</v>
      </c>
      <c r="I84" s="99">
        <f>I28+I40+I46+I48+I49+I50+I51+I52+I53+I56+I57+I61+I66+I68+I69+I70+I67</f>
        <v>66757.212999999989</v>
      </c>
      <c r="J84" s="99">
        <f>J28+J40+J46+J48+J49+J50+J51+J52+J53+J56+J57+J61+J66+J68+J69+J70+J67+J74+J75</f>
        <v>31066.28</v>
      </c>
      <c r="K84" s="99">
        <f>K28+K40+K46+K48+K49+K50+K51+K52+K53+K56+K57+K61+K66+K68+K69+K70+K67</f>
        <v>29655.431999999997</v>
      </c>
      <c r="L84" s="527"/>
      <c r="M84" s="110"/>
      <c r="N84" s="151"/>
    </row>
    <row r="85" spans="1:14" ht="72.75" customHeight="1">
      <c r="A85" s="436"/>
      <c r="B85" s="437"/>
      <c r="C85" s="437"/>
      <c r="D85" s="438"/>
      <c r="E85" s="499"/>
      <c r="F85" s="500"/>
      <c r="G85" s="156" t="s">
        <v>96</v>
      </c>
      <c r="H85" s="99">
        <f>H35</f>
        <v>45359.9</v>
      </c>
      <c r="I85" s="99">
        <f>I35</f>
        <v>45359.9</v>
      </c>
      <c r="J85" s="99">
        <f>J35</f>
        <v>0</v>
      </c>
      <c r="K85" s="99">
        <f>K35</f>
        <v>0</v>
      </c>
      <c r="L85" s="527"/>
      <c r="M85" s="110"/>
      <c r="N85" s="151"/>
    </row>
    <row r="86" spans="1:14" ht="177.75" customHeight="1">
      <c r="A86" s="436"/>
      <c r="B86" s="437"/>
      <c r="C86" s="437"/>
      <c r="D86" s="438"/>
      <c r="E86" s="499"/>
      <c r="F86" s="500"/>
      <c r="G86" s="308" t="s">
        <v>99</v>
      </c>
      <c r="H86" s="99">
        <f>H33+H47+H55</f>
        <v>2827.5</v>
      </c>
      <c r="I86" s="99">
        <f>I33+I47+I55</f>
        <v>2827.5</v>
      </c>
      <c r="J86" s="99">
        <f>J33+J47+J55</f>
        <v>0</v>
      </c>
      <c r="K86" s="99">
        <f>K33+K47+K55</f>
        <v>0</v>
      </c>
      <c r="L86" s="527"/>
      <c r="M86" s="110"/>
      <c r="N86" s="151"/>
    </row>
    <row r="87" spans="1:14" ht="93.75" customHeight="1">
      <c r="A87" s="436"/>
      <c r="B87" s="437"/>
      <c r="C87" s="437"/>
      <c r="D87" s="438"/>
      <c r="E87" s="501"/>
      <c r="F87" s="502"/>
      <c r="G87" s="327" t="s">
        <v>344</v>
      </c>
      <c r="H87" s="99">
        <f>H34</f>
        <v>60</v>
      </c>
      <c r="I87" s="99">
        <f>I34</f>
        <v>60</v>
      </c>
      <c r="J87" s="99">
        <f>J34</f>
        <v>0</v>
      </c>
      <c r="K87" s="99">
        <f>K34</f>
        <v>0</v>
      </c>
      <c r="L87" s="527"/>
      <c r="M87" s="110"/>
      <c r="N87" s="151"/>
    </row>
    <row r="88" spans="1:14" ht="75" customHeight="1">
      <c r="A88" s="436"/>
      <c r="B88" s="437"/>
      <c r="C88" s="437"/>
      <c r="D88" s="438"/>
      <c r="E88" s="376" t="s">
        <v>286</v>
      </c>
      <c r="F88" s="378"/>
      <c r="G88" s="308"/>
      <c r="H88" s="99"/>
      <c r="I88" s="106"/>
      <c r="J88" s="100"/>
      <c r="K88" s="100"/>
      <c r="L88" s="527"/>
      <c r="M88" s="110"/>
      <c r="N88" s="151"/>
    </row>
    <row r="89" spans="1:14" ht="75" customHeight="1">
      <c r="A89" s="436"/>
      <c r="B89" s="437"/>
      <c r="C89" s="437"/>
      <c r="D89" s="438"/>
      <c r="E89" s="479" t="s">
        <v>82</v>
      </c>
      <c r="F89" s="480"/>
      <c r="G89" s="321" t="s">
        <v>98</v>
      </c>
      <c r="H89" s="99">
        <f>SUM(H90:H93)</f>
        <v>39387.53</v>
      </c>
      <c r="I89" s="99">
        <f>SUM(I90:I93)</f>
        <v>28290.43</v>
      </c>
      <c r="J89" s="99">
        <f>SUM(J90:J93)</f>
        <v>6071.2</v>
      </c>
      <c r="K89" s="99">
        <f>SUM(K90:K93)</f>
        <v>5025.8999999999996</v>
      </c>
      <c r="L89" s="527"/>
      <c r="M89" s="110"/>
      <c r="N89" s="151"/>
    </row>
    <row r="90" spans="1:14" ht="75" customHeight="1">
      <c r="A90" s="436"/>
      <c r="B90" s="437"/>
      <c r="C90" s="437"/>
      <c r="D90" s="438"/>
      <c r="E90" s="481"/>
      <c r="F90" s="482"/>
      <c r="G90" s="308" t="s">
        <v>448</v>
      </c>
      <c r="H90" s="99">
        <f>H29+H41+H46+H51+H52+H53+H58+H62+H71+H74+H76+H73</f>
        <v>26694.73</v>
      </c>
      <c r="I90" s="99">
        <f>I29+I41+I46+I51+I52+I53+I58+I62+I71+I74+I76</f>
        <v>15597.63</v>
      </c>
      <c r="J90" s="99">
        <f>J29+J41+J46+J51+J52+J53+J58+J62+J71+J74+J76+J73</f>
        <v>6071.2</v>
      </c>
      <c r="K90" s="99">
        <f>K29+K41+K46+K51+K52+K53+K58+K62+K71+K74+K76+K73</f>
        <v>5025.8999999999996</v>
      </c>
      <c r="L90" s="527"/>
      <c r="M90" s="110"/>
      <c r="N90" s="151"/>
    </row>
    <row r="91" spans="1:14" ht="91.5" customHeight="1">
      <c r="A91" s="436"/>
      <c r="B91" s="437"/>
      <c r="C91" s="437"/>
      <c r="D91" s="438"/>
      <c r="E91" s="481"/>
      <c r="F91" s="482"/>
      <c r="G91" s="156" t="s">
        <v>96</v>
      </c>
      <c r="H91" s="99">
        <f>H36</f>
        <v>12485.6</v>
      </c>
      <c r="I91" s="99">
        <f>I36</f>
        <v>12485.6</v>
      </c>
      <c r="J91" s="99">
        <f>J36</f>
        <v>0</v>
      </c>
      <c r="K91" s="99">
        <f>K36</f>
        <v>0</v>
      </c>
      <c r="L91" s="527"/>
      <c r="M91" s="110"/>
      <c r="N91" s="151"/>
    </row>
    <row r="92" spans="1:14" ht="174.75" customHeight="1">
      <c r="A92" s="436"/>
      <c r="B92" s="437"/>
      <c r="C92" s="437"/>
      <c r="D92" s="438"/>
      <c r="E92" s="481"/>
      <c r="F92" s="482"/>
      <c r="G92" s="308" t="s">
        <v>99</v>
      </c>
      <c r="H92" s="99">
        <f>H33+H47</f>
        <v>147.19999999999999</v>
      </c>
      <c r="I92" s="99">
        <f>I33+I47</f>
        <v>147.19999999999999</v>
      </c>
      <c r="J92" s="99">
        <f>J33+J47</f>
        <v>0</v>
      </c>
      <c r="K92" s="99">
        <f>K33+K47</f>
        <v>0</v>
      </c>
      <c r="L92" s="527"/>
      <c r="M92" s="110"/>
      <c r="N92" s="151"/>
    </row>
    <row r="93" spans="1:14" ht="75" customHeight="1">
      <c r="A93" s="436"/>
      <c r="B93" s="437"/>
      <c r="C93" s="437"/>
      <c r="D93" s="438"/>
      <c r="E93" s="483"/>
      <c r="F93" s="484"/>
      <c r="G93" s="327" t="s">
        <v>344</v>
      </c>
      <c r="H93" s="99">
        <f>H34</f>
        <v>60</v>
      </c>
      <c r="I93" s="99">
        <f>I34</f>
        <v>60</v>
      </c>
      <c r="J93" s="99">
        <f>J34</f>
        <v>0</v>
      </c>
      <c r="K93" s="99">
        <f>K34</f>
        <v>0</v>
      </c>
      <c r="L93" s="527"/>
      <c r="M93" s="110"/>
      <c r="N93" s="151"/>
    </row>
    <row r="94" spans="1:14" ht="75" customHeight="1">
      <c r="A94" s="436"/>
      <c r="B94" s="437"/>
      <c r="C94" s="437"/>
      <c r="D94" s="438"/>
      <c r="E94" s="479" t="s">
        <v>76</v>
      </c>
      <c r="F94" s="480"/>
      <c r="G94" s="321" t="s">
        <v>98</v>
      </c>
      <c r="H94" s="99">
        <f>SUM(H95:H96)</f>
        <v>37542.879999999997</v>
      </c>
      <c r="I94" s="99">
        <f>SUM(I95:I96)</f>
        <v>19021.3</v>
      </c>
      <c r="J94" s="99">
        <f>SUM(J95:J96)</f>
        <v>8928.2799999999988</v>
      </c>
      <c r="K94" s="99">
        <f>SUM(K95:K96)</f>
        <v>9593.2999999999993</v>
      </c>
      <c r="L94" s="527"/>
      <c r="M94" s="110"/>
      <c r="N94" s="151"/>
    </row>
    <row r="95" spans="1:14" ht="75" customHeight="1">
      <c r="A95" s="436"/>
      <c r="B95" s="437"/>
      <c r="C95" s="437"/>
      <c r="D95" s="438"/>
      <c r="E95" s="481"/>
      <c r="F95" s="482"/>
      <c r="G95" s="308" t="s">
        <v>448</v>
      </c>
      <c r="H95" s="99">
        <f>H30+H42+H48+H59+H63+H66+H72</f>
        <v>29382.78</v>
      </c>
      <c r="I95" s="99">
        <f>I30+I42+I48+I59+I63+I66+I72</f>
        <v>10861.199999999999</v>
      </c>
      <c r="J95" s="99">
        <f>J30+J42+J48+J59+J63+J66+J72</f>
        <v>8928.2799999999988</v>
      </c>
      <c r="K95" s="99">
        <f>K30+K42+K48+K59+K63+K66+K72</f>
        <v>9593.2999999999993</v>
      </c>
      <c r="L95" s="527"/>
      <c r="M95" s="110"/>
      <c r="N95" s="151"/>
    </row>
    <row r="96" spans="1:14" ht="75" customHeight="1">
      <c r="A96" s="436"/>
      <c r="B96" s="437"/>
      <c r="C96" s="437"/>
      <c r="D96" s="438"/>
      <c r="E96" s="483"/>
      <c r="F96" s="484"/>
      <c r="G96" s="156" t="s">
        <v>96</v>
      </c>
      <c r="H96" s="99">
        <f>H37</f>
        <v>8160.1</v>
      </c>
      <c r="I96" s="99">
        <f>I37</f>
        <v>8160.1</v>
      </c>
      <c r="J96" s="99">
        <f>J37</f>
        <v>0</v>
      </c>
      <c r="K96" s="99">
        <f>K37</f>
        <v>0</v>
      </c>
      <c r="L96" s="527"/>
      <c r="M96" s="110"/>
      <c r="N96" s="151"/>
    </row>
    <row r="97" spans="1:14" ht="50.25" customHeight="1">
      <c r="A97" s="436"/>
      <c r="B97" s="437"/>
      <c r="C97" s="437"/>
      <c r="D97" s="438"/>
      <c r="E97" s="479" t="s">
        <v>77</v>
      </c>
      <c r="F97" s="480"/>
      <c r="G97" s="321" t="s">
        <v>98</v>
      </c>
      <c r="H97" s="99">
        <f>SUM(H98:H100)</f>
        <v>47663.11</v>
      </c>
      <c r="I97" s="99">
        <f>SUM(I98:I100)</f>
        <v>33332.700000000004</v>
      </c>
      <c r="J97" s="99">
        <f>SUM(J98:J100)</f>
        <v>6896.57</v>
      </c>
      <c r="K97" s="99">
        <f>SUM(K98:K100)</f>
        <v>7433.84</v>
      </c>
      <c r="L97" s="527"/>
      <c r="M97" s="110"/>
      <c r="N97" s="151"/>
    </row>
    <row r="98" spans="1:14" ht="75" customHeight="1">
      <c r="A98" s="436"/>
      <c r="B98" s="437"/>
      <c r="C98" s="437"/>
      <c r="D98" s="438"/>
      <c r="E98" s="481"/>
      <c r="F98" s="482"/>
      <c r="G98" s="308" t="s">
        <v>448</v>
      </c>
      <c r="H98" s="99">
        <f>H31+H43+H49+H56+H60+H64</f>
        <v>32116.61</v>
      </c>
      <c r="I98" s="99">
        <f>I31+I43+I49+I56+I60+I64</f>
        <v>17786.2</v>
      </c>
      <c r="J98" s="99">
        <f>J31+J43+J49+J56+J60+J64</f>
        <v>6896.57</v>
      </c>
      <c r="K98" s="99">
        <f>K31+K43+K49+K56+K60+K64</f>
        <v>7433.84</v>
      </c>
      <c r="L98" s="527"/>
      <c r="M98" s="110"/>
      <c r="N98" s="151"/>
    </row>
    <row r="99" spans="1:14" ht="78.75" customHeight="1">
      <c r="A99" s="436"/>
      <c r="B99" s="437"/>
      <c r="C99" s="437"/>
      <c r="D99" s="438"/>
      <c r="E99" s="481"/>
      <c r="F99" s="482"/>
      <c r="G99" s="156" t="s">
        <v>96</v>
      </c>
      <c r="H99" s="99">
        <f>H38</f>
        <v>12866.2</v>
      </c>
      <c r="I99" s="99">
        <f>I38</f>
        <v>12866.2</v>
      </c>
      <c r="J99" s="99">
        <f>J38</f>
        <v>0</v>
      </c>
      <c r="K99" s="99">
        <f>K38</f>
        <v>0</v>
      </c>
      <c r="L99" s="527"/>
      <c r="M99" s="110"/>
      <c r="N99" s="151"/>
    </row>
    <row r="100" spans="1:14" ht="173.25" customHeight="1">
      <c r="A100" s="436"/>
      <c r="B100" s="437"/>
      <c r="C100" s="437"/>
      <c r="D100" s="438"/>
      <c r="E100" s="483"/>
      <c r="F100" s="484"/>
      <c r="G100" s="308" t="s">
        <v>99</v>
      </c>
      <c r="H100" s="99">
        <f>H55</f>
        <v>2680.3</v>
      </c>
      <c r="I100" s="99">
        <f>I55</f>
        <v>2680.3</v>
      </c>
      <c r="J100" s="99">
        <f>J55</f>
        <v>0</v>
      </c>
      <c r="K100" s="99">
        <f>K55</f>
        <v>0</v>
      </c>
      <c r="L100" s="527"/>
      <c r="M100" s="110"/>
      <c r="N100" s="151"/>
    </row>
    <row r="101" spans="1:14" ht="75" customHeight="1">
      <c r="A101" s="436"/>
      <c r="B101" s="437"/>
      <c r="C101" s="437"/>
      <c r="D101" s="438"/>
      <c r="E101" s="479" t="s">
        <v>75</v>
      </c>
      <c r="F101" s="480"/>
      <c r="G101" s="321" t="s">
        <v>98</v>
      </c>
      <c r="H101" s="99">
        <f>SUM(H102:H103)</f>
        <v>47734.004999999997</v>
      </c>
      <c r="I101" s="99">
        <f>SUM(I102:I103)</f>
        <v>31360.183000000001</v>
      </c>
      <c r="J101" s="99">
        <f>SUM(J102:J103)</f>
        <v>8771.43</v>
      </c>
      <c r="K101" s="99">
        <f>SUM(K102:K103)</f>
        <v>7602.3920000000007</v>
      </c>
      <c r="L101" s="527"/>
      <c r="M101" s="110"/>
      <c r="N101" s="151"/>
    </row>
    <row r="102" spans="1:14" ht="75" customHeight="1">
      <c r="A102" s="436"/>
      <c r="B102" s="437"/>
      <c r="C102" s="437"/>
      <c r="D102" s="438"/>
      <c r="E102" s="481"/>
      <c r="F102" s="482"/>
      <c r="G102" s="308" t="s">
        <v>448</v>
      </c>
      <c r="H102" s="99">
        <f>H32+H44+H50+H65+H68+H69</f>
        <v>35886.004999999997</v>
      </c>
      <c r="I102" s="99">
        <f>I32+I44+I50+I65+I68+I69</f>
        <v>19512.183000000001</v>
      </c>
      <c r="J102" s="99">
        <f>J32+J44+J50+J65+J68+J69</f>
        <v>8771.43</v>
      </c>
      <c r="K102" s="99">
        <f>K32+K44+K50+K65+K68+K69</f>
        <v>7602.3920000000007</v>
      </c>
      <c r="L102" s="527"/>
      <c r="M102" s="110"/>
      <c r="N102" s="151"/>
    </row>
    <row r="103" spans="1:14" ht="75" customHeight="1">
      <c r="A103" s="436"/>
      <c r="B103" s="437"/>
      <c r="C103" s="437"/>
      <c r="D103" s="438"/>
      <c r="E103" s="483"/>
      <c r="F103" s="484"/>
      <c r="G103" s="156" t="s">
        <v>96</v>
      </c>
      <c r="H103" s="99">
        <f>H39</f>
        <v>11848</v>
      </c>
      <c r="I103" s="99">
        <f>I39</f>
        <v>11848</v>
      </c>
      <c r="J103" s="99">
        <f>J39</f>
        <v>0</v>
      </c>
      <c r="K103" s="99">
        <f>K39</f>
        <v>0</v>
      </c>
      <c r="L103" s="528"/>
      <c r="M103" s="110"/>
      <c r="N103" s="151"/>
    </row>
    <row r="104" spans="1:14" ht="96" customHeight="1">
      <c r="A104" s="439"/>
      <c r="B104" s="440"/>
      <c r="C104" s="440"/>
      <c r="D104" s="441"/>
      <c r="E104" s="431" t="s">
        <v>425</v>
      </c>
      <c r="F104" s="432"/>
      <c r="G104" s="308" t="s">
        <v>448</v>
      </c>
      <c r="H104" s="99">
        <f>H67</f>
        <v>3000</v>
      </c>
      <c r="I104" s="99">
        <f>I67</f>
        <v>3000</v>
      </c>
      <c r="J104" s="99">
        <f>J67</f>
        <v>0</v>
      </c>
      <c r="K104" s="99">
        <f>K67</f>
        <v>0</v>
      </c>
      <c r="L104" s="317"/>
      <c r="M104" s="110"/>
      <c r="N104" s="151"/>
    </row>
    <row r="105" spans="1:14" s="140" customFormat="1" ht="75" customHeight="1">
      <c r="A105" s="495" t="s">
        <v>237</v>
      </c>
      <c r="B105" s="398" t="s">
        <v>421</v>
      </c>
      <c r="C105" s="450" t="s">
        <v>239</v>
      </c>
      <c r="D105" s="470" t="s">
        <v>364</v>
      </c>
      <c r="E105" s="471"/>
      <c r="F105" s="471"/>
      <c r="G105" s="472"/>
      <c r="H105" s="99">
        <f>H106+H107</f>
        <v>8977.9000000000015</v>
      </c>
      <c r="I105" s="99">
        <f>I106+I107</f>
        <v>8977.9000000000015</v>
      </c>
      <c r="J105" s="99">
        <f>J106+J107</f>
        <v>0</v>
      </c>
      <c r="K105" s="99">
        <f>K106+K107</f>
        <v>0</v>
      </c>
      <c r="L105" s="397" t="s">
        <v>150</v>
      </c>
      <c r="M105" s="111"/>
    </row>
    <row r="106" spans="1:14" s="140" customFormat="1" ht="75" customHeight="1">
      <c r="A106" s="496"/>
      <c r="B106" s="399"/>
      <c r="C106" s="450"/>
      <c r="D106" s="429" t="s">
        <v>30</v>
      </c>
      <c r="E106" s="374" t="s">
        <v>79</v>
      </c>
      <c r="F106" s="442" t="s">
        <v>222</v>
      </c>
      <c r="G106" s="308" t="s">
        <v>449</v>
      </c>
      <c r="H106" s="99">
        <f>I106+J106+K106</f>
        <v>2630.3</v>
      </c>
      <c r="I106" s="100">
        <f>4309.8-9.5-1000-670</f>
        <v>2630.3</v>
      </c>
      <c r="J106" s="100">
        <v>0</v>
      </c>
      <c r="K106" s="100">
        <v>0</v>
      </c>
      <c r="L106" s="397"/>
      <c r="M106" s="111"/>
    </row>
    <row r="107" spans="1:14" s="140" customFormat="1" ht="75" customHeight="1">
      <c r="A107" s="496"/>
      <c r="B107" s="399"/>
      <c r="C107" s="450"/>
      <c r="D107" s="430"/>
      <c r="E107" s="375"/>
      <c r="F107" s="442"/>
      <c r="G107" s="308" t="s">
        <v>96</v>
      </c>
      <c r="H107" s="99">
        <f>I107+J107+K107</f>
        <v>6347.6</v>
      </c>
      <c r="I107" s="100">
        <v>6347.6</v>
      </c>
      <c r="J107" s="100">
        <v>0</v>
      </c>
      <c r="K107" s="100">
        <v>0</v>
      </c>
      <c r="L107" s="397"/>
      <c r="M107" s="111"/>
    </row>
    <row r="108" spans="1:14" s="140" customFormat="1" ht="93.75" customHeight="1">
      <c r="A108" s="496"/>
      <c r="B108" s="399"/>
      <c r="C108" s="309" t="s">
        <v>275</v>
      </c>
      <c r="D108" s="154" t="s">
        <v>30</v>
      </c>
      <c r="E108" s="41" t="s">
        <v>79</v>
      </c>
      <c r="F108" s="442"/>
      <c r="G108" s="308" t="s">
        <v>446</v>
      </c>
      <c r="H108" s="99">
        <f>I108+J108+K108</f>
        <v>8369.6</v>
      </c>
      <c r="I108" s="100">
        <f>3145.8-450</f>
        <v>2695.8</v>
      </c>
      <c r="J108" s="100">
        <v>2727.8</v>
      </c>
      <c r="K108" s="100">
        <v>2946</v>
      </c>
      <c r="L108" s="397"/>
      <c r="M108" s="111"/>
    </row>
    <row r="109" spans="1:14" s="140" customFormat="1" ht="112.5" customHeight="1">
      <c r="A109" s="496"/>
      <c r="B109" s="399"/>
      <c r="C109" s="309" t="s">
        <v>276</v>
      </c>
      <c r="D109" s="154" t="s">
        <v>30</v>
      </c>
      <c r="E109" s="41" t="s">
        <v>79</v>
      </c>
      <c r="F109" s="442"/>
      <c r="G109" s="308" t="s">
        <v>446</v>
      </c>
      <c r="H109" s="99">
        <f>I109+J109+K109</f>
        <v>1062.92</v>
      </c>
      <c r="I109" s="105">
        <v>525.5</v>
      </c>
      <c r="J109" s="100">
        <v>260</v>
      </c>
      <c r="K109" s="126">
        <v>277.42</v>
      </c>
      <c r="L109" s="397"/>
      <c r="M109" s="111"/>
    </row>
    <row r="110" spans="1:14" s="140" customFormat="1" ht="162.75" customHeight="1">
      <c r="A110" s="496"/>
      <c r="B110" s="400"/>
      <c r="C110" s="309" t="s">
        <v>277</v>
      </c>
      <c r="D110" s="154" t="s">
        <v>30</v>
      </c>
      <c r="E110" s="41" t="s">
        <v>79</v>
      </c>
      <c r="F110" s="442"/>
      <c r="G110" s="308" t="s">
        <v>446</v>
      </c>
      <c r="H110" s="99">
        <f>I110+J110+K110</f>
        <v>973.3</v>
      </c>
      <c r="I110" s="100">
        <v>411.8</v>
      </c>
      <c r="J110" s="100">
        <v>271</v>
      </c>
      <c r="K110" s="100">
        <v>290.5</v>
      </c>
      <c r="L110" s="397"/>
      <c r="M110" s="111"/>
    </row>
    <row r="111" spans="1:14" s="140" customFormat="1" ht="75" customHeight="1">
      <c r="A111" s="469"/>
      <c r="B111" s="469"/>
      <c r="C111" s="469"/>
      <c r="D111" s="469"/>
      <c r="E111" s="398" t="s">
        <v>283</v>
      </c>
      <c r="F111" s="582"/>
      <c r="G111" s="308"/>
      <c r="H111" s="99">
        <f>H105+H108+H109+H110</f>
        <v>19383.719999999998</v>
      </c>
      <c r="I111" s="99">
        <f>I105+I108+I109+I110</f>
        <v>12611</v>
      </c>
      <c r="J111" s="99">
        <f>J105+J108+J109+J110</f>
        <v>3258.8</v>
      </c>
      <c r="K111" s="99">
        <f>K105+K108+K109+K110</f>
        <v>3513.92</v>
      </c>
      <c r="L111" s="385"/>
      <c r="M111" s="111"/>
    </row>
    <row r="112" spans="1:14" s="140" customFormat="1" ht="75" customHeight="1">
      <c r="A112" s="469"/>
      <c r="B112" s="469"/>
      <c r="C112" s="469"/>
      <c r="D112" s="469"/>
      <c r="E112" s="399"/>
      <c r="F112" s="582"/>
      <c r="G112" s="308" t="s">
        <v>446</v>
      </c>
      <c r="H112" s="99">
        <f>H106+H108+H109+H110</f>
        <v>13036.12</v>
      </c>
      <c r="I112" s="99">
        <f>I106+I108+I109+I110</f>
        <v>6263.4000000000005</v>
      </c>
      <c r="J112" s="99">
        <f>J106+J108+J109+J110</f>
        <v>3258.8</v>
      </c>
      <c r="K112" s="99">
        <f>K106+K108+K109+K110</f>
        <v>3513.92</v>
      </c>
      <c r="L112" s="386"/>
      <c r="M112" s="111"/>
    </row>
    <row r="113" spans="1:13" s="140" customFormat="1" ht="75" customHeight="1">
      <c r="A113" s="469"/>
      <c r="B113" s="469"/>
      <c r="C113" s="469"/>
      <c r="D113" s="469"/>
      <c r="E113" s="400"/>
      <c r="F113" s="582"/>
      <c r="G113" s="308" t="s">
        <v>96</v>
      </c>
      <c r="H113" s="99">
        <f>H107</f>
        <v>6347.6</v>
      </c>
      <c r="I113" s="99">
        <f>I107</f>
        <v>6347.6</v>
      </c>
      <c r="J113" s="99">
        <f>J107</f>
        <v>0</v>
      </c>
      <c r="K113" s="99">
        <f>K107</f>
        <v>0</v>
      </c>
      <c r="L113" s="427"/>
      <c r="M113" s="111"/>
    </row>
    <row r="114" spans="1:13" s="140" customFormat="1" ht="75" customHeight="1">
      <c r="A114" s="469" t="s">
        <v>240</v>
      </c>
      <c r="B114" s="398" t="s">
        <v>282</v>
      </c>
      <c r="C114" s="374" t="s">
        <v>241</v>
      </c>
      <c r="D114" s="470" t="s">
        <v>365</v>
      </c>
      <c r="E114" s="471"/>
      <c r="F114" s="471"/>
      <c r="G114" s="472"/>
      <c r="H114" s="99">
        <f>H115+H116</f>
        <v>20902.575000000001</v>
      </c>
      <c r="I114" s="99">
        <f>I115+I116</f>
        <v>6210.2</v>
      </c>
      <c r="J114" s="99">
        <f>J115+J116</f>
        <v>7111.8</v>
      </c>
      <c r="K114" s="99">
        <f>K115+K116</f>
        <v>7580.5749999999998</v>
      </c>
      <c r="L114" s="586" t="s">
        <v>151</v>
      </c>
      <c r="M114" s="111"/>
    </row>
    <row r="115" spans="1:13" s="140" customFormat="1" ht="75" customHeight="1">
      <c r="A115" s="469"/>
      <c r="B115" s="399"/>
      <c r="C115" s="393"/>
      <c r="D115" s="429" t="s">
        <v>31</v>
      </c>
      <c r="E115" s="374" t="s">
        <v>78</v>
      </c>
      <c r="F115" s="442" t="s">
        <v>222</v>
      </c>
      <c r="G115" s="308" t="s">
        <v>446</v>
      </c>
      <c r="H115" s="99">
        <f>I115+J115+K115</f>
        <v>19770.375</v>
      </c>
      <c r="I115" s="100">
        <f>4969+109</f>
        <v>5078</v>
      </c>
      <c r="J115" s="100">
        <f>7149.3-37.5</f>
        <v>7111.8</v>
      </c>
      <c r="K115" s="100">
        <f>7621.2-40.625</f>
        <v>7580.5749999999998</v>
      </c>
      <c r="L115" s="587"/>
      <c r="M115" s="111"/>
    </row>
    <row r="116" spans="1:13" s="140" customFormat="1" ht="75" customHeight="1">
      <c r="A116" s="469"/>
      <c r="B116" s="399"/>
      <c r="C116" s="375"/>
      <c r="D116" s="430"/>
      <c r="E116" s="375"/>
      <c r="F116" s="442"/>
      <c r="G116" s="308" t="s">
        <v>96</v>
      </c>
      <c r="H116" s="99">
        <f>I116+J116+K116</f>
        <v>1132.2</v>
      </c>
      <c r="I116" s="100">
        <v>1132.2</v>
      </c>
      <c r="J116" s="100">
        <v>0</v>
      </c>
      <c r="K116" s="100">
        <v>0</v>
      </c>
      <c r="L116" s="587"/>
      <c r="M116" s="111"/>
    </row>
    <row r="117" spans="1:13" s="140" customFormat="1" ht="89.25" customHeight="1">
      <c r="A117" s="469"/>
      <c r="B117" s="400"/>
      <c r="C117" s="309" t="s">
        <v>242</v>
      </c>
      <c r="D117" s="154" t="s">
        <v>31</v>
      </c>
      <c r="E117" s="41" t="s">
        <v>78</v>
      </c>
      <c r="F117" s="442"/>
      <c r="G117" s="308" t="s">
        <v>446</v>
      </c>
      <c r="H117" s="99">
        <f>I117+J117+K117</f>
        <v>1469.6</v>
      </c>
      <c r="I117" s="100">
        <v>527.79999999999995</v>
      </c>
      <c r="J117" s="100">
        <v>452.8</v>
      </c>
      <c r="K117" s="100">
        <v>489</v>
      </c>
      <c r="L117" s="588"/>
      <c r="M117" s="111"/>
    </row>
    <row r="118" spans="1:13" s="140" customFormat="1" ht="75" customHeight="1">
      <c r="A118" s="449"/>
      <c r="B118" s="449"/>
      <c r="C118" s="449"/>
      <c r="D118" s="449"/>
      <c r="E118" s="398" t="s">
        <v>284</v>
      </c>
      <c r="F118" s="442"/>
      <c r="G118" s="308"/>
      <c r="H118" s="99">
        <f>H114+H117</f>
        <v>22372.174999999999</v>
      </c>
      <c r="I118" s="99">
        <f>I114+I117</f>
        <v>6738</v>
      </c>
      <c r="J118" s="99">
        <f>J114+J117</f>
        <v>7564.6</v>
      </c>
      <c r="K118" s="99">
        <f>K114+K117</f>
        <v>8069.5749999999998</v>
      </c>
      <c r="L118" s="385"/>
      <c r="M118" s="111"/>
    </row>
    <row r="119" spans="1:13" s="140" customFormat="1" ht="75" customHeight="1">
      <c r="A119" s="449"/>
      <c r="B119" s="449"/>
      <c r="C119" s="449"/>
      <c r="D119" s="449"/>
      <c r="E119" s="399"/>
      <c r="F119" s="442"/>
      <c r="G119" s="308" t="s">
        <v>446</v>
      </c>
      <c r="H119" s="99">
        <f>H115+H117</f>
        <v>21239.974999999999</v>
      </c>
      <c r="I119" s="99">
        <f>I115+I117</f>
        <v>5605.8</v>
      </c>
      <c r="J119" s="99">
        <f>J115+J117</f>
        <v>7564.6</v>
      </c>
      <c r="K119" s="99">
        <f>K115+K117</f>
        <v>8069.5749999999998</v>
      </c>
      <c r="L119" s="386"/>
      <c r="M119" s="111"/>
    </row>
    <row r="120" spans="1:13" s="140" customFormat="1" ht="75" customHeight="1">
      <c r="A120" s="449"/>
      <c r="B120" s="449"/>
      <c r="C120" s="449"/>
      <c r="D120" s="449"/>
      <c r="E120" s="400"/>
      <c r="F120" s="442"/>
      <c r="G120" s="308" t="s">
        <v>96</v>
      </c>
      <c r="H120" s="99">
        <f>H116</f>
        <v>1132.2</v>
      </c>
      <c r="I120" s="99">
        <f>I116</f>
        <v>1132.2</v>
      </c>
      <c r="J120" s="99">
        <f>J116</f>
        <v>0</v>
      </c>
      <c r="K120" s="99">
        <f>K116</f>
        <v>0</v>
      </c>
      <c r="L120" s="427"/>
      <c r="M120" s="111"/>
    </row>
    <row r="121" spans="1:13" ht="75" customHeight="1">
      <c r="A121" s="422" t="s">
        <v>64</v>
      </c>
      <c r="B121" s="423"/>
      <c r="C121" s="423"/>
      <c r="D121" s="423"/>
      <c r="E121" s="423"/>
      <c r="F121" s="423"/>
      <c r="G121" s="424"/>
      <c r="H121" s="648">
        <f>H24+H83+H111+H118</f>
        <v>229755.72999999998</v>
      </c>
      <c r="I121" s="104">
        <f>I24+I83+I111+I118</f>
        <v>137253.223</v>
      </c>
      <c r="J121" s="104">
        <f>J24+J83+J111+J118</f>
        <v>46487.48</v>
      </c>
      <c r="K121" s="104">
        <f>K24+K83+K111+K118</f>
        <v>46015.026999999995</v>
      </c>
      <c r="L121" s="463"/>
      <c r="M121" s="109"/>
    </row>
    <row r="122" spans="1:13" s="140" customFormat="1" ht="75" customHeight="1">
      <c r="A122" s="573" t="s">
        <v>18</v>
      </c>
      <c r="B122" s="573"/>
      <c r="C122" s="573"/>
      <c r="D122" s="573"/>
      <c r="E122" s="573"/>
      <c r="F122" s="574"/>
      <c r="G122" s="157" t="s">
        <v>446</v>
      </c>
      <c r="H122" s="115">
        <f>H24+H84+H112+H119</f>
        <v>172528.53</v>
      </c>
      <c r="I122" s="115">
        <f>I24+I84+I112+I119</f>
        <v>81526.022999999986</v>
      </c>
      <c r="J122" s="115">
        <f>J24+J84+J112+J119</f>
        <v>46487.48</v>
      </c>
      <c r="K122" s="115">
        <f>K24+K84+K112+K119</f>
        <v>46015.026999999995</v>
      </c>
      <c r="L122" s="464"/>
      <c r="M122" s="111"/>
    </row>
    <row r="123" spans="1:13" s="140" customFormat="1" ht="112.5" customHeight="1">
      <c r="A123" s="576"/>
      <c r="B123" s="576"/>
      <c r="C123" s="576"/>
      <c r="D123" s="576"/>
      <c r="E123" s="576"/>
      <c r="F123" s="577"/>
      <c r="G123" s="157" t="s">
        <v>96</v>
      </c>
      <c r="H123" s="115">
        <f>H120+H113+H85</f>
        <v>52839.700000000004</v>
      </c>
      <c r="I123" s="115">
        <f>I120+I113+I85</f>
        <v>52839.700000000004</v>
      </c>
      <c r="J123" s="115">
        <f>J120+J113+J85</f>
        <v>0</v>
      </c>
      <c r="K123" s="115">
        <f>K120+K113+K85</f>
        <v>0</v>
      </c>
      <c r="L123" s="464"/>
      <c r="M123" s="111"/>
    </row>
    <row r="124" spans="1:13" s="140" customFormat="1" ht="168.75" customHeight="1">
      <c r="A124" s="576"/>
      <c r="B124" s="576"/>
      <c r="C124" s="576"/>
      <c r="D124" s="576"/>
      <c r="E124" s="576"/>
      <c r="F124" s="577"/>
      <c r="G124" s="158" t="s">
        <v>99</v>
      </c>
      <c r="H124" s="115">
        <f t="shared" ref="H124:K125" si="4">H86</f>
        <v>2827.5</v>
      </c>
      <c r="I124" s="115">
        <f t="shared" si="4"/>
        <v>2827.5</v>
      </c>
      <c r="J124" s="115">
        <f t="shared" si="4"/>
        <v>0</v>
      </c>
      <c r="K124" s="115">
        <f t="shared" si="4"/>
        <v>0</v>
      </c>
      <c r="L124" s="464"/>
      <c r="M124" s="111"/>
    </row>
    <row r="125" spans="1:13" s="140" customFormat="1" ht="75" customHeight="1">
      <c r="A125" s="579"/>
      <c r="B125" s="579"/>
      <c r="C125" s="579"/>
      <c r="D125" s="579"/>
      <c r="E125" s="579"/>
      <c r="F125" s="580"/>
      <c r="G125" s="159" t="s">
        <v>344</v>
      </c>
      <c r="H125" s="115">
        <f t="shared" si="4"/>
        <v>60</v>
      </c>
      <c r="I125" s="115">
        <f t="shared" si="4"/>
        <v>60</v>
      </c>
      <c r="J125" s="115">
        <f t="shared" si="4"/>
        <v>0</v>
      </c>
      <c r="K125" s="115">
        <f t="shared" si="4"/>
        <v>0</v>
      </c>
      <c r="L125" s="464"/>
      <c r="M125" s="111"/>
    </row>
    <row r="126" spans="1:13" s="140" customFormat="1" ht="75" customHeight="1">
      <c r="A126" s="454" t="s">
        <v>290</v>
      </c>
      <c r="B126" s="455"/>
      <c r="C126" s="455"/>
      <c r="D126" s="456"/>
      <c r="E126" s="450" t="s">
        <v>82</v>
      </c>
      <c r="F126" s="404"/>
      <c r="G126" s="321" t="s">
        <v>97</v>
      </c>
      <c r="H126" s="104">
        <f>SUM(H127:H130)</f>
        <v>39387.53</v>
      </c>
      <c r="I126" s="104">
        <f>SUM(I127:I130)</f>
        <v>28290.43</v>
      </c>
      <c r="J126" s="104">
        <f>SUM(J127:J130)</f>
        <v>0</v>
      </c>
      <c r="K126" s="104">
        <f>SUM(K127:K130)</f>
        <v>5025.8999999999996</v>
      </c>
      <c r="L126" s="464"/>
      <c r="M126" s="111"/>
    </row>
    <row r="127" spans="1:13" ht="75" customHeight="1">
      <c r="A127" s="457"/>
      <c r="B127" s="458"/>
      <c r="C127" s="458"/>
      <c r="D127" s="459"/>
      <c r="E127" s="450"/>
      <c r="F127" s="405"/>
      <c r="G127" s="308" t="s">
        <v>446</v>
      </c>
      <c r="H127" s="116">
        <f>H90</f>
        <v>26694.73</v>
      </c>
      <c r="I127" s="116">
        <f>I90</f>
        <v>15597.63</v>
      </c>
      <c r="J127" s="116">
        <f>J882</f>
        <v>0</v>
      </c>
      <c r="K127" s="116">
        <f>K90</f>
        <v>5025.8999999999996</v>
      </c>
      <c r="L127" s="464"/>
      <c r="M127" s="109"/>
    </row>
    <row r="128" spans="1:13" ht="177.75" customHeight="1">
      <c r="A128" s="457"/>
      <c r="B128" s="458"/>
      <c r="C128" s="458"/>
      <c r="D128" s="459"/>
      <c r="E128" s="450"/>
      <c r="F128" s="405"/>
      <c r="G128" s="308" t="str">
        <f>G33</f>
        <v>Субвенція з місцевого бюджету на здійснення переданих видатків у сфері охорони здоров'я за рахунок коштів медичної субвенції (загальний фонд)</v>
      </c>
      <c r="H128" s="100">
        <f t="shared" ref="H128:K129" si="5">H92</f>
        <v>147.19999999999999</v>
      </c>
      <c r="I128" s="100">
        <f t="shared" si="5"/>
        <v>147.19999999999999</v>
      </c>
      <c r="J128" s="100">
        <f t="shared" si="5"/>
        <v>0</v>
      </c>
      <c r="K128" s="100">
        <f t="shared" si="5"/>
        <v>0</v>
      </c>
      <c r="L128" s="464"/>
      <c r="M128" s="109"/>
    </row>
    <row r="129" spans="1:13" ht="81" customHeight="1">
      <c r="A129" s="457"/>
      <c r="B129" s="458"/>
      <c r="C129" s="458"/>
      <c r="D129" s="459"/>
      <c r="E129" s="450"/>
      <c r="F129" s="405"/>
      <c r="G129" s="308" t="s">
        <v>344</v>
      </c>
      <c r="H129" s="116">
        <f t="shared" si="5"/>
        <v>60</v>
      </c>
      <c r="I129" s="116">
        <f t="shared" si="5"/>
        <v>60</v>
      </c>
      <c r="J129" s="116">
        <f t="shared" si="5"/>
        <v>0</v>
      </c>
      <c r="K129" s="116">
        <f t="shared" si="5"/>
        <v>0</v>
      </c>
      <c r="L129" s="464"/>
      <c r="M129" s="109"/>
    </row>
    <row r="130" spans="1:13" ht="75" customHeight="1">
      <c r="A130" s="457"/>
      <c r="B130" s="458"/>
      <c r="C130" s="458"/>
      <c r="D130" s="459"/>
      <c r="E130" s="450"/>
      <c r="F130" s="405"/>
      <c r="G130" s="308" t="s">
        <v>96</v>
      </c>
      <c r="H130" s="116">
        <f>H91</f>
        <v>12485.6</v>
      </c>
      <c r="I130" s="116">
        <f>I91</f>
        <v>12485.6</v>
      </c>
      <c r="J130" s="116">
        <f>J91</f>
        <v>0</v>
      </c>
      <c r="K130" s="116">
        <f>K91</f>
        <v>0</v>
      </c>
      <c r="L130" s="464"/>
      <c r="M130" s="109"/>
    </row>
    <row r="131" spans="1:13" ht="75" customHeight="1">
      <c r="A131" s="457"/>
      <c r="B131" s="458"/>
      <c r="C131" s="458"/>
      <c r="D131" s="459"/>
      <c r="E131" s="374" t="s">
        <v>76</v>
      </c>
      <c r="F131" s="405"/>
      <c r="G131" s="321" t="s">
        <v>97</v>
      </c>
      <c r="H131" s="104">
        <f>SUM(H132:H133)</f>
        <v>37542.879999999997</v>
      </c>
      <c r="I131" s="104">
        <f>SUM(I132:I133)</f>
        <v>19021.3</v>
      </c>
      <c r="J131" s="104">
        <f>SUM(J132:J133)</f>
        <v>8928.2799999999988</v>
      </c>
      <c r="K131" s="104">
        <f>SUM(K132:K133)</f>
        <v>9593.2999999999993</v>
      </c>
      <c r="L131" s="464"/>
      <c r="M131" s="109"/>
    </row>
    <row r="132" spans="1:13" ht="75" customHeight="1">
      <c r="A132" s="457"/>
      <c r="B132" s="458"/>
      <c r="C132" s="458"/>
      <c r="D132" s="459"/>
      <c r="E132" s="393"/>
      <c r="F132" s="405"/>
      <c r="G132" s="308" t="s">
        <v>446</v>
      </c>
      <c r="H132" s="116">
        <f t="shared" ref="H132:K133" si="6">H95</f>
        <v>29382.78</v>
      </c>
      <c r="I132" s="116">
        <f t="shared" si="6"/>
        <v>10861.199999999999</v>
      </c>
      <c r="J132" s="116">
        <f t="shared" si="6"/>
        <v>8928.2799999999988</v>
      </c>
      <c r="K132" s="116">
        <f t="shared" si="6"/>
        <v>9593.2999999999993</v>
      </c>
      <c r="L132" s="464"/>
      <c r="M132" s="109"/>
    </row>
    <row r="133" spans="1:13" ht="75" customHeight="1">
      <c r="A133" s="457"/>
      <c r="B133" s="458"/>
      <c r="C133" s="458"/>
      <c r="D133" s="459"/>
      <c r="E133" s="375"/>
      <c r="F133" s="405"/>
      <c r="G133" s="327" t="s">
        <v>96</v>
      </c>
      <c r="H133" s="116">
        <f t="shared" si="6"/>
        <v>8160.1</v>
      </c>
      <c r="I133" s="116">
        <f t="shared" si="6"/>
        <v>8160.1</v>
      </c>
      <c r="J133" s="116">
        <f t="shared" si="6"/>
        <v>0</v>
      </c>
      <c r="K133" s="116">
        <f t="shared" si="6"/>
        <v>0</v>
      </c>
      <c r="L133" s="464"/>
      <c r="M133" s="109"/>
    </row>
    <row r="134" spans="1:13" ht="75" customHeight="1">
      <c r="A134" s="457"/>
      <c r="B134" s="458"/>
      <c r="C134" s="458"/>
      <c r="D134" s="459"/>
      <c r="E134" s="374" t="s">
        <v>77</v>
      </c>
      <c r="F134" s="405"/>
      <c r="G134" s="321" t="s">
        <v>97</v>
      </c>
      <c r="H134" s="104">
        <f>SUM(H135:H137)</f>
        <v>47663.11</v>
      </c>
      <c r="I134" s="104">
        <f>SUM(I135:I137)</f>
        <v>33332.700000000004</v>
      </c>
      <c r="J134" s="104">
        <f>SUM(J135:J137)</f>
        <v>6896.57</v>
      </c>
      <c r="K134" s="104">
        <f>SUM(K135:K137)</f>
        <v>7433.84</v>
      </c>
      <c r="L134" s="464"/>
      <c r="M134" s="109"/>
    </row>
    <row r="135" spans="1:13" ht="75" customHeight="1">
      <c r="A135" s="457"/>
      <c r="B135" s="458"/>
      <c r="C135" s="458"/>
      <c r="D135" s="459"/>
      <c r="E135" s="393"/>
      <c r="F135" s="405"/>
      <c r="G135" s="308" t="s">
        <v>446</v>
      </c>
      <c r="H135" s="116">
        <f t="shared" ref="H135:K137" si="7">H98</f>
        <v>32116.61</v>
      </c>
      <c r="I135" s="116">
        <f t="shared" si="7"/>
        <v>17786.2</v>
      </c>
      <c r="J135" s="116">
        <f t="shared" si="7"/>
        <v>6896.57</v>
      </c>
      <c r="K135" s="116">
        <f t="shared" si="7"/>
        <v>7433.84</v>
      </c>
      <c r="L135" s="464"/>
      <c r="M135" s="109"/>
    </row>
    <row r="136" spans="1:13" ht="75" customHeight="1">
      <c r="A136" s="457"/>
      <c r="B136" s="458"/>
      <c r="C136" s="458"/>
      <c r="D136" s="459"/>
      <c r="E136" s="393"/>
      <c r="F136" s="405"/>
      <c r="G136" s="327" t="s">
        <v>96</v>
      </c>
      <c r="H136" s="116">
        <f t="shared" si="7"/>
        <v>12866.2</v>
      </c>
      <c r="I136" s="116">
        <f t="shared" si="7"/>
        <v>12866.2</v>
      </c>
      <c r="J136" s="116">
        <f t="shared" si="7"/>
        <v>0</v>
      </c>
      <c r="K136" s="116">
        <f t="shared" si="7"/>
        <v>0</v>
      </c>
      <c r="L136" s="464"/>
      <c r="M136" s="109"/>
    </row>
    <row r="137" spans="1:13" ht="168.75" customHeight="1">
      <c r="A137" s="457"/>
      <c r="B137" s="458"/>
      <c r="C137" s="458"/>
      <c r="D137" s="459"/>
      <c r="E137" s="375"/>
      <c r="F137" s="405"/>
      <c r="G137" s="311" t="s">
        <v>99</v>
      </c>
      <c r="H137" s="116">
        <f t="shared" si="7"/>
        <v>2680.3</v>
      </c>
      <c r="I137" s="116">
        <f t="shared" si="7"/>
        <v>2680.3</v>
      </c>
      <c r="J137" s="116">
        <f t="shared" si="7"/>
        <v>0</v>
      </c>
      <c r="K137" s="116">
        <f t="shared" si="7"/>
        <v>0</v>
      </c>
      <c r="L137" s="464"/>
      <c r="M137" s="109"/>
    </row>
    <row r="138" spans="1:13" ht="75" customHeight="1">
      <c r="A138" s="457"/>
      <c r="B138" s="458"/>
      <c r="C138" s="458"/>
      <c r="D138" s="459"/>
      <c r="E138" s="374" t="s">
        <v>75</v>
      </c>
      <c r="F138" s="405"/>
      <c r="G138" s="321" t="s">
        <v>97</v>
      </c>
      <c r="H138" s="104">
        <f>SUM(H139:H140)</f>
        <v>47734.004999999997</v>
      </c>
      <c r="I138" s="104">
        <f>SUM(I139:I140)</f>
        <v>31360.183000000001</v>
      </c>
      <c r="J138" s="104">
        <f>SUM(J139:J140)</f>
        <v>8771.43</v>
      </c>
      <c r="K138" s="104">
        <f>SUM(K139:K140)</f>
        <v>7602.3920000000007</v>
      </c>
      <c r="L138" s="464"/>
      <c r="M138" s="109"/>
    </row>
    <row r="139" spans="1:13" ht="75" customHeight="1">
      <c r="A139" s="457"/>
      <c r="B139" s="458"/>
      <c r="C139" s="458"/>
      <c r="D139" s="459"/>
      <c r="E139" s="393"/>
      <c r="F139" s="405"/>
      <c r="G139" s="327" t="s">
        <v>446</v>
      </c>
      <c r="H139" s="116">
        <f t="shared" ref="H139:K140" si="8">H102</f>
        <v>35886.004999999997</v>
      </c>
      <c r="I139" s="116">
        <f t="shared" si="8"/>
        <v>19512.183000000001</v>
      </c>
      <c r="J139" s="116">
        <f t="shared" si="8"/>
        <v>8771.43</v>
      </c>
      <c r="K139" s="116">
        <f t="shared" si="8"/>
        <v>7602.3920000000007</v>
      </c>
      <c r="L139" s="464"/>
      <c r="M139" s="109"/>
    </row>
    <row r="140" spans="1:13" ht="75" customHeight="1">
      <c r="A140" s="457"/>
      <c r="B140" s="458"/>
      <c r="C140" s="458"/>
      <c r="D140" s="459"/>
      <c r="E140" s="375"/>
      <c r="F140" s="405"/>
      <c r="G140" s="327" t="s">
        <v>96</v>
      </c>
      <c r="H140" s="116">
        <f t="shared" si="8"/>
        <v>11848</v>
      </c>
      <c r="I140" s="116">
        <f t="shared" si="8"/>
        <v>11848</v>
      </c>
      <c r="J140" s="116">
        <f t="shared" si="8"/>
        <v>0</v>
      </c>
      <c r="K140" s="116">
        <f t="shared" si="8"/>
        <v>0</v>
      </c>
      <c r="L140" s="464"/>
      <c r="M140" s="109"/>
    </row>
    <row r="141" spans="1:13" ht="75" customHeight="1">
      <c r="A141" s="457"/>
      <c r="B141" s="458"/>
      <c r="C141" s="458"/>
      <c r="D141" s="459"/>
      <c r="E141" s="374" t="s">
        <v>79</v>
      </c>
      <c r="F141" s="405"/>
      <c r="G141" s="321" t="s">
        <v>97</v>
      </c>
      <c r="H141" s="104">
        <f>SUM(H142:H143)</f>
        <v>19383.72</v>
      </c>
      <c r="I141" s="104">
        <f>SUM(I142:I143)</f>
        <v>12611</v>
      </c>
      <c r="J141" s="104">
        <f>SUM(J142:J143)</f>
        <v>3258.8</v>
      </c>
      <c r="K141" s="104">
        <f>SUM(K142:K143)</f>
        <v>3513.92</v>
      </c>
      <c r="L141" s="464"/>
      <c r="M141" s="109"/>
    </row>
    <row r="142" spans="1:13" ht="75" customHeight="1">
      <c r="A142" s="457"/>
      <c r="B142" s="458"/>
      <c r="C142" s="458"/>
      <c r="D142" s="459"/>
      <c r="E142" s="393"/>
      <c r="F142" s="405"/>
      <c r="G142" s="327" t="s">
        <v>446</v>
      </c>
      <c r="H142" s="116">
        <f t="shared" ref="H142:K143" si="9">H112</f>
        <v>13036.12</v>
      </c>
      <c r="I142" s="116">
        <f t="shared" si="9"/>
        <v>6263.4000000000005</v>
      </c>
      <c r="J142" s="116">
        <f t="shared" si="9"/>
        <v>3258.8</v>
      </c>
      <c r="K142" s="116">
        <f t="shared" si="9"/>
        <v>3513.92</v>
      </c>
      <c r="L142" s="464"/>
      <c r="M142" s="109"/>
    </row>
    <row r="143" spans="1:13" ht="75" customHeight="1">
      <c r="A143" s="457"/>
      <c r="B143" s="458"/>
      <c r="C143" s="458"/>
      <c r="D143" s="459"/>
      <c r="E143" s="375"/>
      <c r="F143" s="405"/>
      <c r="G143" s="327" t="s">
        <v>96</v>
      </c>
      <c r="H143" s="116">
        <f t="shared" si="9"/>
        <v>6347.6</v>
      </c>
      <c r="I143" s="116">
        <f t="shared" si="9"/>
        <v>6347.6</v>
      </c>
      <c r="J143" s="116">
        <f t="shared" si="9"/>
        <v>0</v>
      </c>
      <c r="K143" s="116">
        <f t="shared" si="9"/>
        <v>0</v>
      </c>
      <c r="L143" s="464"/>
      <c r="M143" s="109"/>
    </row>
    <row r="144" spans="1:13" ht="75" customHeight="1">
      <c r="A144" s="457"/>
      <c r="B144" s="458"/>
      <c r="C144" s="458"/>
      <c r="D144" s="459"/>
      <c r="E144" s="374" t="s">
        <v>78</v>
      </c>
      <c r="F144" s="405"/>
      <c r="G144" s="321" t="s">
        <v>97</v>
      </c>
      <c r="H144" s="104">
        <f>SUM(H145:H146)</f>
        <v>22372.174999999999</v>
      </c>
      <c r="I144" s="104">
        <f>SUM(I145:I146)</f>
        <v>6738</v>
      </c>
      <c r="J144" s="104">
        <f>SUM(J145:J146)</f>
        <v>7564.6</v>
      </c>
      <c r="K144" s="104">
        <f>SUM(K145:K146)</f>
        <v>8069.5749999999998</v>
      </c>
      <c r="L144" s="464"/>
      <c r="M144" s="109"/>
    </row>
    <row r="145" spans="1:18" ht="75" customHeight="1">
      <c r="A145" s="457"/>
      <c r="B145" s="458"/>
      <c r="C145" s="458"/>
      <c r="D145" s="459"/>
      <c r="E145" s="393"/>
      <c r="F145" s="405"/>
      <c r="G145" s="327" t="s">
        <v>446</v>
      </c>
      <c r="H145" s="116">
        <f t="shared" ref="H145:K146" si="10">H119</f>
        <v>21239.974999999999</v>
      </c>
      <c r="I145" s="116">
        <f t="shared" si="10"/>
        <v>5605.8</v>
      </c>
      <c r="J145" s="116">
        <f t="shared" si="10"/>
        <v>7564.6</v>
      </c>
      <c r="K145" s="116">
        <f t="shared" si="10"/>
        <v>8069.5749999999998</v>
      </c>
      <c r="L145" s="464"/>
      <c r="M145" s="109"/>
    </row>
    <row r="146" spans="1:18" ht="75" customHeight="1">
      <c r="A146" s="457"/>
      <c r="B146" s="458"/>
      <c r="C146" s="458"/>
      <c r="D146" s="459"/>
      <c r="E146" s="375"/>
      <c r="F146" s="405"/>
      <c r="G146" s="327" t="s">
        <v>96</v>
      </c>
      <c r="H146" s="116">
        <f t="shared" si="10"/>
        <v>1132.2</v>
      </c>
      <c r="I146" s="116">
        <f t="shared" si="10"/>
        <v>1132.2</v>
      </c>
      <c r="J146" s="116">
        <f t="shared" si="10"/>
        <v>0</v>
      </c>
      <c r="K146" s="116">
        <f t="shared" si="10"/>
        <v>0</v>
      </c>
      <c r="L146" s="464"/>
      <c r="M146" s="109"/>
    </row>
    <row r="147" spans="1:18" ht="75" customHeight="1">
      <c r="A147" s="457"/>
      <c r="B147" s="458"/>
      <c r="C147" s="458"/>
      <c r="D147" s="459"/>
      <c r="E147" s="41" t="s">
        <v>80</v>
      </c>
      <c r="F147" s="405"/>
      <c r="G147" s="327" t="s">
        <v>446</v>
      </c>
      <c r="H147" s="104">
        <f t="shared" ref="H147:K148" si="11">H25</f>
        <v>5916.0000000000009</v>
      </c>
      <c r="I147" s="104">
        <f t="shared" si="11"/>
        <v>1511</v>
      </c>
      <c r="J147" s="104">
        <f t="shared" si="11"/>
        <v>2122.1999999999998</v>
      </c>
      <c r="K147" s="104">
        <f t="shared" si="11"/>
        <v>2282.7999999999997</v>
      </c>
      <c r="L147" s="464"/>
      <c r="M147" s="109"/>
    </row>
    <row r="148" spans="1:18" ht="75" customHeight="1">
      <c r="A148" s="457"/>
      <c r="B148" s="458"/>
      <c r="C148" s="458"/>
      <c r="D148" s="459"/>
      <c r="E148" s="309" t="s">
        <v>81</v>
      </c>
      <c r="F148" s="405"/>
      <c r="G148" s="327" t="s">
        <v>446</v>
      </c>
      <c r="H148" s="104">
        <f t="shared" si="11"/>
        <v>6357.5099999999993</v>
      </c>
      <c r="I148" s="104">
        <f t="shared" si="11"/>
        <v>1388.61</v>
      </c>
      <c r="J148" s="104">
        <f t="shared" si="11"/>
        <v>2475.6000000000004</v>
      </c>
      <c r="K148" s="104">
        <f t="shared" si="11"/>
        <v>2493.3000000000002</v>
      </c>
      <c r="L148" s="464"/>
      <c r="M148" s="109"/>
    </row>
    <row r="149" spans="1:18" ht="75" customHeight="1">
      <c r="A149" s="460"/>
      <c r="B149" s="461"/>
      <c r="C149" s="461"/>
      <c r="D149" s="462"/>
      <c r="E149" s="309" t="s">
        <v>425</v>
      </c>
      <c r="F149" s="406"/>
      <c r="G149" s="327" t="s">
        <v>446</v>
      </c>
      <c r="H149" s="104">
        <f>H104</f>
        <v>3000</v>
      </c>
      <c r="I149" s="104">
        <f>I104</f>
        <v>3000</v>
      </c>
      <c r="J149" s="104">
        <f>J104</f>
        <v>0</v>
      </c>
      <c r="K149" s="104">
        <f>K104</f>
        <v>0</v>
      </c>
      <c r="L149" s="465"/>
      <c r="M149" s="109"/>
    </row>
    <row r="150" spans="1:18" ht="48" customHeight="1">
      <c r="A150" s="422" t="s">
        <v>223</v>
      </c>
      <c r="B150" s="423"/>
      <c r="C150" s="423"/>
      <c r="D150" s="423"/>
      <c r="E150" s="423"/>
      <c r="F150" s="423"/>
      <c r="G150" s="423"/>
      <c r="H150" s="423"/>
      <c r="I150" s="423"/>
      <c r="J150" s="423"/>
      <c r="K150" s="423"/>
      <c r="L150" s="424"/>
    </row>
    <row r="151" spans="1:18" ht="310.5" customHeight="1">
      <c r="A151" s="449" t="s">
        <v>232</v>
      </c>
      <c r="B151" s="428" t="s">
        <v>224</v>
      </c>
      <c r="C151" s="450" t="s">
        <v>243</v>
      </c>
      <c r="D151" s="422" t="s">
        <v>366</v>
      </c>
      <c r="E151" s="423"/>
      <c r="F151" s="423"/>
      <c r="G151" s="424"/>
      <c r="H151" s="104">
        <f>SUM(H152:H153)</f>
        <v>16126.574089599999</v>
      </c>
      <c r="I151" s="104">
        <f>SUM(I152:I153)</f>
        <v>5194</v>
      </c>
      <c r="J151" s="104">
        <f>SUM(J152:J153)</f>
        <v>5234.409599999999</v>
      </c>
      <c r="K151" s="104">
        <f>SUM(K152:K153)</f>
        <v>5698.1644895999998</v>
      </c>
      <c r="L151" s="414" t="s">
        <v>287</v>
      </c>
    </row>
    <row r="152" spans="1:18" ht="179.25" customHeight="1">
      <c r="A152" s="449"/>
      <c r="B152" s="428"/>
      <c r="C152" s="450"/>
      <c r="D152" s="25" t="s">
        <v>33</v>
      </c>
      <c r="E152" s="160" t="s">
        <v>80</v>
      </c>
      <c r="F152" s="418" t="s">
        <v>222</v>
      </c>
      <c r="G152" s="418" t="s">
        <v>446</v>
      </c>
      <c r="H152" s="99">
        <f>I152+J152+K152</f>
        <v>7318.1826335999995</v>
      </c>
      <c r="I152" s="100">
        <v>2331.3000000000002</v>
      </c>
      <c r="J152" s="100">
        <v>2387.7535999999996</v>
      </c>
      <c r="K152" s="100">
        <v>2599.1290335999997</v>
      </c>
      <c r="L152" s="414"/>
      <c r="M152" s="100">
        <f>J151+J158-J159+J154+J18+J21</f>
        <v>15183.8</v>
      </c>
      <c r="N152" s="161">
        <v>5600</v>
      </c>
      <c r="O152" s="8">
        <v>5975.2</v>
      </c>
      <c r="Q152" s="162">
        <f>N152-J160</f>
        <v>2387.7535999999996</v>
      </c>
      <c r="R152" s="162">
        <f>O152-K160</f>
        <v>2599.1290335999997</v>
      </c>
    </row>
    <row r="153" spans="1:18" ht="88.5" customHeight="1">
      <c r="A153" s="449"/>
      <c r="B153" s="428"/>
      <c r="C153" s="450"/>
      <c r="D153" s="25" t="s">
        <v>33</v>
      </c>
      <c r="E153" s="160" t="s">
        <v>81</v>
      </c>
      <c r="F153" s="418"/>
      <c r="G153" s="418"/>
      <c r="H153" s="99">
        <f>I153+J153+K153</f>
        <v>8808.3914559999994</v>
      </c>
      <c r="I153" s="100">
        <v>2862.7</v>
      </c>
      <c r="J153" s="100">
        <v>2846.6559999999999</v>
      </c>
      <c r="K153" s="100">
        <v>3099.0354559999996</v>
      </c>
      <c r="L153" s="414"/>
      <c r="M153" s="100">
        <f>J154+J18</f>
        <v>2070</v>
      </c>
      <c r="N153" s="161">
        <v>6700</v>
      </c>
      <c r="O153" s="8">
        <v>7148.9</v>
      </c>
      <c r="Q153" s="162">
        <f>N153-J161</f>
        <v>2846.6559999999999</v>
      </c>
      <c r="R153" s="162">
        <f>O153-K161</f>
        <v>3099.0354559999996</v>
      </c>
    </row>
    <row r="154" spans="1:18" s="140" customFormat="1" ht="75" customHeight="1">
      <c r="A154" s="449"/>
      <c r="B154" s="428"/>
      <c r="C154" s="451" t="s">
        <v>244</v>
      </c>
      <c r="D154" s="448" t="s">
        <v>367</v>
      </c>
      <c r="E154" s="448"/>
      <c r="F154" s="448"/>
      <c r="G154" s="448"/>
      <c r="H154" s="99">
        <f>H155+H156</f>
        <v>2688.9522999999999</v>
      </c>
      <c r="I154" s="99">
        <f>I155+I156</f>
        <v>833.40000000000009</v>
      </c>
      <c r="J154" s="99">
        <f>J155+J156</f>
        <v>900.7</v>
      </c>
      <c r="K154" s="99">
        <f>K155+K156</f>
        <v>954.85230000000001</v>
      </c>
      <c r="L154" s="450" t="s">
        <v>46</v>
      </c>
      <c r="M154" s="111"/>
      <c r="N154" s="140">
        <v>6700</v>
      </c>
      <c r="O154" s="140">
        <v>7148.9</v>
      </c>
    </row>
    <row r="155" spans="1:18" ht="75" customHeight="1">
      <c r="A155" s="449"/>
      <c r="B155" s="428"/>
      <c r="C155" s="452"/>
      <c r="D155" s="25" t="s">
        <v>33</v>
      </c>
      <c r="E155" s="309" t="s">
        <v>80</v>
      </c>
      <c r="F155" s="418" t="s">
        <v>222</v>
      </c>
      <c r="G155" s="418" t="s">
        <v>446</v>
      </c>
      <c r="H155" s="99">
        <f>I155+J155+K155</f>
        <v>1540</v>
      </c>
      <c r="I155" s="100">
        <v>478.8</v>
      </c>
      <c r="J155" s="100">
        <v>513.4</v>
      </c>
      <c r="K155" s="100">
        <v>547.79999999999995</v>
      </c>
      <c r="L155" s="450"/>
    </row>
    <row r="156" spans="1:18" ht="87.75" customHeight="1">
      <c r="A156" s="449"/>
      <c r="B156" s="428"/>
      <c r="C156" s="453"/>
      <c r="D156" s="25" t="s">
        <v>33</v>
      </c>
      <c r="E156" s="141" t="s">
        <v>81</v>
      </c>
      <c r="F156" s="418"/>
      <c r="G156" s="418"/>
      <c r="H156" s="99">
        <f>I156+J156+K156</f>
        <v>1148.9523000000002</v>
      </c>
      <c r="I156" s="100">
        <v>354.6</v>
      </c>
      <c r="J156" s="100">
        <v>387.3</v>
      </c>
      <c r="K156" s="100">
        <f>J156*1.051</f>
        <v>407.0523</v>
      </c>
      <c r="L156" s="450"/>
    </row>
    <row r="157" spans="1:18" ht="158.25" customHeight="1">
      <c r="A157" s="449"/>
      <c r="B157" s="428"/>
      <c r="C157" s="149" t="s">
        <v>245</v>
      </c>
      <c r="D157" s="335" t="s">
        <v>29</v>
      </c>
      <c r="E157" s="309" t="s">
        <v>75</v>
      </c>
      <c r="F157" s="310" t="s">
        <v>222</v>
      </c>
      <c r="G157" s="308" t="s">
        <v>446</v>
      </c>
      <c r="H157" s="99">
        <f>I157+J157+K157</f>
        <v>900</v>
      </c>
      <c r="I157" s="100">
        <v>900</v>
      </c>
      <c r="J157" s="100"/>
      <c r="K157" s="100"/>
      <c r="L157" s="415" t="s">
        <v>72</v>
      </c>
    </row>
    <row r="158" spans="1:18" ht="75" customHeight="1">
      <c r="A158" s="449"/>
      <c r="B158" s="428"/>
      <c r="C158" s="410" t="s">
        <v>246</v>
      </c>
      <c r="D158" s="448" t="s">
        <v>368</v>
      </c>
      <c r="E158" s="448"/>
      <c r="F158" s="448"/>
      <c r="G158" s="448"/>
      <c r="H158" s="99">
        <f>SUM(H159:H161)</f>
        <v>25082.925910400001</v>
      </c>
      <c r="I158" s="99">
        <f>SUM(I159:I161)</f>
        <v>7490.9</v>
      </c>
      <c r="J158" s="99">
        <f>SUM(J159:J161)</f>
        <v>8565.590400000001</v>
      </c>
      <c r="K158" s="99">
        <f>SUM(K159:K161)</f>
        <v>9026.4355104000006</v>
      </c>
      <c r="L158" s="416"/>
    </row>
    <row r="159" spans="1:18" ht="75" customHeight="1">
      <c r="A159" s="449"/>
      <c r="B159" s="428"/>
      <c r="C159" s="411"/>
      <c r="D159" s="326" t="s">
        <v>29</v>
      </c>
      <c r="E159" s="309" t="s">
        <v>75</v>
      </c>
      <c r="F159" s="442" t="s">
        <v>17</v>
      </c>
      <c r="G159" s="418" t="s">
        <v>446</v>
      </c>
      <c r="H159" s="99">
        <f>I159+J159+K159</f>
        <v>3900.5</v>
      </c>
      <c r="I159" s="100">
        <f>600+200</f>
        <v>800</v>
      </c>
      <c r="J159" s="100">
        <v>1500</v>
      </c>
      <c r="K159" s="100">
        <v>1600.5</v>
      </c>
      <c r="L159" s="416"/>
    </row>
    <row r="160" spans="1:18" ht="75" customHeight="1">
      <c r="A160" s="449"/>
      <c r="B160" s="428"/>
      <c r="C160" s="411"/>
      <c r="D160" s="25" t="s">
        <v>36</v>
      </c>
      <c r="E160" s="309" t="s">
        <v>80</v>
      </c>
      <c r="F160" s="442"/>
      <c r="G160" s="418"/>
      <c r="H160" s="99">
        <f>I160+J160+K160</f>
        <v>9630.2173664000002</v>
      </c>
      <c r="I160" s="100">
        <v>3041.9</v>
      </c>
      <c r="J160" s="100">
        <v>3212.2464000000004</v>
      </c>
      <c r="K160" s="100">
        <v>3376.0709664000001</v>
      </c>
      <c r="L160" s="416"/>
    </row>
    <row r="161" spans="1:13" ht="75" customHeight="1">
      <c r="A161" s="449"/>
      <c r="B161" s="428"/>
      <c r="C161" s="412"/>
      <c r="D161" s="25" t="s">
        <v>36</v>
      </c>
      <c r="E161" s="141" t="s">
        <v>81</v>
      </c>
      <c r="F161" s="442"/>
      <c r="G161" s="418"/>
      <c r="H161" s="99">
        <f>I161+J161+K161</f>
        <v>11552.208544000001</v>
      </c>
      <c r="I161" s="100">
        <v>3649</v>
      </c>
      <c r="J161" s="100">
        <v>3853.3440000000001</v>
      </c>
      <c r="K161" s="100">
        <v>4049.864544</v>
      </c>
      <c r="L161" s="416"/>
    </row>
    <row r="162" spans="1:13" ht="179.25" customHeight="1">
      <c r="A162" s="449"/>
      <c r="B162" s="428"/>
      <c r="C162" s="316" t="s">
        <v>247</v>
      </c>
      <c r="D162" s="326" t="s">
        <v>29</v>
      </c>
      <c r="E162" s="309" t="s">
        <v>75</v>
      </c>
      <c r="F162" s="442"/>
      <c r="G162" s="418"/>
      <c r="H162" s="99">
        <f>I162+J162+K162</f>
        <v>420</v>
      </c>
      <c r="I162" s="100">
        <v>420</v>
      </c>
      <c r="J162" s="100"/>
      <c r="K162" s="100"/>
      <c r="L162" s="417"/>
    </row>
    <row r="163" spans="1:13" ht="75" customHeight="1">
      <c r="A163" s="449"/>
      <c r="B163" s="428"/>
      <c r="C163" s="414" t="s">
        <v>248</v>
      </c>
      <c r="D163" s="448" t="s">
        <v>369</v>
      </c>
      <c r="E163" s="448"/>
      <c r="F163" s="448"/>
      <c r="G163" s="448"/>
      <c r="H163" s="99">
        <f>H164+H165</f>
        <v>5857.9</v>
      </c>
      <c r="I163" s="99">
        <f>I164+I165</f>
        <v>1921.3</v>
      </c>
      <c r="J163" s="99">
        <f>J164+J165</f>
        <v>1906.6</v>
      </c>
      <c r="K163" s="99">
        <f>K164+K165</f>
        <v>2030</v>
      </c>
      <c r="L163" s="414" t="s">
        <v>107</v>
      </c>
    </row>
    <row r="164" spans="1:13" ht="102" customHeight="1">
      <c r="A164" s="449"/>
      <c r="B164" s="428"/>
      <c r="C164" s="414"/>
      <c r="D164" s="394" t="s">
        <v>33</v>
      </c>
      <c r="E164" s="309" t="s">
        <v>76</v>
      </c>
      <c r="F164" s="442" t="s">
        <v>222</v>
      </c>
      <c r="G164" s="418" t="s">
        <v>446</v>
      </c>
      <c r="H164" s="99">
        <f>I164+J164+K164</f>
        <v>1745.5</v>
      </c>
      <c r="I164" s="100">
        <f>573.9+0.4</f>
        <v>574.29999999999995</v>
      </c>
      <c r="J164" s="100">
        <v>566.6</v>
      </c>
      <c r="K164" s="100">
        <v>604.6</v>
      </c>
      <c r="L164" s="414"/>
    </row>
    <row r="165" spans="1:13" ht="75" customHeight="1">
      <c r="A165" s="449"/>
      <c r="B165" s="428"/>
      <c r="C165" s="414"/>
      <c r="D165" s="394"/>
      <c r="E165" s="309" t="s">
        <v>78</v>
      </c>
      <c r="F165" s="442"/>
      <c r="G165" s="418"/>
      <c r="H165" s="99">
        <f>I165+J165+K165</f>
        <v>4112.3999999999996</v>
      </c>
      <c r="I165" s="100">
        <v>1347</v>
      </c>
      <c r="J165" s="100">
        <v>1340</v>
      </c>
      <c r="K165" s="100">
        <v>1425.4</v>
      </c>
      <c r="L165" s="414"/>
    </row>
    <row r="166" spans="1:13" ht="135" customHeight="1">
      <c r="A166" s="449"/>
      <c r="B166" s="428"/>
      <c r="C166" s="309" t="s">
        <v>249</v>
      </c>
      <c r="D166" s="163" t="s">
        <v>29</v>
      </c>
      <c r="E166" s="309" t="s">
        <v>77</v>
      </c>
      <c r="F166" s="324" t="s">
        <v>222</v>
      </c>
      <c r="G166" s="311" t="s">
        <v>446</v>
      </c>
      <c r="H166" s="99">
        <f>I166+J166+K166</f>
        <v>533.4</v>
      </c>
      <c r="I166" s="100">
        <v>120</v>
      </c>
      <c r="J166" s="100">
        <v>200</v>
      </c>
      <c r="K166" s="100">
        <v>213.4</v>
      </c>
      <c r="L166" s="149" t="s">
        <v>108</v>
      </c>
    </row>
    <row r="167" spans="1:13" ht="75" customHeight="1">
      <c r="A167" s="449"/>
      <c r="B167" s="428"/>
      <c r="C167" s="413" t="s">
        <v>288</v>
      </c>
      <c r="D167" s="448" t="s">
        <v>370</v>
      </c>
      <c r="E167" s="448"/>
      <c r="F167" s="448"/>
      <c r="G167" s="448"/>
      <c r="H167" s="99">
        <f>H168+H169+H170</f>
        <v>11499.719000000001</v>
      </c>
      <c r="I167" s="99">
        <f>I168+I169+I170</f>
        <v>11499.719000000001</v>
      </c>
      <c r="J167" s="99">
        <f>J168+J169+J170</f>
        <v>0</v>
      </c>
      <c r="K167" s="99">
        <f>K168+K169+K170</f>
        <v>0</v>
      </c>
      <c r="L167" s="450" t="s">
        <v>69</v>
      </c>
    </row>
    <row r="168" spans="1:13" ht="189.75" customHeight="1">
      <c r="A168" s="449"/>
      <c r="B168" s="428"/>
      <c r="C168" s="413"/>
      <c r="D168" s="394" t="s">
        <v>34</v>
      </c>
      <c r="E168" s="414" t="s">
        <v>222</v>
      </c>
      <c r="F168" s="466"/>
      <c r="G168" s="308" t="s">
        <v>99</v>
      </c>
      <c r="H168" s="99">
        <f>I168+J168+K168</f>
        <v>1490.1</v>
      </c>
      <c r="I168" s="100">
        <v>1490.1</v>
      </c>
      <c r="J168" s="105">
        <v>0</v>
      </c>
      <c r="K168" s="100">
        <v>0</v>
      </c>
      <c r="L168" s="450"/>
    </row>
    <row r="169" spans="1:13" ht="204" customHeight="1">
      <c r="A169" s="449"/>
      <c r="B169" s="428"/>
      <c r="C169" s="413"/>
      <c r="D169" s="394"/>
      <c r="E169" s="414"/>
      <c r="F169" s="466"/>
      <c r="G169" s="308" t="s">
        <v>100</v>
      </c>
      <c r="H169" s="99">
        <f>I169+J169+K169</f>
        <v>6609.6190000000006</v>
      </c>
      <c r="I169" s="100">
        <f>4342.569+2267.05</f>
        <v>6609.6190000000006</v>
      </c>
      <c r="J169" s="105">
        <v>0</v>
      </c>
      <c r="K169" s="100">
        <v>0</v>
      </c>
      <c r="L169" s="450"/>
    </row>
    <row r="170" spans="1:13" ht="85.5" customHeight="1">
      <c r="A170" s="449"/>
      <c r="B170" s="428"/>
      <c r="C170" s="413"/>
      <c r="D170" s="394"/>
      <c r="E170" s="414"/>
      <c r="F170" s="466"/>
      <c r="G170" s="308" t="s">
        <v>448</v>
      </c>
      <c r="H170" s="99">
        <f>I170+J170+K170</f>
        <v>3400</v>
      </c>
      <c r="I170" s="100">
        <f>1600+800+1000</f>
        <v>3400</v>
      </c>
      <c r="J170" s="100">
        <v>0</v>
      </c>
      <c r="K170" s="100">
        <v>0</v>
      </c>
      <c r="L170" s="450"/>
    </row>
    <row r="171" spans="1:13" ht="75" customHeight="1">
      <c r="A171" s="449"/>
      <c r="B171" s="428"/>
      <c r="C171" s="414" t="s">
        <v>289</v>
      </c>
      <c r="D171" s="422" t="s">
        <v>371</v>
      </c>
      <c r="E171" s="423"/>
      <c r="F171" s="423"/>
      <c r="G171" s="424"/>
      <c r="H171" s="99">
        <f>SUM(H172:H176)</f>
        <v>2915.16</v>
      </c>
      <c r="I171" s="99">
        <f>SUM(I172:I176)</f>
        <v>789.51</v>
      </c>
      <c r="J171" s="99">
        <f>SUM(J172:J176)</f>
        <v>1030.3</v>
      </c>
      <c r="K171" s="99">
        <f>SUM(K172:K176)</f>
        <v>1095.3499999999999</v>
      </c>
      <c r="L171" s="414" t="s">
        <v>51</v>
      </c>
    </row>
    <row r="172" spans="1:13" s="140" customFormat="1" ht="75" customHeight="1">
      <c r="A172" s="449"/>
      <c r="B172" s="428"/>
      <c r="C172" s="414"/>
      <c r="D172" s="467" t="s">
        <v>29</v>
      </c>
      <c r="E172" s="450" t="s">
        <v>82</v>
      </c>
      <c r="F172" s="442" t="s">
        <v>17</v>
      </c>
      <c r="G172" s="308" t="s">
        <v>446</v>
      </c>
      <c r="H172" s="99">
        <f>I172+J172+K172</f>
        <v>1045.1100000000001</v>
      </c>
      <c r="I172" s="100">
        <f>307.81</f>
        <v>307.81</v>
      </c>
      <c r="J172" s="100">
        <v>356.7</v>
      </c>
      <c r="K172" s="100">
        <v>380.6</v>
      </c>
      <c r="L172" s="414"/>
      <c r="M172" s="111"/>
    </row>
    <row r="173" spans="1:13" s="140" customFormat="1" ht="170.25" customHeight="1">
      <c r="A173" s="449"/>
      <c r="B173" s="428"/>
      <c r="C173" s="414"/>
      <c r="D173" s="468"/>
      <c r="E173" s="450"/>
      <c r="F173" s="442"/>
      <c r="G173" s="308" t="s">
        <v>99</v>
      </c>
      <c r="H173" s="99">
        <f>I173+J173+K173</f>
        <v>0.6</v>
      </c>
      <c r="I173" s="100">
        <v>0.6</v>
      </c>
      <c r="J173" s="100"/>
      <c r="K173" s="100"/>
      <c r="L173" s="414"/>
      <c r="M173" s="111"/>
    </row>
    <row r="174" spans="1:13" s="140" customFormat="1" ht="75" customHeight="1">
      <c r="A174" s="449"/>
      <c r="B174" s="428"/>
      <c r="C174" s="414"/>
      <c r="D174" s="164" t="s">
        <v>29</v>
      </c>
      <c r="E174" s="309" t="s">
        <v>76</v>
      </c>
      <c r="F174" s="442"/>
      <c r="G174" s="418" t="s">
        <v>446</v>
      </c>
      <c r="H174" s="99">
        <f>I174+J174+K174</f>
        <v>1126.2</v>
      </c>
      <c r="I174" s="100">
        <f>384-96</f>
        <v>288</v>
      </c>
      <c r="J174" s="100">
        <v>405.5</v>
      </c>
      <c r="K174" s="100">
        <v>432.7</v>
      </c>
      <c r="L174" s="414"/>
      <c r="M174" s="111"/>
    </row>
    <row r="175" spans="1:13" s="140" customFormat="1" ht="75" customHeight="1">
      <c r="A175" s="449"/>
      <c r="B175" s="428"/>
      <c r="C175" s="414"/>
      <c r="D175" s="164" t="s">
        <v>29</v>
      </c>
      <c r="E175" s="309" t="s">
        <v>77</v>
      </c>
      <c r="F175" s="442"/>
      <c r="G175" s="418"/>
      <c r="H175" s="99">
        <f>I175+J175+K175</f>
        <v>689.05</v>
      </c>
      <c r="I175" s="100">
        <f>193.3-17</f>
        <v>176.3</v>
      </c>
      <c r="J175" s="100">
        <v>250</v>
      </c>
      <c r="K175" s="100">
        <f>J175*1.051</f>
        <v>262.75</v>
      </c>
      <c r="L175" s="414"/>
      <c r="M175" s="111"/>
    </row>
    <row r="176" spans="1:13" s="140" customFormat="1" ht="75" customHeight="1">
      <c r="A176" s="449"/>
      <c r="B176" s="428"/>
      <c r="C176" s="414"/>
      <c r="D176" s="164" t="s">
        <v>29</v>
      </c>
      <c r="E176" s="309" t="s">
        <v>75</v>
      </c>
      <c r="F176" s="442"/>
      <c r="G176" s="418"/>
      <c r="H176" s="99">
        <f>I176+J176+K176</f>
        <v>54.2</v>
      </c>
      <c r="I176" s="100">
        <v>16.8</v>
      </c>
      <c r="J176" s="100">
        <v>18.100000000000001</v>
      </c>
      <c r="K176" s="100">
        <v>19.3</v>
      </c>
      <c r="L176" s="414"/>
      <c r="M176" s="111"/>
    </row>
    <row r="177" spans="1:13" ht="75" customHeight="1">
      <c r="A177" s="592" t="s">
        <v>66</v>
      </c>
      <c r="B177" s="593"/>
      <c r="C177" s="593"/>
      <c r="D177" s="593"/>
      <c r="E177" s="593"/>
      <c r="F177" s="594"/>
      <c r="G177" s="321"/>
      <c r="H177" s="99">
        <f>H151+H154+H157+H158+H162+H163+H166+H167+H171</f>
        <v>66024.631300000008</v>
      </c>
      <c r="I177" s="99">
        <f>I151+I154+I157+I158+I162+I163+I166+I167+I171</f>
        <v>29168.828999999998</v>
      </c>
      <c r="J177" s="99">
        <f>J151+J154+J157+J158+J162+J163+J166+J167+J171</f>
        <v>17837.599999999999</v>
      </c>
      <c r="K177" s="99">
        <f>K151+K154+K157+K158+K162+K163+K166+K167+K171</f>
        <v>19018.202300000001</v>
      </c>
      <c r="L177" s="385"/>
    </row>
    <row r="178" spans="1:13" s="140" customFormat="1" ht="75" customHeight="1">
      <c r="A178" s="573" t="s">
        <v>18</v>
      </c>
      <c r="B178" s="573"/>
      <c r="C178" s="130"/>
      <c r="D178" s="165"/>
      <c r="E178" s="166"/>
      <c r="F178" s="167"/>
      <c r="G178" s="157" t="s">
        <v>446</v>
      </c>
      <c r="H178" s="115">
        <f>H152+H153+H155+H156+H157+H159+H160+H161+H162+H164+H165+H166+H170+H172+H174+H175+H176</f>
        <v>57924.312299999998</v>
      </c>
      <c r="I178" s="115">
        <f>I152+I153+I155+I156+I157+I159+I160+I161+I162+I164+I165+I166+I170+I172+I174+I175+I176</f>
        <v>21068.51</v>
      </c>
      <c r="J178" s="115">
        <f>J152+J153+J155+J156+J157+J159+J160+J161+J162+J164+J165+J166+J170+J172+J174+J175+J176</f>
        <v>17837.600000000002</v>
      </c>
      <c r="K178" s="115">
        <f>K152+K153+K155+K156+K157+K159+K160+K161+K162+K164+K165+K166+K170+K172+K174+K175+K176</f>
        <v>19018.202300000001</v>
      </c>
      <c r="L178" s="386"/>
      <c r="M178" s="111"/>
    </row>
    <row r="179" spans="1:13" s="140" customFormat="1" ht="181.5" customHeight="1">
      <c r="A179" s="168"/>
      <c r="B179" s="27"/>
      <c r="C179" s="166"/>
      <c r="D179" s="165"/>
      <c r="E179" s="166"/>
      <c r="F179" s="169"/>
      <c r="G179" s="158" t="s">
        <v>99</v>
      </c>
      <c r="H179" s="117">
        <f>H173+H168</f>
        <v>1490.6999999999998</v>
      </c>
      <c r="I179" s="117">
        <f>I173+I168</f>
        <v>1490.6999999999998</v>
      </c>
      <c r="J179" s="117">
        <f>J173+J168</f>
        <v>0</v>
      </c>
      <c r="K179" s="117">
        <f>K173+K168</f>
        <v>0</v>
      </c>
      <c r="L179" s="386"/>
      <c r="M179" s="111"/>
    </row>
    <row r="180" spans="1:13" s="140" customFormat="1" ht="225" customHeight="1">
      <c r="A180" s="168"/>
      <c r="B180" s="27"/>
      <c r="C180" s="166"/>
      <c r="D180" s="165"/>
      <c r="E180" s="166"/>
      <c r="F180" s="169"/>
      <c r="G180" s="159" t="s">
        <v>100</v>
      </c>
      <c r="H180" s="117">
        <f>H169</f>
        <v>6609.6190000000006</v>
      </c>
      <c r="I180" s="117">
        <f>I169</f>
        <v>6609.6190000000006</v>
      </c>
      <c r="J180" s="117">
        <f>J169</f>
        <v>0</v>
      </c>
      <c r="K180" s="117">
        <f>K169</f>
        <v>0</v>
      </c>
      <c r="L180" s="386"/>
      <c r="M180" s="111"/>
    </row>
    <row r="181" spans="1:13" s="140" customFormat="1" ht="75" customHeight="1">
      <c r="A181" s="428" t="s">
        <v>290</v>
      </c>
      <c r="B181" s="428"/>
      <c r="C181" s="428"/>
      <c r="D181" s="428"/>
      <c r="E181" s="397" t="s">
        <v>82</v>
      </c>
      <c r="F181" s="397"/>
      <c r="G181" s="170" t="s">
        <v>98</v>
      </c>
      <c r="H181" s="104">
        <f>SUM(H182:H183)</f>
        <v>1045.71</v>
      </c>
      <c r="I181" s="104">
        <f>SUM(I182:I183)</f>
        <v>308.41000000000003</v>
      </c>
      <c r="J181" s="104">
        <f>SUM(J182:J183)</f>
        <v>356.7</v>
      </c>
      <c r="K181" s="104">
        <f>SUM(K182:K183)</f>
        <v>380.6</v>
      </c>
      <c r="L181" s="386"/>
      <c r="M181" s="111"/>
    </row>
    <row r="182" spans="1:13" s="140" customFormat="1" ht="75" customHeight="1">
      <c r="A182" s="428"/>
      <c r="B182" s="428"/>
      <c r="C182" s="428"/>
      <c r="D182" s="428"/>
      <c r="E182" s="397"/>
      <c r="F182" s="397"/>
      <c r="G182" s="321" t="s">
        <v>99</v>
      </c>
      <c r="H182" s="104">
        <f>H173</f>
        <v>0.6</v>
      </c>
      <c r="I182" s="104">
        <f>I173</f>
        <v>0.6</v>
      </c>
      <c r="J182" s="104">
        <f>J173</f>
        <v>0</v>
      </c>
      <c r="K182" s="104">
        <f>K173</f>
        <v>0</v>
      </c>
      <c r="L182" s="386"/>
      <c r="M182" s="111"/>
    </row>
    <row r="183" spans="1:13" s="140" customFormat="1" ht="75" customHeight="1">
      <c r="A183" s="428"/>
      <c r="B183" s="428"/>
      <c r="C183" s="428"/>
      <c r="D183" s="428"/>
      <c r="E183" s="397"/>
      <c r="F183" s="397"/>
      <c r="G183" s="321" t="s">
        <v>446</v>
      </c>
      <c r="H183" s="104">
        <f>H172</f>
        <v>1045.1100000000001</v>
      </c>
      <c r="I183" s="104">
        <f>I172</f>
        <v>307.81</v>
      </c>
      <c r="J183" s="104">
        <f>J172</f>
        <v>356.7</v>
      </c>
      <c r="K183" s="104">
        <f>K172</f>
        <v>380.6</v>
      </c>
      <c r="L183" s="386"/>
      <c r="M183" s="111"/>
    </row>
    <row r="184" spans="1:13" ht="75" customHeight="1">
      <c r="A184" s="428"/>
      <c r="B184" s="428"/>
      <c r="C184" s="428"/>
      <c r="D184" s="428"/>
      <c r="E184" s="397" t="s">
        <v>76</v>
      </c>
      <c r="F184" s="397"/>
      <c r="G184" s="407" t="s">
        <v>446</v>
      </c>
      <c r="H184" s="104">
        <f>H174+H164</f>
        <v>2871.7</v>
      </c>
      <c r="I184" s="104">
        <f>I174+I164</f>
        <v>862.3</v>
      </c>
      <c r="J184" s="104">
        <f>J174+J164</f>
        <v>972.1</v>
      </c>
      <c r="K184" s="104">
        <f>K174+K164</f>
        <v>1037.3</v>
      </c>
      <c r="L184" s="386"/>
      <c r="M184" s="109"/>
    </row>
    <row r="185" spans="1:13" ht="75" customHeight="1">
      <c r="A185" s="428"/>
      <c r="B185" s="428"/>
      <c r="C185" s="428"/>
      <c r="D185" s="428"/>
      <c r="E185" s="397" t="s">
        <v>77</v>
      </c>
      <c r="F185" s="397"/>
      <c r="G185" s="408"/>
      <c r="H185" s="104">
        <f>H175+H166</f>
        <v>1222.4499999999998</v>
      </c>
      <c r="I185" s="104">
        <f>I175+I166</f>
        <v>296.3</v>
      </c>
      <c r="J185" s="104">
        <f>J175+J166</f>
        <v>450</v>
      </c>
      <c r="K185" s="104">
        <f>K175+K166</f>
        <v>476.15</v>
      </c>
      <c r="L185" s="386"/>
      <c r="M185" s="109"/>
    </row>
    <row r="186" spans="1:13" ht="75" customHeight="1">
      <c r="A186" s="428"/>
      <c r="B186" s="428"/>
      <c r="C186" s="428"/>
      <c r="D186" s="428"/>
      <c r="E186" s="397" t="s">
        <v>75</v>
      </c>
      <c r="F186" s="397"/>
      <c r="G186" s="408"/>
      <c r="H186" s="104">
        <f>H176+H162+H159+H157</f>
        <v>5274.7</v>
      </c>
      <c r="I186" s="104">
        <f>I176+I162+I159+I157</f>
        <v>2136.8000000000002</v>
      </c>
      <c r="J186" s="104">
        <f>J176+J162+J159+J157</f>
        <v>1518.1</v>
      </c>
      <c r="K186" s="104">
        <f>K176+K162+K159+K157</f>
        <v>1619.8</v>
      </c>
      <c r="L186" s="386"/>
      <c r="M186" s="109"/>
    </row>
    <row r="187" spans="1:13" ht="75" customHeight="1">
      <c r="A187" s="428"/>
      <c r="B187" s="428"/>
      <c r="C187" s="428"/>
      <c r="D187" s="428"/>
      <c r="E187" s="425" t="s">
        <v>78</v>
      </c>
      <c r="F187" s="426"/>
      <c r="G187" s="408"/>
      <c r="H187" s="104">
        <f>H165</f>
        <v>4112.3999999999996</v>
      </c>
      <c r="I187" s="104">
        <f>I165</f>
        <v>1347</v>
      </c>
      <c r="J187" s="104">
        <f>J165</f>
        <v>1340</v>
      </c>
      <c r="K187" s="104">
        <f>K165</f>
        <v>1425.4</v>
      </c>
      <c r="L187" s="386"/>
      <c r="M187" s="109"/>
    </row>
    <row r="188" spans="1:13" ht="75" customHeight="1">
      <c r="A188" s="428"/>
      <c r="B188" s="428"/>
      <c r="C188" s="428"/>
      <c r="D188" s="428"/>
      <c r="E188" s="397" t="s">
        <v>80</v>
      </c>
      <c r="F188" s="397"/>
      <c r="G188" s="408"/>
      <c r="H188" s="104">
        <f t="shared" ref="H188:K189" si="12">H152+H155+H160</f>
        <v>18488.400000000001</v>
      </c>
      <c r="I188" s="104">
        <f t="shared" si="12"/>
        <v>5852</v>
      </c>
      <c r="J188" s="104">
        <f t="shared" si="12"/>
        <v>6113.4</v>
      </c>
      <c r="K188" s="104">
        <f t="shared" si="12"/>
        <v>6523</v>
      </c>
      <c r="L188" s="386"/>
      <c r="M188" s="109"/>
    </row>
    <row r="189" spans="1:13" ht="75" customHeight="1">
      <c r="A189" s="428"/>
      <c r="B189" s="428"/>
      <c r="C189" s="428"/>
      <c r="D189" s="428"/>
      <c r="E189" s="397" t="s">
        <v>81</v>
      </c>
      <c r="F189" s="397"/>
      <c r="G189" s="409"/>
      <c r="H189" s="104">
        <f t="shared" si="12"/>
        <v>21509.552300000003</v>
      </c>
      <c r="I189" s="104">
        <f t="shared" si="12"/>
        <v>6866.2999999999993</v>
      </c>
      <c r="J189" s="104">
        <f t="shared" si="12"/>
        <v>7087.3</v>
      </c>
      <c r="K189" s="104">
        <f t="shared" si="12"/>
        <v>7555.952299999999</v>
      </c>
      <c r="L189" s="386"/>
      <c r="M189" s="109"/>
    </row>
    <row r="190" spans="1:13" ht="75" customHeight="1">
      <c r="A190" s="428"/>
      <c r="B190" s="428"/>
      <c r="C190" s="428"/>
      <c r="D190" s="428"/>
      <c r="E190" s="397" t="s">
        <v>54</v>
      </c>
      <c r="F190" s="397"/>
      <c r="G190" s="170" t="s">
        <v>98</v>
      </c>
      <c r="H190" s="99">
        <f>SUM(H191:H193)</f>
        <v>11499.719000000001</v>
      </c>
      <c r="I190" s="99">
        <f>SUM(I191:I193)</f>
        <v>11499.719000000001</v>
      </c>
      <c r="J190" s="99">
        <f>SUM(J191:J193)</f>
        <v>0</v>
      </c>
      <c r="K190" s="99">
        <f>SUM(K191:K193)</f>
        <v>0</v>
      </c>
      <c r="L190" s="386"/>
      <c r="M190" s="109"/>
    </row>
    <row r="191" spans="1:13" ht="168.75" customHeight="1">
      <c r="A191" s="428"/>
      <c r="B191" s="428"/>
      <c r="C191" s="428"/>
      <c r="D191" s="428"/>
      <c r="E191" s="397"/>
      <c r="F191" s="397"/>
      <c r="G191" s="321" t="s">
        <v>99</v>
      </c>
      <c r="H191" s="99">
        <f t="shared" ref="H191:K193" si="13">H168</f>
        <v>1490.1</v>
      </c>
      <c r="I191" s="99">
        <f t="shared" si="13"/>
        <v>1490.1</v>
      </c>
      <c r="J191" s="99">
        <f t="shared" si="13"/>
        <v>0</v>
      </c>
      <c r="K191" s="99">
        <f t="shared" si="13"/>
        <v>0</v>
      </c>
      <c r="L191" s="386"/>
      <c r="M191" s="109"/>
    </row>
    <row r="192" spans="1:13" ht="227.25" customHeight="1">
      <c r="A192" s="428"/>
      <c r="B192" s="428"/>
      <c r="C192" s="428"/>
      <c r="D192" s="428"/>
      <c r="E192" s="397"/>
      <c r="F192" s="397"/>
      <c r="G192" s="321" t="s">
        <v>100</v>
      </c>
      <c r="H192" s="99">
        <f t="shared" si="13"/>
        <v>6609.6190000000006</v>
      </c>
      <c r="I192" s="99">
        <f t="shared" si="13"/>
        <v>6609.6190000000006</v>
      </c>
      <c r="J192" s="99">
        <f t="shared" si="13"/>
        <v>0</v>
      </c>
      <c r="K192" s="99">
        <f t="shared" si="13"/>
        <v>0</v>
      </c>
      <c r="L192" s="386"/>
      <c r="M192" s="109"/>
    </row>
    <row r="193" spans="1:13" ht="75" customHeight="1">
      <c r="A193" s="428"/>
      <c r="B193" s="428"/>
      <c r="C193" s="428"/>
      <c r="D193" s="428"/>
      <c r="E193" s="397"/>
      <c r="F193" s="397"/>
      <c r="G193" s="321" t="s">
        <v>448</v>
      </c>
      <c r="H193" s="99">
        <f t="shared" si="13"/>
        <v>3400</v>
      </c>
      <c r="I193" s="99">
        <f t="shared" si="13"/>
        <v>3400</v>
      </c>
      <c r="J193" s="99">
        <f t="shared" si="13"/>
        <v>0</v>
      </c>
      <c r="K193" s="99">
        <f t="shared" si="13"/>
        <v>0</v>
      </c>
      <c r="L193" s="427"/>
      <c r="M193" s="109"/>
    </row>
    <row r="194" spans="1:13" ht="75" customHeight="1">
      <c r="A194" s="589" t="s">
        <v>412</v>
      </c>
      <c r="B194" s="590"/>
      <c r="C194" s="590"/>
      <c r="D194" s="590"/>
      <c r="E194" s="590"/>
      <c r="F194" s="590"/>
      <c r="G194" s="590"/>
      <c r="H194" s="590"/>
      <c r="I194" s="590"/>
      <c r="J194" s="590"/>
      <c r="K194" s="590"/>
      <c r="L194" s="591"/>
    </row>
    <row r="195" spans="1:13" ht="167.25" customHeight="1">
      <c r="A195" s="395" t="s">
        <v>250</v>
      </c>
      <c r="B195" s="398" t="s">
        <v>225</v>
      </c>
      <c r="C195" s="331" t="s">
        <v>251</v>
      </c>
      <c r="D195" s="154" t="s">
        <v>33</v>
      </c>
      <c r="E195" s="171" t="s">
        <v>54</v>
      </c>
      <c r="F195" s="332"/>
      <c r="G195" s="312" t="s">
        <v>447</v>
      </c>
      <c r="H195" s="37">
        <f>I195+J195+K195</f>
        <v>0</v>
      </c>
      <c r="I195" s="118"/>
      <c r="J195" s="118"/>
      <c r="K195" s="118"/>
      <c r="L195" s="41" t="s">
        <v>343</v>
      </c>
    </row>
    <row r="196" spans="1:13" ht="184.5" customHeight="1">
      <c r="A196" s="396"/>
      <c r="B196" s="400"/>
      <c r="C196" s="331" t="s">
        <v>339</v>
      </c>
      <c r="D196" s="154" t="s">
        <v>33</v>
      </c>
      <c r="E196" s="171" t="s">
        <v>54</v>
      </c>
      <c r="F196" s="310"/>
      <c r="G196" s="312" t="s">
        <v>447</v>
      </c>
      <c r="H196" s="37">
        <f>I196+J196+K196</f>
        <v>0</v>
      </c>
      <c r="I196" s="118">
        <v>0</v>
      </c>
      <c r="J196" s="38"/>
      <c r="K196" s="38"/>
      <c r="L196" s="41" t="s">
        <v>340</v>
      </c>
    </row>
    <row r="197" spans="1:13" ht="75" customHeight="1">
      <c r="A197" s="172"/>
      <c r="B197" s="419"/>
      <c r="C197" s="420"/>
      <c r="D197" s="421"/>
      <c r="E197" s="305" t="s">
        <v>374</v>
      </c>
      <c r="F197" s="173"/>
      <c r="G197" s="312" t="s">
        <v>447</v>
      </c>
      <c r="H197" s="37">
        <f>H195+H196</f>
        <v>0</v>
      </c>
      <c r="I197" s="37">
        <f>I195+I196</f>
        <v>0</v>
      </c>
      <c r="J197" s="37">
        <f>J195+J196</f>
        <v>0</v>
      </c>
      <c r="K197" s="37">
        <f>K195+K196</f>
        <v>0</v>
      </c>
      <c r="L197" s="41"/>
    </row>
    <row r="198" spans="1:13" ht="256.5" customHeight="1">
      <c r="A198" s="339" t="s">
        <v>252</v>
      </c>
      <c r="B198" s="40" t="s">
        <v>226</v>
      </c>
      <c r="C198" s="34" t="s">
        <v>254</v>
      </c>
      <c r="D198" s="326" t="s">
        <v>32</v>
      </c>
      <c r="E198" s="316" t="s">
        <v>17</v>
      </c>
      <c r="F198" s="336"/>
      <c r="G198" s="308" t="s">
        <v>446</v>
      </c>
      <c r="H198" s="37">
        <f>I198+J198+K198</f>
        <v>8931.2000000000007</v>
      </c>
      <c r="I198" s="38">
        <v>2894.2</v>
      </c>
      <c r="J198" s="38">
        <v>3049.3</v>
      </c>
      <c r="K198" s="38">
        <f>2931+56.7</f>
        <v>2987.7</v>
      </c>
      <c r="L198" s="41" t="s">
        <v>70</v>
      </c>
    </row>
    <row r="199" spans="1:13" ht="170.25" customHeight="1">
      <c r="A199" s="596" t="s">
        <v>253</v>
      </c>
      <c r="B199" s="428" t="s">
        <v>94</v>
      </c>
      <c r="C199" s="331" t="s">
        <v>255</v>
      </c>
      <c r="D199" s="326" t="s">
        <v>33</v>
      </c>
      <c r="E199" s="331" t="s">
        <v>54</v>
      </c>
      <c r="F199" s="310"/>
      <c r="G199" s="308" t="s">
        <v>446</v>
      </c>
      <c r="H199" s="174">
        <f>I199+J199+K199</f>
        <v>13488</v>
      </c>
      <c r="I199" s="38">
        <f>15739-1800-2951</f>
        <v>10988</v>
      </c>
      <c r="J199" s="38">
        <v>2500</v>
      </c>
      <c r="K199" s="38">
        <v>0</v>
      </c>
      <c r="L199" s="41" t="s">
        <v>373</v>
      </c>
    </row>
    <row r="200" spans="1:13" ht="75" customHeight="1">
      <c r="A200" s="596"/>
      <c r="B200" s="428"/>
      <c r="C200" s="450" t="s">
        <v>256</v>
      </c>
      <c r="D200" s="448" t="s">
        <v>372</v>
      </c>
      <c r="E200" s="448"/>
      <c r="F200" s="448"/>
      <c r="G200" s="448"/>
      <c r="H200" s="42">
        <f>H201+H202</f>
        <v>8346.89</v>
      </c>
      <c r="I200" s="39">
        <f>I201+I202</f>
        <v>8346.89</v>
      </c>
      <c r="J200" s="39">
        <f>J201+J202</f>
        <v>0</v>
      </c>
      <c r="K200" s="39">
        <f>K201+K202</f>
        <v>0</v>
      </c>
      <c r="L200" s="374" t="s">
        <v>65</v>
      </c>
      <c r="M200" s="10"/>
    </row>
    <row r="201" spans="1:13" s="11" customFormat="1" ht="231.75" customHeight="1">
      <c r="A201" s="596"/>
      <c r="B201" s="428"/>
      <c r="C201" s="450"/>
      <c r="D201" s="25" t="s">
        <v>36</v>
      </c>
      <c r="E201" s="309" t="s">
        <v>80</v>
      </c>
      <c r="F201" s="308" t="s">
        <v>17</v>
      </c>
      <c r="G201" s="308" t="s">
        <v>100</v>
      </c>
      <c r="H201" s="42">
        <f t="shared" ref="H201:H208" si="14">I201+J201+K201</f>
        <v>2.5</v>
      </c>
      <c r="I201" s="38">
        <v>2.5</v>
      </c>
      <c r="J201" s="38"/>
      <c r="K201" s="38"/>
      <c r="L201" s="393"/>
    </row>
    <row r="202" spans="1:13" s="11" customFormat="1" ht="75" customHeight="1">
      <c r="A202" s="596"/>
      <c r="B202" s="428"/>
      <c r="C202" s="450"/>
      <c r="D202" s="603" t="s">
        <v>98</v>
      </c>
      <c r="E202" s="603"/>
      <c r="F202" s="603"/>
      <c r="G202" s="603"/>
      <c r="H202" s="42">
        <f>H203+H204+H206+H207+H208+H205</f>
        <v>8344.39</v>
      </c>
      <c r="I202" s="39">
        <f>I203+I204+I206+I207+I208+I205</f>
        <v>8344.39</v>
      </c>
      <c r="J202" s="39">
        <f>J203+J204+J206+J207+J208</f>
        <v>0</v>
      </c>
      <c r="K202" s="39">
        <f>K203+K204+K206+K207+K208</f>
        <v>0</v>
      </c>
      <c r="L202" s="393"/>
    </row>
    <row r="203" spans="1:13" s="11" customFormat="1" ht="75" customHeight="1">
      <c r="A203" s="596"/>
      <c r="B203" s="428"/>
      <c r="C203" s="450"/>
      <c r="D203" s="25" t="s">
        <v>36</v>
      </c>
      <c r="E203" s="309" t="s">
        <v>80</v>
      </c>
      <c r="F203" s="418" t="s">
        <v>17</v>
      </c>
      <c r="G203" s="418" t="s">
        <v>446</v>
      </c>
      <c r="H203" s="42">
        <f t="shared" si="14"/>
        <v>241.91</v>
      </c>
      <c r="I203" s="38">
        <f>50+51.31+140.6</f>
        <v>241.91</v>
      </c>
      <c r="J203" s="38"/>
      <c r="K203" s="38"/>
      <c r="L203" s="393"/>
    </row>
    <row r="204" spans="1:13" s="11" customFormat="1" ht="75" customHeight="1">
      <c r="A204" s="596"/>
      <c r="B204" s="428"/>
      <c r="C204" s="450"/>
      <c r="D204" s="25" t="s">
        <v>36</v>
      </c>
      <c r="E204" s="309" t="s">
        <v>81</v>
      </c>
      <c r="F204" s="418"/>
      <c r="G204" s="418"/>
      <c r="H204" s="42">
        <f t="shared" si="14"/>
        <v>187.78</v>
      </c>
      <c r="I204" s="38">
        <f>50+43.38+94.4</f>
        <v>187.78</v>
      </c>
      <c r="J204" s="38"/>
      <c r="K204" s="38"/>
      <c r="L204" s="393"/>
    </row>
    <row r="205" spans="1:13" s="11" customFormat="1" ht="75" customHeight="1">
      <c r="A205" s="596"/>
      <c r="B205" s="428"/>
      <c r="C205" s="450"/>
      <c r="D205" s="25" t="s">
        <v>36</v>
      </c>
      <c r="E205" s="309" t="s">
        <v>82</v>
      </c>
      <c r="F205" s="418"/>
      <c r="G205" s="418"/>
      <c r="H205" s="42">
        <f t="shared" si="14"/>
        <v>206.8</v>
      </c>
      <c r="I205" s="38">
        <v>206.8</v>
      </c>
      <c r="J205" s="38"/>
      <c r="K205" s="38"/>
      <c r="L205" s="393"/>
    </row>
    <row r="206" spans="1:13" s="11" customFormat="1" ht="75" customHeight="1">
      <c r="A206" s="596"/>
      <c r="B206" s="428"/>
      <c r="C206" s="450"/>
      <c r="D206" s="25" t="s">
        <v>29</v>
      </c>
      <c r="E206" s="309" t="s">
        <v>76</v>
      </c>
      <c r="F206" s="418"/>
      <c r="G206" s="418"/>
      <c r="H206" s="42">
        <f t="shared" si="14"/>
        <v>1422.3</v>
      </c>
      <c r="I206" s="38">
        <f>50+571.7+307.8+492.8</f>
        <v>1422.3</v>
      </c>
      <c r="J206" s="38"/>
      <c r="K206" s="38"/>
      <c r="L206" s="393"/>
    </row>
    <row r="207" spans="1:13" s="11" customFormat="1" ht="75" customHeight="1">
      <c r="A207" s="596"/>
      <c r="B207" s="428"/>
      <c r="C207" s="450"/>
      <c r="D207" s="25" t="s">
        <v>29</v>
      </c>
      <c r="E207" s="309" t="s">
        <v>77</v>
      </c>
      <c r="F207" s="418"/>
      <c r="G207" s="418"/>
      <c r="H207" s="42">
        <f t="shared" si="14"/>
        <v>4962.2</v>
      </c>
      <c r="I207" s="38">
        <f>150+1176.7+3635.5</f>
        <v>4962.2</v>
      </c>
      <c r="J207" s="38"/>
      <c r="K207" s="38"/>
      <c r="L207" s="393"/>
    </row>
    <row r="208" spans="1:13" s="11" customFormat="1" ht="75" customHeight="1">
      <c r="A208" s="596"/>
      <c r="B208" s="428"/>
      <c r="C208" s="450"/>
      <c r="D208" s="25" t="s">
        <v>29</v>
      </c>
      <c r="E208" s="309" t="s">
        <v>75</v>
      </c>
      <c r="F208" s="418"/>
      <c r="G208" s="418"/>
      <c r="H208" s="42">
        <f t="shared" si="14"/>
        <v>1323.4</v>
      </c>
      <c r="I208" s="38">
        <v>1323.4</v>
      </c>
      <c r="J208" s="38"/>
      <c r="K208" s="38"/>
      <c r="L208" s="375"/>
    </row>
    <row r="209" spans="1:13" ht="75" customHeight="1">
      <c r="A209" s="596"/>
      <c r="B209" s="595"/>
      <c r="C209" s="595"/>
      <c r="D209" s="595"/>
      <c r="E209" s="175" t="s">
        <v>375</v>
      </c>
      <c r="F209" s="163"/>
      <c r="G209" s="163"/>
      <c r="H209" s="107">
        <f>H199+H200</f>
        <v>21834.89</v>
      </c>
      <c r="I209" s="107">
        <f>I199+I200</f>
        <v>19334.89</v>
      </c>
      <c r="J209" s="107">
        <f>J199+J200</f>
        <v>2500</v>
      </c>
      <c r="K209" s="107">
        <f>K199+K200</f>
        <v>0</v>
      </c>
      <c r="L209" s="385"/>
    </row>
    <row r="210" spans="1:13" ht="139.5" customHeight="1">
      <c r="A210" s="597"/>
      <c r="B210" s="598"/>
      <c r="C210" s="598"/>
      <c r="D210" s="598"/>
      <c r="E210" s="598"/>
      <c r="F210" s="599"/>
      <c r="G210" s="163" t="s">
        <v>446</v>
      </c>
      <c r="H210" s="107">
        <f>H199+H202</f>
        <v>21832.39</v>
      </c>
      <c r="I210" s="119">
        <f>I199+I202</f>
        <v>19332.39</v>
      </c>
      <c r="J210" s="119">
        <f>J199+J202</f>
        <v>2500</v>
      </c>
      <c r="K210" s="119">
        <f>K199+K202</f>
        <v>0</v>
      </c>
      <c r="L210" s="386"/>
    </row>
    <row r="211" spans="1:13" ht="210.75" customHeight="1">
      <c r="A211" s="600"/>
      <c r="B211" s="601"/>
      <c r="C211" s="601"/>
      <c r="D211" s="601"/>
      <c r="E211" s="601"/>
      <c r="F211" s="602"/>
      <c r="G211" s="163" t="s">
        <v>100</v>
      </c>
      <c r="H211" s="176">
        <f>H201</f>
        <v>2.5</v>
      </c>
      <c r="I211" s="120">
        <f>I201</f>
        <v>2.5</v>
      </c>
      <c r="J211" s="120">
        <f>J201</f>
        <v>0</v>
      </c>
      <c r="K211" s="120">
        <f>K201</f>
        <v>0</v>
      </c>
      <c r="L211" s="427"/>
    </row>
    <row r="212" spans="1:13" ht="60" customHeight="1">
      <c r="A212" s="592" t="s">
        <v>71</v>
      </c>
      <c r="B212" s="593"/>
      <c r="C212" s="593"/>
      <c r="D212" s="593"/>
      <c r="E212" s="593"/>
      <c r="F212" s="594"/>
      <c r="G212" s="177"/>
      <c r="H212" s="99">
        <f>H197+H198+H209</f>
        <v>30766.09</v>
      </c>
      <c r="I212" s="99">
        <f>I197+I198+I209</f>
        <v>22229.09</v>
      </c>
      <c r="J212" s="99">
        <f>J197+J198+J209</f>
        <v>5549.3</v>
      </c>
      <c r="K212" s="99">
        <f>K197+K198+K209</f>
        <v>2987.7</v>
      </c>
      <c r="L212" s="537"/>
    </row>
    <row r="213" spans="1:13" s="140" customFormat="1" ht="99.75" customHeight="1">
      <c r="A213" s="573" t="s">
        <v>18</v>
      </c>
      <c r="B213" s="573"/>
      <c r="C213" s="130"/>
      <c r="D213" s="165"/>
      <c r="E213" s="166"/>
      <c r="F213" s="167"/>
      <c r="G213" s="157" t="s">
        <v>446</v>
      </c>
      <c r="H213" s="115">
        <f>H210+H198+H197</f>
        <v>30763.59</v>
      </c>
      <c r="I213" s="115">
        <f>I210+I198+I197</f>
        <v>22226.59</v>
      </c>
      <c r="J213" s="115">
        <f>J210+J198+J197</f>
        <v>5549.3</v>
      </c>
      <c r="K213" s="115">
        <f>K210+K198+K197</f>
        <v>2987.7</v>
      </c>
      <c r="L213" s="537"/>
      <c r="M213" s="111"/>
    </row>
    <row r="214" spans="1:13" s="140" customFormat="1" ht="267" customHeight="1">
      <c r="A214" s="178"/>
      <c r="B214" s="325"/>
      <c r="C214" s="130"/>
      <c r="D214" s="165"/>
      <c r="E214" s="166"/>
      <c r="F214" s="167"/>
      <c r="G214" s="159" t="s">
        <v>100</v>
      </c>
      <c r="H214" s="117">
        <f>H201</f>
        <v>2.5</v>
      </c>
      <c r="I214" s="117">
        <f>I201</f>
        <v>2.5</v>
      </c>
      <c r="J214" s="117">
        <f>J201</f>
        <v>0</v>
      </c>
      <c r="K214" s="117">
        <f>K201</f>
        <v>0</v>
      </c>
      <c r="L214" s="537"/>
      <c r="M214" s="111"/>
    </row>
    <row r="215" spans="1:13" s="140" customFormat="1" ht="75" customHeight="1">
      <c r="A215" s="573" t="s">
        <v>95</v>
      </c>
      <c r="B215" s="573"/>
      <c r="C215" s="573"/>
      <c r="D215" s="574"/>
      <c r="E215" s="374" t="s">
        <v>80</v>
      </c>
      <c r="F215" s="404"/>
      <c r="G215" s="170" t="s">
        <v>98</v>
      </c>
      <c r="H215" s="104">
        <f>H216+H217</f>
        <v>244.41</v>
      </c>
      <c r="I215" s="104">
        <f>I216+I217</f>
        <v>244.41</v>
      </c>
      <c r="J215" s="104">
        <f>J216+J217</f>
        <v>0</v>
      </c>
      <c r="K215" s="104">
        <f>K216+K217</f>
        <v>0</v>
      </c>
      <c r="L215" s="537"/>
      <c r="M215" s="111"/>
    </row>
    <row r="216" spans="1:13" s="140" customFormat="1" ht="244.5" customHeight="1">
      <c r="A216" s="576"/>
      <c r="B216" s="576"/>
      <c r="C216" s="576"/>
      <c r="D216" s="577"/>
      <c r="E216" s="393"/>
      <c r="F216" s="405"/>
      <c r="G216" s="321" t="s">
        <v>100</v>
      </c>
      <c r="H216" s="104">
        <f>H201</f>
        <v>2.5</v>
      </c>
      <c r="I216" s="104">
        <f>I201</f>
        <v>2.5</v>
      </c>
      <c r="J216" s="104">
        <f>J201</f>
        <v>0</v>
      </c>
      <c r="K216" s="104">
        <f>K201</f>
        <v>0</v>
      </c>
      <c r="L216" s="537"/>
      <c r="M216" s="111"/>
    </row>
    <row r="217" spans="1:13" ht="77.25" customHeight="1">
      <c r="A217" s="576"/>
      <c r="B217" s="576"/>
      <c r="C217" s="576"/>
      <c r="D217" s="577"/>
      <c r="E217" s="375"/>
      <c r="F217" s="405"/>
      <c r="G217" s="334" t="s">
        <v>446</v>
      </c>
      <c r="H217" s="121">
        <f>H203</f>
        <v>241.91</v>
      </c>
      <c r="I217" s="121">
        <f>I203</f>
        <v>241.91</v>
      </c>
      <c r="J217" s="121">
        <f>J203</f>
        <v>0</v>
      </c>
      <c r="K217" s="121">
        <f>K203</f>
        <v>0</v>
      </c>
      <c r="L217" s="537"/>
      <c r="M217" s="109"/>
    </row>
    <row r="218" spans="1:13" ht="75" customHeight="1">
      <c r="A218" s="576"/>
      <c r="B218" s="576"/>
      <c r="C218" s="576"/>
      <c r="D218" s="577"/>
      <c r="E218" s="309" t="s">
        <v>54</v>
      </c>
      <c r="F218" s="405"/>
      <c r="G218" s="407" t="s">
        <v>446</v>
      </c>
      <c r="H218" s="121">
        <f>H195+H196+H198+H199</f>
        <v>22419.200000000001</v>
      </c>
      <c r="I218" s="121">
        <f>I195+I196+I198+I199</f>
        <v>13882.2</v>
      </c>
      <c r="J218" s="121">
        <f>J195+J196+J198+J199</f>
        <v>5549.3</v>
      </c>
      <c r="K218" s="121">
        <f>K195+K196+K198+K199</f>
        <v>2987.7</v>
      </c>
      <c r="L218" s="537"/>
      <c r="M218" s="109"/>
    </row>
    <row r="219" spans="1:13" ht="75" customHeight="1">
      <c r="A219" s="576"/>
      <c r="B219" s="576"/>
      <c r="C219" s="576"/>
      <c r="D219" s="577"/>
      <c r="E219" s="309" t="s">
        <v>81</v>
      </c>
      <c r="F219" s="405"/>
      <c r="G219" s="408"/>
      <c r="H219" s="121">
        <f>H204</f>
        <v>187.78</v>
      </c>
      <c r="I219" s="121">
        <f>I204</f>
        <v>187.78</v>
      </c>
      <c r="J219" s="121">
        <f>J204</f>
        <v>0</v>
      </c>
      <c r="K219" s="121">
        <f>K204</f>
        <v>0</v>
      </c>
      <c r="L219" s="537"/>
      <c r="M219" s="109"/>
    </row>
    <row r="220" spans="1:13" ht="75" customHeight="1">
      <c r="A220" s="576"/>
      <c r="B220" s="576"/>
      <c r="C220" s="576"/>
      <c r="D220" s="577"/>
      <c r="E220" s="309" t="s">
        <v>76</v>
      </c>
      <c r="F220" s="405"/>
      <c r="G220" s="408"/>
      <c r="H220" s="121">
        <f t="shared" ref="H220:K222" si="15">H206</f>
        <v>1422.3</v>
      </c>
      <c r="I220" s="121">
        <f t="shared" si="15"/>
        <v>1422.3</v>
      </c>
      <c r="J220" s="121">
        <f t="shared" si="15"/>
        <v>0</v>
      </c>
      <c r="K220" s="121">
        <f t="shared" si="15"/>
        <v>0</v>
      </c>
      <c r="L220" s="537"/>
      <c r="M220" s="109"/>
    </row>
    <row r="221" spans="1:13" ht="75" customHeight="1">
      <c r="A221" s="576"/>
      <c r="B221" s="576"/>
      <c r="C221" s="576"/>
      <c r="D221" s="577"/>
      <c r="E221" s="309" t="s">
        <v>77</v>
      </c>
      <c r="F221" s="405"/>
      <c r="G221" s="408"/>
      <c r="H221" s="121">
        <f t="shared" si="15"/>
        <v>4962.2</v>
      </c>
      <c r="I221" s="121">
        <f t="shared" si="15"/>
        <v>4962.2</v>
      </c>
      <c r="J221" s="121">
        <f t="shared" si="15"/>
        <v>0</v>
      </c>
      <c r="K221" s="121">
        <f t="shared" si="15"/>
        <v>0</v>
      </c>
      <c r="L221" s="537"/>
      <c r="M221" s="109"/>
    </row>
    <row r="222" spans="1:13" ht="75" customHeight="1">
      <c r="A222" s="579"/>
      <c r="B222" s="579"/>
      <c r="C222" s="579"/>
      <c r="D222" s="580"/>
      <c r="E222" s="309" t="s">
        <v>75</v>
      </c>
      <c r="F222" s="406"/>
      <c r="G222" s="409"/>
      <c r="H222" s="121">
        <f t="shared" si="15"/>
        <v>1323.4</v>
      </c>
      <c r="I222" s="121">
        <f t="shared" si="15"/>
        <v>1323.4</v>
      </c>
      <c r="J222" s="121">
        <f t="shared" si="15"/>
        <v>0</v>
      </c>
      <c r="K222" s="121">
        <f t="shared" si="15"/>
        <v>0</v>
      </c>
      <c r="L222" s="537"/>
      <c r="M222" s="109"/>
    </row>
    <row r="223" spans="1:13" ht="75" customHeight="1">
      <c r="A223" s="422" t="s">
        <v>257</v>
      </c>
      <c r="B223" s="423"/>
      <c r="C223" s="423"/>
      <c r="D223" s="423"/>
      <c r="E223" s="423"/>
      <c r="F223" s="423"/>
      <c r="G223" s="423"/>
      <c r="H223" s="423"/>
      <c r="I223" s="423"/>
      <c r="J223" s="423"/>
      <c r="K223" s="423"/>
      <c r="L223" s="424"/>
      <c r="M223" s="109"/>
    </row>
    <row r="224" spans="1:13" ht="75" customHeight="1">
      <c r="A224" s="582" t="s">
        <v>258</v>
      </c>
      <c r="B224" s="583" t="s">
        <v>259</v>
      </c>
      <c r="C224" s="641" t="s">
        <v>260</v>
      </c>
      <c r="D224" s="422" t="s">
        <v>376</v>
      </c>
      <c r="E224" s="423"/>
      <c r="F224" s="423"/>
      <c r="G224" s="424"/>
      <c r="H224" s="104">
        <f>H225+H233</f>
        <v>150505.81900000002</v>
      </c>
      <c r="I224" s="104">
        <f>I225+I233</f>
        <v>71668.319000000003</v>
      </c>
      <c r="J224" s="104">
        <f>J225+J233</f>
        <v>68837.5</v>
      </c>
      <c r="K224" s="104">
        <f>K225+K233</f>
        <v>10000</v>
      </c>
      <c r="L224" s="374" t="s">
        <v>101</v>
      </c>
      <c r="M224" s="109"/>
    </row>
    <row r="225" spans="1:13" ht="75" customHeight="1">
      <c r="A225" s="582"/>
      <c r="B225" s="584"/>
      <c r="C225" s="642"/>
      <c r="D225" s="379" t="s">
        <v>97</v>
      </c>
      <c r="E225" s="380"/>
      <c r="F225" s="380"/>
      <c r="G225" s="381"/>
      <c r="H225" s="108">
        <f>H226+H227+H228+H229+H230+H231+H232</f>
        <v>145742.05600000001</v>
      </c>
      <c r="I225" s="108">
        <f>I226+I227+I228+I229+I230+I231+I232</f>
        <v>66904.555999999997</v>
      </c>
      <c r="J225" s="108">
        <f>J226+J227+J228+J229+J230+J231+J232</f>
        <v>68837.5</v>
      </c>
      <c r="K225" s="108">
        <f>K226+K227+K228+K229+K230+K231+K232</f>
        <v>10000</v>
      </c>
      <c r="L225" s="393"/>
      <c r="M225" s="109"/>
    </row>
    <row r="226" spans="1:13" ht="75" customHeight="1">
      <c r="A226" s="582"/>
      <c r="B226" s="584"/>
      <c r="C226" s="642"/>
      <c r="D226" s="335" t="s">
        <v>33</v>
      </c>
      <c r="E226" s="309" t="s">
        <v>54</v>
      </c>
      <c r="F226" s="382" t="s">
        <v>17</v>
      </c>
      <c r="G226" s="445" t="s">
        <v>450</v>
      </c>
      <c r="H226" s="125">
        <f>I226+J226+K226</f>
        <v>39460.800000000003</v>
      </c>
      <c r="I226" s="100">
        <f>14923.3+1800+3000</f>
        <v>19723.3</v>
      </c>
      <c r="J226" s="100">
        <v>19737.5</v>
      </c>
      <c r="K226" s="100">
        <v>0</v>
      </c>
      <c r="L226" s="393"/>
    </row>
    <row r="227" spans="1:13" ht="75" customHeight="1">
      <c r="A227" s="582"/>
      <c r="B227" s="584"/>
      <c r="C227" s="642"/>
      <c r="D227" s="335" t="s">
        <v>29</v>
      </c>
      <c r="E227" s="309" t="s">
        <v>82</v>
      </c>
      <c r="F227" s="383"/>
      <c r="G227" s="446"/>
      <c r="H227" s="99">
        <f t="shared" ref="H227:H246" si="16">I227+J227+K227</f>
        <v>21042.5</v>
      </c>
      <c r="I227" s="102">
        <f>6890.5+50+202</f>
        <v>7142.5</v>
      </c>
      <c r="J227" s="100">
        <f>8400+2000+1000</f>
        <v>11400</v>
      </c>
      <c r="K227" s="100">
        <v>2500</v>
      </c>
      <c r="L227" s="393"/>
      <c r="M227" s="10"/>
    </row>
    <row r="228" spans="1:13" ht="75" customHeight="1">
      <c r="A228" s="582"/>
      <c r="B228" s="584"/>
      <c r="C228" s="642"/>
      <c r="D228" s="179" t="s">
        <v>29</v>
      </c>
      <c r="E228" s="309" t="s">
        <v>76</v>
      </c>
      <c r="F228" s="383"/>
      <c r="G228" s="446"/>
      <c r="H228" s="99">
        <f t="shared" si="16"/>
        <v>5132</v>
      </c>
      <c r="I228" s="102">
        <f>232+200</f>
        <v>432</v>
      </c>
      <c r="J228" s="100">
        <f>1200+1000</f>
        <v>2200</v>
      </c>
      <c r="K228" s="100">
        <v>2500</v>
      </c>
      <c r="L228" s="393"/>
      <c r="M228" s="10"/>
    </row>
    <row r="229" spans="1:13" ht="75" customHeight="1">
      <c r="A229" s="582"/>
      <c r="B229" s="584"/>
      <c r="C229" s="642"/>
      <c r="D229" s="179" t="s">
        <v>29</v>
      </c>
      <c r="E229" s="309" t="s">
        <v>77</v>
      </c>
      <c r="F229" s="383"/>
      <c r="G229" s="446"/>
      <c r="H229" s="99">
        <f t="shared" si="16"/>
        <v>28189.554</v>
      </c>
      <c r="I229" s="102">
        <f>11036+180-26.446</f>
        <v>11189.554</v>
      </c>
      <c r="J229" s="100">
        <f>13500+1000</f>
        <v>14500</v>
      </c>
      <c r="K229" s="100">
        <v>2500</v>
      </c>
      <c r="L229" s="393"/>
      <c r="M229" s="252" t="s">
        <v>462</v>
      </c>
    </row>
    <row r="230" spans="1:13" ht="75" customHeight="1">
      <c r="A230" s="582"/>
      <c r="B230" s="584"/>
      <c r="C230" s="642"/>
      <c r="D230" s="179" t="s">
        <v>29</v>
      </c>
      <c r="E230" s="309" t="s">
        <v>75</v>
      </c>
      <c r="F230" s="383"/>
      <c r="G230" s="446"/>
      <c r="H230" s="99">
        <f t="shared" si="16"/>
        <v>38297.202000000005</v>
      </c>
      <c r="I230" s="102">
        <f>20947.39-50.188</f>
        <v>20897.202000000001</v>
      </c>
      <c r="J230" s="100">
        <f>13900+1000</f>
        <v>14900</v>
      </c>
      <c r="K230" s="100">
        <v>2500</v>
      </c>
      <c r="L230" s="393"/>
      <c r="M230" s="10"/>
    </row>
    <row r="231" spans="1:13" ht="99.75" customHeight="1">
      <c r="A231" s="582"/>
      <c r="B231" s="584"/>
      <c r="C231" s="642"/>
      <c r="D231" s="179" t="s">
        <v>30</v>
      </c>
      <c r="E231" s="303" t="s">
        <v>79</v>
      </c>
      <c r="F231" s="383"/>
      <c r="G231" s="446"/>
      <c r="H231" s="99">
        <f t="shared" si="16"/>
        <v>12930</v>
      </c>
      <c r="I231" s="100">
        <f>6800+30</f>
        <v>6830</v>
      </c>
      <c r="J231" s="100">
        <f>5100+1000</f>
        <v>6100</v>
      </c>
      <c r="K231" s="100">
        <v>0</v>
      </c>
      <c r="L231" s="393"/>
      <c r="M231" s="10"/>
    </row>
    <row r="232" spans="1:13" ht="75" customHeight="1">
      <c r="A232" s="582"/>
      <c r="B232" s="584"/>
      <c r="C232" s="642"/>
      <c r="D232" s="335" t="s">
        <v>31</v>
      </c>
      <c r="E232" s="303" t="s">
        <v>78</v>
      </c>
      <c r="F232" s="384"/>
      <c r="G232" s="447"/>
      <c r="H232" s="99">
        <f t="shared" si="16"/>
        <v>690</v>
      </c>
      <c r="I232" s="106">
        <f>590+100</f>
        <v>690</v>
      </c>
      <c r="J232" s="100">
        <v>0</v>
      </c>
      <c r="K232" s="100">
        <v>0</v>
      </c>
      <c r="L232" s="393"/>
      <c r="M232" s="10"/>
    </row>
    <row r="233" spans="1:13" ht="75" customHeight="1">
      <c r="A233" s="582"/>
      <c r="B233" s="584"/>
      <c r="C233" s="642"/>
      <c r="D233" s="379" t="s">
        <v>97</v>
      </c>
      <c r="E233" s="380"/>
      <c r="F233" s="380"/>
      <c r="G233" s="381"/>
      <c r="H233" s="99">
        <f>H234+H235+H236+H237</f>
        <v>4763.7630000000008</v>
      </c>
      <c r="I233" s="99">
        <f>I234+I235+I236+I237</f>
        <v>4763.7630000000008</v>
      </c>
      <c r="J233" s="99">
        <f>J234+J235+J236</f>
        <v>0</v>
      </c>
      <c r="K233" s="99">
        <f>K234+K235+K236</f>
        <v>0</v>
      </c>
      <c r="L233" s="393"/>
      <c r="M233" s="10"/>
    </row>
    <row r="234" spans="1:13" ht="75" customHeight="1">
      <c r="A234" s="582"/>
      <c r="B234" s="584"/>
      <c r="C234" s="642"/>
      <c r="D234" s="179" t="s">
        <v>37</v>
      </c>
      <c r="E234" s="309" t="s">
        <v>82</v>
      </c>
      <c r="F234" s="382" t="s">
        <v>17</v>
      </c>
      <c r="G234" s="382" t="s">
        <v>208</v>
      </c>
      <c r="H234" s="99">
        <f t="shared" si="16"/>
        <v>249.81</v>
      </c>
      <c r="I234" s="106">
        <f>250-0.19</f>
        <v>249.81</v>
      </c>
      <c r="J234" s="100">
        <v>0</v>
      </c>
      <c r="K234" s="100">
        <v>0</v>
      </c>
      <c r="L234" s="393"/>
      <c r="M234" s="10"/>
    </row>
    <row r="235" spans="1:13" ht="75" customHeight="1">
      <c r="A235" s="582"/>
      <c r="B235" s="584"/>
      <c r="C235" s="642"/>
      <c r="D235" s="179" t="s">
        <v>37</v>
      </c>
      <c r="E235" s="309" t="s">
        <v>75</v>
      </c>
      <c r="F235" s="383"/>
      <c r="G235" s="383"/>
      <c r="H235" s="99">
        <f t="shared" si="16"/>
        <v>1187.9530000000004</v>
      </c>
      <c r="I235" s="106">
        <f>1196.053+165.812+50.188-224.1</f>
        <v>1187.9530000000004</v>
      </c>
      <c r="J235" s="100">
        <v>0</v>
      </c>
      <c r="K235" s="100">
        <v>0</v>
      </c>
      <c r="L235" s="393"/>
      <c r="M235" s="10"/>
    </row>
    <row r="236" spans="1:13" ht="99.75" customHeight="1">
      <c r="A236" s="582"/>
      <c r="B236" s="584"/>
      <c r="C236" s="643"/>
      <c r="D236" s="179" t="s">
        <v>37</v>
      </c>
      <c r="E236" s="303" t="s">
        <v>79</v>
      </c>
      <c r="F236" s="383"/>
      <c r="G236" s="383"/>
      <c r="H236" s="99">
        <f t="shared" si="16"/>
        <v>926</v>
      </c>
      <c r="I236" s="106">
        <f>930-4</f>
        <v>926</v>
      </c>
      <c r="J236" s="100">
        <v>0</v>
      </c>
      <c r="K236" s="100">
        <v>0</v>
      </c>
      <c r="L236" s="393"/>
      <c r="M236" s="10"/>
    </row>
    <row r="237" spans="1:13" ht="75" customHeight="1">
      <c r="A237" s="582"/>
      <c r="B237" s="584"/>
      <c r="C237" s="348"/>
      <c r="D237" s="179" t="s">
        <v>37</v>
      </c>
      <c r="E237" s="309" t="s">
        <v>54</v>
      </c>
      <c r="F237" s="384"/>
      <c r="G237" s="384"/>
      <c r="H237" s="99">
        <f>I237+J237+K237</f>
        <v>2400</v>
      </c>
      <c r="I237" s="106">
        <v>2400</v>
      </c>
      <c r="J237" s="100">
        <v>0</v>
      </c>
      <c r="K237" s="100">
        <v>0</v>
      </c>
      <c r="L237" s="393"/>
      <c r="M237" s="10"/>
    </row>
    <row r="238" spans="1:13" ht="75" customHeight="1">
      <c r="A238" s="582"/>
      <c r="B238" s="584"/>
      <c r="C238" s="641" t="s">
        <v>261</v>
      </c>
      <c r="D238" s="422" t="s">
        <v>377</v>
      </c>
      <c r="E238" s="423"/>
      <c r="F238" s="423"/>
      <c r="G238" s="424"/>
      <c r="H238" s="99">
        <f>SUM(H239:H244)</f>
        <v>63333.67</v>
      </c>
      <c r="I238" s="99">
        <f>SUM(I239:I244)</f>
        <v>27333.67</v>
      </c>
      <c r="J238" s="99">
        <f>SUM(J239:J244)</f>
        <v>26000</v>
      </c>
      <c r="K238" s="99">
        <f>SUM(K239:K244)</f>
        <v>10000</v>
      </c>
      <c r="L238" s="393"/>
      <c r="M238" s="10"/>
    </row>
    <row r="239" spans="1:13" ht="75" customHeight="1">
      <c r="A239" s="582"/>
      <c r="B239" s="584"/>
      <c r="C239" s="642"/>
      <c r="D239" s="179" t="s">
        <v>183</v>
      </c>
      <c r="E239" s="309" t="s">
        <v>82</v>
      </c>
      <c r="F239" s="382" t="s">
        <v>17</v>
      </c>
      <c r="G239" s="418" t="s">
        <v>450</v>
      </c>
      <c r="H239" s="99">
        <f t="shared" si="16"/>
        <v>13480.869999999999</v>
      </c>
      <c r="I239" s="106">
        <f>6150-169.13</f>
        <v>5980.87</v>
      </c>
      <c r="J239" s="100">
        <f>3000+2000</f>
        <v>5000</v>
      </c>
      <c r="K239" s="100">
        <v>2500</v>
      </c>
      <c r="L239" s="393"/>
      <c r="M239" s="10"/>
    </row>
    <row r="240" spans="1:13" ht="75" customHeight="1">
      <c r="A240" s="582"/>
      <c r="B240" s="584"/>
      <c r="C240" s="642"/>
      <c r="D240" s="179" t="s">
        <v>183</v>
      </c>
      <c r="E240" s="309" t="s">
        <v>76</v>
      </c>
      <c r="F240" s="383"/>
      <c r="G240" s="418"/>
      <c r="H240" s="99">
        <f t="shared" si="16"/>
        <v>6669.13</v>
      </c>
      <c r="I240" s="106">
        <f>169.13</f>
        <v>169.13</v>
      </c>
      <c r="J240" s="100">
        <f>3000+1000</f>
        <v>4000</v>
      </c>
      <c r="K240" s="100">
        <v>2500</v>
      </c>
      <c r="L240" s="393"/>
      <c r="M240" s="10"/>
    </row>
    <row r="241" spans="1:13" ht="75" customHeight="1">
      <c r="A241" s="582"/>
      <c r="B241" s="584"/>
      <c r="C241" s="642"/>
      <c r="D241" s="179" t="s">
        <v>183</v>
      </c>
      <c r="E241" s="309" t="s">
        <v>77</v>
      </c>
      <c r="F241" s="383"/>
      <c r="G241" s="418"/>
      <c r="H241" s="99">
        <f t="shared" si="16"/>
        <v>16034.1</v>
      </c>
      <c r="I241" s="106">
        <f>6930-395.9</f>
        <v>6534.1</v>
      </c>
      <c r="J241" s="100">
        <f>6000+1000</f>
        <v>7000</v>
      </c>
      <c r="K241" s="100">
        <v>2500</v>
      </c>
      <c r="L241" s="393"/>
      <c r="M241" s="10"/>
    </row>
    <row r="242" spans="1:13" ht="75" customHeight="1">
      <c r="A242" s="582"/>
      <c r="B242" s="584"/>
      <c r="C242" s="642"/>
      <c r="D242" s="179" t="s">
        <v>183</v>
      </c>
      <c r="E242" s="309" t="s">
        <v>75</v>
      </c>
      <c r="F242" s="383"/>
      <c r="G242" s="418"/>
      <c r="H242" s="99">
        <f t="shared" si="16"/>
        <v>10000</v>
      </c>
      <c r="I242" s="106">
        <v>3500</v>
      </c>
      <c r="J242" s="100">
        <f>3000+1000</f>
        <v>4000</v>
      </c>
      <c r="K242" s="100">
        <v>2500</v>
      </c>
      <c r="L242" s="393"/>
      <c r="M242" s="10"/>
    </row>
    <row r="243" spans="1:13" ht="87.75" customHeight="1">
      <c r="A243" s="582"/>
      <c r="B243" s="584"/>
      <c r="C243" s="642"/>
      <c r="D243" s="179" t="s">
        <v>183</v>
      </c>
      <c r="E243" s="303" t="s">
        <v>79</v>
      </c>
      <c r="F243" s="383"/>
      <c r="G243" s="418"/>
      <c r="H243" s="99">
        <f t="shared" si="16"/>
        <v>16589.57</v>
      </c>
      <c r="I243" s="106">
        <v>10589.57</v>
      </c>
      <c r="J243" s="100">
        <f>5000+1000</f>
        <v>6000</v>
      </c>
      <c r="K243" s="100">
        <v>0</v>
      </c>
      <c r="L243" s="393"/>
      <c r="M243" s="10"/>
    </row>
    <row r="244" spans="1:13" ht="75" customHeight="1">
      <c r="A244" s="582"/>
      <c r="B244" s="584"/>
      <c r="C244" s="643"/>
      <c r="D244" s="179" t="s">
        <v>183</v>
      </c>
      <c r="E244" s="303" t="s">
        <v>78</v>
      </c>
      <c r="F244" s="383"/>
      <c r="G244" s="418"/>
      <c r="H244" s="99">
        <f t="shared" si="16"/>
        <v>560</v>
      </c>
      <c r="I244" s="106">
        <v>560</v>
      </c>
      <c r="J244" s="100">
        <v>0</v>
      </c>
      <c r="K244" s="100">
        <v>0</v>
      </c>
      <c r="L244" s="393"/>
      <c r="M244" s="10"/>
    </row>
    <row r="245" spans="1:13" ht="186" customHeight="1">
      <c r="A245" s="582"/>
      <c r="B245" s="584"/>
      <c r="C245" s="181" t="s">
        <v>378</v>
      </c>
      <c r="D245" s="326" t="s">
        <v>68</v>
      </c>
      <c r="E245" s="303" t="s">
        <v>75</v>
      </c>
      <c r="F245" s="383"/>
      <c r="G245" s="418"/>
      <c r="H245" s="99">
        <f>I245+J245+K245</f>
        <v>2594</v>
      </c>
      <c r="I245" s="100">
        <f>3000+307.7-713.7</f>
        <v>2594</v>
      </c>
      <c r="J245" s="100">
        <v>0</v>
      </c>
      <c r="K245" s="100">
        <v>0</v>
      </c>
      <c r="L245" s="393"/>
      <c r="M245" s="10"/>
    </row>
    <row r="246" spans="1:13" ht="339" customHeight="1">
      <c r="A246" s="582"/>
      <c r="B246" s="585"/>
      <c r="C246" s="181" t="s">
        <v>414</v>
      </c>
      <c r="D246" s="326" t="s">
        <v>419</v>
      </c>
      <c r="E246" s="303" t="s">
        <v>54</v>
      </c>
      <c r="F246" s="383"/>
      <c r="G246" s="182" t="s">
        <v>413</v>
      </c>
      <c r="H246" s="99">
        <f t="shared" si="16"/>
        <v>799.7</v>
      </c>
      <c r="I246" s="100">
        <v>799.7</v>
      </c>
      <c r="J246" s="100">
        <v>0</v>
      </c>
      <c r="K246" s="100">
        <v>0</v>
      </c>
      <c r="L246" s="331" t="s">
        <v>418</v>
      </c>
      <c r="M246" s="10"/>
    </row>
    <row r="247" spans="1:13" ht="75" customHeight="1">
      <c r="A247" s="534" t="s">
        <v>73</v>
      </c>
      <c r="B247" s="535"/>
      <c r="C247" s="535"/>
      <c r="D247" s="535"/>
      <c r="E247" s="535"/>
      <c r="F247" s="535"/>
      <c r="G247" s="536"/>
      <c r="H247" s="99">
        <f>H224+H238+H245+H246</f>
        <v>217233.18900000001</v>
      </c>
      <c r="I247" s="99">
        <f>I224+I238+I245+I246</f>
        <v>102395.689</v>
      </c>
      <c r="J247" s="99">
        <f>J224+J238+J245+J246</f>
        <v>94837.5</v>
      </c>
      <c r="K247" s="99">
        <f>K224+K238+K245+K246</f>
        <v>20000</v>
      </c>
      <c r="L247" s="537"/>
    </row>
    <row r="248" spans="1:13" ht="144" customHeight="1">
      <c r="A248" s="538" t="s">
        <v>18</v>
      </c>
      <c r="B248" s="538"/>
      <c r="C248" s="538"/>
      <c r="D248" s="538"/>
      <c r="E248" s="538"/>
      <c r="F248" s="498"/>
      <c r="G248" s="159" t="s">
        <v>207</v>
      </c>
      <c r="H248" s="122">
        <f>H234+H235+H236</f>
        <v>2363.7630000000004</v>
      </c>
      <c r="I248" s="122">
        <f>I234+I235+I236+I237</f>
        <v>4763.7630000000008</v>
      </c>
      <c r="J248" s="122">
        <f>J234+J235+J236</f>
        <v>0</v>
      </c>
      <c r="K248" s="122">
        <f>K234+K235+K236</f>
        <v>0</v>
      </c>
      <c r="L248" s="537"/>
    </row>
    <row r="249" spans="1:13" ht="120.75" customHeight="1">
      <c r="A249" s="539"/>
      <c r="B249" s="539"/>
      <c r="C249" s="539"/>
      <c r="D249" s="539"/>
      <c r="E249" s="539"/>
      <c r="F249" s="500"/>
      <c r="G249" s="183" t="s">
        <v>413</v>
      </c>
      <c r="H249" s="122">
        <f>H246</f>
        <v>799.7</v>
      </c>
      <c r="I249" s="122">
        <f>I246</f>
        <v>799.7</v>
      </c>
      <c r="J249" s="122">
        <f>J246</f>
        <v>0</v>
      </c>
      <c r="K249" s="122">
        <f>K246</f>
        <v>0</v>
      </c>
      <c r="L249" s="537"/>
    </row>
    <row r="250" spans="1:13" ht="75" customHeight="1">
      <c r="A250" s="540"/>
      <c r="B250" s="540"/>
      <c r="C250" s="540"/>
      <c r="D250" s="540"/>
      <c r="E250" s="540"/>
      <c r="F250" s="502"/>
      <c r="G250" s="159" t="s">
        <v>450</v>
      </c>
      <c r="H250" s="122">
        <f>H225+H238+H245</f>
        <v>211669.72600000002</v>
      </c>
      <c r="I250" s="122">
        <f>I225+I238+I245</f>
        <v>96832.225999999995</v>
      </c>
      <c r="J250" s="122">
        <f>J225+J238+J245</f>
        <v>94837.5</v>
      </c>
      <c r="K250" s="122">
        <f>K225+K238+K245</f>
        <v>20000</v>
      </c>
      <c r="L250" s="537"/>
    </row>
    <row r="251" spans="1:13" ht="75" customHeight="1">
      <c r="A251" s="563" t="s">
        <v>95</v>
      </c>
      <c r="B251" s="564"/>
      <c r="C251" s="564"/>
      <c r="D251" s="565"/>
      <c r="E251" s="374" t="s">
        <v>82</v>
      </c>
      <c r="F251" s="541"/>
      <c r="G251" s="184" t="s">
        <v>97</v>
      </c>
      <c r="H251" s="123">
        <f>SUM(H252:H253)</f>
        <v>34773.179999999993</v>
      </c>
      <c r="I251" s="123">
        <f>SUM(I252:I253)</f>
        <v>13373.179999999998</v>
      </c>
      <c r="J251" s="123">
        <f>SUM(J252:J253)</f>
        <v>16400</v>
      </c>
      <c r="K251" s="123">
        <f>SUM(K252:K253)</f>
        <v>5000</v>
      </c>
      <c r="L251" s="537"/>
      <c r="M251" s="109"/>
    </row>
    <row r="252" spans="1:13" ht="75" customHeight="1">
      <c r="A252" s="566"/>
      <c r="B252" s="567"/>
      <c r="C252" s="567"/>
      <c r="D252" s="568"/>
      <c r="E252" s="393"/>
      <c r="F252" s="541"/>
      <c r="G252" s="321" t="s">
        <v>450</v>
      </c>
      <c r="H252" s="104">
        <f>H227+H239</f>
        <v>34523.369999999995</v>
      </c>
      <c r="I252" s="104">
        <f>I227+I239</f>
        <v>13123.369999999999</v>
      </c>
      <c r="J252" s="104">
        <f>J227+J239</f>
        <v>16400</v>
      </c>
      <c r="K252" s="104">
        <f>K227+K239</f>
        <v>5000</v>
      </c>
      <c r="L252" s="537"/>
      <c r="M252" s="109"/>
    </row>
    <row r="253" spans="1:13" ht="147.75" customHeight="1">
      <c r="A253" s="566"/>
      <c r="B253" s="567"/>
      <c r="C253" s="567"/>
      <c r="D253" s="568"/>
      <c r="E253" s="375"/>
      <c r="F253" s="541"/>
      <c r="G253" s="321" t="s">
        <v>207</v>
      </c>
      <c r="H253" s="104">
        <f>H234</f>
        <v>249.81</v>
      </c>
      <c r="I253" s="104">
        <f>I234</f>
        <v>249.81</v>
      </c>
      <c r="J253" s="104">
        <f>J234</f>
        <v>0</v>
      </c>
      <c r="K253" s="104">
        <f>K234</f>
        <v>0</v>
      </c>
      <c r="L253" s="537"/>
      <c r="M253" s="109"/>
    </row>
    <row r="254" spans="1:13" ht="75" customHeight="1">
      <c r="A254" s="566"/>
      <c r="B254" s="567"/>
      <c r="C254" s="567"/>
      <c r="D254" s="568"/>
      <c r="E254" s="309" t="s">
        <v>76</v>
      </c>
      <c r="F254" s="541"/>
      <c r="G254" s="541" t="s">
        <v>450</v>
      </c>
      <c r="H254" s="104">
        <f>H228</f>
        <v>5132</v>
      </c>
      <c r="I254" s="104">
        <f>I228+I240</f>
        <v>601.13</v>
      </c>
      <c r="J254" s="104">
        <f>J228+J240</f>
        <v>6200</v>
      </c>
      <c r="K254" s="104">
        <f>K228</f>
        <v>2500</v>
      </c>
      <c r="L254" s="537"/>
      <c r="M254" s="109"/>
    </row>
    <row r="255" spans="1:13" ht="75" customHeight="1">
      <c r="A255" s="566"/>
      <c r="B255" s="567"/>
      <c r="C255" s="567"/>
      <c r="D255" s="568"/>
      <c r="E255" s="309" t="s">
        <v>77</v>
      </c>
      <c r="F255" s="541"/>
      <c r="G255" s="541"/>
      <c r="H255" s="104">
        <f>H229+H241</f>
        <v>44223.654000000002</v>
      </c>
      <c r="I255" s="104">
        <f>I229+I241</f>
        <v>17723.654000000002</v>
      </c>
      <c r="J255" s="104">
        <f>J229+J241</f>
        <v>21500</v>
      </c>
      <c r="K255" s="104">
        <f>K229+K241</f>
        <v>5000</v>
      </c>
      <c r="L255" s="537"/>
      <c r="M255" s="109"/>
    </row>
    <row r="256" spans="1:13" ht="75" customHeight="1">
      <c r="A256" s="566"/>
      <c r="B256" s="567"/>
      <c r="C256" s="567"/>
      <c r="D256" s="568"/>
      <c r="E256" s="374" t="s">
        <v>75</v>
      </c>
      <c r="F256" s="541"/>
      <c r="G256" s="184" t="s">
        <v>97</v>
      </c>
      <c r="H256" s="104">
        <f>H257+H258</f>
        <v>52079.155000000006</v>
      </c>
      <c r="I256" s="104">
        <f>I257+I258</f>
        <v>28179.155000000002</v>
      </c>
      <c r="J256" s="104">
        <f>J257+J258</f>
        <v>18900</v>
      </c>
      <c r="K256" s="104">
        <f>K257+K258</f>
        <v>5000</v>
      </c>
      <c r="L256" s="537"/>
      <c r="M256" s="109"/>
    </row>
    <row r="257" spans="1:13" ht="75" customHeight="1">
      <c r="A257" s="566"/>
      <c r="B257" s="567"/>
      <c r="C257" s="567"/>
      <c r="D257" s="568"/>
      <c r="E257" s="393"/>
      <c r="F257" s="541"/>
      <c r="G257" s="321" t="s">
        <v>450</v>
      </c>
      <c r="H257" s="104">
        <f>H230+H242+H245</f>
        <v>50891.202000000005</v>
      </c>
      <c r="I257" s="104">
        <f>I230+I242+I245</f>
        <v>26991.202000000001</v>
      </c>
      <c r="J257" s="104">
        <f>J230+J242+J245</f>
        <v>18900</v>
      </c>
      <c r="K257" s="104">
        <f>K230+K242+K245</f>
        <v>5000</v>
      </c>
      <c r="L257" s="537"/>
      <c r="M257" s="109"/>
    </row>
    <row r="258" spans="1:13" ht="143.25" customHeight="1">
      <c r="A258" s="566"/>
      <c r="B258" s="567"/>
      <c r="C258" s="567"/>
      <c r="D258" s="568"/>
      <c r="E258" s="375"/>
      <c r="F258" s="541"/>
      <c r="G258" s="321" t="s">
        <v>207</v>
      </c>
      <c r="H258" s="104">
        <f>H235</f>
        <v>1187.9530000000004</v>
      </c>
      <c r="I258" s="104">
        <f>I235</f>
        <v>1187.9530000000004</v>
      </c>
      <c r="J258" s="104">
        <f>J235</f>
        <v>0</v>
      </c>
      <c r="K258" s="104">
        <f>K235</f>
        <v>0</v>
      </c>
      <c r="L258" s="537"/>
      <c r="M258" s="109"/>
    </row>
    <row r="259" spans="1:13" ht="75" customHeight="1">
      <c r="A259" s="566"/>
      <c r="B259" s="567"/>
      <c r="C259" s="567"/>
      <c r="D259" s="568"/>
      <c r="E259" s="374" t="s">
        <v>79</v>
      </c>
      <c r="F259" s="541"/>
      <c r="G259" s="184" t="s">
        <v>97</v>
      </c>
      <c r="H259" s="104">
        <f>H260+H261</f>
        <v>30445.57</v>
      </c>
      <c r="I259" s="104">
        <f>I260+I261</f>
        <v>18345.57</v>
      </c>
      <c r="J259" s="104">
        <f>J260+J261</f>
        <v>12100</v>
      </c>
      <c r="K259" s="104">
        <f>K260+K261</f>
        <v>0</v>
      </c>
      <c r="L259" s="537"/>
      <c r="M259" s="109"/>
    </row>
    <row r="260" spans="1:13" ht="75" customHeight="1">
      <c r="A260" s="566"/>
      <c r="B260" s="567"/>
      <c r="C260" s="567"/>
      <c r="D260" s="568"/>
      <c r="E260" s="393"/>
      <c r="F260" s="541"/>
      <c r="G260" s="321" t="s">
        <v>450</v>
      </c>
      <c r="H260" s="104">
        <f>H231+H243</f>
        <v>29519.57</v>
      </c>
      <c r="I260" s="104">
        <f>I231+I243</f>
        <v>17419.57</v>
      </c>
      <c r="J260" s="104">
        <f>J231+J243</f>
        <v>12100</v>
      </c>
      <c r="K260" s="104">
        <f>K231+K243</f>
        <v>0</v>
      </c>
      <c r="L260" s="537"/>
      <c r="M260" s="109"/>
    </row>
    <row r="261" spans="1:13" ht="139.5" customHeight="1">
      <c r="A261" s="566"/>
      <c r="B261" s="567"/>
      <c r="C261" s="567"/>
      <c r="D261" s="568"/>
      <c r="E261" s="375"/>
      <c r="F261" s="541"/>
      <c r="G261" s="321" t="s">
        <v>207</v>
      </c>
      <c r="H261" s="104">
        <f>H236</f>
        <v>926</v>
      </c>
      <c r="I261" s="104">
        <f>I236</f>
        <v>926</v>
      </c>
      <c r="J261" s="104">
        <f>J236</f>
        <v>0</v>
      </c>
      <c r="K261" s="104">
        <f>K236</f>
        <v>0</v>
      </c>
      <c r="L261" s="537"/>
      <c r="M261" s="109"/>
    </row>
    <row r="262" spans="1:13" ht="99.75" customHeight="1">
      <c r="A262" s="566"/>
      <c r="B262" s="567"/>
      <c r="C262" s="567"/>
      <c r="D262" s="568"/>
      <c r="E262" s="309" t="s">
        <v>78</v>
      </c>
      <c r="F262" s="541"/>
      <c r="G262" s="185" t="s">
        <v>450</v>
      </c>
      <c r="H262" s="104">
        <f>H232+H244</f>
        <v>1250</v>
      </c>
      <c r="I262" s="104">
        <f>I232+I244</f>
        <v>1250</v>
      </c>
      <c r="J262" s="104">
        <f>J232+J244</f>
        <v>0</v>
      </c>
      <c r="K262" s="104">
        <f>K232+K244</f>
        <v>0</v>
      </c>
      <c r="L262" s="537"/>
      <c r="M262" s="109"/>
    </row>
    <row r="263" spans="1:13" ht="75" customHeight="1">
      <c r="A263" s="566"/>
      <c r="B263" s="567"/>
      <c r="C263" s="567"/>
      <c r="D263" s="568"/>
      <c r="E263" s="374" t="s">
        <v>54</v>
      </c>
      <c r="F263" s="541"/>
      <c r="G263" s="184" t="s">
        <v>97</v>
      </c>
      <c r="H263" s="104">
        <f>H264+H265</f>
        <v>40260.5</v>
      </c>
      <c r="I263" s="104">
        <f>I264+I265</f>
        <v>20523</v>
      </c>
      <c r="J263" s="104">
        <f>J264+J265</f>
        <v>19737.5</v>
      </c>
      <c r="K263" s="104">
        <f>K264+K265</f>
        <v>0</v>
      </c>
      <c r="L263" s="537"/>
      <c r="M263" s="109"/>
    </row>
    <row r="264" spans="1:13" ht="75" customHeight="1">
      <c r="A264" s="566"/>
      <c r="B264" s="567"/>
      <c r="C264" s="567"/>
      <c r="D264" s="568"/>
      <c r="E264" s="393"/>
      <c r="F264" s="541"/>
      <c r="G264" s="338" t="s">
        <v>413</v>
      </c>
      <c r="H264" s="104">
        <f>H246</f>
        <v>799.7</v>
      </c>
      <c r="I264" s="104">
        <f>I246</f>
        <v>799.7</v>
      </c>
      <c r="J264" s="104">
        <f>J246</f>
        <v>0</v>
      </c>
      <c r="K264" s="104">
        <f>K246</f>
        <v>0</v>
      </c>
      <c r="L264" s="537"/>
      <c r="M264" s="109"/>
    </row>
    <row r="265" spans="1:13" ht="75" customHeight="1">
      <c r="A265" s="569"/>
      <c r="B265" s="570"/>
      <c r="C265" s="570"/>
      <c r="D265" s="571"/>
      <c r="E265" s="375"/>
      <c r="F265" s="541"/>
      <c r="G265" s="334" t="s">
        <v>450</v>
      </c>
      <c r="H265" s="104">
        <f>H226</f>
        <v>39460.800000000003</v>
      </c>
      <c r="I265" s="104">
        <f>I226</f>
        <v>19723.3</v>
      </c>
      <c r="J265" s="104">
        <f>J226</f>
        <v>19737.5</v>
      </c>
      <c r="K265" s="104">
        <f>K226</f>
        <v>0</v>
      </c>
      <c r="L265" s="537"/>
      <c r="M265" s="109"/>
    </row>
    <row r="266" spans="1:13" ht="75" customHeight="1">
      <c r="A266" s="534" t="s">
        <v>102</v>
      </c>
      <c r="B266" s="535"/>
      <c r="C266" s="535"/>
      <c r="D266" s="535"/>
      <c r="E266" s="535"/>
      <c r="F266" s="536"/>
      <c r="G266" s="186"/>
      <c r="H266" s="99">
        <f>H121+H177+H212+H247</f>
        <v>543779.64030000009</v>
      </c>
      <c r="I266" s="99">
        <f>I121+I177+I212+I247</f>
        <v>291046.83100000001</v>
      </c>
      <c r="J266" s="99">
        <f>J121+J177+J212+J247</f>
        <v>164711.88</v>
      </c>
      <c r="K266" s="99">
        <f>K121+K177+K212+K247</f>
        <v>88020.929299999989</v>
      </c>
      <c r="L266" s="385"/>
      <c r="M266" s="161">
        <f>153942.7-J266</f>
        <v>-10769.179999999993</v>
      </c>
    </row>
    <row r="267" spans="1:13" ht="75" customHeight="1">
      <c r="A267" s="387" t="s">
        <v>103</v>
      </c>
      <c r="B267" s="387"/>
      <c r="C267" s="387"/>
      <c r="D267" s="387"/>
      <c r="E267" s="387"/>
      <c r="F267" s="388"/>
      <c r="G267" s="334" t="s">
        <v>447</v>
      </c>
      <c r="H267" s="99">
        <f>H122+H178+H213</f>
        <v>261216.43229999999</v>
      </c>
      <c r="I267" s="99">
        <f>I122+I178+I213</f>
        <v>124821.12299999998</v>
      </c>
      <c r="J267" s="99">
        <f>J122+J178+J213-0.1</f>
        <v>69874.28</v>
      </c>
      <c r="K267" s="99">
        <f>K122+K178+K213</f>
        <v>68020.929299999989</v>
      </c>
      <c r="L267" s="386"/>
    </row>
    <row r="268" spans="1:13" ht="75" customHeight="1">
      <c r="A268" s="389"/>
      <c r="B268" s="389"/>
      <c r="C268" s="389"/>
      <c r="D268" s="389"/>
      <c r="E268" s="389"/>
      <c r="F268" s="390"/>
      <c r="G268" s="334" t="s">
        <v>450</v>
      </c>
      <c r="H268" s="99">
        <f>H250</f>
        <v>211669.72600000002</v>
      </c>
      <c r="I268" s="99">
        <f>I250</f>
        <v>96832.225999999995</v>
      </c>
      <c r="J268" s="99">
        <f>J250</f>
        <v>94837.5</v>
      </c>
      <c r="K268" s="99">
        <f>K250</f>
        <v>20000</v>
      </c>
      <c r="L268" s="386"/>
    </row>
    <row r="269" spans="1:13" ht="102" customHeight="1">
      <c r="A269" s="389"/>
      <c r="B269" s="389"/>
      <c r="C269" s="389"/>
      <c r="D269" s="389"/>
      <c r="E269" s="389"/>
      <c r="F269" s="390"/>
      <c r="G269" s="334" t="s">
        <v>96</v>
      </c>
      <c r="H269" s="99">
        <f>H123</f>
        <v>52839.700000000004</v>
      </c>
      <c r="I269" s="99">
        <f>I123</f>
        <v>52839.700000000004</v>
      </c>
      <c r="J269" s="99">
        <f>J123</f>
        <v>0</v>
      </c>
      <c r="K269" s="99">
        <f>K123</f>
        <v>0</v>
      </c>
      <c r="L269" s="386"/>
    </row>
    <row r="270" spans="1:13" ht="219" customHeight="1">
      <c r="A270" s="389"/>
      <c r="B270" s="389"/>
      <c r="C270" s="389"/>
      <c r="D270" s="389"/>
      <c r="E270" s="389"/>
      <c r="F270" s="390"/>
      <c r="G270" s="321" t="s">
        <v>100</v>
      </c>
      <c r="H270" s="99">
        <f>H180+H214</f>
        <v>6612.1190000000006</v>
      </c>
      <c r="I270" s="99">
        <f>I180+I214</f>
        <v>6612.1190000000006</v>
      </c>
      <c r="J270" s="99">
        <f>J180+J214</f>
        <v>0</v>
      </c>
      <c r="K270" s="99">
        <f>K180+K214</f>
        <v>0</v>
      </c>
      <c r="L270" s="386"/>
    </row>
    <row r="271" spans="1:13" ht="168" customHeight="1">
      <c r="A271" s="389"/>
      <c r="B271" s="389"/>
      <c r="C271" s="389"/>
      <c r="D271" s="389"/>
      <c r="E271" s="389"/>
      <c r="F271" s="390"/>
      <c r="G271" s="334" t="s">
        <v>99</v>
      </c>
      <c r="H271" s="99">
        <f>H124+H179</f>
        <v>4318.2</v>
      </c>
      <c r="I271" s="99">
        <f>I124+I179</f>
        <v>4318.2</v>
      </c>
      <c r="J271" s="99">
        <f>J124+J179</f>
        <v>0</v>
      </c>
      <c r="K271" s="99">
        <f>K124+K179</f>
        <v>0</v>
      </c>
      <c r="L271" s="386"/>
    </row>
    <row r="272" spans="1:13" ht="160.5" customHeight="1">
      <c r="A272" s="389"/>
      <c r="B272" s="389"/>
      <c r="C272" s="389"/>
      <c r="D272" s="389"/>
      <c r="E272" s="389"/>
      <c r="F272" s="390"/>
      <c r="G272" s="321" t="s">
        <v>207</v>
      </c>
      <c r="H272" s="99">
        <f t="shared" ref="H272:K273" si="17">H248</f>
        <v>2363.7630000000004</v>
      </c>
      <c r="I272" s="99">
        <f t="shared" si="17"/>
        <v>4763.7630000000008</v>
      </c>
      <c r="J272" s="99">
        <f t="shared" si="17"/>
        <v>0</v>
      </c>
      <c r="K272" s="99">
        <f t="shared" si="17"/>
        <v>0</v>
      </c>
      <c r="L272" s="386"/>
    </row>
    <row r="273" spans="1:12" ht="75" customHeight="1">
      <c r="A273" s="389"/>
      <c r="B273" s="389"/>
      <c r="C273" s="389"/>
      <c r="D273" s="389"/>
      <c r="E273" s="389"/>
      <c r="F273" s="390"/>
      <c r="G273" s="338" t="s">
        <v>413</v>
      </c>
      <c r="H273" s="99">
        <f t="shared" si="17"/>
        <v>799.7</v>
      </c>
      <c r="I273" s="99">
        <f t="shared" si="17"/>
        <v>799.7</v>
      </c>
      <c r="J273" s="99">
        <f t="shared" si="17"/>
        <v>0</v>
      </c>
      <c r="K273" s="99">
        <f t="shared" si="17"/>
        <v>0</v>
      </c>
      <c r="L273" s="386"/>
    </row>
    <row r="274" spans="1:12" ht="75" customHeight="1">
      <c r="A274" s="391"/>
      <c r="B274" s="391"/>
      <c r="C274" s="391"/>
      <c r="D274" s="391"/>
      <c r="E274" s="391"/>
      <c r="F274" s="392"/>
      <c r="G274" s="334" t="s">
        <v>344</v>
      </c>
      <c r="H274" s="99">
        <f>H125</f>
        <v>60</v>
      </c>
      <c r="I274" s="99">
        <f>I125</f>
        <v>60</v>
      </c>
      <c r="J274" s="99">
        <f>J125</f>
        <v>0</v>
      </c>
      <c r="K274" s="99">
        <f>K125</f>
        <v>0</v>
      </c>
      <c r="L274" s="386"/>
    </row>
    <row r="275" spans="1:12" ht="75" customHeight="1">
      <c r="A275" s="387" t="s">
        <v>95</v>
      </c>
      <c r="B275" s="387"/>
      <c r="C275" s="387"/>
      <c r="D275" s="388"/>
      <c r="E275" s="398" t="s">
        <v>82</v>
      </c>
      <c r="F275" s="401"/>
      <c r="G275" s="334" t="s">
        <v>90</v>
      </c>
      <c r="H275" s="99">
        <f>SUM(H276:H281)</f>
        <v>75206.42</v>
      </c>
      <c r="I275" s="99">
        <f>SUM(I276:I281)</f>
        <v>41972.020000000004</v>
      </c>
      <c r="J275" s="99">
        <f>SUM(J276:J281)</f>
        <v>16756.7</v>
      </c>
      <c r="K275" s="99">
        <f>SUM(K276:K281)</f>
        <v>10406.5</v>
      </c>
      <c r="L275" s="187"/>
    </row>
    <row r="276" spans="1:12" ht="75" customHeight="1">
      <c r="A276" s="389"/>
      <c r="B276" s="389"/>
      <c r="C276" s="389"/>
      <c r="D276" s="390"/>
      <c r="E276" s="399"/>
      <c r="F276" s="402"/>
      <c r="G276" s="308" t="s">
        <v>446</v>
      </c>
      <c r="H276" s="100">
        <f>H127+H183</f>
        <v>27739.84</v>
      </c>
      <c r="I276" s="100">
        <f>I127+I183</f>
        <v>15905.439999999999</v>
      </c>
      <c r="J276" s="100">
        <f>J127+J183</f>
        <v>356.7</v>
      </c>
      <c r="K276" s="100">
        <f>K127+K183</f>
        <v>5406.5</v>
      </c>
      <c r="L276" s="188"/>
    </row>
    <row r="277" spans="1:12" ht="75" customHeight="1">
      <c r="A277" s="389"/>
      <c r="B277" s="389"/>
      <c r="C277" s="389"/>
      <c r="D277" s="390"/>
      <c r="E277" s="399"/>
      <c r="F277" s="402"/>
      <c r="G277" s="311" t="s">
        <v>96</v>
      </c>
      <c r="H277" s="100">
        <f>H130</f>
        <v>12485.6</v>
      </c>
      <c r="I277" s="100">
        <f>I130</f>
        <v>12485.6</v>
      </c>
      <c r="J277" s="100">
        <f>J130</f>
        <v>0</v>
      </c>
      <c r="K277" s="100">
        <f>K130</f>
        <v>0</v>
      </c>
      <c r="L277" s="188"/>
    </row>
    <row r="278" spans="1:12" ht="174.75" customHeight="1">
      <c r="A278" s="389"/>
      <c r="B278" s="389"/>
      <c r="C278" s="389"/>
      <c r="D278" s="390"/>
      <c r="E278" s="399"/>
      <c r="F278" s="402"/>
      <c r="G278" s="311" t="str">
        <f>G128</f>
        <v>Субвенція з місцевого бюджету на здійснення переданих видатків у сфері охорони здоров'я за рахунок коштів медичної субвенції (загальний фонд)</v>
      </c>
      <c r="H278" s="102">
        <f>H128+H182</f>
        <v>147.79999999999998</v>
      </c>
      <c r="I278" s="102">
        <f>I128+I182</f>
        <v>147.79999999999998</v>
      </c>
      <c r="J278" s="102">
        <f>J128+J182</f>
        <v>0</v>
      </c>
      <c r="K278" s="102">
        <f>K128+K182</f>
        <v>0</v>
      </c>
      <c r="L278" s="188"/>
    </row>
    <row r="279" spans="1:12" ht="147.75" customHeight="1">
      <c r="A279" s="389"/>
      <c r="B279" s="389"/>
      <c r="C279" s="389"/>
      <c r="D279" s="390"/>
      <c r="E279" s="399"/>
      <c r="F279" s="402"/>
      <c r="G279" s="311" t="s">
        <v>207</v>
      </c>
      <c r="H279" s="100">
        <f>H253</f>
        <v>249.81</v>
      </c>
      <c r="I279" s="100">
        <f>I253</f>
        <v>249.81</v>
      </c>
      <c r="J279" s="100">
        <f>J253</f>
        <v>0</v>
      </c>
      <c r="K279" s="100">
        <f>K253</f>
        <v>0</v>
      </c>
      <c r="L279" s="188"/>
    </row>
    <row r="280" spans="1:12" ht="75" customHeight="1">
      <c r="A280" s="389"/>
      <c r="B280" s="389"/>
      <c r="C280" s="389"/>
      <c r="D280" s="390"/>
      <c r="E280" s="399"/>
      <c r="F280" s="402"/>
      <c r="G280" s="308" t="s">
        <v>344</v>
      </c>
      <c r="H280" s="100">
        <f>H129</f>
        <v>60</v>
      </c>
      <c r="I280" s="100">
        <f>I129</f>
        <v>60</v>
      </c>
      <c r="J280" s="100">
        <f>J129</f>
        <v>0</v>
      </c>
      <c r="K280" s="100">
        <f>K129</f>
        <v>0</v>
      </c>
      <c r="L280" s="188"/>
    </row>
    <row r="281" spans="1:12" ht="85.5" customHeight="1">
      <c r="A281" s="389"/>
      <c r="B281" s="389"/>
      <c r="C281" s="389"/>
      <c r="D281" s="390"/>
      <c r="E281" s="400"/>
      <c r="F281" s="402"/>
      <c r="G281" s="308" t="s">
        <v>450</v>
      </c>
      <c r="H281" s="100">
        <f>H252</f>
        <v>34523.369999999995</v>
      </c>
      <c r="I281" s="100">
        <f>I252</f>
        <v>13123.369999999999</v>
      </c>
      <c r="J281" s="100">
        <f>J252</f>
        <v>16400</v>
      </c>
      <c r="K281" s="100">
        <f>K252</f>
        <v>5000</v>
      </c>
      <c r="L281" s="188"/>
    </row>
    <row r="282" spans="1:12" ht="75" customHeight="1">
      <c r="A282" s="389"/>
      <c r="B282" s="389"/>
      <c r="C282" s="389"/>
      <c r="D282" s="390"/>
      <c r="E282" s="398" t="s">
        <v>76</v>
      </c>
      <c r="F282" s="402"/>
      <c r="G282" s="334" t="s">
        <v>90</v>
      </c>
      <c r="H282" s="99">
        <f>SUM(H283:H285)</f>
        <v>46968.88</v>
      </c>
      <c r="I282" s="99">
        <f>SUM(I283:I285)</f>
        <v>21907.03</v>
      </c>
      <c r="J282" s="99">
        <f>SUM(J283:J285)</f>
        <v>16100.38</v>
      </c>
      <c r="K282" s="99">
        <f>SUM(K283:K285)</f>
        <v>13130.599999999999</v>
      </c>
      <c r="L282" s="188"/>
    </row>
    <row r="283" spans="1:12" ht="75" customHeight="1">
      <c r="A283" s="389"/>
      <c r="B283" s="389"/>
      <c r="C283" s="389"/>
      <c r="D283" s="390"/>
      <c r="E283" s="399"/>
      <c r="F283" s="402"/>
      <c r="G283" s="308" t="s">
        <v>446</v>
      </c>
      <c r="H283" s="100">
        <f>H132+H184+H220</f>
        <v>33676.78</v>
      </c>
      <c r="I283" s="100">
        <f>I132+I184+I220</f>
        <v>13145.799999999997</v>
      </c>
      <c r="J283" s="100">
        <f>J132+J184+J220</f>
        <v>9900.3799999999992</v>
      </c>
      <c r="K283" s="100">
        <f>K132+K184+K220</f>
        <v>10630.599999999999</v>
      </c>
      <c r="L283" s="306"/>
    </row>
    <row r="284" spans="1:12" ht="75" customHeight="1">
      <c r="A284" s="389"/>
      <c r="B284" s="389"/>
      <c r="C284" s="389"/>
      <c r="D284" s="390"/>
      <c r="E284" s="399"/>
      <c r="F284" s="402"/>
      <c r="G284" s="311" t="s">
        <v>96</v>
      </c>
      <c r="H284" s="100">
        <f>H133</f>
        <v>8160.1</v>
      </c>
      <c r="I284" s="100">
        <f>I133</f>
        <v>8160.1</v>
      </c>
      <c r="J284" s="100">
        <f>J133</f>
        <v>0</v>
      </c>
      <c r="K284" s="100">
        <f>K133</f>
        <v>0</v>
      </c>
      <c r="L284" s="188"/>
    </row>
    <row r="285" spans="1:12" ht="75" customHeight="1">
      <c r="A285" s="389"/>
      <c r="B285" s="389"/>
      <c r="C285" s="389"/>
      <c r="D285" s="390"/>
      <c r="E285" s="400"/>
      <c r="F285" s="402"/>
      <c r="G285" s="308" t="s">
        <v>450</v>
      </c>
      <c r="H285" s="100">
        <f>H254</f>
        <v>5132</v>
      </c>
      <c r="I285" s="100">
        <f>I254</f>
        <v>601.13</v>
      </c>
      <c r="J285" s="100">
        <f>J254</f>
        <v>6200</v>
      </c>
      <c r="K285" s="100">
        <f>K254</f>
        <v>2500</v>
      </c>
      <c r="L285" s="306"/>
    </row>
    <row r="286" spans="1:12" ht="75" customHeight="1">
      <c r="A286" s="389"/>
      <c r="B286" s="389"/>
      <c r="C286" s="389"/>
      <c r="D286" s="390"/>
      <c r="E286" s="398" t="s">
        <v>77</v>
      </c>
      <c r="F286" s="402"/>
      <c r="G286" s="334" t="s">
        <v>90</v>
      </c>
      <c r="H286" s="99">
        <f>SUM(H287:H290)</f>
        <v>98071.41399999999</v>
      </c>
      <c r="I286" s="99">
        <f>SUM(I287:I290)</f>
        <v>56314.854000000007</v>
      </c>
      <c r="J286" s="99">
        <f>SUM(J287:J290)</f>
        <v>28846.57</v>
      </c>
      <c r="K286" s="99">
        <f>SUM(K287:K290)</f>
        <v>12909.99</v>
      </c>
      <c r="L286" s="306"/>
    </row>
    <row r="287" spans="1:12" ht="75" customHeight="1">
      <c r="A287" s="389"/>
      <c r="B287" s="389"/>
      <c r="C287" s="389"/>
      <c r="D287" s="390"/>
      <c r="E287" s="399"/>
      <c r="F287" s="402"/>
      <c r="G287" s="308" t="s">
        <v>446</v>
      </c>
      <c r="H287" s="100">
        <f>H135+H185+H221</f>
        <v>38301.259999999995</v>
      </c>
      <c r="I287" s="100">
        <f>I135+I185+I221</f>
        <v>23044.7</v>
      </c>
      <c r="J287" s="100">
        <f>J135+J185+J221</f>
        <v>7346.57</v>
      </c>
      <c r="K287" s="100">
        <f>K135+K185+K221</f>
        <v>7909.99</v>
      </c>
      <c r="L287" s="306"/>
    </row>
    <row r="288" spans="1:12" ht="91.5" customHeight="1">
      <c r="A288" s="389"/>
      <c r="B288" s="389"/>
      <c r="C288" s="389"/>
      <c r="D288" s="390"/>
      <c r="E288" s="399"/>
      <c r="F288" s="402"/>
      <c r="G288" s="311" t="s">
        <v>96</v>
      </c>
      <c r="H288" s="100">
        <f t="shared" ref="H288:K289" si="18">H136</f>
        <v>12866.2</v>
      </c>
      <c r="I288" s="100">
        <f t="shared" si="18"/>
        <v>12866.2</v>
      </c>
      <c r="J288" s="100">
        <f t="shared" si="18"/>
        <v>0</v>
      </c>
      <c r="K288" s="100">
        <f t="shared" si="18"/>
        <v>0</v>
      </c>
      <c r="L288" s="306"/>
    </row>
    <row r="289" spans="1:12" ht="159" customHeight="1">
      <c r="A289" s="389"/>
      <c r="B289" s="389"/>
      <c r="C289" s="389"/>
      <c r="D289" s="390"/>
      <c r="E289" s="399"/>
      <c r="F289" s="402"/>
      <c r="G289" s="311" t="s">
        <v>99</v>
      </c>
      <c r="H289" s="100">
        <f t="shared" si="18"/>
        <v>2680.3</v>
      </c>
      <c r="I289" s="100">
        <f t="shared" si="18"/>
        <v>2680.3</v>
      </c>
      <c r="J289" s="100">
        <f t="shared" si="18"/>
        <v>0</v>
      </c>
      <c r="K289" s="100">
        <f t="shared" si="18"/>
        <v>0</v>
      </c>
      <c r="L289" s="306"/>
    </row>
    <row r="290" spans="1:12" ht="75" customHeight="1">
      <c r="A290" s="389"/>
      <c r="B290" s="389"/>
      <c r="C290" s="389"/>
      <c r="D290" s="390"/>
      <c r="E290" s="400"/>
      <c r="F290" s="402"/>
      <c r="G290" s="308" t="s">
        <v>450</v>
      </c>
      <c r="H290" s="100">
        <f>H255</f>
        <v>44223.654000000002</v>
      </c>
      <c r="I290" s="100">
        <f>I255</f>
        <v>17723.654000000002</v>
      </c>
      <c r="J290" s="100">
        <f>J255</f>
        <v>21500</v>
      </c>
      <c r="K290" s="100">
        <f>K255</f>
        <v>5000</v>
      </c>
      <c r="L290" s="306"/>
    </row>
    <row r="291" spans="1:12" ht="75" customHeight="1">
      <c r="A291" s="389"/>
      <c r="B291" s="389"/>
      <c r="C291" s="389"/>
      <c r="D291" s="390"/>
      <c r="E291" s="398" t="s">
        <v>75</v>
      </c>
      <c r="F291" s="402"/>
      <c r="G291" s="334" t="s">
        <v>90</v>
      </c>
      <c r="H291" s="99">
        <f>SUM(H292:H295)</f>
        <v>106411.26000000001</v>
      </c>
      <c r="I291" s="99">
        <f>SUM(I292:I295)</f>
        <v>62999.538</v>
      </c>
      <c r="J291" s="99">
        <f>SUM(J292:J295)</f>
        <v>29189.53</v>
      </c>
      <c r="K291" s="99">
        <f>SUM(K292:K295)</f>
        <v>14222.192000000001</v>
      </c>
      <c r="L291" s="306"/>
    </row>
    <row r="292" spans="1:12" ht="75" customHeight="1">
      <c r="A292" s="389"/>
      <c r="B292" s="389"/>
      <c r="C292" s="389"/>
      <c r="D292" s="390"/>
      <c r="E292" s="399"/>
      <c r="F292" s="402"/>
      <c r="G292" s="327" t="s">
        <v>446</v>
      </c>
      <c r="H292" s="100">
        <f>H139+H186+H222</f>
        <v>42484.104999999996</v>
      </c>
      <c r="I292" s="100">
        <f>I139+I186+I222</f>
        <v>22972.383000000002</v>
      </c>
      <c r="J292" s="100">
        <f>J139+J186+J222</f>
        <v>10289.530000000001</v>
      </c>
      <c r="K292" s="100">
        <f>K139+K186+K222</f>
        <v>9222.1920000000009</v>
      </c>
      <c r="L292" s="306"/>
    </row>
    <row r="293" spans="1:12" ht="75" customHeight="1">
      <c r="A293" s="389"/>
      <c r="B293" s="389"/>
      <c r="C293" s="389"/>
      <c r="D293" s="390"/>
      <c r="E293" s="399"/>
      <c r="F293" s="402"/>
      <c r="G293" s="311" t="s">
        <v>96</v>
      </c>
      <c r="H293" s="100">
        <f>H140</f>
        <v>11848</v>
      </c>
      <c r="I293" s="100">
        <f>I140</f>
        <v>11848</v>
      </c>
      <c r="J293" s="100">
        <f>J140</f>
        <v>0</v>
      </c>
      <c r="K293" s="100">
        <f>K140</f>
        <v>0</v>
      </c>
      <c r="L293" s="306"/>
    </row>
    <row r="294" spans="1:12" ht="168.75" customHeight="1">
      <c r="A294" s="389"/>
      <c r="B294" s="389"/>
      <c r="C294" s="389"/>
      <c r="D294" s="390"/>
      <c r="E294" s="399"/>
      <c r="F294" s="402"/>
      <c r="G294" s="311" t="s">
        <v>207</v>
      </c>
      <c r="H294" s="100">
        <f>H258</f>
        <v>1187.9530000000004</v>
      </c>
      <c r="I294" s="100">
        <f>I258</f>
        <v>1187.9530000000004</v>
      </c>
      <c r="J294" s="100">
        <f>J258</f>
        <v>0</v>
      </c>
      <c r="K294" s="100">
        <f>K258</f>
        <v>0</v>
      </c>
      <c r="L294" s="306"/>
    </row>
    <row r="295" spans="1:12" ht="75" customHeight="1">
      <c r="A295" s="389"/>
      <c r="B295" s="389"/>
      <c r="C295" s="389"/>
      <c r="D295" s="390"/>
      <c r="E295" s="400"/>
      <c r="F295" s="402"/>
      <c r="G295" s="308" t="s">
        <v>450</v>
      </c>
      <c r="H295" s="100">
        <f>H257</f>
        <v>50891.202000000005</v>
      </c>
      <c r="I295" s="100">
        <f>I257</f>
        <v>26991.202000000001</v>
      </c>
      <c r="J295" s="100">
        <f>J257</f>
        <v>18900</v>
      </c>
      <c r="K295" s="100">
        <f>K257</f>
        <v>5000</v>
      </c>
      <c r="L295" s="306"/>
    </row>
    <row r="296" spans="1:12" ht="75" customHeight="1">
      <c r="A296" s="389"/>
      <c r="B296" s="389"/>
      <c r="C296" s="389"/>
      <c r="D296" s="390"/>
      <c r="E296" s="398" t="s">
        <v>79</v>
      </c>
      <c r="F296" s="402"/>
      <c r="G296" s="334" t="s">
        <v>90</v>
      </c>
      <c r="H296" s="99">
        <f>SUM(H297:H300)</f>
        <v>49829.29</v>
      </c>
      <c r="I296" s="99">
        <f>SUM(I297:I300)</f>
        <v>30956.57</v>
      </c>
      <c r="J296" s="99">
        <f>SUM(J297:J300)</f>
        <v>15358.8</v>
      </c>
      <c r="K296" s="99">
        <f>SUM(K297:K300)</f>
        <v>3513.92</v>
      </c>
      <c r="L296" s="306"/>
    </row>
    <row r="297" spans="1:12" ht="75" customHeight="1">
      <c r="A297" s="389"/>
      <c r="B297" s="389"/>
      <c r="C297" s="389"/>
      <c r="D297" s="390"/>
      <c r="E297" s="399"/>
      <c r="F297" s="402"/>
      <c r="G297" s="327" t="s">
        <v>446</v>
      </c>
      <c r="H297" s="100">
        <f t="shared" ref="H297:K298" si="19">H142</f>
        <v>13036.12</v>
      </c>
      <c r="I297" s="100">
        <f t="shared" si="19"/>
        <v>6263.4000000000005</v>
      </c>
      <c r="J297" s="100">
        <f t="shared" si="19"/>
        <v>3258.8</v>
      </c>
      <c r="K297" s="100">
        <f t="shared" si="19"/>
        <v>3513.92</v>
      </c>
      <c r="L297" s="306"/>
    </row>
    <row r="298" spans="1:12" ht="75" customHeight="1">
      <c r="A298" s="389"/>
      <c r="B298" s="389"/>
      <c r="C298" s="389"/>
      <c r="D298" s="390"/>
      <c r="E298" s="399"/>
      <c r="F298" s="402"/>
      <c r="G298" s="311" t="s">
        <v>96</v>
      </c>
      <c r="H298" s="100">
        <f t="shared" si="19"/>
        <v>6347.6</v>
      </c>
      <c r="I298" s="100">
        <f t="shared" si="19"/>
        <v>6347.6</v>
      </c>
      <c r="J298" s="100">
        <f t="shared" si="19"/>
        <v>0</v>
      </c>
      <c r="K298" s="100">
        <f t="shared" si="19"/>
        <v>0</v>
      </c>
      <c r="L298" s="306"/>
    </row>
    <row r="299" spans="1:12" ht="198" customHeight="1">
      <c r="A299" s="389"/>
      <c r="B299" s="389"/>
      <c r="C299" s="389"/>
      <c r="D299" s="390"/>
      <c r="E299" s="399"/>
      <c r="F299" s="402"/>
      <c r="G299" s="311" t="s">
        <v>207</v>
      </c>
      <c r="H299" s="100">
        <f>H261</f>
        <v>926</v>
      </c>
      <c r="I299" s="100">
        <f>I261</f>
        <v>926</v>
      </c>
      <c r="J299" s="100">
        <f>J261</f>
        <v>0</v>
      </c>
      <c r="K299" s="100">
        <f>K261</f>
        <v>0</v>
      </c>
      <c r="L299" s="306"/>
    </row>
    <row r="300" spans="1:12" ht="75" customHeight="1">
      <c r="A300" s="389"/>
      <c r="B300" s="389"/>
      <c r="C300" s="389"/>
      <c r="D300" s="390"/>
      <c r="E300" s="400"/>
      <c r="F300" s="402"/>
      <c r="G300" s="308" t="s">
        <v>450</v>
      </c>
      <c r="H300" s="100">
        <f>H260</f>
        <v>29519.57</v>
      </c>
      <c r="I300" s="100">
        <f>I260</f>
        <v>17419.57</v>
      </c>
      <c r="J300" s="100">
        <f>J260</f>
        <v>12100</v>
      </c>
      <c r="K300" s="100">
        <f>K260</f>
        <v>0</v>
      </c>
      <c r="L300" s="306"/>
    </row>
    <row r="301" spans="1:12" ht="75" customHeight="1">
      <c r="A301" s="389"/>
      <c r="B301" s="389"/>
      <c r="C301" s="389"/>
      <c r="D301" s="390"/>
      <c r="E301" s="398" t="s">
        <v>78</v>
      </c>
      <c r="F301" s="402"/>
      <c r="G301" s="334" t="s">
        <v>90</v>
      </c>
      <c r="H301" s="99">
        <f>SUM(H302:H304)</f>
        <v>27734.575000000001</v>
      </c>
      <c r="I301" s="99">
        <f>SUM(I302:I304)</f>
        <v>9335</v>
      </c>
      <c r="J301" s="99">
        <f>SUM(J302:J304)</f>
        <v>8904.6</v>
      </c>
      <c r="K301" s="99">
        <f>SUM(K302:K304)</f>
        <v>9494.9750000000004</v>
      </c>
      <c r="L301" s="306"/>
    </row>
    <row r="302" spans="1:12" ht="75" customHeight="1">
      <c r="A302" s="389"/>
      <c r="B302" s="389"/>
      <c r="C302" s="389"/>
      <c r="D302" s="390"/>
      <c r="E302" s="399"/>
      <c r="F302" s="402"/>
      <c r="G302" s="327" t="s">
        <v>446</v>
      </c>
      <c r="H302" s="100">
        <f>H145+H187</f>
        <v>25352.375</v>
      </c>
      <c r="I302" s="100">
        <f>I145+I187</f>
        <v>6952.8</v>
      </c>
      <c r="J302" s="100">
        <f>J145+J187</f>
        <v>8904.6</v>
      </c>
      <c r="K302" s="100">
        <f>K145+K187</f>
        <v>9494.9750000000004</v>
      </c>
      <c r="L302" s="306"/>
    </row>
    <row r="303" spans="1:12" ht="75" customHeight="1">
      <c r="A303" s="389"/>
      <c r="B303" s="389"/>
      <c r="C303" s="389"/>
      <c r="D303" s="390"/>
      <c r="E303" s="399"/>
      <c r="F303" s="402"/>
      <c r="G303" s="311" t="s">
        <v>96</v>
      </c>
      <c r="H303" s="100">
        <f>H146</f>
        <v>1132.2</v>
      </c>
      <c r="I303" s="100">
        <f>I146</f>
        <v>1132.2</v>
      </c>
      <c r="J303" s="100">
        <f>J146</f>
        <v>0</v>
      </c>
      <c r="K303" s="100">
        <f>K146</f>
        <v>0</v>
      </c>
      <c r="L303" s="306"/>
    </row>
    <row r="304" spans="1:12" ht="75" customHeight="1">
      <c r="A304" s="389"/>
      <c r="B304" s="389"/>
      <c r="C304" s="389"/>
      <c r="D304" s="390"/>
      <c r="E304" s="400"/>
      <c r="F304" s="402"/>
      <c r="G304" s="308" t="s">
        <v>450</v>
      </c>
      <c r="H304" s="100">
        <f>H262</f>
        <v>1250</v>
      </c>
      <c r="I304" s="100">
        <f>I262</f>
        <v>1250</v>
      </c>
      <c r="J304" s="100">
        <f>J262</f>
        <v>0</v>
      </c>
      <c r="K304" s="100">
        <f>K262</f>
        <v>0</v>
      </c>
      <c r="L304" s="306"/>
    </row>
    <row r="305" spans="1:13" ht="75" customHeight="1">
      <c r="A305" s="389"/>
      <c r="B305" s="389"/>
      <c r="C305" s="389"/>
      <c r="D305" s="390"/>
      <c r="E305" s="398" t="s">
        <v>80</v>
      </c>
      <c r="F305" s="402"/>
      <c r="G305" s="334" t="s">
        <v>90</v>
      </c>
      <c r="H305" s="99">
        <f>SUM(H306:H307)</f>
        <v>24648.81</v>
      </c>
      <c r="I305" s="99">
        <f>SUM(I306:I307)</f>
        <v>7607.41</v>
      </c>
      <c r="J305" s="99">
        <f>SUM(J306:J307)</f>
        <v>8235.5999999999985</v>
      </c>
      <c r="K305" s="99">
        <f>SUM(K306:K307)</f>
        <v>8805.7999999999993</v>
      </c>
      <c r="L305" s="306"/>
    </row>
    <row r="306" spans="1:13" ht="75" customHeight="1">
      <c r="A306" s="389"/>
      <c r="B306" s="389"/>
      <c r="C306" s="389"/>
      <c r="D306" s="390"/>
      <c r="E306" s="399"/>
      <c r="F306" s="402"/>
      <c r="G306" s="327" t="s">
        <v>446</v>
      </c>
      <c r="H306" s="100">
        <f>H147+H188+H217</f>
        <v>24646.31</v>
      </c>
      <c r="I306" s="100">
        <f>I147+I188+I217</f>
        <v>7604.91</v>
      </c>
      <c r="J306" s="100">
        <f>J147+J188+J217</f>
        <v>8235.5999999999985</v>
      </c>
      <c r="K306" s="100">
        <f>K147+K188+K217</f>
        <v>8805.7999999999993</v>
      </c>
      <c r="L306" s="306"/>
    </row>
    <row r="307" spans="1:13" ht="222.75" customHeight="1">
      <c r="A307" s="389"/>
      <c r="B307" s="389"/>
      <c r="C307" s="389"/>
      <c r="D307" s="390"/>
      <c r="E307" s="400"/>
      <c r="F307" s="402"/>
      <c r="G307" s="189" t="s">
        <v>100</v>
      </c>
      <c r="H307" s="100">
        <f>H216</f>
        <v>2.5</v>
      </c>
      <c r="I307" s="100">
        <f>I216</f>
        <v>2.5</v>
      </c>
      <c r="J307" s="100">
        <f>J216</f>
        <v>0</v>
      </c>
      <c r="K307" s="100">
        <f>K216</f>
        <v>0</v>
      </c>
      <c r="L307" s="306"/>
    </row>
    <row r="308" spans="1:13" ht="75" customHeight="1">
      <c r="A308" s="389"/>
      <c r="B308" s="389"/>
      <c r="C308" s="389"/>
      <c r="D308" s="390"/>
      <c r="E308" s="398" t="s">
        <v>81</v>
      </c>
      <c r="F308" s="402"/>
      <c r="G308" s="334" t="s">
        <v>90</v>
      </c>
      <c r="H308" s="99">
        <f>H309</f>
        <v>28054.842300000004</v>
      </c>
      <c r="I308" s="99">
        <f>I309</f>
        <v>8442.69</v>
      </c>
      <c r="J308" s="99">
        <f>J309</f>
        <v>9562.9000000000015</v>
      </c>
      <c r="K308" s="99">
        <f>K309</f>
        <v>10049.2523</v>
      </c>
      <c r="L308" s="306"/>
    </row>
    <row r="309" spans="1:13" ht="75" customHeight="1">
      <c r="A309" s="389"/>
      <c r="B309" s="389"/>
      <c r="C309" s="389"/>
      <c r="D309" s="390"/>
      <c r="E309" s="400"/>
      <c r="F309" s="402"/>
      <c r="G309" s="327" t="s">
        <v>446</v>
      </c>
      <c r="H309" s="100">
        <f>I309+J309+K309</f>
        <v>28054.842300000004</v>
      </c>
      <c r="I309" s="100">
        <f>I148+I189+I219</f>
        <v>8442.69</v>
      </c>
      <c r="J309" s="100">
        <f>J148+J189+J219</f>
        <v>9562.9000000000015</v>
      </c>
      <c r="K309" s="100">
        <f>K148+K189+K219</f>
        <v>10049.2523</v>
      </c>
      <c r="L309" s="306"/>
    </row>
    <row r="310" spans="1:13" ht="75" customHeight="1">
      <c r="A310" s="389"/>
      <c r="B310" s="389"/>
      <c r="C310" s="389"/>
      <c r="D310" s="390"/>
      <c r="E310" s="319" t="s">
        <v>425</v>
      </c>
      <c r="F310" s="402"/>
      <c r="G310" s="327" t="s">
        <v>446</v>
      </c>
      <c r="H310" s="99">
        <f>H149</f>
        <v>3000</v>
      </c>
      <c r="I310" s="99">
        <f>I149</f>
        <v>3000</v>
      </c>
      <c r="J310" s="99">
        <f>J149</f>
        <v>0</v>
      </c>
      <c r="K310" s="99">
        <f>K149</f>
        <v>0</v>
      </c>
      <c r="L310" s="306"/>
    </row>
    <row r="311" spans="1:13" ht="75" customHeight="1">
      <c r="A311" s="389"/>
      <c r="B311" s="389"/>
      <c r="C311" s="389"/>
      <c r="D311" s="390"/>
      <c r="E311" s="398" t="s">
        <v>54</v>
      </c>
      <c r="F311" s="402"/>
      <c r="G311" s="334" t="s">
        <v>90</v>
      </c>
      <c r="H311" s="99">
        <f>SUM(H312:H316)</f>
        <v>74179.418999999994</v>
      </c>
      <c r="I311" s="99">
        <f>SUM(I312:I316)</f>
        <v>45904.919000000002</v>
      </c>
      <c r="J311" s="99">
        <f>SUM(J312:J316)</f>
        <v>25286.799999999999</v>
      </c>
      <c r="K311" s="99">
        <f>SUM(K312:K316)</f>
        <v>2987.7</v>
      </c>
      <c r="L311" s="306"/>
    </row>
    <row r="312" spans="1:13" ht="75" customHeight="1">
      <c r="A312" s="389"/>
      <c r="B312" s="389"/>
      <c r="C312" s="389"/>
      <c r="D312" s="390"/>
      <c r="E312" s="399"/>
      <c r="F312" s="402"/>
      <c r="G312" s="327" t="s">
        <v>446</v>
      </c>
      <c r="H312" s="100">
        <f>H193+H218</f>
        <v>25819.200000000001</v>
      </c>
      <c r="I312" s="100">
        <f>I193+I218</f>
        <v>17282.2</v>
      </c>
      <c r="J312" s="100">
        <f>J193+J218</f>
        <v>5549.3</v>
      </c>
      <c r="K312" s="100">
        <f>K193+K218</f>
        <v>2987.7</v>
      </c>
      <c r="L312" s="306"/>
    </row>
    <row r="313" spans="1:13" ht="223.5" customHeight="1">
      <c r="A313" s="389"/>
      <c r="B313" s="389"/>
      <c r="C313" s="389"/>
      <c r="D313" s="390"/>
      <c r="E313" s="399"/>
      <c r="F313" s="402"/>
      <c r="G313" s="308" t="s">
        <v>100</v>
      </c>
      <c r="H313" s="100">
        <f>H192</f>
        <v>6609.6190000000006</v>
      </c>
      <c r="I313" s="100">
        <f>I192</f>
        <v>6609.6190000000006</v>
      </c>
      <c r="J313" s="100">
        <f>J192</f>
        <v>0</v>
      </c>
      <c r="K313" s="100">
        <f>K192</f>
        <v>0</v>
      </c>
      <c r="L313" s="306"/>
    </row>
    <row r="314" spans="1:13" ht="173.25" customHeight="1">
      <c r="A314" s="389"/>
      <c r="B314" s="389"/>
      <c r="C314" s="389"/>
      <c r="D314" s="390"/>
      <c r="E314" s="399"/>
      <c r="F314" s="402"/>
      <c r="G314" s="308" t="s">
        <v>99</v>
      </c>
      <c r="H314" s="100">
        <f>H191</f>
        <v>1490.1</v>
      </c>
      <c r="I314" s="100">
        <f>I191</f>
        <v>1490.1</v>
      </c>
      <c r="J314" s="100">
        <f>J191</f>
        <v>0</v>
      </c>
      <c r="K314" s="100">
        <f>K191</f>
        <v>0</v>
      </c>
      <c r="L314" s="306"/>
    </row>
    <row r="315" spans="1:13" ht="75" customHeight="1">
      <c r="A315" s="389"/>
      <c r="B315" s="389"/>
      <c r="C315" s="389"/>
      <c r="D315" s="390"/>
      <c r="E315" s="399"/>
      <c r="F315" s="402"/>
      <c r="G315" s="312" t="s">
        <v>413</v>
      </c>
      <c r="H315" s="100">
        <f>H273</f>
        <v>799.7</v>
      </c>
      <c r="I315" s="100">
        <f>I273</f>
        <v>799.7</v>
      </c>
      <c r="J315" s="100">
        <f>J273</f>
        <v>0</v>
      </c>
      <c r="K315" s="100">
        <f>K273</f>
        <v>0</v>
      </c>
      <c r="L315" s="306"/>
    </row>
    <row r="316" spans="1:13" ht="75" customHeight="1">
      <c r="A316" s="391"/>
      <c r="B316" s="391"/>
      <c r="C316" s="391"/>
      <c r="D316" s="392"/>
      <c r="E316" s="400"/>
      <c r="F316" s="403"/>
      <c r="G316" s="308" t="s">
        <v>450</v>
      </c>
      <c r="H316" s="100">
        <f>H265</f>
        <v>39460.800000000003</v>
      </c>
      <c r="I316" s="100">
        <f>I265</f>
        <v>19723.3</v>
      </c>
      <c r="J316" s="100">
        <f>J265</f>
        <v>19737.5</v>
      </c>
      <c r="K316" s="100">
        <f>K265</f>
        <v>0</v>
      </c>
      <c r="L316" s="307"/>
    </row>
    <row r="317" spans="1:13" ht="75" customHeight="1">
      <c r="A317" s="529" t="s">
        <v>262</v>
      </c>
      <c r="B317" s="529"/>
      <c r="C317" s="529"/>
      <c r="D317" s="529"/>
      <c r="E317" s="529"/>
      <c r="F317" s="529"/>
      <c r="G317" s="529"/>
      <c r="H317" s="529"/>
      <c r="I317" s="529"/>
      <c r="J317" s="529"/>
      <c r="K317" s="529"/>
      <c r="L317" s="530"/>
    </row>
    <row r="318" spans="1:13" ht="75" customHeight="1">
      <c r="A318" s="315" t="s">
        <v>264</v>
      </c>
      <c r="B318" s="531" t="s">
        <v>263</v>
      </c>
      <c r="C318" s="532"/>
      <c r="D318" s="532"/>
      <c r="E318" s="532"/>
      <c r="F318" s="533"/>
      <c r="G318" s="347" t="s">
        <v>85</v>
      </c>
      <c r="H318" s="99">
        <f>SUM(H319:H323)</f>
        <v>2035.825</v>
      </c>
      <c r="I318" s="99">
        <f>SUM(I319:I323)</f>
        <v>729.5</v>
      </c>
      <c r="J318" s="99">
        <f>SUM(J319:J323)</f>
        <v>630.9</v>
      </c>
      <c r="K318" s="99">
        <f>SUM(K319:K323)</f>
        <v>675.42499999999995</v>
      </c>
      <c r="L318" s="374" t="s">
        <v>265</v>
      </c>
      <c r="M318" s="191"/>
    </row>
    <row r="319" spans="1:13" ht="75" customHeight="1">
      <c r="A319" s="558" t="s">
        <v>268</v>
      </c>
      <c r="B319" s="387"/>
      <c r="C319" s="387"/>
      <c r="D319" s="388"/>
      <c r="E319" s="309" t="s">
        <v>82</v>
      </c>
      <c r="F319" s="404"/>
      <c r="G319" s="445" t="s">
        <v>446</v>
      </c>
      <c r="H319" s="99">
        <f>I319+J319+K319</f>
        <v>76</v>
      </c>
      <c r="I319" s="100">
        <v>76</v>
      </c>
      <c r="J319" s="100">
        <v>0</v>
      </c>
      <c r="K319" s="100">
        <v>0</v>
      </c>
      <c r="L319" s="393"/>
      <c r="M319" s="109"/>
    </row>
    <row r="320" spans="1:13" ht="75" customHeight="1">
      <c r="A320" s="559"/>
      <c r="B320" s="389"/>
      <c r="C320" s="389"/>
      <c r="D320" s="390"/>
      <c r="E320" s="309" t="s">
        <v>76</v>
      </c>
      <c r="F320" s="405"/>
      <c r="G320" s="446"/>
      <c r="H320" s="99">
        <f>I320+J320+K320</f>
        <v>510.50000000000006</v>
      </c>
      <c r="I320" s="100">
        <f>24.3+148</f>
        <v>172.3</v>
      </c>
      <c r="J320" s="100">
        <v>163.4</v>
      </c>
      <c r="K320" s="100">
        <v>174.8</v>
      </c>
      <c r="L320" s="393"/>
      <c r="M320" s="109"/>
    </row>
    <row r="321" spans="1:13" ht="75" customHeight="1">
      <c r="A321" s="559"/>
      <c r="B321" s="389"/>
      <c r="C321" s="389"/>
      <c r="D321" s="390"/>
      <c r="E321" s="309" t="s">
        <v>77</v>
      </c>
      <c r="F321" s="405"/>
      <c r="G321" s="446"/>
      <c r="H321" s="99">
        <f>I321+J321+K321</f>
        <v>41.5</v>
      </c>
      <c r="I321" s="100">
        <v>41.5</v>
      </c>
      <c r="J321" s="100">
        <v>0</v>
      </c>
      <c r="K321" s="100">
        <v>0</v>
      </c>
      <c r="L321" s="393"/>
      <c r="M321" s="109"/>
    </row>
    <row r="322" spans="1:13" ht="75" customHeight="1">
      <c r="A322" s="559"/>
      <c r="B322" s="389"/>
      <c r="C322" s="389"/>
      <c r="D322" s="390"/>
      <c r="E322" s="309" t="s">
        <v>79</v>
      </c>
      <c r="F322" s="405"/>
      <c r="G322" s="446"/>
      <c r="H322" s="99">
        <f>I322+J322+K322</f>
        <v>9.5</v>
      </c>
      <c r="I322" s="100">
        <v>9.5</v>
      </c>
      <c r="J322" s="100">
        <v>0</v>
      </c>
      <c r="K322" s="100">
        <v>0</v>
      </c>
      <c r="L322" s="393"/>
      <c r="M322" s="109"/>
    </row>
    <row r="323" spans="1:13" ht="75" customHeight="1">
      <c r="A323" s="560"/>
      <c r="B323" s="391"/>
      <c r="C323" s="391"/>
      <c r="D323" s="392"/>
      <c r="E323" s="303" t="s">
        <v>78</v>
      </c>
      <c r="F323" s="406"/>
      <c r="G323" s="447"/>
      <c r="H323" s="99">
        <f>I323+J323+K323</f>
        <v>1398.325</v>
      </c>
      <c r="I323" s="100">
        <v>430.2</v>
      </c>
      <c r="J323" s="100">
        <f>430+37.5</f>
        <v>467.5</v>
      </c>
      <c r="K323" s="100">
        <f>460+40.625</f>
        <v>500.625</v>
      </c>
      <c r="L323" s="375"/>
      <c r="M323" s="109"/>
    </row>
    <row r="324" spans="1:13" ht="75" customHeight="1">
      <c r="A324" s="192" t="s">
        <v>291</v>
      </c>
      <c r="B324" s="470" t="s">
        <v>266</v>
      </c>
      <c r="C324" s="471"/>
      <c r="D324" s="471"/>
      <c r="E324" s="471"/>
      <c r="F324" s="472"/>
      <c r="G324" s="347" t="s">
        <v>85</v>
      </c>
      <c r="H324" s="99">
        <f>H329+H330+H331+H332+H326+H325</f>
        <v>34185.597000000002</v>
      </c>
      <c r="I324" s="99">
        <f>I329+I330+I331+I332+I326+I325</f>
        <v>21897.487000000001</v>
      </c>
      <c r="J324" s="99">
        <f>J329+J330+J331+J332+J326+J325+J327+J328</f>
        <v>7458.47</v>
      </c>
      <c r="K324" s="99">
        <f>K329+K330+K331+K332+K326+K325</f>
        <v>10129.64</v>
      </c>
      <c r="L324" s="193"/>
      <c r="M324" s="109"/>
    </row>
    <row r="325" spans="1:13" ht="75" customHeight="1">
      <c r="A325" s="454" t="s">
        <v>268</v>
      </c>
      <c r="B325" s="455"/>
      <c r="C325" s="455"/>
      <c r="D325" s="456"/>
      <c r="E325" s="309" t="s">
        <v>82</v>
      </c>
      <c r="F325" s="305"/>
      <c r="G325" s="308" t="s">
        <v>446</v>
      </c>
      <c r="H325" s="99">
        <f t="shared" ref="H325:H332" si="20">I325+J325+K325</f>
        <v>117.64</v>
      </c>
      <c r="I325" s="99"/>
      <c r="J325" s="99"/>
      <c r="K325" s="99">
        <f>90.64+15+12</f>
        <v>117.64</v>
      </c>
      <c r="L325" s="194"/>
      <c r="M325" s="109"/>
    </row>
    <row r="326" spans="1:13" ht="75" customHeight="1">
      <c r="A326" s="457"/>
      <c r="B326" s="458"/>
      <c r="C326" s="458"/>
      <c r="D326" s="459"/>
      <c r="E326" s="309" t="s">
        <v>82</v>
      </c>
      <c r="F326" s="305"/>
      <c r="G326" s="308" t="s">
        <v>450</v>
      </c>
      <c r="H326" s="99">
        <f t="shared" si="20"/>
        <v>10049.6</v>
      </c>
      <c r="I326" s="99">
        <v>49.6</v>
      </c>
      <c r="J326" s="99"/>
      <c r="K326" s="99">
        <v>10000</v>
      </c>
      <c r="L326" s="194"/>
      <c r="M326" s="109"/>
    </row>
    <row r="327" spans="1:13" ht="75" customHeight="1">
      <c r="A327" s="457"/>
      <c r="B327" s="458"/>
      <c r="C327" s="458"/>
      <c r="D327" s="459"/>
      <c r="E327" s="303" t="s">
        <v>79</v>
      </c>
      <c r="F327" s="318"/>
      <c r="G327" s="308" t="s">
        <v>446</v>
      </c>
      <c r="H327" s="99"/>
      <c r="I327" s="99"/>
      <c r="J327" s="100">
        <v>15</v>
      </c>
      <c r="K327" s="99"/>
      <c r="L327" s="194"/>
      <c r="M327" s="109"/>
    </row>
    <row r="328" spans="1:13" ht="79.5" customHeight="1">
      <c r="A328" s="457"/>
      <c r="B328" s="458"/>
      <c r="C328" s="458"/>
      <c r="D328" s="459"/>
      <c r="E328" s="303" t="s">
        <v>79</v>
      </c>
      <c r="F328" s="318"/>
      <c r="G328" s="308" t="s">
        <v>450</v>
      </c>
      <c r="H328" s="99"/>
      <c r="I328" s="99"/>
      <c r="J328" s="100">
        <v>5285</v>
      </c>
      <c r="K328" s="99"/>
      <c r="L328" s="194"/>
      <c r="M328" s="109"/>
    </row>
    <row r="329" spans="1:13" ht="75" customHeight="1">
      <c r="A329" s="457"/>
      <c r="B329" s="458"/>
      <c r="C329" s="458"/>
      <c r="D329" s="459"/>
      <c r="E329" s="374" t="s">
        <v>75</v>
      </c>
      <c r="F329" s="404"/>
      <c r="G329" s="308" t="s">
        <v>446</v>
      </c>
      <c r="H329" s="99">
        <f t="shared" si="20"/>
        <v>347.5</v>
      </c>
      <c r="I329" s="100">
        <f>199+30</f>
        <v>229</v>
      </c>
      <c r="J329" s="100">
        <v>106.5</v>
      </c>
      <c r="K329" s="100">
        <v>12</v>
      </c>
      <c r="L329" s="374" t="s">
        <v>267</v>
      </c>
      <c r="M329" s="109"/>
    </row>
    <row r="330" spans="1:13" ht="75" customHeight="1">
      <c r="A330" s="457"/>
      <c r="B330" s="458"/>
      <c r="C330" s="458"/>
      <c r="D330" s="459"/>
      <c r="E330" s="393"/>
      <c r="F330" s="405"/>
      <c r="G330" s="308" t="s">
        <v>450</v>
      </c>
      <c r="H330" s="99">
        <f t="shared" si="20"/>
        <v>6599.6870000000008</v>
      </c>
      <c r="I330" s="100">
        <f>7269.3-500+49.587-799.7</f>
        <v>6019.1870000000008</v>
      </c>
      <c r="J330" s="100">
        <f>130+410+40.5</f>
        <v>580.5</v>
      </c>
      <c r="K330" s="106"/>
      <c r="L330" s="393"/>
      <c r="M330" s="109"/>
    </row>
    <row r="331" spans="1:13" ht="75" customHeight="1">
      <c r="A331" s="457"/>
      <c r="B331" s="458"/>
      <c r="C331" s="458"/>
      <c r="D331" s="459"/>
      <c r="E331" s="393"/>
      <c r="F331" s="405"/>
      <c r="G331" s="311" t="s">
        <v>399</v>
      </c>
      <c r="H331" s="101">
        <f t="shared" si="20"/>
        <v>16186.17</v>
      </c>
      <c r="I331" s="102">
        <v>14714.7</v>
      </c>
      <c r="J331" s="102">
        <v>1471.47</v>
      </c>
      <c r="K331" s="101"/>
      <c r="L331" s="393"/>
      <c r="M331" s="109"/>
    </row>
    <row r="332" spans="1:13" ht="75" customHeight="1">
      <c r="A332" s="460"/>
      <c r="B332" s="461"/>
      <c r="C332" s="461"/>
      <c r="D332" s="462"/>
      <c r="E332" s="375"/>
      <c r="F332" s="330"/>
      <c r="G332" s="308" t="s">
        <v>84</v>
      </c>
      <c r="H332" s="99">
        <f t="shared" si="20"/>
        <v>885</v>
      </c>
      <c r="I332" s="100">
        <v>885</v>
      </c>
      <c r="J332" s="100">
        <v>0</v>
      </c>
      <c r="K332" s="100">
        <v>0</v>
      </c>
      <c r="L332" s="393"/>
      <c r="M332" s="109"/>
    </row>
    <row r="333" spans="1:13" ht="75" customHeight="1">
      <c r="A333" s="192" t="s">
        <v>292</v>
      </c>
      <c r="B333" s="428" t="s">
        <v>195</v>
      </c>
      <c r="C333" s="428"/>
      <c r="D333" s="428"/>
      <c r="E333" s="428"/>
      <c r="F333" s="428"/>
      <c r="G333" s="330" t="s">
        <v>85</v>
      </c>
      <c r="H333" s="99">
        <f>H334</f>
        <v>6238.8</v>
      </c>
      <c r="I333" s="99">
        <f t="shared" ref="I333:K335" si="21">I334</f>
        <v>6238.8</v>
      </c>
      <c r="J333" s="99">
        <f t="shared" si="21"/>
        <v>0</v>
      </c>
      <c r="K333" s="99">
        <f t="shared" si="21"/>
        <v>0</v>
      </c>
      <c r="L333" s="374" t="s">
        <v>61</v>
      </c>
      <c r="M333" s="109"/>
    </row>
    <row r="334" spans="1:13" ht="75" customHeight="1">
      <c r="A334" s="376" t="s">
        <v>268</v>
      </c>
      <c r="B334" s="377"/>
      <c r="C334" s="377"/>
      <c r="D334" s="378"/>
      <c r="E334" s="309" t="s">
        <v>75</v>
      </c>
      <c r="F334" s="330"/>
      <c r="G334" s="308" t="s">
        <v>104</v>
      </c>
      <c r="H334" s="99">
        <f>I334+J334+K334</f>
        <v>6238.8</v>
      </c>
      <c r="I334" s="100">
        <v>6238.8</v>
      </c>
      <c r="J334" s="100">
        <v>0</v>
      </c>
      <c r="K334" s="100">
        <v>0</v>
      </c>
      <c r="L334" s="375"/>
      <c r="M334" s="109"/>
    </row>
    <row r="335" spans="1:13" ht="114.75" customHeight="1">
      <c r="A335" s="192" t="s">
        <v>293</v>
      </c>
      <c r="B335" s="428" t="s">
        <v>417</v>
      </c>
      <c r="C335" s="428"/>
      <c r="D335" s="428"/>
      <c r="E335" s="428"/>
      <c r="F335" s="428"/>
      <c r="G335" s="330" t="s">
        <v>85</v>
      </c>
      <c r="H335" s="99">
        <f>H336</f>
        <v>6848</v>
      </c>
      <c r="I335" s="99">
        <f t="shared" si="21"/>
        <v>6848</v>
      </c>
      <c r="J335" s="99">
        <f t="shared" si="21"/>
        <v>0</v>
      </c>
      <c r="K335" s="99">
        <f t="shared" si="21"/>
        <v>0</v>
      </c>
      <c r="L335" s="374" t="s">
        <v>418</v>
      </c>
      <c r="M335" s="109"/>
    </row>
    <row r="336" spans="1:13" ht="144" customHeight="1">
      <c r="A336" s="376" t="s">
        <v>268</v>
      </c>
      <c r="B336" s="377"/>
      <c r="C336" s="377"/>
      <c r="D336" s="378"/>
      <c r="E336" s="309" t="s">
        <v>54</v>
      </c>
      <c r="F336" s="330"/>
      <c r="G336" s="308" t="s">
        <v>415</v>
      </c>
      <c r="H336" s="99">
        <f>I336+J336+K336</f>
        <v>6848</v>
      </c>
      <c r="I336" s="100">
        <v>6848</v>
      </c>
      <c r="J336" s="100">
        <v>0</v>
      </c>
      <c r="K336" s="100">
        <v>0</v>
      </c>
      <c r="L336" s="375"/>
      <c r="M336" s="109"/>
    </row>
    <row r="337" spans="1:14" ht="75" customHeight="1">
      <c r="A337" s="315" t="s">
        <v>294</v>
      </c>
      <c r="B337" s="428" t="s">
        <v>269</v>
      </c>
      <c r="C337" s="428"/>
      <c r="D337" s="428"/>
      <c r="E337" s="428"/>
      <c r="F337" s="428"/>
      <c r="G337" s="330" t="s">
        <v>85</v>
      </c>
      <c r="H337" s="99">
        <f>H338</f>
        <v>12454.899999999998</v>
      </c>
      <c r="I337" s="99">
        <f>I338</f>
        <v>12454.899999999998</v>
      </c>
      <c r="J337" s="99">
        <f>J338</f>
        <v>0</v>
      </c>
      <c r="K337" s="99">
        <f>K338</f>
        <v>0</v>
      </c>
      <c r="L337" s="374" t="s">
        <v>61</v>
      </c>
      <c r="M337" s="109"/>
    </row>
    <row r="338" spans="1:14" ht="145.5" customHeight="1">
      <c r="A338" s="557"/>
      <c r="B338" s="557"/>
      <c r="C338" s="557"/>
      <c r="D338" s="557"/>
      <c r="E338" s="309" t="s">
        <v>86</v>
      </c>
      <c r="F338" s="321"/>
      <c r="G338" s="445" t="s">
        <v>450</v>
      </c>
      <c r="H338" s="99">
        <f>H339+H340+H341+H342</f>
        <v>12454.899999999998</v>
      </c>
      <c r="I338" s="99">
        <f>I339+I340+I341+I342</f>
        <v>12454.899999999998</v>
      </c>
      <c r="J338" s="99">
        <f>J339+J340+J341+J342</f>
        <v>0</v>
      </c>
      <c r="K338" s="99">
        <f>K339+K340+K341+K342</f>
        <v>0</v>
      </c>
      <c r="L338" s="393"/>
      <c r="M338" s="109"/>
    </row>
    <row r="339" spans="1:14" ht="75" customHeight="1">
      <c r="A339" s="553" t="s">
        <v>268</v>
      </c>
      <c r="B339" s="554"/>
      <c r="C339" s="554"/>
      <c r="D339" s="554"/>
      <c r="E339" s="309" t="s">
        <v>76</v>
      </c>
      <c r="F339" s="321"/>
      <c r="G339" s="446"/>
      <c r="H339" s="99">
        <f>I339+J339+K339</f>
        <v>11713.3</v>
      </c>
      <c r="I339" s="333">
        <v>11713.3</v>
      </c>
      <c r="J339" s="100">
        <v>0</v>
      </c>
      <c r="K339" s="100">
        <v>0</v>
      </c>
      <c r="L339" s="393"/>
      <c r="M339" s="109"/>
    </row>
    <row r="340" spans="1:14" ht="75" customHeight="1">
      <c r="A340" s="555"/>
      <c r="B340" s="556"/>
      <c r="C340" s="556"/>
      <c r="D340" s="556"/>
      <c r="E340" s="309" t="s">
        <v>77</v>
      </c>
      <c r="F340" s="321"/>
      <c r="G340" s="446"/>
      <c r="H340" s="99">
        <f>I340+J340+K340</f>
        <v>204.3</v>
      </c>
      <c r="I340" s="100">
        <v>204.3</v>
      </c>
      <c r="J340" s="100">
        <v>0</v>
      </c>
      <c r="K340" s="100">
        <v>0</v>
      </c>
      <c r="L340" s="393"/>
      <c r="M340" s="109"/>
    </row>
    <row r="341" spans="1:14" ht="96" customHeight="1">
      <c r="A341" s="555"/>
      <c r="B341" s="556"/>
      <c r="C341" s="556"/>
      <c r="D341" s="556"/>
      <c r="E341" s="303" t="s">
        <v>79</v>
      </c>
      <c r="F341" s="321"/>
      <c r="G341" s="446"/>
      <c r="H341" s="99">
        <f>I341+J341+K341</f>
        <v>537.29999999999995</v>
      </c>
      <c r="I341" s="333">
        <v>537.29999999999995</v>
      </c>
      <c r="J341" s="100">
        <v>0</v>
      </c>
      <c r="K341" s="100">
        <v>0</v>
      </c>
      <c r="L341" s="393"/>
      <c r="M341" s="109"/>
    </row>
    <row r="342" spans="1:14" ht="75" customHeight="1">
      <c r="A342" s="322"/>
      <c r="B342" s="323"/>
      <c r="C342" s="323"/>
      <c r="D342" s="323"/>
      <c r="E342" s="309" t="s">
        <v>75</v>
      </c>
      <c r="F342" s="195"/>
      <c r="G342" s="447"/>
      <c r="H342" s="99">
        <f>I342+J342+K342</f>
        <v>0</v>
      </c>
      <c r="I342" s="103"/>
      <c r="J342" s="103"/>
      <c r="K342" s="103"/>
      <c r="L342" s="304"/>
      <c r="M342" s="109"/>
    </row>
    <row r="343" spans="1:14" ht="75" customHeight="1">
      <c r="A343" s="196" t="s">
        <v>295</v>
      </c>
      <c r="B343" s="542" t="s">
        <v>270</v>
      </c>
      <c r="C343" s="543"/>
      <c r="D343" s="543"/>
      <c r="E343" s="543"/>
      <c r="F343" s="197"/>
      <c r="G343" s="330" t="s">
        <v>85</v>
      </c>
      <c r="H343" s="124">
        <f>SUM(H344:H353)</f>
        <v>1690105.9175197</v>
      </c>
      <c r="I343" s="124">
        <f>SUM(I344:I353)</f>
        <v>500635.6</v>
      </c>
      <c r="J343" s="124">
        <f>SUM(J344:J353)</f>
        <v>647450.38469999994</v>
      </c>
      <c r="K343" s="124">
        <f>SUM(K344:K353)</f>
        <v>542019.93281969998</v>
      </c>
      <c r="L343" s="374" t="s">
        <v>88</v>
      </c>
      <c r="M343" s="221" t="s">
        <v>453</v>
      </c>
      <c r="N343" s="276" t="s">
        <v>466</v>
      </c>
    </row>
    <row r="344" spans="1:14" ht="75" customHeight="1">
      <c r="A344" s="544" t="s">
        <v>268</v>
      </c>
      <c r="B344" s="545"/>
      <c r="C344" s="545"/>
      <c r="D344" s="546"/>
      <c r="E344" s="309" t="s">
        <v>82</v>
      </c>
      <c r="F344" s="330"/>
      <c r="G344" s="445" t="s">
        <v>87</v>
      </c>
      <c r="H344" s="99">
        <f>I344+J344+K344</f>
        <v>308609.45589119999</v>
      </c>
      <c r="I344" s="100">
        <v>97670.399999999994</v>
      </c>
      <c r="J344" s="100">
        <f>I344*1.053</f>
        <v>102846.93119999999</v>
      </c>
      <c r="K344" s="100">
        <f>J344*1.051</f>
        <v>108092.12469119999</v>
      </c>
      <c r="L344" s="393"/>
      <c r="M344" s="221">
        <v>90678.9</v>
      </c>
      <c r="N344" s="97">
        <v>143325.5</v>
      </c>
    </row>
    <row r="345" spans="1:14" ht="75" customHeight="1">
      <c r="A345" s="547"/>
      <c r="B345" s="548"/>
      <c r="C345" s="548"/>
      <c r="D345" s="549"/>
      <c r="E345" s="309" t="s">
        <v>76</v>
      </c>
      <c r="F345" s="330"/>
      <c r="G345" s="446"/>
      <c r="H345" s="99">
        <f t="shared" ref="H345:H353" si="22">I345+J345+K345</f>
        <v>132625.60000000001</v>
      </c>
      <c r="I345" s="100">
        <v>37455.599999999999</v>
      </c>
      <c r="J345" s="100">
        <v>49373</v>
      </c>
      <c r="K345" s="100">
        <v>45797</v>
      </c>
      <c r="L345" s="393"/>
      <c r="M345" s="221">
        <v>37455.599999999999</v>
      </c>
      <c r="N345" s="278">
        <v>49373</v>
      </c>
    </row>
    <row r="346" spans="1:14" ht="75" customHeight="1">
      <c r="A346" s="547"/>
      <c r="B346" s="548"/>
      <c r="C346" s="548"/>
      <c r="D346" s="549"/>
      <c r="E346" s="309" t="s">
        <v>77</v>
      </c>
      <c r="F346" s="330"/>
      <c r="G346" s="446"/>
      <c r="H346" s="99">
        <f t="shared" si="22"/>
        <v>425093.5</v>
      </c>
      <c r="I346" s="100">
        <v>117838.5</v>
      </c>
      <c r="J346" s="100">
        <v>209889.5</v>
      </c>
      <c r="K346" s="100">
        <v>97365.5</v>
      </c>
      <c r="L346" s="393"/>
      <c r="M346" s="221">
        <v>117838.5</v>
      </c>
      <c r="N346" s="278">
        <v>209889.5</v>
      </c>
    </row>
    <row r="347" spans="1:14" ht="75" customHeight="1">
      <c r="A347" s="547"/>
      <c r="B347" s="548"/>
      <c r="C347" s="548"/>
      <c r="D347" s="549"/>
      <c r="E347" s="309" t="s">
        <v>75</v>
      </c>
      <c r="F347" s="330"/>
      <c r="G347" s="446"/>
      <c r="H347" s="99">
        <f t="shared" si="22"/>
        <v>241584.30000000002</v>
      </c>
      <c r="I347" s="100">
        <v>70008.100000000006</v>
      </c>
      <c r="J347" s="100">
        <v>83168.3</v>
      </c>
      <c r="K347" s="100">
        <v>88407.9</v>
      </c>
      <c r="L347" s="393"/>
      <c r="M347" s="221">
        <v>65010.400000000001</v>
      </c>
      <c r="N347" s="279"/>
    </row>
    <row r="348" spans="1:14" ht="93.75" customHeight="1">
      <c r="A348" s="547"/>
      <c r="B348" s="548"/>
      <c r="C348" s="548"/>
      <c r="D348" s="549"/>
      <c r="E348" s="303" t="s">
        <v>79</v>
      </c>
      <c r="F348" s="313"/>
      <c r="G348" s="446"/>
      <c r="H348" s="99">
        <f t="shared" si="22"/>
        <v>151724.92559999999</v>
      </c>
      <c r="I348" s="106">
        <v>36775.4</v>
      </c>
      <c r="J348" s="100">
        <v>56045.599999999999</v>
      </c>
      <c r="K348" s="100">
        <f t="shared" ref="K348:K353" si="23">J348*1.051</f>
        <v>58903.925599999995</v>
      </c>
      <c r="L348" s="393"/>
      <c r="M348" s="222">
        <v>36775.4</v>
      </c>
      <c r="N348" s="97">
        <v>56045.599999999999</v>
      </c>
    </row>
    <row r="349" spans="1:14" ht="75" customHeight="1">
      <c r="A349" s="547"/>
      <c r="B349" s="548"/>
      <c r="C349" s="548"/>
      <c r="D349" s="549"/>
      <c r="E349" s="303" t="s">
        <v>78</v>
      </c>
      <c r="F349" s="330"/>
      <c r="G349" s="446"/>
      <c r="H349" s="99">
        <f t="shared" si="22"/>
        <v>3457.1846999999998</v>
      </c>
      <c r="I349" s="100">
        <v>1817</v>
      </c>
      <c r="J349" s="100">
        <v>799.7</v>
      </c>
      <c r="K349" s="100">
        <f t="shared" si="23"/>
        <v>840.48469999999998</v>
      </c>
      <c r="L349" s="393"/>
      <c r="M349" s="222">
        <v>1817</v>
      </c>
      <c r="N349" s="277">
        <v>799.7</v>
      </c>
    </row>
    <row r="350" spans="1:14" ht="75" customHeight="1">
      <c r="A350" s="547"/>
      <c r="B350" s="548"/>
      <c r="C350" s="548"/>
      <c r="D350" s="549"/>
      <c r="E350" s="309" t="s">
        <v>80</v>
      </c>
      <c r="F350" s="330"/>
      <c r="G350" s="446"/>
      <c r="H350" s="99">
        <f t="shared" si="22"/>
        <v>216311.68752849998</v>
      </c>
      <c r="I350" s="100">
        <v>68459.5</v>
      </c>
      <c r="J350" s="100">
        <f>I350*1.053</f>
        <v>72087.853499999997</v>
      </c>
      <c r="K350" s="100">
        <f t="shared" si="23"/>
        <v>75764.334028499987</v>
      </c>
      <c r="L350" s="393"/>
      <c r="M350" s="222">
        <v>68459.5</v>
      </c>
    </row>
    <row r="351" spans="1:14" ht="75" customHeight="1">
      <c r="A351" s="547"/>
      <c r="B351" s="548"/>
      <c r="C351" s="548"/>
      <c r="D351" s="549"/>
      <c r="E351" s="309" t="s">
        <v>81</v>
      </c>
      <c r="F351" s="330"/>
      <c r="G351" s="446"/>
      <c r="H351" s="99">
        <f t="shared" si="22"/>
        <v>192325.35250000001</v>
      </c>
      <c r="I351" s="100">
        <v>66381.5</v>
      </c>
      <c r="J351" s="100">
        <v>66343.199999999997</v>
      </c>
      <c r="K351" s="100">
        <f>63675.5+152.8-K353</f>
        <v>59600.652500000004</v>
      </c>
      <c r="L351" s="393"/>
      <c r="M351" s="222">
        <v>66381.5</v>
      </c>
      <c r="N351" s="276">
        <v>66343.199999999997</v>
      </c>
    </row>
    <row r="352" spans="1:14" ht="96" customHeight="1">
      <c r="A352" s="547"/>
      <c r="B352" s="548"/>
      <c r="C352" s="548"/>
      <c r="D352" s="549"/>
      <c r="E352" s="309" t="s">
        <v>351</v>
      </c>
      <c r="F352" s="330"/>
      <c r="G352" s="446"/>
      <c r="H352" s="99">
        <f t="shared" si="22"/>
        <v>7096.1638000000003</v>
      </c>
      <c r="I352" s="100">
        <v>1202</v>
      </c>
      <c r="J352" s="100">
        <v>2873.8</v>
      </c>
      <c r="K352" s="100">
        <f t="shared" si="23"/>
        <v>3020.3638000000001</v>
      </c>
      <c r="L352" s="393"/>
      <c r="M352" s="221">
        <v>915.6</v>
      </c>
      <c r="N352" s="36">
        <v>2873.8</v>
      </c>
    </row>
    <row r="353" spans="1:14" ht="104.25" customHeight="1">
      <c r="A353" s="550"/>
      <c r="B353" s="551"/>
      <c r="C353" s="551"/>
      <c r="D353" s="552"/>
      <c r="E353" s="309" t="s">
        <v>352</v>
      </c>
      <c r="F353" s="330"/>
      <c r="G353" s="447"/>
      <c r="H353" s="99">
        <f t="shared" si="22"/>
        <v>11277.747500000001</v>
      </c>
      <c r="I353" s="100">
        <v>3027.6</v>
      </c>
      <c r="J353" s="100">
        <v>4022.5</v>
      </c>
      <c r="K353" s="100">
        <f t="shared" si="23"/>
        <v>4227.6475</v>
      </c>
      <c r="L353" s="375"/>
      <c r="M353" s="223">
        <v>2177.6</v>
      </c>
      <c r="N353" s="36">
        <v>4022.5</v>
      </c>
    </row>
    <row r="354" spans="1:14" ht="75" customHeight="1">
      <c r="A354" s="196" t="s">
        <v>416</v>
      </c>
      <c r="B354" s="198" t="s">
        <v>271</v>
      </c>
      <c r="C354" s="199"/>
      <c r="D354" s="197"/>
      <c r="E354" s="199"/>
      <c r="F354" s="197"/>
      <c r="G354" s="330" t="s">
        <v>85</v>
      </c>
      <c r="H354" s="124">
        <f>SUM(H355:H359)</f>
        <v>75152.0386</v>
      </c>
      <c r="I354" s="124">
        <f>SUM(I355:I359)</f>
        <v>22375.3</v>
      </c>
      <c r="J354" s="124">
        <f>SUM(J355:J359)</f>
        <v>25731.800000000003</v>
      </c>
      <c r="K354" s="124">
        <f>SUM(K355:K359)</f>
        <v>27044.938600000001</v>
      </c>
      <c r="L354" s="374" t="s">
        <v>105</v>
      </c>
      <c r="M354" s="222" t="s">
        <v>453</v>
      </c>
      <c r="N354" s="36" t="s">
        <v>466</v>
      </c>
    </row>
    <row r="355" spans="1:14" ht="75" customHeight="1">
      <c r="A355" s="563" t="s">
        <v>268</v>
      </c>
      <c r="B355" s="564"/>
      <c r="C355" s="564"/>
      <c r="D355" s="565"/>
      <c r="E355" s="309" t="s">
        <v>82</v>
      </c>
      <c r="F355" s="561"/>
      <c r="G355" s="445" t="s">
        <v>93</v>
      </c>
      <c r="H355" s="99">
        <f>I355+J355+K355</f>
        <v>14988.7772</v>
      </c>
      <c r="I355" s="100">
        <v>4083.2</v>
      </c>
      <c r="J355" s="100">
        <v>5317.2</v>
      </c>
      <c r="K355" s="100">
        <f>J355*1.051</f>
        <v>5588.3771999999999</v>
      </c>
      <c r="L355" s="393"/>
      <c r="M355" s="221">
        <v>4083.2</v>
      </c>
      <c r="N355" s="277">
        <v>5317.2</v>
      </c>
    </row>
    <row r="356" spans="1:14" ht="75" customHeight="1">
      <c r="A356" s="566"/>
      <c r="B356" s="567"/>
      <c r="C356" s="567"/>
      <c r="D356" s="568"/>
      <c r="E356" s="309" t="s">
        <v>76</v>
      </c>
      <c r="F356" s="561"/>
      <c r="G356" s="446"/>
      <c r="H356" s="99">
        <f>I356+J356+K356</f>
        <v>29582.1</v>
      </c>
      <c r="I356" s="100">
        <v>9433.9</v>
      </c>
      <c r="J356" s="100">
        <v>9823.2000000000007</v>
      </c>
      <c r="K356" s="100">
        <v>10325</v>
      </c>
      <c r="L356" s="393"/>
      <c r="M356" s="222">
        <v>9433.9</v>
      </c>
      <c r="N356" s="92">
        <v>9823.2000000000007</v>
      </c>
    </row>
    <row r="357" spans="1:14" ht="75" customHeight="1">
      <c r="A357" s="566"/>
      <c r="B357" s="567"/>
      <c r="C357" s="567"/>
      <c r="D357" s="568"/>
      <c r="E357" s="309" t="s">
        <v>77</v>
      </c>
      <c r="F357" s="561"/>
      <c r="G357" s="446"/>
      <c r="H357" s="99">
        <f>I357+J357+K357</f>
        <v>3139.2442000000001</v>
      </c>
      <c r="I357" s="100">
        <v>1018.1</v>
      </c>
      <c r="J357" s="100">
        <v>1034.2</v>
      </c>
      <c r="K357" s="100">
        <f>J357*1.051</f>
        <v>1086.9441999999999</v>
      </c>
      <c r="L357" s="393"/>
      <c r="M357" s="221">
        <v>1018.1</v>
      </c>
      <c r="N357" s="92">
        <v>1002.8</v>
      </c>
    </row>
    <row r="358" spans="1:14" ht="108" customHeight="1">
      <c r="A358" s="566"/>
      <c r="B358" s="567"/>
      <c r="C358" s="567"/>
      <c r="D358" s="568"/>
      <c r="E358" s="309" t="s">
        <v>79</v>
      </c>
      <c r="F358" s="561"/>
      <c r="G358" s="446"/>
      <c r="H358" s="99">
        <f>I358+J358+K358</f>
        <v>4047.5172000000002</v>
      </c>
      <c r="I358" s="106">
        <v>853.7</v>
      </c>
      <c r="J358" s="100">
        <v>1557.2</v>
      </c>
      <c r="K358" s="100">
        <f>J358*1.051</f>
        <v>1636.6171999999999</v>
      </c>
      <c r="L358" s="393"/>
      <c r="M358" s="223">
        <v>853.7</v>
      </c>
      <c r="N358" s="92">
        <v>1557.2</v>
      </c>
    </row>
    <row r="359" spans="1:14" ht="75" customHeight="1">
      <c r="A359" s="569"/>
      <c r="B359" s="570"/>
      <c r="C359" s="570"/>
      <c r="D359" s="571"/>
      <c r="E359" s="309" t="s">
        <v>78</v>
      </c>
      <c r="F359" s="562"/>
      <c r="G359" s="446"/>
      <c r="H359" s="99">
        <f>I359+J359+K359</f>
        <v>23394.400000000001</v>
      </c>
      <c r="I359" s="100">
        <v>6986.4</v>
      </c>
      <c r="J359" s="100">
        <v>8000</v>
      </c>
      <c r="K359" s="100">
        <f>J359*1.051</f>
        <v>8408</v>
      </c>
      <c r="L359" s="375"/>
      <c r="M359" s="36">
        <v>6986.4</v>
      </c>
    </row>
    <row r="360" spans="1:14" ht="75" customHeight="1">
      <c r="A360" s="531" t="s">
        <v>89</v>
      </c>
      <c r="B360" s="532"/>
      <c r="C360" s="532"/>
      <c r="D360" s="532"/>
      <c r="E360" s="532"/>
      <c r="F360" s="533"/>
      <c r="G360" s="186"/>
      <c r="H360" s="99">
        <f>H266+H318+H324+H333+H337+H343+H354+H335</f>
        <v>2370800.7184197004</v>
      </c>
      <c r="I360" s="99">
        <f>I266+I318+I324+I333+I337+I343+I354+I335</f>
        <v>862226.41800000006</v>
      </c>
      <c r="J360" s="99">
        <f>J266+J318+J324+J333+J337+J343+J354+J335</f>
        <v>845983.43469999998</v>
      </c>
      <c r="K360" s="99">
        <f>K266+K318+K324+K333+K337+K343+K354+K335</f>
        <v>667890.8657197</v>
      </c>
      <c r="L360" s="385"/>
    </row>
    <row r="361" spans="1:14" ht="75" customHeight="1">
      <c r="A361" s="572" t="s">
        <v>92</v>
      </c>
      <c r="B361" s="573"/>
      <c r="C361" s="573"/>
      <c r="D361" s="573"/>
      <c r="E361" s="573"/>
      <c r="F361" s="574"/>
      <c r="G361" s="308" t="s">
        <v>446</v>
      </c>
      <c r="H361" s="100">
        <f>H267+H318+H329</f>
        <v>263599.7573</v>
      </c>
      <c r="I361" s="100">
        <f>I267+I318+I329</f>
        <v>125779.62299999998</v>
      </c>
      <c r="J361" s="100">
        <f>J267+J318+J329</f>
        <v>70611.679999999993</v>
      </c>
      <c r="K361" s="100">
        <f>K267+K318+K329</f>
        <v>68708.354299999992</v>
      </c>
      <c r="L361" s="386"/>
    </row>
    <row r="362" spans="1:14" ht="75" customHeight="1">
      <c r="A362" s="575"/>
      <c r="B362" s="576"/>
      <c r="C362" s="576"/>
      <c r="D362" s="576"/>
      <c r="E362" s="576"/>
      <c r="F362" s="577"/>
      <c r="G362" s="308" t="s">
        <v>450</v>
      </c>
      <c r="H362" s="100">
        <f>H268+H330+H338</f>
        <v>230724.31300000002</v>
      </c>
      <c r="I362" s="100">
        <f>I268+I330+I338</f>
        <v>115306.31299999999</v>
      </c>
      <c r="J362" s="100">
        <f>J268+J330+J338</f>
        <v>95418</v>
      </c>
      <c r="K362" s="100">
        <f>K268+K330+K338</f>
        <v>20000</v>
      </c>
      <c r="L362" s="386"/>
    </row>
    <row r="363" spans="1:14" ht="75" customHeight="1">
      <c r="A363" s="575"/>
      <c r="B363" s="576"/>
      <c r="C363" s="576"/>
      <c r="D363" s="576"/>
      <c r="E363" s="576"/>
      <c r="F363" s="577"/>
      <c r="G363" s="311" t="s">
        <v>96</v>
      </c>
      <c r="H363" s="100">
        <f>H269</f>
        <v>52839.700000000004</v>
      </c>
      <c r="I363" s="100">
        <f>I269</f>
        <v>52839.700000000004</v>
      </c>
      <c r="J363" s="100">
        <f>J269</f>
        <v>0</v>
      </c>
      <c r="K363" s="100">
        <f>K269</f>
        <v>0</v>
      </c>
      <c r="L363" s="386"/>
    </row>
    <row r="364" spans="1:14" ht="174.75" customHeight="1">
      <c r="A364" s="575"/>
      <c r="B364" s="576"/>
      <c r="C364" s="576"/>
      <c r="D364" s="576"/>
      <c r="E364" s="576"/>
      <c r="F364" s="577"/>
      <c r="G364" s="311" t="s">
        <v>99</v>
      </c>
      <c r="H364" s="100">
        <f>H271</f>
        <v>4318.2</v>
      </c>
      <c r="I364" s="100">
        <f>I271</f>
        <v>4318.2</v>
      </c>
      <c r="J364" s="100">
        <f>J271</f>
        <v>0</v>
      </c>
      <c r="K364" s="100">
        <f>K271</f>
        <v>0</v>
      </c>
      <c r="L364" s="386"/>
    </row>
    <row r="365" spans="1:14" ht="227.25" customHeight="1">
      <c r="A365" s="575"/>
      <c r="B365" s="576"/>
      <c r="C365" s="576"/>
      <c r="D365" s="576"/>
      <c r="E365" s="576"/>
      <c r="F365" s="577"/>
      <c r="G365" s="189" t="s">
        <v>100</v>
      </c>
      <c r="H365" s="100">
        <f>H270</f>
        <v>6612.1190000000006</v>
      </c>
      <c r="I365" s="100">
        <f>I270</f>
        <v>6612.1190000000006</v>
      </c>
      <c r="J365" s="100">
        <f>J270</f>
        <v>0</v>
      </c>
      <c r="K365" s="100">
        <f>K270</f>
        <v>0</v>
      </c>
      <c r="L365" s="386"/>
    </row>
    <row r="366" spans="1:14" ht="154.5" customHeight="1">
      <c r="A366" s="575"/>
      <c r="B366" s="576"/>
      <c r="C366" s="576"/>
      <c r="D366" s="576"/>
      <c r="E366" s="576"/>
      <c r="F366" s="577"/>
      <c r="G366" s="311" t="s">
        <v>207</v>
      </c>
      <c r="H366" s="100">
        <f>H272</f>
        <v>2363.7630000000004</v>
      </c>
      <c r="I366" s="100">
        <f>I272</f>
        <v>4763.7630000000008</v>
      </c>
      <c r="J366" s="100">
        <f>J272</f>
        <v>0</v>
      </c>
      <c r="K366" s="100">
        <f>K272</f>
        <v>0</v>
      </c>
      <c r="L366" s="386"/>
    </row>
    <row r="367" spans="1:14" ht="75" customHeight="1">
      <c r="A367" s="575"/>
      <c r="B367" s="576"/>
      <c r="C367" s="576"/>
      <c r="D367" s="576"/>
      <c r="E367" s="576"/>
      <c r="F367" s="577"/>
      <c r="G367" s="308" t="s">
        <v>344</v>
      </c>
      <c r="H367" s="100">
        <f>H274</f>
        <v>60</v>
      </c>
      <c r="I367" s="100">
        <f>I274</f>
        <v>60</v>
      </c>
      <c r="J367" s="100">
        <f>J274</f>
        <v>0</v>
      </c>
      <c r="K367" s="100">
        <f>K274</f>
        <v>0</v>
      </c>
      <c r="L367" s="386"/>
    </row>
    <row r="368" spans="1:14" ht="75" customHeight="1">
      <c r="A368" s="575"/>
      <c r="B368" s="576"/>
      <c r="C368" s="576"/>
      <c r="D368" s="576"/>
      <c r="E368" s="576"/>
      <c r="F368" s="577"/>
      <c r="G368" s="312" t="s">
        <v>413</v>
      </c>
      <c r="H368" s="100">
        <f>H273</f>
        <v>799.7</v>
      </c>
      <c r="I368" s="100">
        <f>I273</f>
        <v>799.7</v>
      </c>
      <c r="J368" s="100">
        <f>J273</f>
        <v>0</v>
      </c>
      <c r="K368" s="100">
        <f>K273</f>
        <v>0</v>
      </c>
      <c r="L368" s="386"/>
    </row>
    <row r="369" spans="1:12" ht="102" customHeight="1">
      <c r="A369" s="575"/>
      <c r="B369" s="576"/>
      <c r="C369" s="576"/>
      <c r="D369" s="576"/>
      <c r="E369" s="576"/>
      <c r="F369" s="577"/>
      <c r="G369" s="308" t="s">
        <v>415</v>
      </c>
      <c r="H369" s="100">
        <f>H336</f>
        <v>6848</v>
      </c>
      <c r="I369" s="100">
        <f>I336</f>
        <v>6848</v>
      </c>
      <c r="J369" s="100">
        <f>J336</f>
        <v>0</v>
      </c>
      <c r="K369" s="100">
        <f>K336</f>
        <v>0</v>
      </c>
      <c r="L369" s="386"/>
    </row>
    <row r="370" spans="1:12" ht="99.75" customHeight="1">
      <c r="A370" s="575"/>
      <c r="B370" s="576"/>
      <c r="C370" s="576"/>
      <c r="D370" s="576"/>
      <c r="E370" s="576"/>
      <c r="F370" s="577"/>
      <c r="G370" s="327" t="s">
        <v>83</v>
      </c>
      <c r="H370" s="100">
        <f t="shared" ref="H370:K371" si="24">H331</f>
        <v>16186.17</v>
      </c>
      <c r="I370" s="100">
        <f t="shared" si="24"/>
        <v>14714.7</v>
      </c>
      <c r="J370" s="100">
        <f t="shared" si="24"/>
        <v>1471.47</v>
      </c>
      <c r="K370" s="100">
        <f t="shared" si="24"/>
        <v>0</v>
      </c>
      <c r="L370" s="386"/>
    </row>
    <row r="371" spans="1:12" ht="75" customHeight="1">
      <c r="A371" s="575"/>
      <c r="B371" s="576"/>
      <c r="C371" s="576"/>
      <c r="D371" s="576"/>
      <c r="E371" s="576"/>
      <c r="F371" s="577"/>
      <c r="G371" s="327" t="s">
        <v>84</v>
      </c>
      <c r="H371" s="100">
        <f t="shared" si="24"/>
        <v>885</v>
      </c>
      <c r="I371" s="100">
        <f t="shared" si="24"/>
        <v>885</v>
      </c>
      <c r="J371" s="100">
        <f t="shared" si="24"/>
        <v>0</v>
      </c>
      <c r="K371" s="100">
        <f t="shared" si="24"/>
        <v>0</v>
      </c>
      <c r="L371" s="386"/>
    </row>
    <row r="372" spans="1:12" ht="75" customHeight="1">
      <c r="A372" s="575"/>
      <c r="B372" s="576"/>
      <c r="C372" s="576"/>
      <c r="D372" s="576"/>
      <c r="E372" s="576"/>
      <c r="F372" s="577"/>
      <c r="G372" s="327" t="s">
        <v>104</v>
      </c>
      <c r="H372" s="100">
        <f>H334</f>
        <v>6238.8</v>
      </c>
      <c r="I372" s="100">
        <f>I334</f>
        <v>6238.8</v>
      </c>
      <c r="J372" s="100">
        <f>J334</f>
        <v>0</v>
      </c>
      <c r="K372" s="100">
        <f>K334</f>
        <v>0</v>
      </c>
      <c r="L372" s="386"/>
    </row>
    <row r="373" spans="1:12" ht="75" customHeight="1">
      <c r="A373" s="575"/>
      <c r="B373" s="576"/>
      <c r="C373" s="576"/>
      <c r="D373" s="576"/>
      <c r="E373" s="576"/>
      <c r="F373" s="577"/>
      <c r="G373" s="308" t="s">
        <v>87</v>
      </c>
      <c r="H373" s="100">
        <f>H343</f>
        <v>1690105.9175197</v>
      </c>
      <c r="I373" s="100">
        <f>I343</f>
        <v>500635.6</v>
      </c>
      <c r="J373" s="100">
        <f>J343</f>
        <v>647450.38469999994</v>
      </c>
      <c r="K373" s="100">
        <f>K343</f>
        <v>542019.93281969998</v>
      </c>
      <c r="L373" s="386"/>
    </row>
    <row r="374" spans="1:12" ht="91.5" customHeight="1">
      <c r="A374" s="578"/>
      <c r="B374" s="579"/>
      <c r="C374" s="579"/>
      <c r="D374" s="579"/>
      <c r="E374" s="579"/>
      <c r="F374" s="580"/>
      <c r="G374" s="308" t="s">
        <v>91</v>
      </c>
      <c r="H374" s="100">
        <f>H354</f>
        <v>75152.0386</v>
      </c>
      <c r="I374" s="100">
        <f>I354</f>
        <v>22375.3</v>
      </c>
      <c r="J374" s="100">
        <f>J354</f>
        <v>25731.800000000003</v>
      </c>
      <c r="K374" s="100">
        <f>K354</f>
        <v>27044.938600000001</v>
      </c>
      <c r="L374" s="386"/>
    </row>
    <row r="375" spans="1:12" ht="75" customHeight="1">
      <c r="A375" s="572" t="s">
        <v>95</v>
      </c>
      <c r="B375" s="573"/>
      <c r="C375" s="573"/>
      <c r="D375" s="574"/>
      <c r="E375" s="428" t="s">
        <v>82</v>
      </c>
      <c r="F375" s="541"/>
      <c r="G375" s="321" t="s">
        <v>90</v>
      </c>
      <c r="H375" s="99">
        <f>SUM(H376:H383)</f>
        <v>398880.65309119999</v>
      </c>
      <c r="I375" s="99">
        <f>SUM(I376:I383)</f>
        <v>143801.62</v>
      </c>
      <c r="J375" s="99">
        <f>SUM(J376:J383)</f>
        <v>124920.83119999999</v>
      </c>
      <c r="K375" s="99">
        <f>SUM(K376:K383)</f>
        <v>124087.00189119999</v>
      </c>
      <c r="L375" s="386"/>
    </row>
    <row r="376" spans="1:12" ht="75" customHeight="1">
      <c r="A376" s="575"/>
      <c r="B376" s="576"/>
      <c r="C376" s="576"/>
      <c r="D376" s="577"/>
      <c r="E376" s="428"/>
      <c r="F376" s="541"/>
      <c r="G376" s="308" t="s">
        <v>446</v>
      </c>
      <c r="H376" s="100">
        <f>H276+H319</f>
        <v>27815.84</v>
      </c>
      <c r="I376" s="100">
        <f>I276+I319</f>
        <v>15981.439999999999</v>
      </c>
      <c r="J376" s="100">
        <f>J276+J319</f>
        <v>356.7</v>
      </c>
      <c r="K376" s="100">
        <f>K276+K319</f>
        <v>5406.5</v>
      </c>
      <c r="L376" s="386"/>
    </row>
    <row r="377" spans="1:12" ht="75" customHeight="1">
      <c r="A377" s="575"/>
      <c r="B377" s="576"/>
      <c r="C377" s="576"/>
      <c r="D377" s="577"/>
      <c r="E377" s="428"/>
      <c r="F377" s="541"/>
      <c r="G377" s="311" t="s">
        <v>96</v>
      </c>
      <c r="H377" s="100">
        <f t="shared" ref="H377:K380" si="25">H277</f>
        <v>12485.6</v>
      </c>
      <c r="I377" s="100">
        <f t="shared" si="25"/>
        <v>12485.6</v>
      </c>
      <c r="J377" s="100">
        <f t="shared" si="25"/>
        <v>0</v>
      </c>
      <c r="K377" s="100">
        <f t="shared" si="25"/>
        <v>0</v>
      </c>
      <c r="L377" s="386"/>
    </row>
    <row r="378" spans="1:12" ht="174.75" customHeight="1">
      <c r="A378" s="575"/>
      <c r="B378" s="576"/>
      <c r="C378" s="576"/>
      <c r="D378" s="577"/>
      <c r="E378" s="428"/>
      <c r="F378" s="541"/>
      <c r="G378" s="311" t="s">
        <v>99</v>
      </c>
      <c r="H378" s="100">
        <f t="shared" si="25"/>
        <v>147.79999999999998</v>
      </c>
      <c r="I378" s="100">
        <f t="shared" si="25"/>
        <v>147.79999999999998</v>
      </c>
      <c r="J378" s="100">
        <f t="shared" si="25"/>
        <v>0</v>
      </c>
      <c r="K378" s="100">
        <f t="shared" si="25"/>
        <v>0</v>
      </c>
      <c r="L378" s="386"/>
    </row>
    <row r="379" spans="1:12" ht="150" customHeight="1">
      <c r="A379" s="575"/>
      <c r="B379" s="576"/>
      <c r="C379" s="576"/>
      <c r="D379" s="577"/>
      <c r="E379" s="428"/>
      <c r="F379" s="541"/>
      <c r="G379" s="311" t="s">
        <v>207</v>
      </c>
      <c r="H379" s="100">
        <f t="shared" si="25"/>
        <v>249.81</v>
      </c>
      <c r="I379" s="100">
        <f t="shared" si="25"/>
        <v>249.81</v>
      </c>
      <c r="J379" s="100">
        <f t="shared" si="25"/>
        <v>0</v>
      </c>
      <c r="K379" s="100">
        <f t="shared" si="25"/>
        <v>0</v>
      </c>
      <c r="L379" s="386"/>
    </row>
    <row r="380" spans="1:12" ht="75" customHeight="1">
      <c r="A380" s="575"/>
      <c r="B380" s="576"/>
      <c r="C380" s="576"/>
      <c r="D380" s="577"/>
      <c r="E380" s="428"/>
      <c r="F380" s="541"/>
      <c r="G380" s="308" t="s">
        <v>344</v>
      </c>
      <c r="H380" s="100">
        <f t="shared" si="25"/>
        <v>60</v>
      </c>
      <c r="I380" s="100">
        <f t="shared" si="25"/>
        <v>60</v>
      </c>
      <c r="J380" s="100">
        <f t="shared" si="25"/>
        <v>0</v>
      </c>
      <c r="K380" s="100">
        <f t="shared" si="25"/>
        <v>0</v>
      </c>
      <c r="L380" s="386"/>
    </row>
    <row r="381" spans="1:12" ht="75" customHeight="1">
      <c r="A381" s="575"/>
      <c r="B381" s="576"/>
      <c r="C381" s="576"/>
      <c r="D381" s="577"/>
      <c r="E381" s="428"/>
      <c r="F381" s="541"/>
      <c r="G381" s="308" t="s">
        <v>87</v>
      </c>
      <c r="H381" s="100">
        <f>H344</f>
        <v>308609.45589119999</v>
      </c>
      <c r="I381" s="100">
        <f>I344</f>
        <v>97670.399999999994</v>
      </c>
      <c r="J381" s="100">
        <f>J344</f>
        <v>102846.93119999999</v>
      </c>
      <c r="K381" s="100">
        <f>K344</f>
        <v>108092.12469119999</v>
      </c>
      <c r="L381" s="386"/>
    </row>
    <row r="382" spans="1:12" ht="75" customHeight="1">
      <c r="A382" s="575"/>
      <c r="B382" s="576"/>
      <c r="C382" s="576"/>
      <c r="D382" s="577"/>
      <c r="E382" s="428"/>
      <c r="F382" s="541"/>
      <c r="G382" s="308" t="s">
        <v>450</v>
      </c>
      <c r="H382" s="100">
        <f>H281</f>
        <v>34523.369999999995</v>
      </c>
      <c r="I382" s="100">
        <f>I281</f>
        <v>13123.369999999999</v>
      </c>
      <c r="J382" s="100">
        <f>J281</f>
        <v>16400</v>
      </c>
      <c r="K382" s="100">
        <f>K281</f>
        <v>5000</v>
      </c>
      <c r="L382" s="386"/>
    </row>
    <row r="383" spans="1:12" ht="87.75" customHeight="1">
      <c r="A383" s="575"/>
      <c r="B383" s="576"/>
      <c r="C383" s="576"/>
      <c r="D383" s="577"/>
      <c r="E383" s="428"/>
      <c r="F383" s="541"/>
      <c r="G383" s="308" t="s">
        <v>91</v>
      </c>
      <c r="H383" s="100">
        <f>H355</f>
        <v>14988.7772</v>
      </c>
      <c r="I383" s="100">
        <f>I355</f>
        <v>4083.2</v>
      </c>
      <c r="J383" s="100">
        <f>J355</f>
        <v>5317.2</v>
      </c>
      <c r="K383" s="100">
        <f>K355</f>
        <v>5588.3771999999999</v>
      </c>
      <c r="L383" s="386"/>
    </row>
    <row r="384" spans="1:12" ht="75" customHeight="1">
      <c r="A384" s="575"/>
      <c r="B384" s="576"/>
      <c r="C384" s="576"/>
      <c r="D384" s="577"/>
      <c r="E384" s="428" t="s">
        <v>76</v>
      </c>
      <c r="F384" s="541"/>
      <c r="G384" s="321" t="s">
        <v>90</v>
      </c>
      <c r="H384" s="99">
        <f>SUM(H385:H389)</f>
        <v>221400.38</v>
      </c>
      <c r="I384" s="99">
        <f>SUM(I385:I389)</f>
        <v>80682.12999999999</v>
      </c>
      <c r="J384" s="99">
        <f>SUM(J385:J389)</f>
        <v>75459.98</v>
      </c>
      <c r="K384" s="99">
        <f>SUM(K385:K389)</f>
        <v>69427.399999999994</v>
      </c>
      <c r="L384" s="386"/>
    </row>
    <row r="385" spans="1:12" ht="75" customHeight="1">
      <c r="A385" s="575"/>
      <c r="B385" s="576"/>
      <c r="C385" s="576"/>
      <c r="D385" s="577"/>
      <c r="E385" s="428"/>
      <c r="F385" s="541"/>
      <c r="G385" s="308" t="s">
        <v>446</v>
      </c>
      <c r="H385" s="100">
        <f>H283+H320</f>
        <v>34187.279999999999</v>
      </c>
      <c r="I385" s="100">
        <f>I283+I320</f>
        <v>13318.099999999997</v>
      </c>
      <c r="J385" s="100">
        <f>J283+J320</f>
        <v>10063.779999999999</v>
      </c>
      <c r="K385" s="100">
        <f>K283+K320</f>
        <v>10805.399999999998</v>
      </c>
      <c r="L385" s="386"/>
    </row>
    <row r="386" spans="1:12" ht="75" customHeight="1">
      <c r="A386" s="575"/>
      <c r="B386" s="576"/>
      <c r="C386" s="576"/>
      <c r="D386" s="577"/>
      <c r="E386" s="428"/>
      <c r="F386" s="541"/>
      <c r="G386" s="311" t="s">
        <v>96</v>
      </c>
      <c r="H386" s="100">
        <f>H284</f>
        <v>8160.1</v>
      </c>
      <c r="I386" s="100">
        <f>I284</f>
        <v>8160.1</v>
      </c>
      <c r="J386" s="100">
        <f>J284</f>
        <v>0</v>
      </c>
      <c r="K386" s="100">
        <f>K284</f>
        <v>0</v>
      </c>
      <c r="L386" s="386"/>
    </row>
    <row r="387" spans="1:12" ht="75" customHeight="1">
      <c r="A387" s="575"/>
      <c r="B387" s="576"/>
      <c r="C387" s="576"/>
      <c r="D387" s="577"/>
      <c r="E387" s="428"/>
      <c r="F387" s="541"/>
      <c r="G387" s="327" t="s">
        <v>87</v>
      </c>
      <c r="H387" s="100">
        <f>H345</f>
        <v>132625.60000000001</v>
      </c>
      <c r="I387" s="100">
        <f>I345</f>
        <v>37455.599999999999</v>
      </c>
      <c r="J387" s="100">
        <f>J345</f>
        <v>49373</v>
      </c>
      <c r="K387" s="100">
        <f>K345</f>
        <v>45797</v>
      </c>
      <c r="L387" s="386"/>
    </row>
    <row r="388" spans="1:12" ht="75" customHeight="1">
      <c r="A388" s="575"/>
      <c r="B388" s="576"/>
      <c r="C388" s="576"/>
      <c r="D388" s="577"/>
      <c r="E388" s="428"/>
      <c r="F388" s="541"/>
      <c r="G388" s="308" t="s">
        <v>450</v>
      </c>
      <c r="H388" s="100">
        <f>H285+H339</f>
        <v>16845.3</v>
      </c>
      <c r="I388" s="100">
        <f>I285+I339</f>
        <v>12314.429999999998</v>
      </c>
      <c r="J388" s="100">
        <f>J285+J339</f>
        <v>6200</v>
      </c>
      <c r="K388" s="100">
        <f>K285+K339</f>
        <v>2500</v>
      </c>
      <c r="L388" s="386"/>
    </row>
    <row r="389" spans="1:12" ht="75" customHeight="1">
      <c r="A389" s="575"/>
      <c r="B389" s="576"/>
      <c r="C389" s="576"/>
      <c r="D389" s="577"/>
      <c r="E389" s="428"/>
      <c r="F389" s="541"/>
      <c r="G389" s="308" t="s">
        <v>91</v>
      </c>
      <c r="H389" s="100">
        <f>H356</f>
        <v>29582.1</v>
      </c>
      <c r="I389" s="100">
        <f>I356</f>
        <v>9433.9</v>
      </c>
      <c r="J389" s="100">
        <f>J356</f>
        <v>9823.2000000000007</v>
      </c>
      <c r="K389" s="100">
        <f>K356</f>
        <v>10325</v>
      </c>
      <c r="L389" s="386"/>
    </row>
    <row r="390" spans="1:12" ht="75" customHeight="1">
      <c r="A390" s="575"/>
      <c r="B390" s="576"/>
      <c r="C390" s="576"/>
      <c r="D390" s="577"/>
      <c r="E390" s="428" t="s">
        <v>77</v>
      </c>
      <c r="F390" s="541"/>
      <c r="G390" s="321" t="s">
        <v>90</v>
      </c>
      <c r="H390" s="99">
        <f>SUM(H391:H396)</f>
        <v>526549.95819999999</v>
      </c>
      <c r="I390" s="99">
        <f>SUM(I391:I396)</f>
        <v>175417.25400000002</v>
      </c>
      <c r="J390" s="99">
        <f>SUM(J391:J396)</f>
        <v>239770.27000000002</v>
      </c>
      <c r="K390" s="99">
        <f>SUM(K391:K396)</f>
        <v>111362.4342</v>
      </c>
      <c r="L390" s="386"/>
    </row>
    <row r="391" spans="1:12" ht="75" customHeight="1">
      <c r="A391" s="575"/>
      <c r="B391" s="576"/>
      <c r="C391" s="576"/>
      <c r="D391" s="577"/>
      <c r="E391" s="428"/>
      <c r="F391" s="541"/>
      <c r="G391" s="308" t="s">
        <v>446</v>
      </c>
      <c r="H391" s="100">
        <f>H287+H321</f>
        <v>38342.759999999995</v>
      </c>
      <c r="I391" s="100">
        <f>I287+I321</f>
        <v>23086.2</v>
      </c>
      <c r="J391" s="100">
        <f>J287+J321</f>
        <v>7346.57</v>
      </c>
      <c r="K391" s="100">
        <f>K287+K321</f>
        <v>7909.99</v>
      </c>
      <c r="L391" s="386"/>
    </row>
    <row r="392" spans="1:12" ht="75" customHeight="1">
      <c r="A392" s="575"/>
      <c r="B392" s="576"/>
      <c r="C392" s="576"/>
      <c r="D392" s="577"/>
      <c r="E392" s="428"/>
      <c r="F392" s="541"/>
      <c r="G392" s="311" t="s">
        <v>96</v>
      </c>
      <c r="H392" s="100">
        <f t="shared" ref="H392:K393" si="26">H288</f>
        <v>12866.2</v>
      </c>
      <c r="I392" s="100">
        <f t="shared" si="26"/>
        <v>12866.2</v>
      </c>
      <c r="J392" s="100">
        <f t="shared" si="26"/>
        <v>0</v>
      </c>
      <c r="K392" s="100">
        <f t="shared" si="26"/>
        <v>0</v>
      </c>
      <c r="L392" s="386"/>
    </row>
    <row r="393" spans="1:12" ht="171" customHeight="1">
      <c r="A393" s="575"/>
      <c r="B393" s="576"/>
      <c r="C393" s="576"/>
      <c r="D393" s="577"/>
      <c r="E393" s="428"/>
      <c r="F393" s="541"/>
      <c r="G393" s="311" t="s">
        <v>99</v>
      </c>
      <c r="H393" s="100">
        <f t="shared" si="26"/>
        <v>2680.3</v>
      </c>
      <c r="I393" s="100">
        <f t="shared" si="26"/>
        <v>2680.3</v>
      </c>
      <c r="J393" s="100">
        <f t="shared" si="26"/>
        <v>0</v>
      </c>
      <c r="K393" s="100">
        <f t="shared" si="26"/>
        <v>0</v>
      </c>
      <c r="L393" s="386"/>
    </row>
    <row r="394" spans="1:12" ht="75" customHeight="1">
      <c r="A394" s="575"/>
      <c r="B394" s="576"/>
      <c r="C394" s="576"/>
      <c r="D394" s="577"/>
      <c r="E394" s="428"/>
      <c r="F394" s="541"/>
      <c r="G394" s="327" t="s">
        <v>87</v>
      </c>
      <c r="H394" s="100">
        <f>H346</f>
        <v>425093.5</v>
      </c>
      <c r="I394" s="100">
        <f>I346</f>
        <v>117838.5</v>
      </c>
      <c r="J394" s="100">
        <f>J346</f>
        <v>209889.5</v>
      </c>
      <c r="K394" s="100">
        <f>K346</f>
        <v>97365.5</v>
      </c>
      <c r="L394" s="386"/>
    </row>
    <row r="395" spans="1:12" ht="75" customHeight="1">
      <c r="A395" s="575"/>
      <c r="B395" s="576"/>
      <c r="C395" s="576"/>
      <c r="D395" s="577"/>
      <c r="E395" s="428"/>
      <c r="F395" s="541"/>
      <c r="G395" s="308" t="s">
        <v>450</v>
      </c>
      <c r="H395" s="100">
        <f>H290+H340</f>
        <v>44427.954000000005</v>
      </c>
      <c r="I395" s="100">
        <f>I290+I340</f>
        <v>17927.954000000002</v>
      </c>
      <c r="J395" s="100">
        <f>J290+J340</f>
        <v>21500</v>
      </c>
      <c r="K395" s="100">
        <f>K290+K340</f>
        <v>5000</v>
      </c>
      <c r="L395" s="386"/>
    </row>
    <row r="396" spans="1:12" ht="75" customHeight="1">
      <c r="A396" s="575"/>
      <c r="B396" s="576"/>
      <c r="C396" s="576"/>
      <c r="D396" s="577"/>
      <c r="E396" s="428"/>
      <c r="F396" s="541"/>
      <c r="G396" s="308" t="s">
        <v>91</v>
      </c>
      <c r="H396" s="100">
        <f>H357</f>
        <v>3139.2442000000001</v>
      </c>
      <c r="I396" s="100">
        <f>I357</f>
        <v>1018.1</v>
      </c>
      <c r="J396" s="100">
        <f>J357</f>
        <v>1034.2</v>
      </c>
      <c r="K396" s="100">
        <f>K357</f>
        <v>1086.9441999999999</v>
      </c>
      <c r="L396" s="386"/>
    </row>
    <row r="397" spans="1:12" ht="75" customHeight="1">
      <c r="A397" s="575"/>
      <c r="B397" s="576"/>
      <c r="C397" s="576"/>
      <c r="D397" s="577"/>
      <c r="E397" s="398" t="s">
        <v>75</v>
      </c>
      <c r="F397" s="541"/>
      <c r="G397" s="321" t="s">
        <v>90</v>
      </c>
      <c r="H397" s="99">
        <f>SUM(H398:H405)</f>
        <v>378252.717</v>
      </c>
      <c r="I397" s="99">
        <f>SUM(I398:I405)</f>
        <v>161094.32500000001</v>
      </c>
      <c r="J397" s="99">
        <f>SUM(J398:J405)</f>
        <v>114516.3</v>
      </c>
      <c r="K397" s="99">
        <f>SUM(K398:K405)</f>
        <v>102642.09199999999</v>
      </c>
      <c r="L397" s="386"/>
    </row>
    <row r="398" spans="1:12" ht="75" customHeight="1">
      <c r="A398" s="575"/>
      <c r="B398" s="576"/>
      <c r="C398" s="576"/>
      <c r="D398" s="577"/>
      <c r="E398" s="399"/>
      <c r="F398" s="541"/>
      <c r="G398" s="327" t="s">
        <v>446</v>
      </c>
      <c r="H398" s="100">
        <f>H292+H329</f>
        <v>42831.604999999996</v>
      </c>
      <c r="I398" s="100">
        <f>I292+I329</f>
        <v>23201.383000000002</v>
      </c>
      <c r="J398" s="100">
        <f>J292+J329</f>
        <v>10396.030000000001</v>
      </c>
      <c r="K398" s="100">
        <f>K292+K329</f>
        <v>9234.1920000000009</v>
      </c>
      <c r="L398" s="386"/>
    </row>
    <row r="399" spans="1:12" ht="75" customHeight="1">
      <c r="A399" s="575"/>
      <c r="B399" s="576"/>
      <c r="C399" s="576"/>
      <c r="D399" s="577"/>
      <c r="E399" s="399"/>
      <c r="F399" s="541"/>
      <c r="G399" s="311" t="s">
        <v>96</v>
      </c>
      <c r="H399" s="100">
        <f t="shared" ref="H399:K400" si="27">H293</f>
        <v>11848</v>
      </c>
      <c r="I399" s="100">
        <f t="shared" si="27"/>
        <v>11848</v>
      </c>
      <c r="J399" s="100">
        <f t="shared" si="27"/>
        <v>0</v>
      </c>
      <c r="K399" s="100">
        <f t="shared" si="27"/>
        <v>0</v>
      </c>
      <c r="L399" s="386"/>
    </row>
    <row r="400" spans="1:12" ht="162.75" customHeight="1">
      <c r="A400" s="575"/>
      <c r="B400" s="576"/>
      <c r="C400" s="576"/>
      <c r="D400" s="577"/>
      <c r="E400" s="399"/>
      <c r="F400" s="541"/>
      <c r="G400" s="311" t="s">
        <v>207</v>
      </c>
      <c r="H400" s="100">
        <f t="shared" si="27"/>
        <v>1187.9530000000004</v>
      </c>
      <c r="I400" s="100">
        <f t="shared" si="27"/>
        <v>1187.9530000000004</v>
      </c>
      <c r="J400" s="100">
        <f t="shared" si="27"/>
        <v>0</v>
      </c>
      <c r="K400" s="100">
        <f t="shared" si="27"/>
        <v>0</v>
      </c>
      <c r="L400" s="386"/>
    </row>
    <row r="401" spans="1:12" ht="75" customHeight="1">
      <c r="A401" s="575"/>
      <c r="B401" s="576"/>
      <c r="C401" s="576"/>
      <c r="D401" s="577"/>
      <c r="E401" s="399"/>
      <c r="F401" s="541"/>
      <c r="G401" s="327" t="s">
        <v>87</v>
      </c>
      <c r="H401" s="100">
        <f>H347</f>
        <v>241584.30000000002</v>
      </c>
      <c r="I401" s="100">
        <f>I347</f>
        <v>70008.100000000006</v>
      </c>
      <c r="J401" s="100">
        <f>J347</f>
        <v>83168.3</v>
      </c>
      <c r="K401" s="100">
        <f>K347</f>
        <v>88407.9</v>
      </c>
      <c r="L401" s="386"/>
    </row>
    <row r="402" spans="1:12" ht="75" customHeight="1">
      <c r="A402" s="575"/>
      <c r="B402" s="576"/>
      <c r="C402" s="576"/>
      <c r="D402" s="577"/>
      <c r="E402" s="399"/>
      <c r="F402" s="541"/>
      <c r="G402" s="308" t="s">
        <v>450</v>
      </c>
      <c r="H402" s="100">
        <f>H295+H330</f>
        <v>57490.889000000003</v>
      </c>
      <c r="I402" s="100">
        <f>I295+I330</f>
        <v>33010.389000000003</v>
      </c>
      <c r="J402" s="100">
        <f>J295+J330</f>
        <v>19480.5</v>
      </c>
      <c r="K402" s="100">
        <f>K295+K330</f>
        <v>5000</v>
      </c>
      <c r="L402" s="386"/>
    </row>
    <row r="403" spans="1:12" ht="75" customHeight="1">
      <c r="A403" s="575"/>
      <c r="B403" s="576"/>
      <c r="C403" s="576"/>
      <c r="D403" s="577"/>
      <c r="E403" s="399"/>
      <c r="F403" s="541"/>
      <c r="G403" s="327" t="s">
        <v>399</v>
      </c>
      <c r="H403" s="100">
        <f t="shared" ref="H403:K404" si="28">H331</f>
        <v>16186.17</v>
      </c>
      <c r="I403" s="100">
        <f t="shared" si="28"/>
        <v>14714.7</v>
      </c>
      <c r="J403" s="100">
        <f t="shared" si="28"/>
        <v>1471.47</v>
      </c>
      <c r="K403" s="100">
        <f t="shared" si="28"/>
        <v>0</v>
      </c>
      <c r="L403" s="386"/>
    </row>
    <row r="404" spans="1:12" ht="75" customHeight="1">
      <c r="A404" s="575"/>
      <c r="B404" s="576"/>
      <c r="C404" s="576"/>
      <c r="D404" s="577"/>
      <c r="E404" s="399"/>
      <c r="F404" s="541"/>
      <c r="G404" s="327" t="s">
        <v>84</v>
      </c>
      <c r="H404" s="100">
        <f t="shared" si="28"/>
        <v>885</v>
      </c>
      <c r="I404" s="100">
        <f t="shared" si="28"/>
        <v>885</v>
      </c>
      <c r="J404" s="100">
        <f t="shared" si="28"/>
        <v>0</v>
      </c>
      <c r="K404" s="100">
        <f t="shared" si="28"/>
        <v>0</v>
      </c>
      <c r="L404" s="386"/>
    </row>
    <row r="405" spans="1:12" ht="75" customHeight="1">
      <c r="A405" s="575"/>
      <c r="B405" s="576"/>
      <c r="C405" s="576"/>
      <c r="D405" s="577"/>
      <c r="E405" s="400"/>
      <c r="F405" s="541"/>
      <c r="G405" s="327" t="s">
        <v>104</v>
      </c>
      <c r="H405" s="100">
        <f>H334</f>
        <v>6238.8</v>
      </c>
      <c r="I405" s="100">
        <f>I334</f>
        <v>6238.8</v>
      </c>
      <c r="J405" s="100">
        <f>J334</f>
        <v>0</v>
      </c>
      <c r="K405" s="100">
        <f>K334</f>
        <v>0</v>
      </c>
      <c r="L405" s="386"/>
    </row>
    <row r="406" spans="1:12" ht="75" customHeight="1">
      <c r="A406" s="575"/>
      <c r="B406" s="576"/>
      <c r="C406" s="576"/>
      <c r="D406" s="577"/>
      <c r="E406" s="428" t="s">
        <v>79</v>
      </c>
      <c r="F406" s="541"/>
      <c r="G406" s="321" t="s">
        <v>90</v>
      </c>
      <c r="H406" s="99">
        <f>SUM(H407:H412)</f>
        <v>206148.53279999999</v>
      </c>
      <c r="I406" s="99">
        <f>SUM(I407:I412)</f>
        <v>69132.47</v>
      </c>
      <c r="J406" s="99">
        <f>SUM(J407:J412)</f>
        <v>72961.599999999991</v>
      </c>
      <c r="K406" s="99">
        <f>SUM(K407:K412)</f>
        <v>64054.462799999994</v>
      </c>
      <c r="L406" s="386"/>
    </row>
    <row r="407" spans="1:12" ht="75" customHeight="1">
      <c r="A407" s="575"/>
      <c r="B407" s="576"/>
      <c r="C407" s="576"/>
      <c r="D407" s="577"/>
      <c r="E407" s="428"/>
      <c r="F407" s="541"/>
      <c r="G407" s="327" t="s">
        <v>446</v>
      </c>
      <c r="H407" s="100">
        <f>H297+H322</f>
        <v>13045.62</v>
      </c>
      <c r="I407" s="100">
        <f>I297+I322</f>
        <v>6272.9000000000005</v>
      </c>
      <c r="J407" s="100">
        <f>J297+J322</f>
        <v>3258.8</v>
      </c>
      <c r="K407" s="100">
        <f>K297+K322</f>
        <v>3513.92</v>
      </c>
      <c r="L407" s="386"/>
    </row>
    <row r="408" spans="1:12" ht="154.5" customHeight="1">
      <c r="A408" s="575"/>
      <c r="B408" s="576"/>
      <c r="C408" s="576"/>
      <c r="D408" s="577"/>
      <c r="E408" s="428"/>
      <c r="F408" s="541"/>
      <c r="G408" s="311" t="s">
        <v>207</v>
      </c>
      <c r="H408" s="100">
        <f>H299</f>
        <v>926</v>
      </c>
      <c r="I408" s="100">
        <f>I299</f>
        <v>926</v>
      </c>
      <c r="J408" s="100">
        <f>J299</f>
        <v>0</v>
      </c>
      <c r="K408" s="100">
        <f>K299</f>
        <v>0</v>
      </c>
      <c r="L408" s="386"/>
    </row>
    <row r="409" spans="1:12" ht="75" customHeight="1">
      <c r="A409" s="575"/>
      <c r="B409" s="576"/>
      <c r="C409" s="576"/>
      <c r="D409" s="577"/>
      <c r="E409" s="428"/>
      <c r="F409" s="541"/>
      <c r="G409" s="311" t="s">
        <v>96</v>
      </c>
      <c r="H409" s="100">
        <f>H298</f>
        <v>6347.6</v>
      </c>
      <c r="I409" s="100">
        <f>I298</f>
        <v>6347.6</v>
      </c>
      <c r="J409" s="100">
        <f>J298</f>
        <v>0</v>
      </c>
      <c r="K409" s="100">
        <f>K298</f>
        <v>0</v>
      </c>
      <c r="L409" s="386"/>
    </row>
    <row r="410" spans="1:12" ht="75" customHeight="1">
      <c r="A410" s="575"/>
      <c r="B410" s="576"/>
      <c r="C410" s="576"/>
      <c r="D410" s="577"/>
      <c r="E410" s="428"/>
      <c r="F410" s="541"/>
      <c r="G410" s="327" t="s">
        <v>87</v>
      </c>
      <c r="H410" s="100">
        <f>H348</f>
        <v>151724.92559999999</v>
      </c>
      <c r="I410" s="100">
        <f>I348</f>
        <v>36775.4</v>
      </c>
      <c r="J410" s="100">
        <f>J348</f>
        <v>56045.599999999999</v>
      </c>
      <c r="K410" s="100">
        <f>K348</f>
        <v>58903.925599999995</v>
      </c>
      <c r="L410" s="386"/>
    </row>
    <row r="411" spans="1:12" ht="75" customHeight="1">
      <c r="A411" s="575"/>
      <c r="B411" s="576"/>
      <c r="C411" s="576"/>
      <c r="D411" s="577"/>
      <c r="E411" s="428"/>
      <c r="F411" s="541"/>
      <c r="G411" s="308" t="s">
        <v>450</v>
      </c>
      <c r="H411" s="100">
        <f>H300+H341</f>
        <v>30056.87</v>
      </c>
      <c r="I411" s="100">
        <f>I300+I341</f>
        <v>17956.87</v>
      </c>
      <c r="J411" s="100">
        <f>J300+J341</f>
        <v>12100</v>
      </c>
      <c r="K411" s="100">
        <f>K300+K341</f>
        <v>0</v>
      </c>
      <c r="L411" s="386"/>
    </row>
    <row r="412" spans="1:12" ht="75" customHeight="1">
      <c r="A412" s="575"/>
      <c r="B412" s="576"/>
      <c r="C412" s="576"/>
      <c r="D412" s="577"/>
      <c r="E412" s="428"/>
      <c r="F412" s="541"/>
      <c r="G412" s="308" t="s">
        <v>91</v>
      </c>
      <c r="H412" s="100">
        <f>H358</f>
        <v>4047.5172000000002</v>
      </c>
      <c r="I412" s="100">
        <f>I358</f>
        <v>853.7</v>
      </c>
      <c r="J412" s="100">
        <f>J358</f>
        <v>1557.2</v>
      </c>
      <c r="K412" s="100">
        <f>K358</f>
        <v>1636.6171999999999</v>
      </c>
      <c r="L412" s="386"/>
    </row>
    <row r="413" spans="1:12" ht="75" customHeight="1">
      <c r="A413" s="575"/>
      <c r="B413" s="576"/>
      <c r="C413" s="576"/>
      <c r="D413" s="577"/>
      <c r="E413" s="428" t="s">
        <v>78</v>
      </c>
      <c r="F413" s="541"/>
      <c r="G413" s="321" t="s">
        <v>90</v>
      </c>
      <c r="H413" s="99">
        <f>SUM(H414:H418)</f>
        <v>55984.484700000001</v>
      </c>
      <c r="I413" s="99">
        <f>SUM(I414:I418)</f>
        <v>18568.599999999999</v>
      </c>
      <c r="J413" s="99">
        <f>SUM(J414:J418)</f>
        <v>18171.800000000003</v>
      </c>
      <c r="K413" s="99">
        <f>SUM(K414:K418)</f>
        <v>19244.084699999999</v>
      </c>
      <c r="L413" s="386"/>
    </row>
    <row r="414" spans="1:12" ht="75" customHeight="1">
      <c r="A414" s="575"/>
      <c r="B414" s="576"/>
      <c r="C414" s="576"/>
      <c r="D414" s="577"/>
      <c r="E414" s="428"/>
      <c r="F414" s="541"/>
      <c r="G414" s="327" t="s">
        <v>446</v>
      </c>
      <c r="H414" s="100">
        <f>H302+H323</f>
        <v>26750.7</v>
      </c>
      <c r="I414" s="100">
        <f>I302+I323</f>
        <v>7383</v>
      </c>
      <c r="J414" s="100">
        <f>J302+J323</f>
        <v>9372.1</v>
      </c>
      <c r="K414" s="100">
        <f>K302+K323</f>
        <v>9995.6</v>
      </c>
      <c r="L414" s="386"/>
    </row>
    <row r="415" spans="1:12" ht="75" customHeight="1">
      <c r="A415" s="575"/>
      <c r="B415" s="576"/>
      <c r="C415" s="576"/>
      <c r="D415" s="577"/>
      <c r="E415" s="428"/>
      <c r="F415" s="541"/>
      <c r="G415" s="311" t="s">
        <v>96</v>
      </c>
      <c r="H415" s="100">
        <f>H303</f>
        <v>1132.2</v>
      </c>
      <c r="I415" s="100">
        <f>I303</f>
        <v>1132.2</v>
      </c>
      <c r="J415" s="100">
        <f>J303</f>
        <v>0</v>
      </c>
      <c r="K415" s="100">
        <f>K303</f>
        <v>0</v>
      </c>
      <c r="L415" s="386"/>
    </row>
    <row r="416" spans="1:12" ht="75" customHeight="1">
      <c r="A416" s="575"/>
      <c r="B416" s="576"/>
      <c r="C416" s="576"/>
      <c r="D416" s="577"/>
      <c r="E416" s="428"/>
      <c r="F416" s="541"/>
      <c r="G416" s="327" t="s">
        <v>87</v>
      </c>
      <c r="H416" s="100">
        <f>H349</f>
        <v>3457.1846999999998</v>
      </c>
      <c r="I416" s="100">
        <f>I349</f>
        <v>1817</v>
      </c>
      <c r="J416" s="100">
        <f>J349</f>
        <v>799.7</v>
      </c>
      <c r="K416" s="100">
        <f>K349</f>
        <v>840.48469999999998</v>
      </c>
      <c r="L416" s="386"/>
    </row>
    <row r="417" spans="1:12" ht="75" customHeight="1">
      <c r="A417" s="575"/>
      <c r="B417" s="576"/>
      <c r="C417" s="576"/>
      <c r="D417" s="577"/>
      <c r="E417" s="428"/>
      <c r="F417" s="541"/>
      <c r="G417" s="308" t="s">
        <v>450</v>
      </c>
      <c r="H417" s="100">
        <f>H304</f>
        <v>1250</v>
      </c>
      <c r="I417" s="100">
        <f>I304</f>
        <v>1250</v>
      </c>
      <c r="J417" s="100">
        <f>J304</f>
        <v>0</v>
      </c>
      <c r="K417" s="100">
        <f>K304</f>
        <v>0</v>
      </c>
      <c r="L417" s="386"/>
    </row>
    <row r="418" spans="1:12" ht="75" customHeight="1">
      <c r="A418" s="575"/>
      <c r="B418" s="576"/>
      <c r="C418" s="576"/>
      <c r="D418" s="577"/>
      <c r="E418" s="428"/>
      <c r="F418" s="541"/>
      <c r="G418" s="308" t="s">
        <v>91</v>
      </c>
      <c r="H418" s="100">
        <f>H359</f>
        <v>23394.400000000001</v>
      </c>
      <c r="I418" s="100">
        <f>I359</f>
        <v>6986.4</v>
      </c>
      <c r="J418" s="100">
        <f>J359</f>
        <v>8000</v>
      </c>
      <c r="K418" s="100">
        <f>K359</f>
        <v>8408</v>
      </c>
      <c r="L418" s="386"/>
    </row>
    <row r="419" spans="1:12" ht="75" customHeight="1">
      <c r="A419" s="575"/>
      <c r="B419" s="576"/>
      <c r="C419" s="576"/>
      <c r="D419" s="577"/>
      <c r="E419" s="398" t="s">
        <v>80</v>
      </c>
      <c r="F419" s="541"/>
      <c r="G419" s="321" t="s">
        <v>90</v>
      </c>
      <c r="H419" s="99">
        <f>SUM(H420:H422)</f>
        <v>248056.66132849999</v>
      </c>
      <c r="I419" s="99">
        <f>SUM(I420:I422)</f>
        <v>77268.91</v>
      </c>
      <c r="J419" s="99">
        <f>SUM(J420:J422)</f>
        <v>83197.253499999992</v>
      </c>
      <c r="K419" s="99">
        <f>SUM(K420:K422)</f>
        <v>87590.497828499996</v>
      </c>
      <c r="L419" s="386"/>
    </row>
    <row r="420" spans="1:12" ht="75" customHeight="1">
      <c r="A420" s="575"/>
      <c r="B420" s="576"/>
      <c r="C420" s="576"/>
      <c r="D420" s="577"/>
      <c r="E420" s="399"/>
      <c r="F420" s="541"/>
      <c r="G420" s="327" t="s">
        <v>446</v>
      </c>
      <c r="H420" s="100">
        <f t="shared" ref="H420:K421" si="29">H306</f>
        <v>24646.31</v>
      </c>
      <c r="I420" s="100">
        <f t="shared" si="29"/>
        <v>7604.91</v>
      </c>
      <c r="J420" s="100">
        <f t="shared" si="29"/>
        <v>8235.5999999999985</v>
      </c>
      <c r="K420" s="100">
        <f t="shared" si="29"/>
        <v>8805.7999999999993</v>
      </c>
      <c r="L420" s="386"/>
    </row>
    <row r="421" spans="1:12" ht="204" customHeight="1">
      <c r="A421" s="575"/>
      <c r="B421" s="576"/>
      <c r="C421" s="576"/>
      <c r="D421" s="577"/>
      <c r="E421" s="399"/>
      <c r="F421" s="541"/>
      <c r="G421" s="189" t="s">
        <v>100</v>
      </c>
      <c r="H421" s="100">
        <f t="shared" si="29"/>
        <v>2.5</v>
      </c>
      <c r="I421" s="100">
        <f t="shared" si="29"/>
        <v>2.5</v>
      </c>
      <c r="J421" s="100">
        <f t="shared" si="29"/>
        <v>0</v>
      </c>
      <c r="K421" s="100">
        <f t="shared" si="29"/>
        <v>0</v>
      </c>
      <c r="L421" s="386"/>
    </row>
    <row r="422" spans="1:12" ht="75" customHeight="1">
      <c r="A422" s="575"/>
      <c r="B422" s="576"/>
      <c r="C422" s="576"/>
      <c r="D422" s="577"/>
      <c r="E422" s="400"/>
      <c r="F422" s="541"/>
      <c r="G422" s="156" t="s">
        <v>87</v>
      </c>
      <c r="H422" s="100">
        <f>H350+H352</f>
        <v>223407.85132849999</v>
      </c>
      <c r="I422" s="100">
        <f>I350+I352</f>
        <v>69661.5</v>
      </c>
      <c r="J422" s="100">
        <f>J350+J352</f>
        <v>74961.6535</v>
      </c>
      <c r="K422" s="100">
        <f>K350+K352</f>
        <v>78784.697828499993</v>
      </c>
      <c r="L422" s="386"/>
    </row>
    <row r="423" spans="1:12" ht="75" customHeight="1">
      <c r="A423" s="575"/>
      <c r="B423" s="576"/>
      <c r="C423" s="576"/>
      <c r="D423" s="577"/>
      <c r="E423" s="428" t="s">
        <v>81</v>
      </c>
      <c r="F423" s="541"/>
      <c r="G423" s="321" t="s">
        <v>90</v>
      </c>
      <c r="H423" s="99">
        <f>SUM(H424:H425)</f>
        <v>231657.9423</v>
      </c>
      <c r="I423" s="99">
        <f>SUM(I424:I425)</f>
        <v>77851.790000000008</v>
      </c>
      <c r="J423" s="99">
        <f>SUM(J424:J425)</f>
        <v>79928.600000000006</v>
      </c>
      <c r="K423" s="99">
        <f>SUM(K424:K425)</f>
        <v>73877.55230000001</v>
      </c>
      <c r="L423" s="386"/>
    </row>
    <row r="424" spans="1:12" ht="75" customHeight="1">
      <c r="A424" s="575"/>
      <c r="B424" s="576"/>
      <c r="C424" s="576"/>
      <c r="D424" s="577"/>
      <c r="E424" s="428"/>
      <c r="F424" s="541"/>
      <c r="G424" s="327" t="s">
        <v>446</v>
      </c>
      <c r="H424" s="100">
        <f>H309</f>
        <v>28054.842300000004</v>
      </c>
      <c r="I424" s="100">
        <f>I309</f>
        <v>8442.69</v>
      </c>
      <c r="J424" s="100">
        <f>J309</f>
        <v>9562.9000000000015</v>
      </c>
      <c r="K424" s="100">
        <f>K309</f>
        <v>10049.2523</v>
      </c>
      <c r="L424" s="386"/>
    </row>
    <row r="425" spans="1:12" ht="75" customHeight="1">
      <c r="A425" s="575"/>
      <c r="B425" s="576"/>
      <c r="C425" s="576"/>
      <c r="D425" s="577"/>
      <c r="E425" s="428"/>
      <c r="F425" s="541"/>
      <c r="G425" s="156" t="s">
        <v>87</v>
      </c>
      <c r="H425" s="100">
        <f>H351+H353</f>
        <v>203603.1</v>
      </c>
      <c r="I425" s="100">
        <f>I351+I353</f>
        <v>69409.100000000006</v>
      </c>
      <c r="J425" s="100">
        <f>J351+J353</f>
        <v>70365.7</v>
      </c>
      <c r="K425" s="100">
        <f>K351+K353</f>
        <v>63828.3</v>
      </c>
      <c r="L425" s="386"/>
    </row>
    <row r="426" spans="1:12" ht="75" customHeight="1">
      <c r="A426" s="575"/>
      <c r="B426" s="576"/>
      <c r="C426" s="576"/>
      <c r="D426" s="577"/>
      <c r="E426" s="305" t="s">
        <v>425</v>
      </c>
      <c r="F426" s="541"/>
      <c r="G426" s="327" t="s">
        <v>446</v>
      </c>
      <c r="H426" s="99">
        <f>H310</f>
        <v>3000</v>
      </c>
      <c r="I426" s="99">
        <f>I310</f>
        <v>3000</v>
      </c>
      <c r="J426" s="99">
        <f>J310</f>
        <v>0</v>
      </c>
      <c r="K426" s="99">
        <f>K310</f>
        <v>0</v>
      </c>
      <c r="L426" s="386"/>
    </row>
    <row r="427" spans="1:12" ht="75" customHeight="1">
      <c r="A427" s="575"/>
      <c r="B427" s="576"/>
      <c r="C427" s="576"/>
      <c r="D427" s="577"/>
      <c r="E427" s="428" t="s">
        <v>54</v>
      </c>
      <c r="F427" s="541"/>
      <c r="G427" s="321" t="s">
        <v>90</v>
      </c>
      <c r="H427" s="99">
        <f>SUM(H428:H433)</f>
        <v>81027.418999999994</v>
      </c>
      <c r="I427" s="99">
        <f>SUM(I428:I433)</f>
        <v>52752.919000000009</v>
      </c>
      <c r="J427" s="99">
        <f>SUM(J428:J433)</f>
        <v>25286.799999999999</v>
      </c>
      <c r="K427" s="99">
        <f>SUM(K428:K433)</f>
        <v>2987.7</v>
      </c>
      <c r="L427" s="386"/>
    </row>
    <row r="428" spans="1:12" ht="75" customHeight="1">
      <c r="A428" s="575"/>
      <c r="B428" s="576"/>
      <c r="C428" s="576"/>
      <c r="D428" s="577"/>
      <c r="E428" s="428"/>
      <c r="F428" s="541"/>
      <c r="G428" s="327" t="s">
        <v>446</v>
      </c>
      <c r="H428" s="100">
        <f>H312</f>
        <v>25819.200000000001</v>
      </c>
      <c r="I428" s="100">
        <f>I312</f>
        <v>17282.2</v>
      </c>
      <c r="J428" s="100">
        <f>J312</f>
        <v>5549.3</v>
      </c>
      <c r="K428" s="100">
        <f>K312</f>
        <v>2987.7</v>
      </c>
      <c r="L428" s="386"/>
    </row>
    <row r="429" spans="1:12" ht="227.25" customHeight="1">
      <c r="A429" s="575"/>
      <c r="B429" s="576"/>
      <c r="C429" s="576"/>
      <c r="D429" s="577"/>
      <c r="E429" s="428"/>
      <c r="F429" s="541"/>
      <c r="G429" s="311" t="s">
        <v>99</v>
      </c>
      <c r="H429" s="100">
        <f>H314</f>
        <v>1490.1</v>
      </c>
      <c r="I429" s="100">
        <f>I314</f>
        <v>1490.1</v>
      </c>
      <c r="J429" s="100">
        <f>J314</f>
        <v>0</v>
      </c>
      <c r="K429" s="100">
        <f>K314</f>
        <v>0</v>
      </c>
      <c r="L429" s="386"/>
    </row>
    <row r="430" spans="1:12" ht="260.25" customHeight="1">
      <c r="A430" s="575"/>
      <c r="B430" s="576"/>
      <c r="C430" s="576"/>
      <c r="D430" s="577"/>
      <c r="E430" s="428"/>
      <c r="F430" s="541"/>
      <c r="G430" s="189" t="s">
        <v>100</v>
      </c>
      <c r="H430" s="100">
        <f>H313</f>
        <v>6609.6190000000006</v>
      </c>
      <c r="I430" s="100">
        <f>I313</f>
        <v>6609.6190000000006</v>
      </c>
      <c r="J430" s="100">
        <f>J313</f>
        <v>0</v>
      </c>
      <c r="K430" s="100">
        <f>K313</f>
        <v>0</v>
      </c>
      <c r="L430" s="386"/>
    </row>
    <row r="431" spans="1:12" ht="75" customHeight="1">
      <c r="A431" s="575"/>
      <c r="B431" s="576"/>
      <c r="C431" s="576"/>
      <c r="D431" s="577"/>
      <c r="E431" s="428"/>
      <c r="F431" s="541"/>
      <c r="G431" s="312" t="s">
        <v>413</v>
      </c>
      <c r="H431" s="100">
        <f>H264</f>
        <v>799.7</v>
      </c>
      <c r="I431" s="100">
        <f>I264</f>
        <v>799.7</v>
      </c>
      <c r="J431" s="100">
        <f>J264</f>
        <v>0</v>
      </c>
      <c r="K431" s="100">
        <f>K264</f>
        <v>0</v>
      </c>
      <c r="L431" s="386"/>
    </row>
    <row r="432" spans="1:12" ht="126.75" customHeight="1">
      <c r="A432" s="575"/>
      <c r="B432" s="576"/>
      <c r="C432" s="576"/>
      <c r="D432" s="577"/>
      <c r="E432" s="428"/>
      <c r="F432" s="541"/>
      <c r="G432" s="308" t="s">
        <v>415</v>
      </c>
      <c r="H432" s="100">
        <f>H336</f>
        <v>6848</v>
      </c>
      <c r="I432" s="100">
        <f>I336</f>
        <v>6848</v>
      </c>
      <c r="J432" s="100">
        <f>J336</f>
        <v>0</v>
      </c>
      <c r="K432" s="100">
        <f>K336</f>
        <v>0</v>
      </c>
      <c r="L432" s="386"/>
    </row>
    <row r="433" spans="1:12" ht="75" customHeight="1">
      <c r="A433" s="578"/>
      <c r="B433" s="579"/>
      <c r="C433" s="579"/>
      <c r="D433" s="580"/>
      <c r="E433" s="428"/>
      <c r="F433" s="541"/>
      <c r="G433" s="308" t="s">
        <v>450</v>
      </c>
      <c r="H433" s="100">
        <f>H316</f>
        <v>39460.800000000003</v>
      </c>
      <c r="I433" s="100">
        <f>I316</f>
        <v>19723.3</v>
      </c>
      <c r="J433" s="100">
        <f>J316</f>
        <v>19737.5</v>
      </c>
      <c r="K433" s="100">
        <f>K316</f>
        <v>0</v>
      </c>
      <c r="L433" s="427"/>
    </row>
    <row r="435" spans="1:12" ht="75" customHeight="1">
      <c r="B435" s="92" t="s">
        <v>454</v>
      </c>
      <c r="I435" s="96" t="s">
        <v>455</v>
      </c>
    </row>
    <row r="437" spans="1:12" ht="75" customHeight="1">
      <c r="H437" s="200"/>
    </row>
    <row r="438" spans="1:12" ht="75" customHeight="1">
      <c r="A438" s="97" t="s">
        <v>28</v>
      </c>
    </row>
    <row r="440" spans="1:12" s="92" customFormat="1" ht="75" customHeight="1">
      <c r="C440" s="93"/>
      <c r="D440" s="94"/>
      <c r="F440" s="95"/>
      <c r="G440" s="95"/>
      <c r="H440" s="95"/>
      <c r="I440" s="96"/>
      <c r="J440" s="95"/>
      <c r="K440" s="127"/>
      <c r="L440" s="201"/>
    </row>
    <row r="441" spans="1:12" ht="75" customHeight="1">
      <c r="A441" s="29"/>
      <c r="B441" s="29"/>
      <c r="C441" s="35"/>
      <c r="D441" s="30"/>
      <c r="E441" s="36"/>
      <c r="F441" s="31"/>
      <c r="G441" s="28"/>
      <c r="H441" s="31"/>
      <c r="I441" s="32"/>
      <c r="J441" s="31"/>
    </row>
    <row r="442" spans="1:12" ht="75" customHeight="1">
      <c r="A442" s="29"/>
      <c r="B442" s="29"/>
      <c r="C442" s="35"/>
      <c r="D442" s="30"/>
      <c r="E442" s="36"/>
      <c r="F442" s="31"/>
      <c r="G442" s="28"/>
      <c r="H442" s="31"/>
      <c r="I442" s="32"/>
      <c r="J442" s="31"/>
    </row>
    <row r="443" spans="1:12" ht="75" customHeight="1">
      <c r="A443" s="29"/>
      <c r="B443" s="29"/>
      <c r="C443" s="35"/>
      <c r="D443" s="30"/>
      <c r="E443" s="36"/>
      <c r="F443" s="31"/>
      <c r="G443" s="28"/>
      <c r="H443" s="31"/>
      <c r="I443" s="32"/>
      <c r="J443" s="31"/>
    </row>
    <row r="444" spans="1:12" ht="75" customHeight="1">
      <c r="A444" s="97"/>
      <c r="B444" s="29"/>
      <c r="D444" s="30"/>
      <c r="E444" s="36"/>
      <c r="F444" s="31"/>
      <c r="G444" s="28"/>
      <c r="H444" s="31"/>
      <c r="I444" s="31"/>
      <c r="J444" s="31"/>
    </row>
  </sheetData>
  <autoFilter ref="A7:L433">
    <filterColumn colId="3">
      <filters>
        <filter val="0712152"/>
      </filters>
    </filterColumn>
    <filterColumn colId="7" showButton="0"/>
    <filterColumn colId="8" showButton="0"/>
    <filterColumn colId="9" showButton="0"/>
  </autoFilter>
  <mergeCells count="283">
    <mergeCell ref="L329:L332"/>
    <mergeCell ref="L212:L222"/>
    <mergeCell ref="A275:D316"/>
    <mergeCell ref="A251:D265"/>
    <mergeCell ref="E141:E143"/>
    <mergeCell ref="A194:L194"/>
    <mergeCell ref="A177:F177"/>
    <mergeCell ref="A178:B178"/>
    <mergeCell ref="B209:D209"/>
    <mergeCell ref="A199:A209"/>
    <mergeCell ref="B199:B208"/>
    <mergeCell ref="L209:L211"/>
    <mergeCell ref="A210:F211"/>
    <mergeCell ref="F203:F208"/>
    <mergeCell ref="C200:C208"/>
    <mergeCell ref="D202:G202"/>
    <mergeCell ref="D200:G200"/>
    <mergeCell ref="D163:G163"/>
    <mergeCell ref="D167:G167"/>
    <mergeCell ref="F159:F162"/>
    <mergeCell ref="G226:G232"/>
    <mergeCell ref="A215:D222"/>
    <mergeCell ref="A213:B213"/>
    <mergeCell ref="A212:F212"/>
    <mergeCell ref="L118:L120"/>
    <mergeCell ref="D114:G114"/>
    <mergeCell ref="C114:C116"/>
    <mergeCell ref="E115:E116"/>
    <mergeCell ref="D115:D116"/>
    <mergeCell ref="A121:G121"/>
    <mergeCell ref="F126:F149"/>
    <mergeCell ref="A122:F125"/>
    <mergeCell ref="E126:E130"/>
    <mergeCell ref="E144:E146"/>
    <mergeCell ref="L57:L60"/>
    <mergeCell ref="G58:G60"/>
    <mergeCell ref="A224:A246"/>
    <mergeCell ref="B224:B246"/>
    <mergeCell ref="C224:C236"/>
    <mergeCell ref="D224:G224"/>
    <mergeCell ref="C238:C244"/>
    <mergeCell ref="D238:G238"/>
    <mergeCell ref="E131:E133"/>
    <mergeCell ref="E134:E137"/>
    <mergeCell ref="L171:L176"/>
    <mergeCell ref="L61:L65"/>
    <mergeCell ref="F62:F65"/>
    <mergeCell ref="L70:L72"/>
    <mergeCell ref="L105:L110"/>
    <mergeCell ref="L83:L103"/>
    <mergeCell ref="L114:L117"/>
    <mergeCell ref="E138:E140"/>
    <mergeCell ref="L111:L113"/>
    <mergeCell ref="E111:E113"/>
    <mergeCell ref="L163:L165"/>
    <mergeCell ref="A111:D113"/>
    <mergeCell ref="F111:F113"/>
    <mergeCell ref="E97:F100"/>
    <mergeCell ref="L360:L433"/>
    <mergeCell ref="A361:F374"/>
    <mergeCell ref="A375:D433"/>
    <mergeCell ref="E375:E383"/>
    <mergeCell ref="F375:F433"/>
    <mergeCell ref="E384:E389"/>
    <mergeCell ref="E390:E396"/>
    <mergeCell ref="E397:E405"/>
    <mergeCell ref="E406:E412"/>
    <mergeCell ref="E413:E418"/>
    <mergeCell ref="E419:E422"/>
    <mergeCell ref="E423:E425"/>
    <mergeCell ref="E427:E433"/>
    <mergeCell ref="A339:D341"/>
    <mergeCell ref="A334:D334"/>
    <mergeCell ref="B337:F337"/>
    <mergeCell ref="A338:D338"/>
    <mergeCell ref="A325:D332"/>
    <mergeCell ref="A360:F360"/>
    <mergeCell ref="A319:D323"/>
    <mergeCell ref="F319:F323"/>
    <mergeCell ref="B324:F324"/>
    <mergeCell ref="E329:E332"/>
    <mergeCell ref="F355:F359"/>
    <mergeCell ref="A355:D359"/>
    <mergeCell ref="B333:F333"/>
    <mergeCell ref="F329:F331"/>
    <mergeCell ref="L354:L359"/>
    <mergeCell ref="L343:L353"/>
    <mergeCell ref="L333:L334"/>
    <mergeCell ref="A317:L317"/>
    <mergeCell ref="B318:F318"/>
    <mergeCell ref="L318:L323"/>
    <mergeCell ref="G355:G359"/>
    <mergeCell ref="F239:F246"/>
    <mergeCell ref="A247:G247"/>
    <mergeCell ref="L247:L265"/>
    <mergeCell ref="A248:F250"/>
    <mergeCell ref="E251:E253"/>
    <mergeCell ref="F251:F265"/>
    <mergeCell ref="G254:G255"/>
    <mergeCell ref="E259:E261"/>
    <mergeCell ref="A266:F266"/>
    <mergeCell ref="L337:L341"/>
    <mergeCell ref="G338:G342"/>
    <mergeCell ref="G319:G323"/>
    <mergeCell ref="G344:G353"/>
    <mergeCell ref="B343:E343"/>
    <mergeCell ref="E256:E258"/>
    <mergeCell ref="A344:D353"/>
    <mergeCell ref="B335:F335"/>
    <mergeCell ref="A11:L11"/>
    <mergeCell ref="F13:F14"/>
    <mergeCell ref="G13:G14"/>
    <mergeCell ref="F19:F20"/>
    <mergeCell ref="G19:G20"/>
    <mergeCell ref="D35:E35"/>
    <mergeCell ref="L40:L44"/>
    <mergeCell ref="L12:L17"/>
    <mergeCell ref="B27:B72"/>
    <mergeCell ref="L27:L39"/>
    <mergeCell ref="E46:E47"/>
    <mergeCell ref="L45:L50"/>
    <mergeCell ref="D46:D47"/>
    <mergeCell ref="G35:G39"/>
    <mergeCell ref="B12:B23"/>
    <mergeCell ref="A12:A23"/>
    <mergeCell ref="G71:G82"/>
    <mergeCell ref="L75:L82"/>
    <mergeCell ref="C40:C44"/>
    <mergeCell ref="D40:G40"/>
    <mergeCell ref="F46:F50"/>
    <mergeCell ref="G48:G50"/>
    <mergeCell ref="C45:C50"/>
    <mergeCell ref="F41:F44"/>
    <mergeCell ref="A5:L5"/>
    <mergeCell ref="A7:A9"/>
    <mergeCell ref="B7:B9"/>
    <mergeCell ref="C7:C9"/>
    <mergeCell ref="D7:D9"/>
    <mergeCell ref="E7:E9"/>
    <mergeCell ref="F7:F9"/>
    <mergeCell ref="G7:G9"/>
    <mergeCell ref="H7:K7"/>
    <mergeCell ref="L7:L9"/>
    <mergeCell ref="H8:H9"/>
    <mergeCell ref="I8:K8"/>
    <mergeCell ref="C54:C56"/>
    <mergeCell ref="C57:C60"/>
    <mergeCell ref="C70:C72"/>
    <mergeCell ref="C61:C65"/>
    <mergeCell ref="D61:G61"/>
    <mergeCell ref="E83:F87"/>
    <mergeCell ref="E88:F88"/>
    <mergeCell ref="E89:F93"/>
    <mergeCell ref="E94:F96"/>
    <mergeCell ref="G41:G44"/>
    <mergeCell ref="G62:G65"/>
    <mergeCell ref="E101:F103"/>
    <mergeCell ref="F152:F153"/>
    <mergeCell ref="G152:G153"/>
    <mergeCell ref="C12:C14"/>
    <mergeCell ref="C15:C17"/>
    <mergeCell ref="C18:C20"/>
    <mergeCell ref="D12:G12"/>
    <mergeCell ref="D15:G15"/>
    <mergeCell ref="D18:G18"/>
    <mergeCell ref="G16:G17"/>
    <mergeCell ref="A24:D26"/>
    <mergeCell ref="E24:G24"/>
    <mergeCell ref="F25:F26"/>
    <mergeCell ref="D54:G54"/>
    <mergeCell ref="D55:D56"/>
    <mergeCell ref="F58:F60"/>
    <mergeCell ref="F115:F117"/>
    <mergeCell ref="A114:A117"/>
    <mergeCell ref="A105:A110"/>
    <mergeCell ref="B114:B117"/>
    <mergeCell ref="C105:C107"/>
    <mergeCell ref="D105:G105"/>
    <mergeCell ref="L154:L156"/>
    <mergeCell ref="F155:F156"/>
    <mergeCell ref="L55:L56"/>
    <mergeCell ref="A27:A72"/>
    <mergeCell ref="D45:G45"/>
    <mergeCell ref="F16:F17"/>
    <mergeCell ref="D27:G27"/>
    <mergeCell ref="C27:C39"/>
    <mergeCell ref="G29:G32"/>
    <mergeCell ref="F55:F56"/>
    <mergeCell ref="D57:G57"/>
    <mergeCell ref="F22:F23"/>
    <mergeCell ref="G22:G23"/>
    <mergeCell ref="D21:G21"/>
    <mergeCell ref="C21:C23"/>
    <mergeCell ref="L24:L26"/>
    <mergeCell ref="G25:G26"/>
    <mergeCell ref="L18:L20"/>
    <mergeCell ref="F29:F39"/>
    <mergeCell ref="D70:G70"/>
    <mergeCell ref="E55:E56"/>
    <mergeCell ref="A118:D120"/>
    <mergeCell ref="E118:E120"/>
    <mergeCell ref="F118:F120"/>
    <mergeCell ref="D154:G154"/>
    <mergeCell ref="A151:A176"/>
    <mergeCell ref="B151:B176"/>
    <mergeCell ref="C151:C153"/>
    <mergeCell ref="D151:G151"/>
    <mergeCell ref="A150:L150"/>
    <mergeCell ref="L151:L153"/>
    <mergeCell ref="C154:C156"/>
    <mergeCell ref="A126:D149"/>
    <mergeCell ref="L121:L149"/>
    <mergeCell ref="L167:L170"/>
    <mergeCell ref="D168:D170"/>
    <mergeCell ref="E168:E170"/>
    <mergeCell ref="F168:F170"/>
    <mergeCell ref="G155:G156"/>
    <mergeCell ref="F172:F176"/>
    <mergeCell ref="G174:G176"/>
    <mergeCell ref="F164:F165"/>
    <mergeCell ref="G164:G165"/>
    <mergeCell ref="D158:G158"/>
    <mergeCell ref="D171:G171"/>
    <mergeCell ref="D172:D173"/>
    <mergeCell ref="G159:G162"/>
    <mergeCell ref="E172:E173"/>
    <mergeCell ref="D106:D107"/>
    <mergeCell ref="E106:E107"/>
    <mergeCell ref="E104:F104"/>
    <mergeCell ref="A83:D104"/>
    <mergeCell ref="F106:F110"/>
    <mergeCell ref="B105:B110"/>
    <mergeCell ref="C75:C76"/>
    <mergeCell ref="D75:E75"/>
    <mergeCell ref="F71:F82"/>
    <mergeCell ref="C158:C161"/>
    <mergeCell ref="C163:C165"/>
    <mergeCell ref="C167:C170"/>
    <mergeCell ref="C171:C176"/>
    <mergeCell ref="L157:L162"/>
    <mergeCell ref="F234:F237"/>
    <mergeCell ref="G234:G237"/>
    <mergeCell ref="G239:G245"/>
    <mergeCell ref="L224:L245"/>
    <mergeCell ref="B197:D197"/>
    <mergeCell ref="B195:B196"/>
    <mergeCell ref="E185:F185"/>
    <mergeCell ref="G184:G189"/>
    <mergeCell ref="A223:L223"/>
    <mergeCell ref="E186:F186"/>
    <mergeCell ref="E187:F187"/>
    <mergeCell ref="E188:F188"/>
    <mergeCell ref="E189:F189"/>
    <mergeCell ref="E190:F193"/>
    <mergeCell ref="L200:L208"/>
    <mergeCell ref="G203:G208"/>
    <mergeCell ref="L177:L193"/>
    <mergeCell ref="E184:F184"/>
    <mergeCell ref="A181:D193"/>
    <mergeCell ref="L335:L336"/>
    <mergeCell ref="A336:D336"/>
    <mergeCell ref="D233:G233"/>
    <mergeCell ref="D225:G225"/>
    <mergeCell ref="F226:F232"/>
    <mergeCell ref="L266:L274"/>
    <mergeCell ref="A267:F274"/>
    <mergeCell ref="E263:E265"/>
    <mergeCell ref="D164:D165"/>
    <mergeCell ref="A195:A196"/>
    <mergeCell ref="E181:F183"/>
    <mergeCell ref="E275:E281"/>
    <mergeCell ref="F275:F316"/>
    <mergeCell ref="E282:E285"/>
    <mergeCell ref="E286:E290"/>
    <mergeCell ref="E291:E295"/>
    <mergeCell ref="E296:E300"/>
    <mergeCell ref="E301:E304"/>
    <mergeCell ref="E305:E307"/>
    <mergeCell ref="E308:E309"/>
    <mergeCell ref="E311:E316"/>
    <mergeCell ref="E215:E217"/>
    <mergeCell ref="F215:F222"/>
    <mergeCell ref="G218:G222"/>
  </mergeCells>
  <pageMargins left="1.1811023622047245" right="0.39370078740157483" top="0.19685039370078741" bottom="0.39370078740157483" header="0.31496062992125984" footer="0.31496062992125984"/>
  <pageSetup paperSize="9" scale="28" fitToHeight="25" orientation="landscape" r:id="rId1"/>
  <rowBreaks count="23" manualBreakCount="23">
    <brk id="23" min="1" max="11" man="1"/>
    <brk id="42" min="1" max="11" man="1"/>
    <brk id="57" max="11" man="1"/>
    <brk id="68" min="1" max="11" man="1"/>
    <brk id="85" min="1" max="11" man="1"/>
    <brk id="102" min="1" max="11" man="1"/>
    <brk id="120" min="1" max="11" man="1"/>
    <brk id="136" min="1" max="11" man="1"/>
    <brk id="151" min="1" max="11" man="1"/>
    <brk id="166" min="1" max="11" man="1"/>
    <brk id="179" min="1" max="11" man="1"/>
    <brk id="193" min="1" max="11" man="1"/>
    <brk id="206" min="1" max="11" man="1"/>
    <brk id="220" min="1" max="11" man="1"/>
    <brk id="240" min="1" max="11" man="1"/>
    <brk id="252" min="1" max="11" man="1"/>
    <brk id="269" min="1" max="11" man="1"/>
    <brk id="284" min="1" max="11" man="1"/>
    <brk id="301" min="1" max="11" man="1"/>
    <brk id="316" min="1" max="11" man="1"/>
    <brk id="335" min="1" max="11" man="1"/>
    <brk id="353" min="1" max="11" man="1"/>
    <brk id="369" min="1" max="11" man="1"/>
  </rowBreaks>
</worksheet>
</file>

<file path=xl/worksheets/sheet4.xml><?xml version="1.0" encoding="utf-8"?>
<worksheet xmlns="http://schemas.openxmlformats.org/spreadsheetml/2006/main" xmlns:r="http://schemas.openxmlformats.org/officeDocument/2006/relationships">
  <dimension ref="A1:M340"/>
  <sheetViews>
    <sheetView view="pageBreakPreview" zoomScale="50" zoomScaleNormal="61" zoomScaleSheetLayoutView="50" workbookViewId="0">
      <pane ySplit="10" topLeftCell="A11" activePane="bottomLeft" state="frozen"/>
      <selection pane="bottomLeft" sqref="A1:XFD1048576"/>
    </sheetView>
  </sheetViews>
  <sheetFormatPr defaultColWidth="9.140625" defaultRowHeight="20.25"/>
  <cols>
    <col min="1" max="1" width="87.140625" style="48" customWidth="1"/>
    <col min="2" max="2" width="23.42578125" style="48" customWidth="1"/>
    <col min="3" max="3" width="23.5703125" style="48" customWidth="1"/>
    <col min="4" max="4" width="20.5703125" style="48" customWidth="1"/>
    <col min="5" max="5" width="21.140625" style="48" customWidth="1"/>
    <col min="6" max="6" width="22.28515625" style="48" customWidth="1"/>
    <col min="7" max="7" width="19.7109375" style="48" customWidth="1"/>
    <col min="8" max="8" width="20.42578125" style="48" customWidth="1"/>
    <col min="9" max="9" width="19.140625" style="48" customWidth="1"/>
    <col min="10" max="10" width="21.140625" style="48" customWidth="1"/>
    <col min="11" max="11" width="20" style="48" customWidth="1"/>
    <col min="12" max="12" width="21.28515625" style="48" customWidth="1"/>
    <col min="13" max="13" width="17.42578125" style="48" bestFit="1" customWidth="1"/>
    <col min="14" max="16384" width="9.140625" style="48"/>
  </cols>
  <sheetData>
    <row r="1" spans="1:11" ht="27.75">
      <c r="H1" s="85" t="s">
        <v>452</v>
      </c>
    </row>
    <row r="2" spans="1:11" ht="171" customHeight="1">
      <c r="H2" s="622" t="s">
        <v>460</v>
      </c>
      <c r="I2" s="622"/>
      <c r="J2" s="622"/>
      <c r="K2" s="622"/>
    </row>
    <row r="3" spans="1:11" ht="30.75" customHeight="1">
      <c r="A3" s="49"/>
      <c r="H3" s="623" t="s">
        <v>461</v>
      </c>
      <c r="I3" s="623"/>
      <c r="J3" s="623"/>
      <c r="K3" s="623"/>
    </row>
    <row r="4" spans="1:11" ht="26.25" customHeight="1">
      <c r="H4" s="85"/>
      <c r="I4" s="85"/>
      <c r="J4" s="85"/>
      <c r="K4" s="86"/>
    </row>
    <row r="5" spans="1:11" ht="82.5" customHeight="1">
      <c r="A5" s="624" t="s">
        <v>436</v>
      </c>
      <c r="B5" s="624"/>
      <c r="C5" s="624"/>
      <c r="D5" s="624"/>
      <c r="E5" s="624"/>
      <c r="F5" s="624"/>
      <c r="G5" s="624"/>
      <c r="H5" s="624"/>
      <c r="I5" s="624"/>
      <c r="J5" s="624"/>
      <c r="K5" s="624"/>
    </row>
    <row r="6" spans="1:11" ht="15.75" customHeight="1">
      <c r="A6" s="50"/>
    </row>
    <row r="7" spans="1:11">
      <c r="A7" s="625" t="s">
        <v>110</v>
      </c>
      <c r="B7" s="625" t="s">
        <v>90</v>
      </c>
      <c r="C7" s="625" t="s">
        <v>111</v>
      </c>
      <c r="D7" s="625"/>
      <c r="E7" s="625"/>
      <c r="F7" s="625" t="s">
        <v>470</v>
      </c>
      <c r="G7" s="625"/>
      <c r="H7" s="625"/>
      <c r="I7" s="625" t="s">
        <v>112</v>
      </c>
      <c r="J7" s="625"/>
      <c r="K7" s="625"/>
    </row>
    <row r="8" spans="1:11">
      <c r="A8" s="625"/>
      <c r="B8" s="625"/>
      <c r="C8" s="625"/>
      <c r="D8" s="625"/>
      <c r="E8" s="625"/>
      <c r="F8" s="625"/>
      <c r="G8" s="625"/>
      <c r="H8" s="625"/>
      <c r="I8" s="625"/>
      <c r="J8" s="625"/>
      <c r="K8" s="625"/>
    </row>
    <row r="9" spans="1:11">
      <c r="A9" s="625"/>
      <c r="B9" s="625"/>
      <c r="C9" s="626" t="s">
        <v>98</v>
      </c>
      <c r="D9" s="626" t="s">
        <v>113</v>
      </c>
      <c r="E9" s="626"/>
      <c r="F9" s="626" t="s">
        <v>98</v>
      </c>
      <c r="G9" s="626" t="s">
        <v>113</v>
      </c>
      <c r="H9" s="626"/>
      <c r="I9" s="626" t="s">
        <v>98</v>
      </c>
      <c r="J9" s="626" t="s">
        <v>113</v>
      </c>
      <c r="K9" s="626"/>
    </row>
    <row r="10" spans="1:11" ht="40.5">
      <c r="A10" s="625"/>
      <c r="B10" s="625"/>
      <c r="C10" s="626"/>
      <c r="D10" s="345" t="s">
        <v>114</v>
      </c>
      <c r="E10" s="345" t="s">
        <v>115</v>
      </c>
      <c r="F10" s="626"/>
      <c r="G10" s="345" t="s">
        <v>114</v>
      </c>
      <c r="H10" s="345" t="s">
        <v>115</v>
      </c>
      <c r="I10" s="626"/>
      <c r="J10" s="345" t="s">
        <v>114</v>
      </c>
      <c r="K10" s="345" t="s">
        <v>115</v>
      </c>
    </row>
    <row r="11" spans="1:11">
      <c r="A11" s="344">
        <v>1</v>
      </c>
      <c r="B11" s="51">
        <v>2</v>
      </c>
      <c r="C11" s="345">
        <v>3</v>
      </c>
      <c r="D11" s="345">
        <v>4</v>
      </c>
      <c r="E11" s="345">
        <v>5</v>
      </c>
      <c r="F11" s="345">
        <v>6</v>
      </c>
      <c r="G11" s="345">
        <v>7</v>
      </c>
      <c r="H11" s="345">
        <v>8</v>
      </c>
      <c r="I11" s="345">
        <v>9</v>
      </c>
      <c r="J11" s="345">
        <v>10</v>
      </c>
      <c r="K11" s="345">
        <v>11</v>
      </c>
    </row>
    <row r="12" spans="1:11" ht="46.5">
      <c r="A12" s="52" t="s">
        <v>342</v>
      </c>
      <c r="B12" s="43">
        <f t="shared" ref="B12:K12" si="0">B15+B173+B259+B301</f>
        <v>543779640.29999995</v>
      </c>
      <c r="C12" s="43">
        <f t="shared" si="0"/>
        <v>291046831</v>
      </c>
      <c r="D12" s="43">
        <f t="shared" si="0"/>
        <v>188651142</v>
      </c>
      <c r="E12" s="43">
        <f t="shared" si="0"/>
        <v>102395689</v>
      </c>
      <c r="F12" s="43">
        <f t="shared" si="0"/>
        <v>164711880</v>
      </c>
      <c r="G12" s="43">
        <f t="shared" si="0"/>
        <v>69874380</v>
      </c>
      <c r="H12" s="43">
        <f t="shared" si="0"/>
        <v>94837500</v>
      </c>
      <c r="I12" s="43">
        <f t="shared" si="0"/>
        <v>88020929.299999997</v>
      </c>
      <c r="J12" s="43">
        <f t="shared" si="0"/>
        <v>68020929.299999997</v>
      </c>
      <c r="K12" s="43">
        <f t="shared" si="0"/>
        <v>20000000</v>
      </c>
    </row>
    <row r="13" spans="1:11" ht="45.75" customHeight="1">
      <c r="A13" s="616" t="s">
        <v>152</v>
      </c>
      <c r="B13" s="616"/>
      <c r="C13" s="616"/>
      <c r="D13" s="616"/>
      <c r="E13" s="616"/>
      <c r="F13" s="616"/>
      <c r="G13" s="616"/>
      <c r="H13" s="616"/>
      <c r="I13" s="616"/>
      <c r="J13" s="616"/>
      <c r="K13" s="616"/>
    </row>
    <row r="14" spans="1:11" ht="22.5">
      <c r="A14" s="612" t="s">
        <v>278</v>
      </c>
      <c r="B14" s="612"/>
      <c r="C14" s="612"/>
      <c r="D14" s="612"/>
      <c r="E14" s="612"/>
      <c r="F14" s="612"/>
      <c r="G14" s="612"/>
      <c r="H14" s="612"/>
      <c r="I14" s="612"/>
      <c r="J14" s="612"/>
      <c r="K14" s="612"/>
    </row>
    <row r="15" spans="1:11" ht="22.5">
      <c r="A15" s="53" t="s">
        <v>318</v>
      </c>
      <c r="B15" s="43">
        <v>229755730</v>
      </c>
      <c r="C15" s="43">
        <f>C19+C24+C29+C47+C52+C57+C62+C71+C86+C95+C103+C114+C121+C135+C147+C157+C164+C169+C130+C38</f>
        <v>137253223</v>
      </c>
      <c r="D15" s="43">
        <f>D19+D24+D29+D47+D52+D57+D62+D71+D86+D95+D103+D114+D121+D135+D147+D157+D164+D169+D130</f>
        <v>137253223</v>
      </c>
      <c r="E15" s="43">
        <f>E19+E24+E29+E47+E52+E57+E62+E71+E86+E95+E103+E114+E121+E135+E147+E157+E164+E169+E130</f>
        <v>0</v>
      </c>
      <c r="F15" s="43">
        <v>46487480</v>
      </c>
      <c r="G15" s="43">
        <v>46487480</v>
      </c>
      <c r="H15" s="43">
        <f>H19+H24+H29+H47+H52+H57+H62+H71+H86+H95+H103+H114+H121+H135+H147+H157+H164+H169+H130</f>
        <v>0</v>
      </c>
      <c r="I15" s="43">
        <v>46015027</v>
      </c>
      <c r="J15" s="43">
        <v>46015027</v>
      </c>
      <c r="K15" s="43">
        <f>K19+K24+K29+K47+K52+K57+K62+K71+K86+K95+K103+K114+K121+K135+K147+K157+K164+K169+K130</f>
        <v>0</v>
      </c>
    </row>
    <row r="16" spans="1:11" ht="22.5">
      <c r="A16" s="53" t="s">
        <v>118</v>
      </c>
      <c r="B16" s="613"/>
      <c r="C16" s="614"/>
      <c r="D16" s="614"/>
      <c r="E16" s="614"/>
      <c r="F16" s="614"/>
      <c r="G16" s="614"/>
      <c r="H16" s="614"/>
      <c r="I16" s="614"/>
      <c r="J16" s="614"/>
      <c r="K16" s="615"/>
    </row>
    <row r="17" spans="1:11" ht="23.25">
      <c r="A17" s="54" t="s">
        <v>116</v>
      </c>
      <c r="B17" s="621" t="s">
        <v>297</v>
      </c>
      <c r="C17" s="621"/>
      <c r="D17" s="621"/>
      <c r="E17" s="621"/>
      <c r="F17" s="621"/>
      <c r="G17" s="621"/>
      <c r="H17" s="621"/>
      <c r="I17" s="621"/>
      <c r="J17" s="621"/>
      <c r="K17" s="621"/>
    </row>
    <row r="18" spans="1:11" ht="20.25" customHeight="1">
      <c r="A18" s="202" t="s">
        <v>161</v>
      </c>
      <c r="B18" s="605" t="s">
        <v>162</v>
      </c>
      <c r="C18" s="606"/>
      <c r="D18" s="606"/>
      <c r="E18" s="606"/>
      <c r="F18" s="606"/>
      <c r="G18" s="606"/>
      <c r="H18" s="606"/>
      <c r="I18" s="606"/>
      <c r="J18" s="606"/>
      <c r="K18" s="607"/>
    </row>
    <row r="19" spans="1:11" ht="22.5">
      <c r="A19" s="342" t="s">
        <v>121</v>
      </c>
      <c r="B19" s="43">
        <f>C19+F19+I19</f>
        <v>240000</v>
      </c>
      <c r="C19" s="44">
        <f>D19+E19</f>
        <v>240000</v>
      </c>
      <c r="D19" s="44">
        <f>'Додаток 3'!I12*1000</f>
        <v>240000</v>
      </c>
      <c r="E19" s="44">
        <v>0</v>
      </c>
      <c r="F19" s="44">
        <f>G19+H19</f>
        <v>0</v>
      </c>
      <c r="G19" s="44">
        <v>0</v>
      </c>
      <c r="H19" s="44">
        <v>0</v>
      </c>
      <c r="I19" s="44">
        <f>J19+K19</f>
        <v>0</v>
      </c>
      <c r="J19" s="44">
        <v>0</v>
      </c>
      <c r="K19" s="44">
        <v>0</v>
      </c>
    </row>
    <row r="20" spans="1:11" ht="23.25">
      <c r="A20" s="342" t="s">
        <v>380</v>
      </c>
      <c r="B20" s="43"/>
      <c r="C20" s="45">
        <v>2</v>
      </c>
      <c r="D20" s="44"/>
      <c r="E20" s="44"/>
      <c r="F20" s="45"/>
      <c r="G20" s="45"/>
      <c r="H20" s="45"/>
      <c r="I20" s="45"/>
      <c r="J20" s="44"/>
      <c r="K20" s="44"/>
    </row>
    <row r="21" spans="1:11" ht="46.5">
      <c r="A21" s="342" t="s">
        <v>381</v>
      </c>
      <c r="B21" s="47"/>
      <c r="C21" s="45">
        <f>C19/C20</f>
        <v>120000</v>
      </c>
      <c r="D21" s="45"/>
      <c r="E21" s="45"/>
      <c r="F21" s="45"/>
      <c r="G21" s="45"/>
      <c r="H21" s="45"/>
      <c r="I21" s="45"/>
      <c r="J21" s="45"/>
      <c r="K21" s="44"/>
    </row>
    <row r="22" spans="1:11" ht="23.25">
      <c r="A22" s="54" t="s">
        <v>116</v>
      </c>
      <c r="B22" s="621" t="s">
        <v>298</v>
      </c>
      <c r="C22" s="621"/>
      <c r="D22" s="621"/>
      <c r="E22" s="621"/>
      <c r="F22" s="621"/>
      <c r="G22" s="621"/>
      <c r="H22" s="621"/>
      <c r="I22" s="621"/>
      <c r="J22" s="621"/>
      <c r="K22" s="621"/>
    </row>
    <row r="23" spans="1:11" ht="20.25" customHeight="1">
      <c r="A23" s="202" t="s">
        <v>161</v>
      </c>
      <c r="B23" s="605" t="s">
        <v>162</v>
      </c>
      <c r="C23" s="606"/>
      <c r="D23" s="606"/>
      <c r="E23" s="606"/>
      <c r="F23" s="606"/>
      <c r="G23" s="606"/>
      <c r="H23" s="606"/>
      <c r="I23" s="606"/>
      <c r="J23" s="606"/>
      <c r="K23" s="607"/>
    </row>
    <row r="24" spans="1:11" ht="22.5">
      <c r="A24" s="342" t="s">
        <v>121</v>
      </c>
      <c r="B24" s="43">
        <f>C24+F24+I24</f>
        <v>7016410</v>
      </c>
      <c r="C24" s="44">
        <f>D24+E24</f>
        <v>1577810</v>
      </c>
      <c r="D24" s="44">
        <f>'Додаток 3'!I15*1000</f>
        <v>1577810</v>
      </c>
      <c r="E24" s="44">
        <v>0</v>
      </c>
      <c r="F24" s="44">
        <f>G24+H24</f>
        <v>2614700</v>
      </c>
      <c r="G24" s="44">
        <f>'Додаток 3'!J15*1000</f>
        <v>2614700</v>
      </c>
      <c r="H24" s="44">
        <v>0</v>
      </c>
      <c r="I24" s="44">
        <f>J24+K24</f>
        <v>2823899.9999999995</v>
      </c>
      <c r="J24" s="44">
        <f>'Додаток 3'!K15*1000</f>
        <v>2823899.9999999995</v>
      </c>
      <c r="K24" s="44">
        <v>0</v>
      </c>
    </row>
    <row r="25" spans="1:11" ht="23.25">
      <c r="A25" s="342" t="s">
        <v>380</v>
      </c>
      <c r="B25" s="43"/>
      <c r="C25" s="45">
        <v>2</v>
      </c>
      <c r="D25" s="44"/>
      <c r="E25" s="44"/>
      <c r="F25" s="45">
        <v>2</v>
      </c>
      <c r="G25" s="45"/>
      <c r="H25" s="45"/>
      <c r="I25" s="45">
        <v>2</v>
      </c>
      <c r="J25" s="44"/>
      <c r="K25" s="44"/>
    </row>
    <row r="26" spans="1:11" ht="46.5">
      <c r="A26" s="342" t="s">
        <v>381</v>
      </c>
      <c r="B26" s="47"/>
      <c r="C26" s="45">
        <f>C24/C25</f>
        <v>788905</v>
      </c>
      <c r="D26" s="45"/>
      <c r="E26" s="45"/>
      <c r="F26" s="45">
        <f>F24/F25</f>
        <v>1307350</v>
      </c>
      <c r="G26" s="45"/>
      <c r="H26" s="45"/>
      <c r="I26" s="45">
        <f>I24/I25</f>
        <v>1411949.9999999998</v>
      </c>
      <c r="J26" s="45"/>
      <c r="K26" s="44"/>
    </row>
    <row r="27" spans="1:11" ht="23.25">
      <c r="A27" s="54" t="s">
        <v>116</v>
      </c>
      <c r="B27" s="621" t="s">
        <v>400</v>
      </c>
      <c r="C27" s="621"/>
      <c r="D27" s="621"/>
      <c r="E27" s="621"/>
      <c r="F27" s="621"/>
      <c r="G27" s="621"/>
      <c r="H27" s="621"/>
      <c r="I27" s="621"/>
      <c r="J27" s="621"/>
      <c r="K27" s="621"/>
    </row>
    <row r="28" spans="1:11" ht="20.25" customHeight="1">
      <c r="A28" s="202" t="s">
        <v>148</v>
      </c>
      <c r="B28" s="616" t="s">
        <v>437</v>
      </c>
      <c r="C28" s="616"/>
      <c r="D28" s="616"/>
      <c r="E28" s="616"/>
      <c r="F28" s="616"/>
      <c r="G28" s="616"/>
      <c r="H28" s="616"/>
      <c r="I28" s="616"/>
      <c r="J28" s="616"/>
      <c r="K28" s="616"/>
    </row>
    <row r="29" spans="1:11" ht="22.5">
      <c r="A29" s="342" t="s">
        <v>121</v>
      </c>
      <c r="B29" s="43">
        <f>C29+F29+I29</f>
        <v>3495100</v>
      </c>
      <c r="C29" s="44">
        <f>D29+E29</f>
        <v>1081800</v>
      </c>
      <c r="D29" s="44">
        <f>'Додаток 3'!I18*1000</f>
        <v>1081800</v>
      </c>
      <c r="E29" s="44">
        <v>0</v>
      </c>
      <c r="F29" s="44">
        <f>G29+H29</f>
        <v>1169300</v>
      </c>
      <c r="G29" s="44">
        <f>'Додаток 3'!J18*1000</f>
        <v>1169300</v>
      </c>
      <c r="H29" s="44">
        <v>0</v>
      </c>
      <c r="I29" s="44">
        <f>J29+K29</f>
        <v>1244000</v>
      </c>
      <c r="J29" s="44">
        <f>'Додаток 3'!K18*1000</f>
        <v>1244000</v>
      </c>
      <c r="K29" s="44">
        <v>0</v>
      </c>
    </row>
    <row r="30" spans="1:11" ht="23.25">
      <c r="A30" s="342" t="s">
        <v>300</v>
      </c>
      <c r="B30" s="43"/>
      <c r="C30" s="45"/>
      <c r="D30" s="44"/>
      <c r="E30" s="44"/>
      <c r="F30" s="45"/>
      <c r="G30" s="45"/>
      <c r="H30" s="45"/>
      <c r="I30" s="45"/>
      <c r="J30" s="44"/>
      <c r="K30" s="44"/>
    </row>
    <row r="31" spans="1:11" ht="26.25" customHeight="1">
      <c r="A31" s="55" t="s">
        <v>301</v>
      </c>
      <c r="B31" s="43"/>
      <c r="C31" s="45">
        <v>42186</v>
      </c>
      <c r="D31" s="44"/>
      <c r="E31" s="44"/>
      <c r="F31" s="45">
        <v>42186</v>
      </c>
      <c r="G31" s="46"/>
      <c r="H31" s="45"/>
      <c r="I31" s="45">
        <v>42186</v>
      </c>
      <c r="J31" s="46"/>
      <c r="K31" s="44"/>
    </row>
    <row r="32" spans="1:11" ht="23.25">
      <c r="A32" s="55" t="s">
        <v>302</v>
      </c>
      <c r="B32" s="43"/>
      <c r="C32" s="45">
        <v>42186</v>
      </c>
      <c r="D32" s="44"/>
      <c r="E32" s="44"/>
      <c r="F32" s="45">
        <v>42186</v>
      </c>
      <c r="G32" s="46"/>
      <c r="H32" s="45"/>
      <c r="I32" s="45">
        <v>42186</v>
      </c>
      <c r="J32" s="46"/>
      <c r="K32" s="44"/>
    </row>
    <row r="33" spans="1:11" ht="23.25">
      <c r="A33" s="342" t="s">
        <v>299</v>
      </c>
      <c r="B33" s="47"/>
      <c r="C33" s="45"/>
      <c r="D33" s="45"/>
      <c r="E33" s="45"/>
      <c r="F33" s="45"/>
      <c r="G33" s="46"/>
      <c r="H33" s="45"/>
      <c r="I33" s="45"/>
      <c r="J33" s="46"/>
      <c r="K33" s="44"/>
    </row>
    <row r="34" spans="1:11" ht="23.25">
      <c r="A34" s="55" t="s">
        <v>303</v>
      </c>
      <c r="B34" s="47"/>
      <c r="C34" s="45">
        <f>C29/C31</f>
        <v>25.643578438344473</v>
      </c>
      <c r="D34" s="45"/>
      <c r="E34" s="45"/>
      <c r="F34" s="45">
        <f>G29/F31</f>
        <v>27.717726259896647</v>
      </c>
      <c r="G34" s="46"/>
      <c r="H34" s="45"/>
      <c r="I34" s="45">
        <f>J29/I31</f>
        <v>29.488455885838903</v>
      </c>
      <c r="J34" s="46"/>
      <c r="K34" s="44"/>
    </row>
    <row r="35" spans="1:11" ht="23.25" customHeight="1">
      <c r="A35" s="55" t="s">
        <v>182</v>
      </c>
      <c r="B35" s="47"/>
      <c r="C35" s="45">
        <f>C32/C31*100</f>
        <v>100</v>
      </c>
      <c r="D35" s="45"/>
      <c r="E35" s="45"/>
      <c r="F35" s="45">
        <f>F32/F31*100</f>
        <v>100</v>
      </c>
      <c r="G35" s="46"/>
      <c r="H35" s="45"/>
      <c r="I35" s="45">
        <f>I32/I31*100</f>
        <v>100</v>
      </c>
      <c r="J35" s="46"/>
      <c r="K35" s="44"/>
    </row>
    <row r="36" spans="1:11" ht="23.25" customHeight="1">
      <c r="A36" s="210" t="s">
        <v>472</v>
      </c>
      <c r="B36" s="630" t="s">
        <v>473</v>
      </c>
      <c r="C36" s="631"/>
      <c r="D36" s="631"/>
      <c r="E36" s="631"/>
      <c r="F36" s="631"/>
      <c r="G36" s="631"/>
      <c r="H36" s="631"/>
      <c r="I36" s="631"/>
      <c r="J36" s="631"/>
      <c r="K36" s="632"/>
    </row>
    <row r="37" spans="1:11" ht="23.25" customHeight="1">
      <c r="A37" s="202" t="s">
        <v>148</v>
      </c>
      <c r="B37" s="616" t="s">
        <v>437</v>
      </c>
      <c r="C37" s="616"/>
      <c r="D37" s="616"/>
      <c r="E37" s="616"/>
      <c r="F37" s="616"/>
      <c r="G37" s="616"/>
      <c r="H37" s="616"/>
      <c r="I37" s="616"/>
      <c r="J37" s="616"/>
      <c r="K37" s="616"/>
    </row>
    <row r="38" spans="1:11" ht="23.25" customHeight="1">
      <c r="A38" s="342" t="s">
        <v>121</v>
      </c>
      <c r="B38" s="47">
        <f>C38+F38+I38</f>
        <v>1522</v>
      </c>
      <c r="C38" s="45">
        <f>D38+E38</f>
        <v>0</v>
      </c>
      <c r="D38" s="45"/>
      <c r="E38" s="45">
        <v>0</v>
      </c>
      <c r="F38" s="45">
        <f>G38+H38</f>
        <v>813.80000000000007</v>
      </c>
      <c r="G38" s="46">
        <f>'Додаток 3'!J21</f>
        <v>813.80000000000007</v>
      </c>
      <c r="H38" s="45">
        <v>0</v>
      </c>
      <c r="I38" s="45">
        <f>J38+K38</f>
        <v>708.2</v>
      </c>
      <c r="J38" s="46">
        <f>'Додаток 3'!K21</f>
        <v>708.2</v>
      </c>
      <c r="K38" s="44">
        <v>0</v>
      </c>
    </row>
    <row r="39" spans="1:11" ht="23.25" customHeight="1">
      <c r="A39" s="342" t="s">
        <v>300</v>
      </c>
      <c r="B39" s="47"/>
      <c r="C39" s="45"/>
      <c r="D39" s="45"/>
      <c r="E39" s="45"/>
      <c r="F39" s="46"/>
      <c r="G39" s="46"/>
      <c r="H39" s="45"/>
      <c r="I39" s="46"/>
      <c r="J39" s="46"/>
      <c r="K39" s="44"/>
    </row>
    <row r="40" spans="1:11" ht="44.25" customHeight="1">
      <c r="A40" s="349" t="s">
        <v>474</v>
      </c>
      <c r="B40" s="47"/>
      <c r="C40" s="45"/>
      <c r="D40" s="45"/>
      <c r="E40" s="45"/>
      <c r="F40" s="63">
        <v>4</v>
      </c>
      <c r="G40" s="63"/>
      <c r="H40" s="45"/>
      <c r="I40" s="63">
        <v>4</v>
      </c>
      <c r="J40" s="63"/>
      <c r="K40" s="44"/>
    </row>
    <row r="41" spans="1:11" ht="56.25" customHeight="1">
      <c r="A41" s="349" t="s">
        <v>475</v>
      </c>
      <c r="B41" s="47"/>
      <c r="C41" s="45"/>
      <c r="D41" s="45"/>
      <c r="E41" s="45"/>
      <c r="F41" s="63">
        <v>26</v>
      </c>
      <c r="G41" s="63"/>
      <c r="H41" s="45"/>
      <c r="I41" s="63">
        <v>26</v>
      </c>
      <c r="J41" s="63"/>
      <c r="K41" s="44"/>
    </row>
    <row r="42" spans="1:11" ht="23.25" customHeight="1">
      <c r="A42" s="342" t="s">
        <v>299</v>
      </c>
      <c r="B42" s="47"/>
      <c r="C42" s="45"/>
      <c r="D42" s="45"/>
      <c r="E42" s="45"/>
      <c r="F42" s="63"/>
      <c r="G42" s="63"/>
      <c r="H42" s="45"/>
      <c r="I42" s="63"/>
      <c r="J42" s="63"/>
      <c r="K42" s="44"/>
    </row>
    <row r="43" spans="1:11" ht="23.25" customHeight="1">
      <c r="A43" s="649" t="s">
        <v>476</v>
      </c>
      <c r="B43" s="47"/>
      <c r="C43" s="45"/>
      <c r="D43" s="45"/>
      <c r="E43" s="45"/>
      <c r="F43" s="350">
        <v>142500</v>
      </c>
      <c r="G43" s="63"/>
      <c r="H43" s="45"/>
      <c r="I43" s="63">
        <v>116000</v>
      </c>
      <c r="J43" s="63"/>
      <c r="K43" s="44"/>
    </row>
    <row r="44" spans="1:11" ht="23.25" customHeight="1">
      <c r="A44" s="649" t="s">
        <v>477</v>
      </c>
      <c r="B44" s="47"/>
      <c r="C44" s="45"/>
      <c r="D44" s="45"/>
      <c r="E44" s="45"/>
      <c r="F44" s="63">
        <v>7838.4615384615381</v>
      </c>
      <c r="G44" s="63"/>
      <c r="H44" s="45"/>
      <c r="I44" s="63">
        <v>7838.4615384615381</v>
      </c>
      <c r="J44" s="63"/>
      <c r="K44" s="44"/>
    </row>
    <row r="45" spans="1:11" ht="23.25">
      <c r="A45" s="54" t="s">
        <v>116</v>
      </c>
      <c r="B45" s="621" t="s">
        <v>304</v>
      </c>
      <c r="C45" s="621"/>
      <c r="D45" s="621"/>
      <c r="E45" s="621"/>
      <c r="F45" s="621"/>
      <c r="G45" s="621"/>
      <c r="H45" s="621"/>
      <c r="I45" s="621"/>
      <c r="J45" s="621"/>
      <c r="K45" s="621"/>
    </row>
    <row r="46" spans="1:11" ht="22.5">
      <c r="A46" s="202" t="s">
        <v>119</v>
      </c>
      <c r="B46" s="616" t="s">
        <v>120</v>
      </c>
      <c r="C46" s="616"/>
      <c r="D46" s="616"/>
      <c r="E46" s="616"/>
      <c r="F46" s="616"/>
      <c r="G46" s="616"/>
      <c r="H46" s="616"/>
      <c r="I46" s="616"/>
      <c r="J46" s="616"/>
      <c r="K46" s="616"/>
    </row>
    <row r="47" spans="1:11" ht="22.5">
      <c r="A47" s="342" t="s">
        <v>121</v>
      </c>
      <c r="B47" s="43">
        <f>C47+F47+I47</f>
        <v>74241530</v>
      </c>
      <c r="C47" s="44">
        <f>D47+E47</f>
        <v>72841530</v>
      </c>
      <c r="D47" s="44">
        <f>'Додаток 3'!I27*1000</f>
        <v>72841530</v>
      </c>
      <c r="E47" s="44">
        <v>0</v>
      </c>
      <c r="F47" s="44">
        <f>G47+H47</f>
        <v>1400000</v>
      </c>
      <c r="G47" s="44">
        <f>'Додаток 3'!J27*1000</f>
        <v>1400000</v>
      </c>
      <c r="H47" s="44">
        <v>0</v>
      </c>
      <c r="I47" s="44">
        <v>0</v>
      </c>
      <c r="J47" s="44">
        <v>0</v>
      </c>
      <c r="K47" s="44">
        <v>0</v>
      </c>
    </row>
    <row r="48" spans="1:11" ht="23.25">
      <c r="A48" s="342" t="s">
        <v>380</v>
      </c>
      <c r="B48" s="43"/>
      <c r="C48" s="45">
        <v>4</v>
      </c>
      <c r="D48" s="44"/>
      <c r="E48" s="44"/>
      <c r="F48" s="45">
        <v>4</v>
      </c>
      <c r="G48" s="45"/>
      <c r="H48" s="45"/>
      <c r="I48" s="45"/>
      <c r="J48" s="44"/>
      <c r="K48" s="44"/>
    </row>
    <row r="49" spans="1:11" ht="46.5">
      <c r="A49" s="342" t="s">
        <v>381</v>
      </c>
      <c r="B49" s="47"/>
      <c r="C49" s="45">
        <f>C47/C48</f>
        <v>18210382.5</v>
      </c>
      <c r="D49" s="45"/>
      <c r="E49" s="45"/>
      <c r="F49" s="45">
        <f>F47/F48</f>
        <v>350000</v>
      </c>
      <c r="G49" s="45"/>
      <c r="H49" s="45"/>
      <c r="I49" s="45"/>
      <c r="J49" s="45"/>
      <c r="K49" s="44"/>
    </row>
    <row r="50" spans="1:11" ht="23.25">
      <c r="A50" s="54" t="s">
        <v>116</v>
      </c>
      <c r="B50" s="621" t="s">
        <v>305</v>
      </c>
      <c r="C50" s="621"/>
      <c r="D50" s="621"/>
      <c r="E50" s="621"/>
      <c r="F50" s="621"/>
      <c r="G50" s="621"/>
      <c r="H50" s="621"/>
      <c r="I50" s="621"/>
      <c r="J50" s="621"/>
      <c r="K50" s="621"/>
    </row>
    <row r="51" spans="1:11" ht="22.5">
      <c r="A51" s="202" t="s">
        <v>119</v>
      </c>
      <c r="B51" s="616" t="s">
        <v>120</v>
      </c>
      <c r="C51" s="616"/>
      <c r="D51" s="616"/>
      <c r="E51" s="616"/>
      <c r="F51" s="616"/>
      <c r="G51" s="616"/>
      <c r="H51" s="616"/>
      <c r="I51" s="616"/>
      <c r="J51" s="616"/>
      <c r="K51" s="616"/>
    </row>
    <row r="52" spans="1:11" ht="22.5">
      <c r="A52" s="342" t="s">
        <v>121</v>
      </c>
      <c r="B52" s="43">
        <f>C52+F52+I52</f>
        <v>55261612</v>
      </c>
      <c r="C52" s="44">
        <f>D52+E52</f>
        <v>18688000</v>
      </c>
      <c r="D52" s="44">
        <f>'Додаток 3'!I40*1000</f>
        <v>18688000</v>
      </c>
      <c r="E52" s="44">
        <v>0</v>
      </c>
      <c r="F52" s="44">
        <f>G52+H52</f>
        <v>17583480</v>
      </c>
      <c r="G52" s="44">
        <f>'Додаток 3'!J40*1000</f>
        <v>17583480</v>
      </c>
      <c r="H52" s="44">
        <v>0</v>
      </c>
      <c r="I52" s="44">
        <f>J52</f>
        <v>18990131.999999996</v>
      </c>
      <c r="J52" s="44">
        <f>'Додаток 3'!K40*1000</f>
        <v>18990131.999999996</v>
      </c>
      <c r="K52" s="44">
        <v>0</v>
      </c>
    </row>
    <row r="53" spans="1:11" ht="23.25">
      <c r="A53" s="342" t="s">
        <v>380</v>
      </c>
      <c r="B53" s="43"/>
      <c r="C53" s="45">
        <v>4</v>
      </c>
      <c r="D53" s="44"/>
      <c r="E53" s="44"/>
      <c r="F53" s="45">
        <v>4</v>
      </c>
      <c r="G53" s="302"/>
      <c r="H53" s="45"/>
      <c r="I53" s="45">
        <v>4</v>
      </c>
      <c r="J53" s="44"/>
      <c r="K53" s="44"/>
    </row>
    <row r="54" spans="1:11" ht="46.5">
      <c r="A54" s="342" t="s">
        <v>381</v>
      </c>
      <c r="B54" s="47"/>
      <c r="C54" s="45">
        <f>C52/C53</f>
        <v>4672000</v>
      </c>
      <c r="D54" s="45"/>
      <c r="E54" s="45"/>
      <c r="F54" s="45">
        <f>G52/F53</f>
        <v>4395870</v>
      </c>
      <c r="G54" s="302"/>
      <c r="H54" s="45"/>
      <c r="I54" s="45">
        <f>J52/I53</f>
        <v>4747532.9999999991</v>
      </c>
      <c r="J54" s="45"/>
      <c r="K54" s="44"/>
    </row>
    <row r="55" spans="1:11" ht="23.25">
      <c r="A55" s="54" t="s">
        <v>116</v>
      </c>
      <c r="B55" s="621" t="s">
        <v>306</v>
      </c>
      <c r="C55" s="621"/>
      <c r="D55" s="621"/>
      <c r="E55" s="621"/>
      <c r="F55" s="621"/>
      <c r="G55" s="621"/>
      <c r="H55" s="621"/>
      <c r="I55" s="621"/>
      <c r="J55" s="621"/>
      <c r="K55" s="621"/>
    </row>
    <row r="56" spans="1:11" ht="22.5">
      <c r="A56" s="202" t="s">
        <v>119</v>
      </c>
      <c r="B56" s="616" t="s">
        <v>120</v>
      </c>
      <c r="C56" s="616"/>
      <c r="D56" s="616"/>
      <c r="E56" s="616"/>
      <c r="F56" s="616"/>
      <c r="G56" s="616"/>
      <c r="H56" s="616"/>
      <c r="I56" s="616"/>
      <c r="J56" s="616"/>
      <c r="K56" s="616"/>
    </row>
    <row r="57" spans="1:11" ht="22.5">
      <c r="A57" s="342" t="s">
        <v>121</v>
      </c>
      <c r="B57" s="43">
        <f>C57+F57+I57</f>
        <v>9972655</v>
      </c>
      <c r="C57" s="44">
        <f>D57+E57</f>
        <v>4584213</v>
      </c>
      <c r="D57" s="44">
        <f>'Додаток 3'!I45*1000</f>
        <v>4584213</v>
      </c>
      <c r="E57" s="44">
        <v>0</v>
      </c>
      <c r="F57" s="44">
        <f>G57+H57</f>
        <v>2606900</v>
      </c>
      <c r="G57" s="44">
        <f>'Додаток 3'!J45*1000</f>
        <v>2606900</v>
      </c>
      <c r="H57" s="44">
        <v>0</v>
      </c>
      <c r="I57" s="44">
        <f>J57+K57</f>
        <v>2781542</v>
      </c>
      <c r="J57" s="44">
        <f>'Додаток 3'!K45*1000</f>
        <v>2781542</v>
      </c>
      <c r="K57" s="44">
        <v>0</v>
      </c>
    </row>
    <row r="58" spans="1:11" ht="51" customHeight="1">
      <c r="A58" s="342" t="s">
        <v>382</v>
      </c>
      <c r="B58" s="43"/>
      <c r="C58" s="45">
        <v>439112</v>
      </c>
      <c r="D58" s="44"/>
      <c r="E58" s="44"/>
      <c r="F58" s="45">
        <v>439112</v>
      </c>
      <c r="G58" s="45"/>
      <c r="H58" s="45"/>
      <c r="I58" s="45">
        <v>439112</v>
      </c>
      <c r="J58" s="44"/>
      <c r="K58" s="44"/>
    </row>
    <row r="59" spans="1:11" ht="51" customHeight="1">
      <c r="A59" s="342" t="s">
        <v>410</v>
      </c>
      <c r="B59" s="47"/>
      <c r="C59" s="45">
        <f>C57/C58</f>
        <v>10.43973519284374</v>
      </c>
      <c r="D59" s="45"/>
      <c r="E59" s="45"/>
      <c r="F59" s="45">
        <f>F57/F58</f>
        <v>5.9367541766109788</v>
      </c>
      <c r="G59" s="45"/>
      <c r="H59" s="45"/>
      <c r="I59" s="45">
        <f>I57/I58</f>
        <v>6.3344704767804112</v>
      </c>
      <c r="J59" s="45"/>
      <c r="K59" s="44"/>
    </row>
    <row r="60" spans="1:11" ht="23.25">
      <c r="A60" s="54" t="s">
        <v>116</v>
      </c>
      <c r="B60" s="621" t="s">
        <v>52</v>
      </c>
      <c r="C60" s="621"/>
      <c r="D60" s="621"/>
      <c r="E60" s="621"/>
      <c r="F60" s="621"/>
      <c r="G60" s="621"/>
      <c r="H60" s="621"/>
      <c r="I60" s="621"/>
      <c r="J60" s="621"/>
      <c r="K60" s="621"/>
    </row>
    <row r="61" spans="1:11" ht="22.5">
      <c r="A61" s="202" t="s">
        <v>119</v>
      </c>
      <c r="B61" s="616" t="s">
        <v>120</v>
      </c>
      <c r="C61" s="616"/>
      <c r="D61" s="616"/>
      <c r="E61" s="616"/>
      <c r="F61" s="616"/>
      <c r="G61" s="616"/>
      <c r="H61" s="616"/>
      <c r="I61" s="616"/>
      <c r="J61" s="616"/>
      <c r="K61" s="616"/>
    </row>
    <row r="62" spans="1:11" ht="22.5">
      <c r="A62" s="342" t="s">
        <v>121</v>
      </c>
      <c r="B62" s="43">
        <f>C62+F62+I62</f>
        <v>1307300</v>
      </c>
      <c r="C62" s="44">
        <f>D62+E62</f>
        <v>690000</v>
      </c>
      <c r="D62" s="44">
        <f>'Додаток 3'!I51*1000</f>
        <v>690000</v>
      </c>
      <c r="E62" s="44">
        <v>0</v>
      </c>
      <c r="F62" s="44">
        <f>G62+H62</f>
        <v>300000</v>
      </c>
      <c r="G62" s="44">
        <f>'Додаток 3'!J51*1000</f>
        <v>300000</v>
      </c>
      <c r="H62" s="44">
        <v>0</v>
      </c>
      <c r="I62" s="44">
        <f>J62+K62</f>
        <v>317300</v>
      </c>
      <c r="J62" s="44">
        <f>'Додаток 3'!K51*1000</f>
        <v>317300</v>
      </c>
      <c r="K62" s="44">
        <v>0</v>
      </c>
    </row>
    <row r="63" spans="1:11" ht="24" customHeight="1">
      <c r="A63" s="342" t="s">
        <v>300</v>
      </c>
      <c r="B63" s="43"/>
      <c r="C63" s="45"/>
      <c r="D63" s="44"/>
      <c r="E63" s="44"/>
      <c r="F63" s="45"/>
      <c r="G63" s="45"/>
      <c r="H63" s="45"/>
      <c r="I63" s="45"/>
      <c r="J63" s="44"/>
      <c r="K63" s="44"/>
    </row>
    <row r="64" spans="1:11" ht="24" customHeight="1">
      <c r="A64" s="55" t="s">
        <v>307</v>
      </c>
      <c r="B64" s="43"/>
      <c r="C64" s="45">
        <v>170</v>
      </c>
      <c r="D64" s="44"/>
      <c r="E64" s="44"/>
      <c r="F64" s="45">
        <v>170</v>
      </c>
      <c r="G64" s="45"/>
      <c r="H64" s="45"/>
      <c r="I64" s="45">
        <v>170</v>
      </c>
      <c r="J64" s="44"/>
      <c r="K64" s="44"/>
    </row>
    <row r="65" spans="1:11" ht="24" customHeight="1">
      <c r="A65" s="55" t="s">
        <v>308</v>
      </c>
      <c r="B65" s="43"/>
      <c r="C65" s="45">
        <v>170</v>
      </c>
      <c r="D65" s="44"/>
      <c r="E65" s="44"/>
      <c r="F65" s="45">
        <v>170</v>
      </c>
      <c r="G65" s="45"/>
      <c r="H65" s="45"/>
      <c r="I65" s="45">
        <v>170</v>
      </c>
      <c r="J65" s="44"/>
      <c r="K65" s="44"/>
    </row>
    <row r="66" spans="1:11" ht="23.25">
      <c r="A66" s="342" t="s">
        <v>299</v>
      </c>
      <c r="B66" s="47"/>
      <c r="C66" s="45"/>
      <c r="D66" s="45"/>
      <c r="E66" s="45"/>
      <c r="F66" s="45"/>
      <c r="G66" s="45"/>
      <c r="H66" s="45"/>
      <c r="I66" s="45"/>
      <c r="J66" s="45"/>
      <c r="K66" s="44"/>
    </row>
    <row r="67" spans="1:11" ht="46.5">
      <c r="A67" s="55" t="s">
        <v>309</v>
      </c>
      <c r="B67" s="47"/>
      <c r="C67" s="45">
        <f>C62/C64</f>
        <v>4058.8235294117649</v>
      </c>
      <c r="D67" s="45"/>
      <c r="E67" s="45"/>
      <c r="F67" s="45">
        <f>F62/F64</f>
        <v>1764.7058823529412</v>
      </c>
      <c r="G67" s="45"/>
      <c r="H67" s="45"/>
      <c r="I67" s="45">
        <f>I62/I64</f>
        <v>1866.4705882352941</v>
      </c>
      <c r="J67" s="45"/>
      <c r="K67" s="44"/>
    </row>
    <row r="68" spans="1:11" ht="23.25" customHeight="1">
      <c r="A68" s="55" t="s">
        <v>310</v>
      </c>
      <c r="B68" s="47"/>
      <c r="C68" s="45">
        <f>C65/C64*100</f>
        <v>100</v>
      </c>
      <c r="D68" s="45"/>
      <c r="E68" s="45"/>
      <c r="F68" s="45">
        <f>F65/F64*100</f>
        <v>100</v>
      </c>
      <c r="G68" s="45"/>
      <c r="H68" s="45"/>
      <c r="I68" s="45">
        <f>I65/I64*100</f>
        <v>100</v>
      </c>
      <c r="J68" s="45"/>
      <c r="K68" s="44"/>
    </row>
    <row r="69" spans="1:11" ht="23.25">
      <c r="A69" s="54" t="s">
        <v>116</v>
      </c>
      <c r="B69" s="621" t="s">
        <v>53</v>
      </c>
      <c r="C69" s="621"/>
      <c r="D69" s="621"/>
      <c r="E69" s="621"/>
      <c r="F69" s="621"/>
      <c r="G69" s="621"/>
      <c r="H69" s="621"/>
      <c r="I69" s="621"/>
      <c r="J69" s="621"/>
      <c r="K69" s="621"/>
    </row>
    <row r="70" spans="1:11" ht="22.5">
      <c r="A70" s="202" t="s">
        <v>119</v>
      </c>
      <c r="B70" s="616" t="s">
        <v>120</v>
      </c>
      <c r="C70" s="616"/>
      <c r="D70" s="616"/>
      <c r="E70" s="616"/>
      <c r="F70" s="616"/>
      <c r="G70" s="616"/>
      <c r="H70" s="616"/>
      <c r="I70" s="616"/>
      <c r="J70" s="616"/>
      <c r="K70" s="616"/>
    </row>
    <row r="71" spans="1:11" ht="22.5">
      <c r="A71" s="342" t="s">
        <v>121</v>
      </c>
      <c r="B71" s="43">
        <f>C71+F71+I71</f>
        <v>1200000</v>
      </c>
      <c r="C71" s="44">
        <f>D71+E71</f>
        <v>1200000</v>
      </c>
      <c r="D71" s="44">
        <f>'Додаток 3'!I52*1000</f>
        <v>1200000</v>
      </c>
      <c r="E71" s="44">
        <v>0</v>
      </c>
      <c r="F71" s="44">
        <f>G71+H71</f>
        <v>0</v>
      </c>
      <c r="G71" s="44">
        <f>'Додаток 3'!J52*1000</f>
        <v>0</v>
      </c>
      <c r="H71" s="44">
        <v>0</v>
      </c>
      <c r="I71" s="44">
        <f>J71+K71</f>
        <v>0</v>
      </c>
      <c r="J71" s="44">
        <f>'Додаток 3'!K52*1000</f>
        <v>0</v>
      </c>
      <c r="K71" s="44">
        <v>0</v>
      </c>
    </row>
    <row r="72" spans="1:11" ht="22.5" customHeight="1">
      <c r="A72" s="56" t="s">
        <v>132</v>
      </c>
      <c r="B72" s="43"/>
      <c r="C72" s="44">
        <v>200000</v>
      </c>
      <c r="D72" s="44"/>
      <c r="E72" s="44"/>
      <c r="F72" s="44"/>
      <c r="G72" s="44"/>
      <c r="H72" s="44"/>
      <c r="I72" s="44"/>
      <c r="J72" s="44"/>
      <c r="K72" s="44"/>
    </row>
    <row r="73" spans="1:11" ht="46.5">
      <c r="A73" s="56" t="s">
        <v>133</v>
      </c>
      <c r="B73" s="43"/>
      <c r="C73" s="44">
        <v>1000000</v>
      </c>
      <c r="D73" s="44"/>
      <c r="E73" s="44"/>
      <c r="F73" s="44"/>
      <c r="G73" s="44"/>
      <c r="H73" s="44"/>
      <c r="I73" s="44"/>
      <c r="J73" s="44"/>
      <c r="K73" s="44"/>
    </row>
    <row r="74" spans="1:11" ht="24" customHeight="1">
      <c r="A74" s="342" t="s">
        <v>300</v>
      </c>
      <c r="B74" s="43"/>
      <c r="C74" s="45"/>
      <c r="D74" s="44"/>
      <c r="E74" s="44"/>
      <c r="F74" s="45"/>
      <c r="G74" s="45"/>
      <c r="H74" s="45"/>
      <c r="I74" s="45"/>
      <c r="J74" s="44"/>
      <c r="K74" s="44"/>
    </row>
    <row r="75" spans="1:11" ht="46.5">
      <c r="A75" s="56" t="s">
        <v>134</v>
      </c>
      <c r="B75" s="47"/>
      <c r="C75" s="203">
        <v>30</v>
      </c>
      <c r="D75" s="45"/>
      <c r="E75" s="45"/>
      <c r="F75" s="203"/>
      <c r="G75" s="45"/>
      <c r="H75" s="45"/>
      <c r="I75" s="203"/>
      <c r="J75" s="45"/>
      <c r="K75" s="44"/>
    </row>
    <row r="76" spans="1:11" ht="46.5">
      <c r="A76" s="56" t="s">
        <v>135</v>
      </c>
      <c r="B76" s="47"/>
      <c r="C76" s="203">
        <v>170</v>
      </c>
      <c r="D76" s="45"/>
      <c r="E76" s="45"/>
      <c r="F76" s="203"/>
      <c r="G76" s="45"/>
      <c r="H76" s="45"/>
      <c r="I76" s="203"/>
      <c r="J76" s="45"/>
      <c r="K76" s="44"/>
    </row>
    <row r="77" spans="1:11" ht="23.25" customHeight="1">
      <c r="A77" s="56" t="s">
        <v>136</v>
      </c>
      <c r="B77" s="47"/>
      <c r="C77" s="203">
        <v>30</v>
      </c>
      <c r="D77" s="45"/>
      <c r="E77" s="45"/>
      <c r="F77" s="203"/>
      <c r="G77" s="45"/>
      <c r="H77" s="45"/>
      <c r="I77" s="203"/>
      <c r="J77" s="45"/>
      <c r="K77" s="44"/>
    </row>
    <row r="78" spans="1:11" ht="46.5">
      <c r="A78" s="56" t="s">
        <v>137</v>
      </c>
      <c r="B78" s="47"/>
      <c r="C78" s="203">
        <v>55</v>
      </c>
      <c r="D78" s="45"/>
      <c r="E78" s="45"/>
      <c r="F78" s="203"/>
      <c r="G78" s="45"/>
      <c r="H78" s="45"/>
      <c r="I78" s="203"/>
      <c r="J78" s="45"/>
      <c r="K78" s="44"/>
    </row>
    <row r="79" spans="1:11" ht="23.25">
      <c r="A79" s="342" t="s">
        <v>124</v>
      </c>
      <c r="B79" s="47"/>
      <c r="C79" s="45"/>
      <c r="D79" s="45"/>
      <c r="E79" s="45"/>
      <c r="F79" s="45"/>
      <c r="G79" s="45"/>
      <c r="H79" s="45"/>
      <c r="I79" s="45"/>
      <c r="J79" s="45"/>
      <c r="K79" s="44"/>
    </row>
    <row r="80" spans="1:11" ht="23.25">
      <c r="A80" s="56" t="s">
        <v>138</v>
      </c>
      <c r="B80" s="47"/>
      <c r="C80" s="45">
        <f>C72/C75</f>
        <v>6666.666666666667</v>
      </c>
      <c r="D80" s="45"/>
      <c r="E80" s="45"/>
      <c r="F80" s="45"/>
      <c r="G80" s="45"/>
      <c r="H80" s="45"/>
      <c r="I80" s="45"/>
      <c r="J80" s="45"/>
      <c r="K80" s="44"/>
    </row>
    <row r="81" spans="1:11" ht="46.5">
      <c r="A81" s="56" t="s">
        <v>139</v>
      </c>
      <c r="B81" s="47"/>
      <c r="C81" s="45">
        <f>C73/C78</f>
        <v>18181.81818181818</v>
      </c>
      <c r="D81" s="45"/>
      <c r="E81" s="45"/>
      <c r="F81" s="45"/>
      <c r="G81" s="45"/>
      <c r="H81" s="45"/>
      <c r="I81" s="45"/>
      <c r="J81" s="45"/>
      <c r="K81" s="44"/>
    </row>
    <row r="82" spans="1:11" ht="46.5">
      <c r="A82" s="56" t="s">
        <v>140</v>
      </c>
      <c r="B82" s="47"/>
      <c r="C82" s="45">
        <f>C77/C75*100</f>
        <v>100</v>
      </c>
      <c r="D82" s="45"/>
      <c r="E82" s="45"/>
      <c r="F82" s="45"/>
      <c r="G82" s="45"/>
      <c r="H82" s="45"/>
      <c r="I82" s="45"/>
      <c r="J82" s="45"/>
      <c r="K82" s="44"/>
    </row>
    <row r="83" spans="1:11" ht="46.5">
      <c r="A83" s="56" t="s">
        <v>141</v>
      </c>
      <c r="B83" s="47"/>
      <c r="C83" s="45">
        <f>C78/C76*100</f>
        <v>32.352941176470587</v>
      </c>
      <c r="D83" s="45"/>
      <c r="E83" s="45"/>
      <c r="F83" s="45"/>
      <c r="G83" s="45"/>
      <c r="H83" s="45"/>
      <c r="I83" s="45"/>
      <c r="J83" s="45"/>
      <c r="K83" s="44"/>
    </row>
    <row r="84" spans="1:11" ht="23.25">
      <c r="A84" s="54" t="s">
        <v>116</v>
      </c>
      <c r="B84" s="621" t="s">
        <v>383</v>
      </c>
      <c r="C84" s="621"/>
      <c r="D84" s="621"/>
      <c r="E84" s="621"/>
      <c r="F84" s="621"/>
      <c r="G84" s="621"/>
      <c r="H84" s="621"/>
      <c r="I84" s="621"/>
      <c r="J84" s="621"/>
      <c r="K84" s="621"/>
    </row>
    <row r="85" spans="1:11" ht="22.5">
      <c r="A85" s="202" t="s">
        <v>119</v>
      </c>
      <c r="B85" s="616" t="s">
        <v>120</v>
      </c>
      <c r="C85" s="616"/>
      <c r="D85" s="616"/>
      <c r="E85" s="616"/>
      <c r="F85" s="616"/>
      <c r="G85" s="616"/>
      <c r="H85" s="616"/>
      <c r="I85" s="616"/>
      <c r="J85" s="616"/>
      <c r="K85" s="616"/>
    </row>
    <row r="86" spans="1:11" ht="22.5">
      <c r="A86" s="342" t="s">
        <v>121</v>
      </c>
      <c r="B86" s="43">
        <f>C86+F86+I86</f>
        <v>1300000</v>
      </c>
      <c r="C86" s="44">
        <f>D86+E86</f>
        <v>1000000</v>
      </c>
      <c r="D86" s="44">
        <f>'Додаток 3'!I53*1000</f>
        <v>1000000</v>
      </c>
      <c r="E86" s="44">
        <v>0</v>
      </c>
      <c r="F86" s="44">
        <f>G86+H86</f>
        <v>300000</v>
      </c>
      <c r="G86" s="44">
        <f>'Додаток 3'!J53*1000</f>
        <v>300000</v>
      </c>
      <c r="H86" s="44">
        <v>0</v>
      </c>
      <c r="I86" s="44">
        <f>J86+K86</f>
        <v>0</v>
      </c>
      <c r="J86" s="44">
        <f>'Додаток 3'!K53*1000</f>
        <v>0</v>
      </c>
      <c r="K86" s="44">
        <v>0</v>
      </c>
    </row>
    <row r="87" spans="1:11" ht="24" customHeight="1">
      <c r="A87" s="342" t="s">
        <v>300</v>
      </c>
      <c r="B87" s="43"/>
      <c r="C87" s="45"/>
      <c r="D87" s="44"/>
      <c r="E87" s="44"/>
      <c r="F87" s="45"/>
      <c r="G87" s="45"/>
      <c r="H87" s="45"/>
      <c r="I87" s="45"/>
      <c r="J87" s="44"/>
      <c r="K87" s="44"/>
    </row>
    <row r="88" spans="1:11" ht="46.5">
      <c r="A88" s="56" t="s">
        <v>142</v>
      </c>
      <c r="B88" s="47"/>
      <c r="C88" s="203">
        <v>750</v>
      </c>
      <c r="D88" s="45"/>
      <c r="E88" s="45"/>
      <c r="F88" s="203">
        <v>750</v>
      </c>
      <c r="G88" s="45"/>
      <c r="H88" s="45"/>
      <c r="I88" s="203"/>
      <c r="J88" s="45"/>
      <c r="K88" s="44"/>
    </row>
    <row r="89" spans="1:11" ht="23.25">
      <c r="A89" s="56" t="s">
        <v>143</v>
      </c>
      <c r="B89" s="47"/>
      <c r="C89" s="203">
        <v>37</v>
      </c>
      <c r="D89" s="45"/>
      <c r="E89" s="45"/>
      <c r="F89" s="203">
        <v>37</v>
      </c>
      <c r="G89" s="45"/>
      <c r="H89" s="45"/>
      <c r="I89" s="203"/>
      <c r="J89" s="45"/>
      <c r="K89" s="44"/>
    </row>
    <row r="90" spans="1:11" ht="23.25">
      <c r="A90" s="342" t="s">
        <v>124</v>
      </c>
      <c r="B90" s="47"/>
      <c r="C90" s="45"/>
      <c r="D90" s="45"/>
      <c r="E90" s="45"/>
      <c r="F90" s="45"/>
      <c r="G90" s="45"/>
      <c r="H90" s="45"/>
      <c r="I90" s="45"/>
      <c r="J90" s="45"/>
      <c r="K90" s="44"/>
    </row>
    <row r="91" spans="1:11" ht="26.25" customHeight="1">
      <c r="A91" s="56" t="s">
        <v>138</v>
      </c>
      <c r="B91" s="47"/>
      <c r="C91" s="45">
        <f>C86/C89</f>
        <v>27027.027027027027</v>
      </c>
      <c r="D91" s="45"/>
      <c r="E91" s="45"/>
      <c r="F91" s="45">
        <f>F86/F89</f>
        <v>8108.1081081081084</v>
      </c>
      <c r="G91" s="45"/>
      <c r="H91" s="45"/>
      <c r="I91" s="45"/>
      <c r="J91" s="45"/>
      <c r="K91" s="44"/>
    </row>
    <row r="92" spans="1:11" ht="46.5">
      <c r="A92" s="56" t="s">
        <v>144</v>
      </c>
      <c r="B92" s="47"/>
      <c r="C92" s="45">
        <f>C89/C88*100</f>
        <v>4.9333333333333336</v>
      </c>
      <c r="D92" s="45"/>
      <c r="E92" s="45"/>
      <c r="F92" s="45">
        <f>F89/F88*100</f>
        <v>4.9333333333333336</v>
      </c>
      <c r="G92" s="45"/>
      <c r="H92" s="45"/>
      <c r="I92" s="45"/>
      <c r="J92" s="45"/>
      <c r="K92" s="44"/>
    </row>
    <row r="93" spans="1:11" ht="23.25">
      <c r="A93" s="54" t="s">
        <v>116</v>
      </c>
      <c r="B93" s="621" t="s">
        <v>409</v>
      </c>
      <c r="C93" s="621"/>
      <c r="D93" s="621"/>
      <c r="E93" s="621"/>
      <c r="F93" s="621"/>
      <c r="G93" s="621"/>
      <c r="H93" s="621"/>
      <c r="I93" s="621"/>
      <c r="J93" s="621"/>
      <c r="K93" s="621"/>
    </row>
    <row r="94" spans="1:11" ht="22.5">
      <c r="A94" s="202" t="s">
        <v>119</v>
      </c>
      <c r="B94" s="616" t="s">
        <v>120</v>
      </c>
      <c r="C94" s="616"/>
      <c r="D94" s="616"/>
      <c r="E94" s="616"/>
      <c r="F94" s="616"/>
      <c r="G94" s="616"/>
      <c r="H94" s="616"/>
      <c r="I94" s="616"/>
      <c r="J94" s="616"/>
      <c r="K94" s="616"/>
    </row>
    <row r="95" spans="1:11" ht="22.5">
      <c r="A95" s="342" t="s">
        <v>121</v>
      </c>
      <c r="B95" s="342">
        <f>C95+F95+I95</f>
        <v>3883000</v>
      </c>
      <c r="C95" s="44">
        <f>D95+E95</f>
        <v>3883000</v>
      </c>
      <c r="D95" s="44">
        <f>'Додаток 3'!I54*1000</f>
        <v>3883000</v>
      </c>
      <c r="E95" s="44">
        <v>0</v>
      </c>
      <c r="F95" s="44">
        <f>G95+H95</f>
        <v>0</v>
      </c>
      <c r="G95" s="44">
        <f>'Додаток 3'!J54*1000</f>
        <v>0</v>
      </c>
      <c r="H95" s="44">
        <v>0</v>
      </c>
      <c r="I95" s="44">
        <f>J95+K95</f>
        <v>0</v>
      </c>
      <c r="J95" s="44">
        <f>'Додаток 3'!K54*1000</f>
        <v>0</v>
      </c>
      <c r="K95" s="44">
        <v>0</v>
      </c>
    </row>
    <row r="96" spans="1:11" ht="24" customHeight="1">
      <c r="A96" s="342" t="s">
        <v>300</v>
      </c>
      <c r="B96" s="43"/>
      <c r="C96" s="45"/>
      <c r="D96" s="44"/>
      <c r="E96" s="44"/>
      <c r="F96" s="45"/>
      <c r="G96" s="45"/>
      <c r="H96" s="45"/>
      <c r="I96" s="45"/>
      <c r="J96" s="44"/>
      <c r="K96" s="44"/>
    </row>
    <row r="97" spans="1:11" ht="48.75" customHeight="1">
      <c r="A97" s="56" t="s">
        <v>145</v>
      </c>
      <c r="B97" s="47"/>
      <c r="C97" s="45">
        <v>70</v>
      </c>
      <c r="D97" s="45"/>
      <c r="E97" s="45"/>
      <c r="F97" s="45"/>
      <c r="G97" s="45"/>
      <c r="H97" s="45"/>
      <c r="I97" s="45"/>
      <c r="J97" s="45"/>
      <c r="K97" s="44"/>
    </row>
    <row r="98" spans="1:11" ht="47.25" customHeight="1">
      <c r="A98" s="56" t="s">
        <v>379</v>
      </c>
      <c r="B98" s="47"/>
      <c r="C98" s="203">
        <v>70</v>
      </c>
      <c r="D98" s="45"/>
      <c r="E98" s="45"/>
      <c r="F98" s="203"/>
      <c r="G98" s="45"/>
      <c r="H98" s="45"/>
      <c r="I98" s="203"/>
      <c r="J98" s="45"/>
      <c r="K98" s="44"/>
    </row>
    <row r="99" spans="1:11" ht="23.25">
      <c r="A99" s="342" t="s">
        <v>124</v>
      </c>
      <c r="B99" s="47"/>
      <c r="C99" s="45"/>
      <c r="D99" s="45"/>
      <c r="E99" s="45"/>
      <c r="F99" s="45"/>
      <c r="G99" s="45"/>
      <c r="H99" s="45"/>
      <c r="I99" s="45"/>
      <c r="J99" s="45"/>
      <c r="K99" s="44"/>
    </row>
    <row r="100" spans="1:11" ht="69.75">
      <c r="A100" s="56" t="s">
        <v>146</v>
      </c>
      <c r="B100" s="47"/>
      <c r="C100" s="45">
        <f>C95/C98</f>
        <v>55471.428571428572</v>
      </c>
      <c r="D100" s="45"/>
      <c r="E100" s="45"/>
      <c r="F100" s="45"/>
      <c r="G100" s="45"/>
      <c r="H100" s="45"/>
      <c r="I100" s="45"/>
      <c r="J100" s="45"/>
      <c r="K100" s="44"/>
    </row>
    <row r="101" spans="1:11" ht="23.25">
      <c r="A101" s="54" t="s">
        <v>116</v>
      </c>
      <c r="B101" s="627" t="s">
        <v>56</v>
      </c>
      <c r="C101" s="628"/>
      <c r="D101" s="628"/>
      <c r="E101" s="628"/>
      <c r="F101" s="628"/>
      <c r="G101" s="628"/>
      <c r="H101" s="628"/>
      <c r="I101" s="628"/>
      <c r="J101" s="628"/>
      <c r="K101" s="629"/>
    </row>
    <row r="102" spans="1:11" ht="22.5">
      <c r="A102" s="202" t="s">
        <v>119</v>
      </c>
      <c r="B102" s="620" t="s">
        <v>120</v>
      </c>
      <c r="C102" s="620"/>
      <c r="D102" s="620"/>
      <c r="E102" s="620"/>
      <c r="F102" s="620"/>
      <c r="G102" s="620"/>
      <c r="H102" s="620"/>
      <c r="I102" s="620"/>
      <c r="J102" s="620"/>
      <c r="K102" s="620"/>
    </row>
    <row r="103" spans="1:11" ht="22.5">
      <c r="A103" s="342" t="s">
        <v>121</v>
      </c>
      <c r="B103" s="342">
        <f>C103+F103+I103</f>
        <v>850000</v>
      </c>
      <c r="C103" s="44">
        <f>D103+E103</f>
        <v>850000</v>
      </c>
      <c r="D103" s="44">
        <f>'Додаток 3'!I57*1000</f>
        <v>850000</v>
      </c>
      <c r="E103" s="342"/>
      <c r="F103" s="204"/>
      <c r="G103" s="204">
        <f>'Додаток 3'!J57*1000</f>
        <v>0</v>
      </c>
      <c r="H103" s="204"/>
      <c r="I103" s="204"/>
      <c r="J103" s="204"/>
      <c r="K103" s="204"/>
    </row>
    <row r="104" spans="1:11" ht="23.25">
      <c r="A104" s="342" t="s">
        <v>123</v>
      </c>
      <c r="B104" s="45"/>
      <c r="C104" s="45"/>
      <c r="D104" s="45"/>
      <c r="E104" s="45"/>
      <c r="F104" s="45"/>
      <c r="G104" s="45"/>
      <c r="H104" s="45"/>
      <c r="I104" s="45"/>
      <c r="J104" s="45"/>
      <c r="K104" s="44"/>
    </row>
    <row r="105" spans="1:11" ht="22.5" customHeight="1">
      <c r="A105" s="56" t="s">
        <v>384</v>
      </c>
      <c r="B105" s="47"/>
      <c r="C105" s="45">
        <v>1200</v>
      </c>
      <c r="D105" s="45"/>
      <c r="E105" s="45"/>
      <c r="F105" s="45"/>
      <c r="G105" s="45"/>
      <c r="H105" s="45"/>
      <c r="I105" s="45"/>
      <c r="J105" s="45"/>
      <c r="K105" s="44"/>
    </row>
    <row r="106" spans="1:11" ht="23.25">
      <c r="A106" s="56" t="s">
        <v>209</v>
      </c>
      <c r="B106" s="47"/>
      <c r="C106" s="203">
        <v>845</v>
      </c>
      <c r="D106" s="45"/>
      <c r="E106" s="45"/>
      <c r="F106" s="203"/>
      <c r="G106" s="45"/>
      <c r="H106" s="45"/>
      <c r="I106" s="203"/>
      <c r="J106" s="45"/>
      <c r="K106" s="44"/>
    </row>
    <row r="107" spans="1:11" ht="23.25">
      <c r="A107" s="342" t="s">
        <v>124</v>
      </c>
      <c r="B107" s="47"/>
      <c r="C107" s="45"/>
      <c r="D107" s="45"/>
      <c r="E107" s="45"/>
      <c r="F107" s="45"/>
      <c r="G107" s="45"/>
      <c r="H107" s="45"/>
      <c r="I107" s="45"/>
      <c r="J107" s="45"/>
      <c r="K107" s="44"/>
    </row>
    <row r="108" spans="1:11" ht="23.25">
      <c r="A108" s="56" t="s">
        <v>408</v>
      </c>
      <c r="B108" s="47"/>
      <c r="C108" s="45">
        <f>C103/C106</f>
        <v>1005.9171597633136</v>
      </c>
      <c r="D108" s="45"/>
      <c r="E108" s="45"/>
      <c r="F108" s="45"/>
      <c r="G108" s="45"/>
      <c r="H108" s="45"/>
      <c r="I108" s="45"/>
      <c r="J108" s="45"/>
      <c r="K108" s="44"/>
    </row>
    <row r="109" spans="1:11" ht="23.25">
      <c r="A109" s="64" t="s">
        <v>125</v>
      </c>
      <c r="B109" s="47"/>
      <c r="C109" s="45"/>
      <c r="D109" s="45"/>
      <c r="E109" s="45"/>
      <c r="F109" s="45"/>
      <c r="G109" s="45"/>
      <c r="H109" s="45"/>
      <c r="I109" s="45"/>
      <c r="J109" s="45"/>
      <c r="K109" s="44"/>
    </row>
    <row r="110" spans="1:11" ht="23.25">
      <c r="A110" s="56" t="s">
        <v>385</v>
      </c>
      <c r="B110" s="47"/>
      <c r="C110" s="45">
        <f>C106/C105*100</f>
        <v>70.416666666666671</v>
      </c>
      <c r="D110" s="45"/>
      <c r="E110" s="45"/>
      <c r="F110" s="45"/>
      <c r="G110" s="45"/>
      <c r="H110" s="45"/>
      <c r="I110" s="45"/>
      <c r="J110" s="45"/>
      <c r="K110" s="44"/>
    </row>
    <row r="111" spans="1:11" ht="23.25">
      <c r="A111" s="57" t="s">
        <v>116</v>
      </c>
      <c r="B111" s="608" t="s">
        <v>311</v>
      </c>
      <c r="C111" s="608"/>
      <c r="D111" s="608"/>
      <c r="E111" s="608"/>
      <c r="F111" s="608"/>
      <c r="G111" s="608"/>
      <c r="H111" s="608"/>
      <c r="I111" s="608"/>
      <c r="J111" s="608"/>
      <c r="K111" s="608"/>
    </row>
    <row r="112" spans="1:11" ht="22.5">
      <c r="A112" s="202" t="s">
        <v>119</v>
      </c>
      <c r="B112" s="620" t="s">
        <v>120</v>
      </c>
      <c r="C112" s="620"/>
      <c r="D112" s="620"/>
      <c r="E112" s="620"/>
      <c r="F112" s="620"/>
      <c r="G112" s="620"/>
      <c r="H112" s="620"/>
      <c r="I112" s="620"/>
      <c r="J112" s="620"/>
      <c r="K112" s="620"/>
    </row>
    <row r="113" spans="1:11" ht="22.5">
      <c r="A113" s="202" t="s">
        <v>126</v>
      </c>
      <c r="B113" s="620" t="s">
        <v>127</v>
      </c>
      <c r="C113" s="620"/>
      <c r="D113" s="620"/>
      <c r="E113" s="620"/>
      <c r="F113" s="620"/>
      <c r="G113" s="620"/>
      <c r="H113" s="620"/>
      <c r="I113" s="620"/>
      <c r="J113" s="620"/>
      <c r="K113" s="620"/>
    </row>
    <row r="114" spans="1:11" ht="22.5">
      <c r="A114" s="342" t="s">
        <v>121</v>
      </c>
      <c r="B114" s="342">
        <f>C114+F114+I114</f>
        <v>6385688.0000000009</v>
      </c>
      <c r="C114" s="204">
        <f>D114+E114</f>
        <v>2947900.0000000005</v>
      </c>
      <c r="D114" s="204">
        <f>('Додаток 3'!I61+'Додаток 3'!I110)*1000</f>
        <v>2947900.0000000005</v>
      </c>
      <c r="E114" s="342"/>
      <c r="F114" s="204">
        <f>G114+H114</f>
        <v>1659800.0000000002</v>
      </c>
      <c r="G114" s="204">
        <f>('Додаток 3'!J110+'Додаток 3'!J61)*1000</f>
        <v>1659800.0000000002</v>
      </c>
      <c r="H114" s="204"/>
      <c r="I114" s="204">
        <f>J114+K114</f>
        <v>1777987.9999999998</v>
      </c>
      <c r="J114" s="204">
        <f>('Додаток 3'!K61+'Додаток 3'!K110)*1000</f>
        <v>1777987.9999999998</v>
      </c>
      <c r="K114" s="204"/>
    </row>
    <row r="115" spans="1:11" ht="23.25">
      <c r="A115" s="342" t="s">
        <v>123</v>
      </c>
      <c r="B115" s="47"/>
      <c r="C115" s="45"/>
      <c r="D115" s="45"/>
      <c r="E115" s="45"/>
      <c r="F115" s="45"/>
      <c r="G115" s="45"/>
      <c r="H115" s="45"/>
      <c r="I115" s="45"/>
      <c r="J115" s="45"/>
      <c r="K115" s="44"/>
    </row>
    <row r="116" spans="1:11" ht="23.25">
      <c r="A116" s="58" t="s">
        <v>131</v>
      </c>
      <c r="B116" s="47"/>
      <c r="C116" s="45">
        <v>46</v>
      </c>
      <c r="D116" s="45"/>
      <c r="E116" s="45"/>
      <c r="F116" s="45">
        <v>33</v>
      </c>
      <c r="G116" s="45"/>
      <c r="H116" s="45"/>
      <c r="I116" s="45">
        <v>11</v>
      </c>
      <c r="J116" s="45"/>
      <c r="K116" s="44"/>
    </row>
    <row r="117" spans="1:11" ht="23.25">
      <c r="A117" s="342" t="s">
        <v>124</v>
      </c>
      <c r="B117" s="47"/>
      <c r="C117" s="45"/>
      <c r="D117" s="45"/>
      <c r="E117" s="45"/>
      <c r="F117" s="45"/>
      <c r="G117" s="45"/>
      <c r="H117" s="45"/>
      <c r="I117" s="45"/>
      <c r="J117" s="45"/>
      <c r="K117" s="44"/>
    </row>
    <row r="118" spans="1:11" ht="45.75" customHeight="1">
      <c r="A118" s="58" t="s">
        <v>387</v>
      </c>
      <c r="B118" s="47"/>
      <c r="C118" s="45">
        <f>C114/C116</f>
        <v>64084.782608695663</v>
      </c>
      <c r="D118" s="45"/>
      <c r="E118" s="45"/>
      <c r="F118" s="45">
        <f>F114/F116</f>
        <v>50296.969696969703</v>
      </c>
      <c r="G118" s="45"/>
      <c r="H118" s="45"/>
      <c r="I118" s="45">
        <f>I114/I116</f>
        <v>161635.27272727271</v>
      </c>
      <c r="J118" s="45"/>
      <c r="K118" s="44"/>
    </row>
    <row r="119" spans="1:11" ht="21" customHeight="1">
      <c r="A119" s="57" t="s">
        <v>116</v>
      </c>
      <c r="B119" s="608" t="s">
        <v>312</v>
      </c>
      <c r="C119" s="608"/>
      <c r="D119" s="608"/>
      <c r="E119" s="608"/>
      <c r="F119" s="608"/>
      <c r="G119" s="608"/>
      <c r="H119" s="608"/>
      <c r="I119" s="608"/>
      <c r="J119" s="608"/>
      <c r="K119" s="608"/>
    </row>
    <row r="120" spans="1:11" ht="22.5">
      <c r="A120" s="202" t="s">
        <v>119</v>
      </c>
      <c r="B120" s="620" t="s">
        <v>120</v>
      </c>
      <c r="C120" s="620"/>
      <c r="D120" s="620"/>
      <c r="E120" s="620"/>
      <c r="F120" s="620"/>
      <c r="G120" s="620"/>
      <c r="H120" s="620"/>
      <c r="I120" s="620"/>
      <c r="J120" s="620"/>
      <c r="K120" s="620"/>
    </row>
    <row r="121" spans="1:11" ht="22.5">
      <c r="A121" s="342" t="s">
        <v>121</v>
      </c>
      <c r="B121" s="342">
        <f>C121+F121+I121</f>
        <v>5834000</v>
      </c>
      <c r="C121" s="342">
        <f>D121+E121</f>
        <v>1700000</v>
      </c>
      <c r="D121" s="342">
        <f>'Додаток 3'!I66*1000</f>
        <v>1700000</v>
      </c>
      <c r="E121" s="204"/>
      <c r="F121" s="204">
        <f>G121+H121</f>
        <v>2000000</v>
      </c>
      <c r="G121" s="204">
        <f>'Додаток 3'!J66*1000</f>
        <v>2000000</v>
      </c>
      <c r="H121" s="204"/>
      <c r="I121" s="204">
        <f>J121+K121</f>
        <v>2134000</v>
      </c>
      <c r="J121" s="204">
        <f>'Додаток 3'!K66*1000</f>
        <v>2134000</v>
      </c>
      <c r="K121" s="204"/>
    </row>
    <row r="122" spans="1:11" ht="23.25">
      <c r="A122" s="342" t="s">
        <v>123</v>
      </c>
      <c r="B122" s="47"/>
      <c r="C122" s="45"/>
      <c r="D122" s="45"/>
      <c r="E122" s="45"/>
      <c r="F122" s="45"/>
      <c r="G122" s="45"/>
      <c r="H122" s="45"/>
      <c r="I122" s="45"/>
      <c r="J122" s="45"/>
      <c r="K122" s="44"/>
    </row>
    <row r="123" spans="1:11" ht="46.5">
      <c r="A123" s="58" t="s">
        <v>388</v>
      </c>
      <c r="B123" s="47"/>
      <c r="C123" s="45">
        <v>6217</v>
      </c>
      <c r="D123" s="45"/>
      <c r="E123" s="45"/>
      <c r="F123" s="45">
        <v>6217</v>
      </c>
      <c r="G123" s="45"/>
      <c r="H123" s="45"/>
      <c r="I123" s="45">
        <v>6217</v>
      </c>
      <c r="J123" s="45"/>
      <c r="K123" s="44"/>
    </row>
    <row r="124" spans="1:11" ht="23.25">
      <c r="A124" s="58" t="s">
        <v>389</v>
      </c>
      <c r="B124" s="47"/>
      <c r="C124" s="45">
        <v>6217</v>
      </c>
      <c r="D124" s="45"/>
      <c r="E124" s="45"/>
      <c r="F124" s="45">
        <v>6217</v>
      </c>
      <c r="G124" s="45"/>
      <c r="H124" s="45"/>
      <c r="I124" s="45">
        <v>6217</v>
      </c>
      <c r="J124" s="45"/>
      <c r="K124" s="44"/>
    </row>
    <row r="125" spans="1:11" ht="23.25">
      <c r="A125" s="342" t="s">
        <v>124</v>
      </c>
      <c r="B125" s="47"/>
      <c r="C125" s="45"/>
      <c r="D125" s="45"/>
      <c r="E125" s="45"/>
      <c r="F125" s="45"/>
      <c r="G125" s="45"/>
      <c r="H125" s="45"/>
      <c r="I125" s="45"/>
      <c r="J125" s="45"/>
      <c r="K125" s="44"/>
    </row>
    <row r="126" spans="1:11" ht="48.75" customHeight="1">
      <c r="A126" s="58" t="s">
        <v>390</v>
      </c>
      <c r="B126" s="47"/>
      <c r="C126" s="45">
        <f>C121/C124</f>
        <v>273.44378317516487</v>
      </c>
      <c r="D126" s="45"/>
      <c r="E126" s="45"/>
      <c r="F126" s="45">
        <f>F121/F124</f>
        <v>321.69856844137041</v>
      </c>
      <c r="G126" s="45"/>
      <c r="H126" s="45"/>
      <c r="I126" s="45">
        <f>I121/I124</f>
        <v>343.25237252694228</v>
      </c>
      <c r="J126" s="45"/>
      <c r="K126" s="44"/>
    </row>
    <row r="127" spans="1:11" ht="23.25">
      <c r="A127" s="205" t="s">
        <v>206</v>
      </c>
      <c r="B127" s="47"/>
      <c r="C127" s="45">
        <f>C124/C123*100</f>
        <v>100</v>
      </c>
      <c r="D127" s="45"/>
      <c r="E127" s="45"/>
      <c r="F127" s="45">
        <f>C127</f>
        <v>100</v>
      </c>
      <c r="G127" s="45"/>
      <c r="H127" s="45"/>
      <c r="I127" s="45">
        <f>F127</f>
        <v>100</v>
      </c>
      <c r="J127" s="45"/>
      <c r="K127" s="44"/>
    </row>
    <row r="128" spans="1:11" ht="23.25">
      <c r="A128" s="54" t="s">
        <v>116</v>
      </c>
      <c r="B128" s="621" t="s">
        <v>451</v>
      </c>
      <c r="C128" s="621"/>
      <c r="D128" s="621"/>
      <c r="E128" s="621"/>
      <c r="F128" s="621"/>
      <c r="G128" s="621"/>
      <c r="H128" s="621"/>
      <c r="I128" s="621"/>
      <c r="J128" s="621"/>
      <c r="K128" s="621"/>
    </row>
    <row r="129" spans="1:11" ht="20.25" customHeight="1">
      <c r="A129" s="202" t="s">
        <v>431</v>
      </c>
      <c r="B129" s="605" t="s">
        <v>432</v>
      </c>
      <c r="C129" s="606"/>
      <c r="D129" s="606"/>
      <c r="E129" s="606"/>
      <c r="F129" s="606"/>
      <c r="G129" s="606"/>
      <c r="H129" s="606"/>
      <c r="I129" s="606"/>
      <c r="J129" s="606"/>
      <c r="K129" s="607"/>
    </row>
    <row r="130" spans="1:11" ht="22.5">
      <c r="A130" s="342" t="s">
        <v>121</v>
      </c>
      <c r="B130" s="43">
        <f>C130+F130+I130</f>
        <v>3000000</v>
      </c>
      <c r="C130" s="44">
        <f>D130+E130</f>
        <v>3000000</v>
      </c>
      <c r="D130" s="44">
        <f>'Додаток 3'!I67*1000</f>
        <v>3000000</v>
      </c>
      <c r="E130" s="44">
        <v>0</v>
      </c>
      <c r="F130" s="44">
        <f>G130+H130</f>
        <v>0</v>
      </c>
      <c r="G130" s="44">
        <v>0</v>
      </c>
      <c r="H130" s="44">
        <v>0</v>
      </c>
      <c r="I130" s="44">
        <f>J130+K130</f>
        <v>0</v>
      </c>
      <c r="J130" s="44">
        <v>0</v>
      </c>
      <c r="K130" s="44">
        <v>0</v>
      </c>
    </row>
    <row r="131" spans="1:11" ht="23.25">
      <c r="A131" s="342" t="s">
        <v>380</v>
      </c>
      <c r="B131" s="43"/>
      <c r="C131" s="45">
        <v>1</v>
      </c>
      <c r="D131" s="44"/>
      <c r="E131" s="44"/>
      <c r="F131" s="45"/>
      <c r="G131" s="45"/>
      <c r="H131" s="45"/>
      <c r="I131" s="45"/>
      <c r="J131" s="44"/>
      <c r="K131" s="44"/>
    </row>
    <row r="132" spans="1:11" ht="46.5">
      <c r="A132" s="342" t="s">
        <v>386</v>
      </c>
      <c r="B132" s="47"/>
      <c r="C132" s="45">
        <f>C130/C131/3</f>
        <v>1000000</v>
      </c>
      <c r="D132" s="45"/>
      <c r="E132" s="45"/>
      <c r="F132" s="45"/>
      <c r="G132" s="45"/>
      <c r="H132" s="45"/>
      <c r="I132" s="45"/>
      <c r="J132" s="45"/>
      <c r="K132" s="44"/>
    </row>
    <row r="133" spans="1:11" ht="23.25">
      <c r="A133" s="57" t="s">
        <v>116</v>
      </c>
      <c r="B133" s="608" t="s">
        <v>313</v>
      </c>
      <c r="C133" s="608"/>
      <c r="D133" s="608"/>
      <c r="E133" s="608"/>
      <c r="F133" s="608"/>
      <c r="G133" s="608"/>
      <c r="H133" s="608"/>
      <c r="I133" s="608"/>
      <c r="J133" s="608"/>
      <c r="K133" s="608"/>
    </row>
    <row r="134" spans="1:11" ht="22.5">
      <c r="A134" s="202" t="s">
        <v>119</v>
      </c>
      <c r="B134" s="620" t="s">
        <v>120</v>
      </c>
      <c r="C134" s="620"/>
      <c r="D134" s="620"/>
      <c r="E134" s="620"/>
      <c r="F134" s="620"/>
      <c r="G134" s="620"/>
      <c r="H134" s="620"/>
      <c r="I134" s="620"/>
      <c r="J134" s="620"/>
      <c r="K134" s="620"/>
    </row>
    <row r="135" spans="1:11" ht="22.5">
      <c r="A135" s="342" t="s">
        <v>121</v>
      </c>
      <c r="B135" s="343">
        <f>C135+F135+I135</f>
        <v>2173500</v>
      </c>
      <c r="C135" s="343">
        <f>D135+E135</f>
        <v>1867700</v>
      </c>
      <c r="D135" s="343">
        <f>'Додаток 3'!I68*1000</f>
        <v>1867700</v>
      </c>
      <c r="E135" s="343"/>
      <c r="F135" s="343">
        <f>G135+H135</f>
        <v>305800</v>
      </c>
      <c r="G135" s="343">
        <f>'Додаток 3'!J68*1000</f>
        <v>305800</v>
      </c>
      <c r="H135" s="343"/>
      <c r="I135" s="343">
        <f>J135+K135</f>
        <v>0</v>
      </c>
      <c r="J135" s="343">
        <f>'Додаток 3'!K68*1000</f>
        <v>0</v>
      </c>
      <c r="K135" s="206"/>
    </row>
    <row r="136" spans="1:11" ht="50.25" customHeight="1">
      <c r="A136" s="56" t="s">
        <v>405</v>
      </c>
      <c r="B136" s="47"/>
      <c r="C136" s="45">
        <v>44900</v>
      </c>
      <c r="D136" s="46"/>
      <c r="E136" s="45"/>
      <c r="F136" s="45">
        <f>C136*1.056</f>
        <v>47414.400000000001</v>
      </c>
      <c r="G136" s="45"/>
      <c r="H136" s="45"/>
      <c r="I136" s="45">
        <f>F136*1.051</f>
        <v>49832.534399999997</v>
      </c>
      <c r="J136" s="45"/>
      <c r="K136" s="44"/>
    </row>
    <row r="137" spans="1:11" ht="23.25">
      <c r="A137" s="56" t="s">
        <v>153</v>
      </c>
      <c r="B137" s="47"/>
      <c r="C137" s="45">
        <v>335300</v>
      </c>
      <c r="D137" s="46"/>
      <c r="E137" s="45"/>
      <c r="F137" s="45">
        <f>C137*1.056</f>
        <v>354076.8</v>
      </c>
      <c r="G137" s="45"/>
      <c r="H137" s="45"/>
      <c r="I137" s="45">
        <f>F137+1.051</f>
        <v>354077.85099999997</v>
      </c>
      <c r="J137" s="45"/>
      <c r="K137" s="44"/>
    </row>
    <row r="138" spans="1:11" ht="23.25">
      <c r="A138" s="342" t="s">
        <v>123</v>
      </c>
      <c r="B138" s="47"/>
      <c r="C138" s="45"/>
      <c r="D138" s="45"/>
      <c r="E138" s="45"/>
      <c r="F138" s="45"/>
      <c r="G138" s="45"/>
      <c r="H138" s="45"/>
      <c r="I138" s="45"/>
      <c r="J138" s="45"/>
      <c r="K138" s="44"/>
    </row>
    <row r="139" spans="1:11" ht="45.75" customHeight="1">
      <c r="A139" s="207" t="s">
        <v>404</v>
      </c>
      <c r="B139" s="47"/>
      <c r="C139" s="45">
        <v>8</v>
      </c>
      <c r="D139" s="46"/>
      <c r="E139" s="45"/>
      <c r="F139" s="45">
        <v>8</v>
      </c>
      <c r="G139" s="45"/>
      <c r="H139" s="45"/>
      <c r="I139" s="45">
        <v>8</v>
      </c>
      <c r="J139" s="45"/>
      <c r="K139" s="44"/>
    </row>
    <row r="140" spans="1:11" ht="23.25">
      <c r="A140" s="207" t="s">
        <v>154</v>
      </c>
      <c r="B140" s="47"/>
      <c r="C140" s="45">
        <v>100</v>
      </c>
      <c r="D140" s="46"/>
      <c r="E140" s="45"/>
      <c r="F140" s="45">
        <v>100</v>
      </c>
      <c r="G140" s="45"/>
      <c r="H140" s="45"/>
      <c r="I140" s="45">
        <v>100</v>
      </c>
      <c r="J140" s="45"/>
      <c r="K140" s="44"/>
    </row>
    <row r="141" spans="1:11" ht="23.25">
      <c r="A141" s="342" t="s">
        <v>124</v>
      </c>
      <c r="B141" s="47"/>
      <c r="C141" s="45"/>
      <c r="D141" s="46"/>
      <c r="E141" s="45"/>
      <c r="F141" s="45"/>
      <c r="G141" s="45"/>
      <c r="H141" s="45"/>
      <c r="I141" s="45"/>
      <c r="J141" s="45"/>
      <c r="K141" s="44"/>
    </row>
    <row r="142" spans="1:11" ht="47.25" customHeight="1">
      <c r="A142" s="208" t="s">
        <v>407</v>
      </c>
      <c r="B142" s="47"/>
      <c r="C142" s="45">
        <f>C136/C139/12</f>
        <v>467.70833333333331</v>
      </c>
      <c r="D142" s="45"/>
      <c r="E142" s="45"/>
      <c r="F142" s="45">
        <f>F136/F139/12</f>
        <v>493.90000000000003</v>
      </c>
      <c r="G142" s="45"/>
      <c r="H142" s="45"/>
      <c r="I142" s="45">
        <f>I136/I139/12</f>
        <v>519.08889999999997</v>
      </c>
      <c r="J142" s="45"/>
      <c r="K142" s="44"/>
    </row>
    <row r="143" spans="1:11" ht="46.5">
      <c r="A143" s="208" t="s">
        <v>406</v>
      </c>
      <c r="B143" s="47"/>
      <c r="C143" s="45">
        <f>C137/C140/12</f>
        <v>279.41666666666669</v>
      </c>
      <c r="D143" s="45"/>
      <c r="E143" s="45"/>
      <c r="F143" s="45">
        <f>F137/F140/12</f>
        <v>295.06400000000002</v>
      </c>
      <c r="G143" s="45"/>
      <c r="H143" s="45"/>
      <c r="I143" s="45">
        <f>I137/I140/12</f>
        <v>295.0648758333333</v>
      </c>
      <c r="J143" s="45"/>
      <c r="K143" s="44"/>
    </row>
    <row r="144" spans="1:11" ht="46.5">
      <c r="A144" s="208" t="s">
        <v>315</v>
      </c>
      <c r="B144" s="47"/>
      <c r="C144" s="45">
        <f>C135/12</f>
        <v>155641.66666666666</v>
      </c>
      <c r="D144" s="45"/>
      <c r="E144" s="45"/>
      <c r="F144" s="45">
        <f>F135/12</f>
        <v>25483.333333333332</v>
      </c>
      <c r="G144" s="45"/>
      <c r="H144" s="45"/>
      <c r="I144" s="45">
        <f>I135/12</f>
        <v>0</v>
      </c>
      <c r="J144" s="45"/>
      <c r="K144" s="44"/>
    </row>
    <row r="145" spans="1:11" ht="23.25">
      <c r="A145" s="57" t="s">
        <v>116</v>
      </c>
      <c r="B145" s="608" t="s">
        <v>314</v>
      </c>
      <c r="C145" s="608"/>
      <c r="D145" s="608"/>
      <c r="E145" s="608"/>
      <c r="F145" s="608"/>
      <c r="G145" s="608"/>
      <c r="H145" s="608"/>
      <c r="I145" s="608"/>
      <c r="J145" s="608"/>
      <c r="K145" s="608"/>
    </row>
    <row r="146" spans="1:11" ht="22.5">
      <c r="A146" s="202" t="s">
        <v>119</v>
      </c>
      <c r="B146" s="620" t="s">
        <v>120</v>
      </c>
      <c r="C146" s="620"/>
      <c r="D146" s="620"/>
      <c r="E146" s="620"/>
      <c r="F146" s="620"/>
      <c r="G146" s="620"/>
      <c r="H146" s="620"/>
      <c r="I146" s="620"/>
      <c r="J146" s="620"/>
      <c r="K146" s="620"/>
    </row>
    <row r="147" spans="1:11" ht="22.5">
      <c r="A147" s="342" t="s">
        <v>121</v>
      </c>
      <c r="B147" s="343">
        <f>C147+F147+I147</f>
        <v>3716540</v>
      </c>
      <c r="C147" s="343">
        <f>D147+E147</f>
        <v>946270</v>
      </c>
      <c r="D147" s="343">
        <f>'Додаток 3'!I69*1000</f>
        <v>946270</v>
      </c>
      <c r="E147" s="343"/>
      <c r="F147" s="343">
        <f>G147+H147</f>
        <v>1337300</v>
      </c>
      <c r="G147" s="343">
        <f>'Додаток 3'!J69*1000</f>
        <v>1337300</v>
      </c>
      <c r="H147" s="343"/>
      <c r="I147" s="343">
        <f>J147+K147</f>
        <v>1432970</v>
      </c>
      <c r="J147" s="343">
        <f>'Додаток 3'!K69*1000</f>
        <v>1432970</v>
      </c>
      <c r="K147" s="206"/>
    </row>
    <row r="148" spans="1:11" ht="23.25">
      <c r="A148" s="209" t="s">
        <v>155</v>
      </c>
      <c r="B148" s="47"/>
      <c r="C148" s="210">
        <v>8.25</v>
      </c>
      <c r="D148" s="46"/>
      <c r="E148" s="45"/>
      <c r="F148" s="210">
        <v>8.25</v>
      </c>
      <c r="G148" s="45"/>
      <c r="H148" s="45"/>
      <c r="I148" s="210">
        <v>8.25</v>
      </c>
      <c r="J148" s="45"/>
      <c r="K148" s="44"/>
    </row>
    <row r="149" spans="1:11" ht="23.25">
      <c r="A149" s="211" t="s">
        <v>156</v>
      </c>
      <c r="B149" s="47"/>
      <c r="C149" s="210">
        <v>2.75</v>
      </c>
      <c r="D149" s="46"/>
      <c r="E149" s="45"/>
      <c r="F149" s="210">
        <v>2.75</v>
      </c>
      <c r="G149" s="45"/>
      <c r="H149" s="45"/>
      <c r="I149" s="210">
        <v>2.75</v>
      </c>
      <c r="J149" s="45"/>
      <c r="K149" s="44"/>
    </row>
    <row r="150" spans="1:11" ht="23.25">
      <c r="A150" s="342" t="s">
        <v>123</v>
      </c>
      <c r="B150" s="47"/>
      <c r="C150" s="45"/>
      <c r="D150" s="45"/>
      <c r="E150" s="45"/>
      <c r="F150" s="45"/>
      <c r="G150" s="45"/>
      <c r="H150" s="45"/>
      <c r="I150" s="45"/>
      <c r="J150" s="45"/>
      <c r="K150" s="44"/>
    </row>
    <row r="151" spans="1:11" ht="23.25">
      <c r="A151" s="207" t="s">
        <v>157</v>
      </c>
      <c r="B151" s="47"/>
      <c r="C151" s="58">
        <v>2915</v>
      </c>
      <c r="D151" s="58"/>
      <c r="E151" s="58"/>
      <c r="F151" s="58">
        <v>2915</v>
      </c>
      <c r="G151" s="58"/>
      <c r="H151" s="58"/>
      <c r="I151" s="58">
        <v>2915</v>
      </c>
      <c r="J151" s="45"/>
      <c r="K151" s="44"/>
    </row>
    <row r="152" spans="1:11" ht="23.25">
      <c r="A152" s="342" t="s">
        <v>124</v>
      </c>
      <c r="B152" s="47"/>
      <c r="C152" s="45"/>
      <c r="D152" s="46"/>
      <c r="E152" s="45"/>
      <c r="F152" s="45"/>
      <c r="G152" s="45"/>
      <c r="H152" s="45"/>
      <c r="I152" s="45"/>
      <c r="J152" s="45"/>
      <c r="K152" s="44"/>
    </row>
    <row r="153" spans="1:11" ht="46.5">
      <c r="A153" s="59" t="s">
        <v>158</v>
      </c>
      <c r="B153" s="47"/>
      <c r="C153" s="210">
        <f>C151/C149</f>
        <v>1060</v>
      </c>
      <c r="D153" s="210"/>
      <c r="E153" s="210"/>
      <c r="F153" s="210">
        <f>F151/F149</f>
        <v>1060</v>
      </c>
      <c r="G153" s="210"/>
      <c r="H153" s="210"/>
      <c r="I153" s="210">
        <f>I151/I149</f>
        <v>1060</v>
      </c>
      <c r="J153" s="45"/>
      <c r="K153" s="44"/>
    </row>
    <row r="154" spans="1:11" ht="46.5">
      <c r="A154" s="208" t="s">
        <v>316</v>
      </c>
      <c r="B154" s="47"/>
      <c r="C154" s="210">
        <f>C147/12</f>
        <v>78855.833333333328</v>
      </c>
      <c r="D154" s="210"/>
      <c r="E154" s="210"/>
      <c r="F154" s="210">
        <f>F147/12</f>
        <v>111441.66666666667</v>
      </c>
      <c r="G154" s="210"/>
      <c r="H154" s="210"/>
      <c r="I154" s="210">
        <f>I147/12</f>
        <v>119414.16666666667</v>
      </c>
      <c r="J154" s="45"/>
      <c r="K154" s="44"/>
    </row>
    <row r="155" spans="1:11" ht="23.25">
      <c r="A155" s="57" t="s">
        <v>116</v>
      </c>
      <c r="B155" s="608" t="s">
        <v>317</v>
      </c>
      <c r="C155" s="608"/>
      <c r="D155" s="608"/>
      <c r="E155" s="608"/>
      <c r="F155" s="608"/>
      <c r="G155" s="608"/>
      <c r="H155" s="608"/>
      <c r="I155" s="608"/>
      <c r="J155" s="608"/>
      <c r="K155" s="608"/>
    </row>
    <row r="156" spans="1:11" ht="22.5">
      <c r="A156" s="202" t="s">
        <v>119</v>
      </c>
      <c r="B156" s="620" t="s">
        <v>120</v>
      </c>
      <c r="C156" s="620"/>
      <c r="D156" s="620"/>
      <c r="E156" s="620"/>
      <c r="F156" s="620"/>
      <c r="G156" s="620"/>
      <c r="H156" s="620"/>
      <c r="I156" s="620"/>
      <c r="J156" s="620"/>
      <c r="K156" s="620"/>
    </row>
    <row r="157" spans="1:11" ht="22.5">
      <c r="A157" s="342" t="s">
        <v>121</v>
      </c>
      <c r="B157" s="343">
        <f>C157+F157+I157</f>
        <v>6073800</v>
      </c>
      <c r="C157" s="343">
        <f>D157+E157</f>
        <v>1217800</v>
      </c>
      <c r="D157" s="343">
        <f>'Додаток 3'!I70*1000</f>
        <v>1217800</v>
      </c>
      <c r="E157" s="343"/>
      <c r="F157" s="343">
        <f>G157+H157</f>
        <v>2344000</v>
      </c>
      <c r="G157" s="343">
        <f>'Додаток 3'!J70*1000</f>
        <v>2344000</v>
      </c>
      <c r="H157" s="343"/>
      <c r="I157" s="343">
        <f>J157+K157</f>
        <v>2512000</v>
      </c>
      <c r="J157" s="343">
        <f>'Додаток 3'!K70*1000</f>
        <v>2512000</v>
      </c>
      <c r="K157" s="343"/>
    </row>
    <row r="158" spans="1:11" ht="23.25">
      <c r="A158" s="342" t="s">
        <v>123</v>
      </c>
      <c r="B158" s="47"/>
      <c r="C158" s="45"/>
      <c r="D158" s="46"/>
      <c r="E158" s="45"/>
      <c r="F158" s="210"/>
      <c r="G158" s="210"/>
      <c r="H158" s="210"/>
      <c r="I158" s="210"/>
      <c r="J158" s="45"/>
      <c r="K158" s="44"/>
    </row>
    <row r="159" spans="1:11" ht="23.25">
      <c r="A159" s="207" t="s">
        <v>159</v>
      </c>
      <c r="B159" s="47"/>
      <c r="C159" s="58">
        <v>600</v>
      </c>
      <c r="D159" s="46"/>
      <c r="E159" s="45"/>
      <c r="F159" s="210">
        <v>600</v>
      </c>
      <c r="G159" s="210"/>
      <c r="H159" s="210"/>
      <c r="I159" s="210">
        <v>600</v>
      </c>
      <c r="J159" s="45"/>
      <c r="K159" s="44"/>
    </row>
    <row r="160" spans="1:11" ht="23.25">
      <c r="A160" s="342" t="s">
        <v>124</v>
      </c>
      <c r="B160" s="47"/>
      <c r="C160" s="45"/>
      <c r="D160" s="46"/>
      <c r="E160" s="45"/>
      <c r="F160" s="45"/>
      <c r="G160" s="45"/>
      <c r="H160" s="45"/>
      <c r="I160" s="45"/>
      <c r="J160" s="45"/>
      <c r="K160" s="44"/>
    </row>
    <row r="161" spans="1:11" ht="23.25">
      <c r="A161" s="212" t="s">
        <v>160</v>
      </c>
      <c r="B161" s="47"/>
      <c r="C161" s="210">
        <f>C157/C159</f>
        <v>2029.6666666666667</v>
      </c>
      <c r="D161" s="210"/>
      <c r="E161" s="210"/>
      <c r="F161" s="210">
        <f>F157/F159</f>
        <v>3906.6666666666665</v>
      </c>
      <c r="G161" s="210"/>
      <c r="H161" s="210"/>
      <c r="I161" s="210">
        <f>I157/I159</f>
        <v>4186.666666666667</v>
      </c>
      <c r="J161" s="45"/>
      <c r="K161" s="44"/>
    </row>
    <row r="162" spans="1:11" ht="23.25">
      <c r="A162" s="54" t="s">
        <v>116</v>
      </c>
      <c r="B162" s="621" t="s">
        <v>238</v>
      </c>
      <c r="C162" s="621"/>
      <c r="D162" s="621"/>
      <c r="E162" s="621"/>
      <c r="F162" s="621"/>
      <c r="G162" s="621"/>
      <c r="H162" s="621"/>
      <c r="I162" s="621"/>
      <c r="J162" s="621"/>
      <c r="K162" s="621"/>
    </row>
    <row r="163" spans="1:11" ht="20.25" customHeight="1">
      <c r="A163" s="202" t="s">
        <v>126</v>
      </c>
      <c r="B163" s="620" t="s">
        <v>164</v>
      </c>
      <c r="C163" s="620"/>
      <c r="D163" s="620"/>
      <c r="E163" s="620"/>
      <c r="F163" s="620"/>
      <c r="G163" s="620"/>
      <c r="H163" s="620"/>
      <c r="I163" s="620"/>
      <c r="J163" s="620"/>
      <c r="K163" s="620"/>
    </row>
    <row r="164" spans="1:11" ht="22.5">
      <c r="A164" s="342" t="s">
        <v>121</v>
      </c>
      <c r="B164" s="43">
        <f>C164+F164+I164</f>
        <v>18410420</v>
      </c>
      <c r="C164" s="44">
        <f>D164+E164</f>
        <v>12199200</v>
      </c>
      <c r="D164" s="44">
        <f>('Додаток 3'!I105+'Додаток 3'!I108+'Додаток 3'!I109)*1000</f>
        <v>12199200</v>
      </c>
      <c r="E164" s="44"/>
      <c r="F164" s="44">
        <f>G164+H164</f>
        <v>2987800</v>
      </c>
      <c r="G164" s="44">
        <f>('Додаток 3'!J105+'Додаток 3'!J108+'Додаток 3'!J109)*1000</f>
        <v>2987800</v>
      </c>
      <c r="H164" s="44"/>
      <c r="I164" s="44">
        <f>J164+K164</f>
        <v>3223420</v>
      </c>
      <c r="J164" s="44">
        <f>('Додаток 3'!K105+'Додаток 3'!K108+'Додаток 3'!K109)*1000</f>
        <v>3223420</v>
      </c>
      <c r="K164" s="44"/>
    </row>
    <row r="165" spans="1:11" ht="23.25">
      <c r="A165" s="342" t="s">
        <v>380</v>
      </c>
      <c r="B165" s="43"/>
      <c r="C165" s="45">
        <v>1</v>
      </c>
      <c r="D165" s="44"/>
      <c r="E165" s="44"/>
      <c r="F165" s="45">
        <v>1</v>
      </c>
      <c r="G165" s="45"/>
      <c r="H165" s="45"/>
      <c r="I165" s="45">
        <v>1</v>
      </c>
      <c r="J165" s="44"/>
      <c r="K165" s="44"/>
    </row>
    <row r="166" spans="1:11" ht="46.5">
      <c r="A166" s="342" t="s">
        <v>386</v>
      </c>
      <c r="B166" s="47"/>
      <c r="C166" s="45">
        <f>C164/C165/12</f>
        <v>1016600</v>
      </c>
      <c r="D166" s="45"/>
      <c r="E166" s="45"/>
      <c r="F166" s="45">
        <f>F164/F165/12</f>
        <v>248983.33333333334</v>
      </c>
      <c r="G166" s="45"/>
      <c r="H166" s="45"/>
      <c r="I166" s="45">
        <f>I164/I165/12</f>
        <v>268618.33333333331</v>
      </c>
      <c r="J166" s="45"/>
      <c r="K166" s="44"/>
    </row>
    <row r="167" spans="1:11" ht="23.25">
      <c r="A167" s="54" t="s">
        <v>116</v>
      </c>
      <c r="B167" s="621" t="s">
        <v>282</v>
      </c>
      <c r="C167" s="621"/>
      <c r="D167" s="621"/>
      <c r="E167" s="621"/>
      <c r="F167" s="621"/>
      <c r="G167" s="621"/>
      <c r="H167" s="621"/>
      <c r="I167" s="621"/>
      <c r="J167" s="621"/>
      <c r="K167" s="621"/>
    </row>
    <row r="168" spans="1:11" ht="20.25" customHeight="1">
      <c r="A168" s="202" t="s">
        <v>128</v>
      </c>
      <c r="B168" s="616" t="s">
        <v>129</v>
      </c>
      <c r="C168" s="616"/>
      <c r="D168" s="616"/>
      <c r="E168" s="616"/>
      <c r="F168" s="616"/>
      <c r="G168" s="616"/>
      <c r="H168" s="616"/>
      <c r="I168" s="616"/>
      <c r="J168" s="616"/>
      <c r="K168" s="616"/>
    </row>
    <row r="169" spans="1:11" ht="22.5">
      <c r="A169" s="342" t="s">
        <v>121</v>
      </c>
      <c r="B169" s="43">
        <f>C169+F169+I169</f>
        <v>22372175</v>
      </c>
      <c r="C169" s="342">
        <f>D169+E169</f>
        <v>6738000</v>
      </c>
      <c r="D169" s="342">
        <f>'Додаток 3'!I118*1000</f>
        <v>6738000</v>
      </c>
      <c r="E169" s="342"/>
      <c r="F169" s="342">
        <f>G169</f>
        <v>7564600</v>
      </c>
      <c r="G169" s="342">
        <f>'Додаток 3'!J118*1000</f>
        <v>7564600</v>
      </c>
      <c r="H169" s="342"/>
      <c r="I169" s="342">
        <f>J169</f>
        <v>8069575</v>
      </c>
      <c r="J169" s="342">
        <f>'Додаток 3'!K118*1000</f>
        <v>8069575</v>
      </c>
      <c r="K169" s="342"/>
    </row>
    <row r="170" spans="1:11" ht="23.25">
      <c r="A170" s="342" t="s">
        <v>380</v>
      </c>
      <c r="B170" s="43"/>
      <c r="C170" s="45">
        <v>1</v>
      </c>
      <c r="D170" s="44"/>
      <c r="E170" s="44"/>
      <c r="F170" s="45"/>
      <c r="G170" s="45">
        <v>1</v>
      </c>
      <c r="H170" s="45"/>
      <c r="I170" s="45"/>
      <c r="J170" s="44">
        <v>1</v>
      </c>
      <c r="K170" s="44"/>
    </row>
    <row r="171" spans="1:11" ht="46.5">
      <c r="A171" s="342" t="s">
        <v>391</v>
      </c>
      <c r="B171" s="47"/>
      <c r="C171" s="45">
        <f>C169/C170/12</f>
        <v>561500</v>
      </c>
      <c r="D171" s="45"/>
      <c r="E171" s="45"/>
      <c r="F171" s="45"/>
      <c r="G171" s="45">
        <f>G169/G170/12</f>
        <v>630383.33333333337</v>
      </c>
      <c r="H171" s="45"/>
      <c r="I171" s="45"/>
      <c r="J171" s="45">
        <f>J169/J170/12</f>
        <v>672464.58333333337</v>
      </c>
      <c r="K171" s="44"/>
    </row>
    <row r="172" spans="1:11" ht="22.5">
      <c r="A172" s="612" t="s">
        <v>223</v>
      </c>
      <c r="B172" s="612"/>
      <c r="C172" s="612"/>
      <c r="D172" s="612"/>
      <c r="E172" s="612"/>
      <c r="F172" s="612"/>
      <c r="G172" s="612"/>
      <c r="H172" s="612"/>
      <c r="I172" s="612"/>
      <c r="J172" s="612"/>
      <c r="K172" s="612"/>
    </row>
    <row r="173" spans="1:11" ht="22.5">
      <c r="A173" s="53" t="s">
        <v>319</v>
      </c>
      <c r="B173" s="43">
        <f t="shared" ref="B173:K173" si="1">B177+B184+B198+B206+B213+B220+B229+B245+B253</f>
        <v>66024631.299999997</v>
      </c>
      <c r="C173" s="43">
        <f t="shared" si="1"/>
        <v>29168829</v>
      </c>
      <c r="D173" s="43">
        <f t="shared" si="1"/>
        <v>29168829</v>
      </c>
      <c r="E173" s="43">
        <f t="shared" si="1"/>
        <v>0</v>
      </c>
      <c r="F173" s="43">
        <f t="shared" si="1"/>
        <v>17837600</v>
      </c>
      <c r="G173" s="43">
        <f t="shared" si="1"/>
        <v>17837600</v>
      </c>
      <c r="H173" s="43">
        <f t="shared" si="1"/>
        <v>0</v>
      </c>
      <c r="I173" s="43">
        <f t="shared" si="1"/>
        <v>19018202.300000001</v>
      </c>
      <c r="J173" s="43">
        <f t="shared" si="1"/>
        <v>19018202.300000001</v>
      </c>
      <c r="K173" s="43">
        <f t="shared" si="1"/>
        <v>0</v>
      </c>
    </row>
    <row r="174" spans="1:11" ht="22.5">
      <c r="A174" s="53" t="s">
        <v>118</v>
      </c>
      <c r="B174" s="613"/>
      <c r="C174" s="614"/>
      <c r="D174" s="614"/>
      <c r="E174" s="614"/>
      <c r="F174" s="614"/>
      <c r="G174" s="614"/>
      <c r="H174" s="614"/>
      <c r="I174" s="614"/>
      <c r="J174" s="614"/>
      <c r="K174" s="615"/>
    </row>
    <row r="175" spans="1:11" ht="23.25">
      <c r="A175" s="57" t="s">
        <v>116</v>
      </c>
      <c r="B175" s="608" t="s">
        <v>320</v>
      </c>
      <c r="C175" s="608"/>
      <c r="D175" s="608"/>
      <c r="E175" s="608"/>
      <c r="F175" s="608"/>
      <c r="G175" s="608"/>
      <c r="H175" s="608"/>
      <c r="I175" s="608"/>
      <c r="J175" s="608"/>
      <c r="K175" s="608"/>
    </row>
    <row r="176" spans="1:11" ht="22.5">
      <c r="A176" s="202" t="s">
        <v>148</v>
      </c>
      <c r="B176" s="605" t="s">
        <v>166</v>
      </c>
      <c r="C176" s="606"/>
      <c r="D176" s="606"/>
      <c r="E176" s="606"/>
      <c r="F176" s="606"/>
      <c r="G176" s="606"/>
      <c r="H176" s="606"/>
      <c r="I176" s="606"/>
      <c r="J176" s="606"/>
      <c r="K176" s="607"/>
    </row>
    <row r="177" spans="1:11" ht="22.5">
      <c r="A177" s="342" t="s">
        <v>121</v>
      </c>
      <c r="B177" s="343">
        <f>C177+F177+I177</f>
        <v>16126574.089599997</v>
      </c>
      <c r="C177" s="343">
        <f>D177+E177</f>
        <v>5194000</v>
      </c>
      <c r="D177" s="343">
        <f>'Додаток 3'!I151*1000</f>
        <v>5194000</v>
      </c>
      <c r="E177" s="343"/>
      <c r="F177" s="343">
        <f>G177+H177</f>
        <v>5234409.5999999987</v>
      </c>
      <c r="G177" s="343">
        <f>'Додаток 3'!J151*1000</f>
        <v>5234409.5999999987</v>
      </c>
      <c r="H177" s="343"/>
      <c r="I177" s="343">
        <f>J177+K177</f>
        <v>5698164.4896</v>
      </c>
      <c r="J177" s="343">
        <f>'Додаток 3'!K151*1000</f>
        <v>5698164.4896</v>
      </c>
      <c r="K177" s="213"/>
    </row>
    <row r="178" spans="1:11" ht="23.25">
      <c r="A178" s="342" t="s">
        <v>123</v>
      </c>
      <c r="B178" s="47"/>
      <c r="C178" s="45"/>
      <c r="D178" s="45"/>
      <c r="E178" s="45"/>
      <c r="F178" s="45"/>
      <c r="G178" s="45"/>
      <c r="H178" s="45"/>
      <c r="I178" s="45"/>
      <c r="J178" s="45"/>
      <c r="K178" s="44"/>
    </row>
    <row r="179" spans="1:11" ht="23.25">
      <c r="A179" s="58" t="s">
        <v>165</v>
      </c>
      <c r="B179" s="47"/>
      <c r="C179" s="45">
        <v>51807</v>
      </c>
      <c r="D179" s="45"/>
      <c r="E179" s="45"/>
      <c r="F179" s="45">
        <v>51807</v>
      </c>
      <c r="G179" s="45"/>
      <c r="H179" s="45"/>
      <c r="I179" s="45">
        <v>51807</v>
      </c>
      <c r="J179" s="45"/>
      <c r="K179" s="44"/>
    </row>
    <row r="180" spans="1:11" ht="23.25">
      <c r="A180" s="342" t="s">
        <v>124</v>
      </c>
      <c r="B180" s="47"/>
      <c r="C180" s="45"/>
      <c r="D180" s="45"/>
      <c r="E180" s="45"/>
      <c r="F180" s="45"/>
      <c r="G180" s="45"/>
      <c r="H180" s="45"/>
      <c r="I180" s="45"/>
      <c r="J180" s="45"/>
      <c r="K180" s="44"/>
    </row>
    <row r="181" spans="1:11" ht="23.25">
      <c r="A181" s="56" t="s">
        <v>321</v>
      </c>
      <c r="B181" s="47"/>
      <c r="C181" s="45">
        <f>C177/C179</f>
        <v>100.25672206458587</v>
      </c>
      <c r="D181" s="45"/>
      <c r="E181" s="45"/>
      <c r="F181" s="45">
        <f>F177/F179</f>
        <v>101.03672476692337</v>
      </c>
      <c r="G181" s="45"/>
      <c r="H181" s="45"/>
      <c r="I181" s="45">
        <f>I177/I179</f>
        <v>109.98831218947247</v>
      </c>
      <c r="J181" s="45"/>
      <c r="K181" s="44"/>
    </row>
    <row r="182" spans="1:11" ht="23.25">
      <c r="A182" s="57" t="s">
        <v>116</v>
      </c>
      <c r="B182" s="608" t="s">
        <v>322</v>
      </c>
      <c r="C182" s="608"/>
      <c r="D182" s="608"/>
      <c r="E182" s="608"/>
      <c r="F182" s="608"/>
      <c r="G182" s="608"/>
      <c r="H182" s="608"/>
      <c r="I182" s="608"/>
      <c r="J182" s="608"/>
      <c r="K182" s="608"/>
    </row>
    <row r="183" spans="1:11" ht="22.5">
      <c r="A183" s="202" t="s">
        <v>148</v>
      </c>
      <c r="B183" s="605" t="s">
        <v>166</v>
      </c>
      <c r="C183" s="606"/>
      <c r="D183" s="606"/>
      <c r="E183" s="606"/>
      <c r="F183" s="606"/>
      <c r="G183" s="606"/>
      <c r="H183" s="606"/>
      <c r="I183" s="606"/>
      <c r="J183" s="606"/>
      <c r="K183" s="607"/>
    </row>
    <row r="184" spans="1:11" ht="22.5">
      <c r="A184" s="342" t="s">
        <v>121</v>
      </c>
      <c r="B184" s="343">
        <f>C184+F184+I184</f>
        <v>2688952.3</v>
      </c>
      <c r="C184" s="343">
        <f>D184+E184</f>
        <v>833400.00000000012</v>
      </c>
      <c r="D184" s="343">
        <f>'Додаток 3'!I154*1000</f>
        <v>833400.00000000012</v>
      </c>
      <c r="E184" s="343"/>
      <c r="F184" s="343">
        <f>G184+H184</f>
        <v>900700</v>
      </c>
      <c r="G184" s="343">
        <f>'Додаток 3'!J154*1000</f>
        <v>900700</v>
      </c>
      <c r="H184" s="343"/>
      <c r="I184" s="343">
        <f>J184+K184</f>
        <v>954852.3</v>
      </c>
      <c r="J184" s="343">
        <f>'Додаток 3'!K154*1000</f>
        <v>954852.3</v>
      </c>
      <c r="K184" s="343"/>
    </row>
    <row r="185" spans="1:11" ht="23.25">
      <c r="A185" s="60" t="s">
        <v>394</v>
      </c>
      <c r="B185" s="343"/>
      <c r="C185" s="203">
        <v>665590</v>
      </c>
      <c r="D185" s="62"/>
      <c r="E185" s="214"/>
      <c r="F185" s="203">
        <f>C185*1.056</f>
        <v>702863.04</v>
      </c>
      <c r="G185" s="214"/>
      <c r="H185" s="214"/>
      <c r="I185" s="203">
        <f>F185*1.051</f>
        <v>738709.05504000001</v>
      </c>
      <c r="J185" s="343"/>
      <c r="K185" s="343"/>
    </row>
    <row r="186" spans="1:11" ht="46.5">
      <c r="A186" s="60" t="s">
        <v>395</v>
      </c>
      <c r="B186" s="343"/>
      <c r="C186" s="203">
        <v>155810</v>
      </c>
      <c r="D186" s="62"/>
      <c r="E186" s="214"/>
      <c r="F186" s="203">
        <f>C186*1.056</f>
        <v>164535.36000000002</v>
      </c>
      <c r="G186" s="214"/>
      <c r="H186" s="214"/>
      <c r="I186" s="203">
        <f>F186*1.051</f>
        <v>172926.66336000001</v>
      </c>
      <c r="J186" s="343"/>
      <c r="K186" s="343"/>
    </row>
    <row r="187" spans="1:11" ht="47.25" customHeight="1">
      <c r="A187" s="60" t="s">
        <v>396</v>
      </c>
      <c r="B187" s="343"/>
      <c r="C187" s="203">
        <v>12000</v>
      </c>
      <c r="D187" s="62"/>
      <c r="E187" s="214"/>
      <c r="F187" s="203">
        <f>C187*1.056</f>
        <v>12672</v>
      </c>
      <c r="G187" s="214"/>
      <c r="H187" s="214"/>
      <c r="I187" s="203">
        <f>F187*1.051</f>
        <v>13318.271999999999</v>
      </c>
      <c r="J187" s="343"/>
      <c r="K187" s="343"/>
    </row>
    <row r="188" spans="1:11" ht="23.25">
      <c r="A188" s="342" t="s">
        <v>123</v>
      </c>
      <c r="B188" s="47"/>
      <c r="C188" s="45"/>
      <c r="D188" s="45"/>
      <c r="E188" s="45"/>
      <c r="F188" s="45"/>
      <c r="G188" s="45"/>
      <c r="H188" s="45"/>
      <c r="I188" s="45"/>
      <c r="J188" s="45"/>
      <c r="K188" s="44"/>
    </row>
    <row r="189" spans="1:11" ht="23.25">
      <c r="A189" s="60" t="s">
        <v>167</v>
      </c>
      <c r="B189" s="47"/>
      <c r="C189" s="45">
        <v>60100</v>
      </c>
      <c r="D189" s="46"/>
      <c r="E189" s="45"/>
      <c r="F189" s="45">
        <v>60100</v>
      </c>
      <c r="G189" s="45"/>
      <c r="H189" s="45"/>
      <c r="I189" s="45">
        <v>60100</v>
      </c>
      <c r="J189" s="45"/>
      <c r="K189" s="44"/>
    </row>
    <row r="190" spans="1:11" ht="23.25">
      <c r="A190" s="60" t="s">
        <v>168</v>
      </c>
      <c r="B190" s="47"/>
      <c r="C190" s="45">
        <v>2250</v>
      </c>
      <c r="D190" s="46"/>
      <c r="E190" s="45"/>
      <c r="F190" s="45">
        <v>2250</v>
      </c>
      <c r="G190" s="45"/>
      <c r="H190" s="45"/>
      <c r="I190" s="45">
        <v>2250</v>
      </c>
      <c r="J190" s="45"/>
      <c r="K190" s="44"/>
    </row>
    <row r="191" spans="1:11" ht="23.25">
      <c r="A191" s="60" t="s">
        <v>169</v>
      </c>
      <c r="B191" s="47"/>
      <c r="C191" s="45">
        <v>150</v>
      </c>
      <c r="D191" s="46"/>
      <c r="E191" s="45"/>
      <c r="F191" s="45">
        <v>150</v>
      </c>
      <c r="G191" s="45"/>
      <c r="H191" s="45"/>
      <c r="I191" s="45">
        <v>150</v>
      </c>
      <c r="J191" s="45"/>
      <c r="K191" s="44"/>
    </row>
    <row r="192" spans="1:11" ht="23.25">
      <c r="A192" s="342" t="s">
        <v>124</v>
      </c>
      <c r="B192" s="47"/>
      <c r="C192" s="45"/>
      <c r="D192" s="45"/>
      <c r="E192" s="45"/>
      <c r="F192" s="45"/>
      <c r="G192" s="45"/>
      <c r="H192" s="45"/>
      <c r="I192" s="45"/>
      <c r="J192" s="45"/>
      <c r="K192" s="44"/>
    </row>
    <row r="193" spans="1:11" ht="23.25">
      <c r="A193" s="56" t="s">
        <v>170</v>
      </c>
      <c r="B193" s="47"/>
      <c r="C193" s="45">
        <f>C185/C189</f>
        <v>11.074708818635607</v>
      </c>
      <c r="D193" s="45"/>
      <c r="E193" s="45"/>
      <c r="F193" s="45">
        <f>F185/F189</f>
        <v>11.694892512479202</v>
      </c>
      <c r="G193" s="45"/>
      <c r="H193" s="45"/>
      <c r="I193" s="45">
        <f>I185/I189</f>
        <v>12.29133203061564</v>
      </c>
      <c r="J193" s="45"/>
      <c r="K193" s="44"/>
    </row>
    <row r="194" spans="1:11" ht="46.5">
      <c r="A194" s="56" t="s">
        <v>392</v>
      </c>
      <c r="B194" s="47"/>
      <c r="C194" s="45">
        <f>C186/C190</f>
        <v>69.248888888888885</v>
      </c>
      <c r="D194" s="45"/>
      <c r="E194" s="45"/>
      <c r="F194" s="45">
        <f>F186/F190</f>
        <v>73.126826666666673</v>
      </c>
      <c r="G194" s="45"/>
      <c r="H194" s="45"/>
      <c r="I194" s="45">
        <f>I186/I190</f>
        <v>76.856294826666669</v>
      </c>
      <c r="J194" s="45"/>
      <c r="K194" s="44"/>
    </row>
    <row r="195" spans="1:11" ht="46.5">
      <c r="A195" s="56" t="s">
        <v>393</v>
      </c>
      <c r="B195" s="47"/>
      <c r="C195" s="45">
        <f>C187/C191</f>
        <v>80</v>
      </c>
      <c r="D195" s="45"/>
      <c r="E195" s="45"/>
      <c r="F195" s="45">
        <f>F187/F191</f>
        <v>84.48</v>
      </c>
      <c r="G195" s="45"/>
      <c r="H195" s="45"/>
      <c r="I195" s="45">
        <f>I187/I191</f>
        <v>88.788479999999993</v>
      </c>
      <c r="J195" s="45"/>
      <c r="K195" s="44"/>
    </row>
    <row r="196" spans="1:11" ht="23.25">
      <c r="A196" s="57" t="s">
        <v>116</v>
      </c>
      <c r="B196" s="608" t="s">
        <v>323</v>
      </c>
      <c r="C196" s="608"/>
      <c r="D196" s="608"/>
      <c r="E196" s="608"/>
      <c r="F196" s="608"/>
      <c r="G196" s="608"/>
      <c r="H196" s="608"/>
      <c r="I196" s="608"/>
      <c r="J196" s="608"/>
      <c r="K196" s="608"/>
    </row>
    <row r="197" spans="1:11" ht="22.5">
      <c r="A197" s="202" t="s">
        <v>119</v>
      </c>
      <c r="B197" s="605" t="s">
        <v>163</v>
      </c>
      <c r="C197" s="606"/>
      <c r="D197" s="606"/>
      <c r="E197" s="606"/>
      <c r="F197" s="606"/>
      <c r="G197" s="606"/>
      <c r="H197" s="606"/>
      <c r="I197" s="606"/>
      <c r="J197" s="606"/>
      <c r="K197" s="607"/>
    </row>
    <row r="198" spans="1:11" ht="23.25">
      <c r="A198" s="342" t="s">
        <v>121</v>
      </c>
      <c r="B198" s="343">
        <f>C198+F198+I198</f>
        <v>900000</v>
      </c>
      <c r="C198" s="343">
        <f>D198+E198</f>
        <v>900000</v>
      </c>
      <c r="D198" s="346">
        <f>'Додаток 3'!I157*1000</f>
        <v>900000</v>
      </c>
      <c r="E198" s="343"/>
      <c r="F198" s="343">
        <f>G198+H198</f>
        <v>0</v>
      </c>
      <c r="G198" s="343">
        <f>'Додаток 3'!J157*1000</f>
        <v>0</v>
      </c>
      <c r="H198" s="343"/>
      <c r="I198" s="343">
        <f>J198+K198</f>
        <v>0</v>
      </c>
      <c r="J198" s="343">
        <f>'Додаток 3'!K157*1000</f>
        <v>0</v>
      </c>
      <c r="K198" s="343"/>
    </row>
    <row r="199" spans="1:11" ht="23.25">
      <c r="A199" s="342" t="s">
        <v>123</v>
      </c>
      <c r="B199" s="47"/>
      <c r="C199" s="45"/>
      <c r="D199" s="45"/>
      <c r="E199" s="45"/>
      <c r="F199" s="45"/>
      <c r="G199" s="45"/>
      <c r="H199" s="45"/>
      <c r="I199" s="45"/>
      <c r="J199" s="45"/>
      <c r="K199" s="44"/>
    </row>
    <row r="200" spans="1:11" ht="46.5">
      <c r="A200" s="60" t="s">
        <v>171</v>
      </c>
      <c r="B200" s="47"/>
      <c r="C200" s="45">
        <v>6</v>
      </c>
      <c r="D200" s="45"/>
      <c r="E200" s="45"/>
      <c r="F200" s="45">
        <v>6</v>
      </c>
      <c r="G200" s="45"/>
      <c r="H200" s="45"/>
      <c r="I200" s="45">
        <v>6</v>
      </c>
      <c r="J200" s="45"/>
      <c r="K200" s="44"/>
    </row>
    <row r="201" spans="1:11" ht="23.25">
      <c r="A201" s="342" t="s">
        <v>124</v>
      </c>
      <c r="B201" s="47"/>
      <c r="C201" s="45"/>
      <c r="D201" s="45"/>
      <c r="E201" s="45"/>
      <c r="F201" s="45"/>
      <c r="G201" s="45"/>
      <c r="H201" s="45"/>
      <c r="I201" s="45"/>
      <c r="J201" s="45"/>
      <c r="K201" s="44"/>
    </row>
    <row r="202" spans="1:11" ht="53.25" customHeight="1">
      <c r="A202" s="56" t="s">
        <v>397</v>
      </c>
      <c r="B202" s="47"/>
      <c r="C202" s="45">
        <f>C198/C200</f>
        <v>150000</v>
      </c>
      <c r="D202" s="45"/>
      <c r="E202" s="45"/>
      <c r="F202" s="45">
        <f>F198/F200</f>
        <v>0</v>
      </c>
      <c r="G202" s="45"/>
      <c r="H202" s="45"/>
      <c r="I202" s="45">
        <f>I198/I200</f>
        <v>0</v>
      </c>
      <c r="J202" s="45"/>
      <c r="K202" s="44"/>
    </row>
    <row r="203" spans="1:11" ht="23.25">
      <c r="A203" s="57" t="s">
        <v>116</v>
      </c>
      <c r="B203" s="608" t="s">
        <v>324</v>
      </c>
      <c r="C203" s="608"/>
      <c r="D203" s="608"/>
      <c r="E203" s="608"/>
      <c r="F203" s="608"/>
      <c r="G203" s="608"/>
      <c r="H203" s="608"/>
      <c r="I203" s="608"/>
      <c r="J203" s="608"/>
      <c r="K203" s="608"/>
    </row>
    <row r="204" spans="1:11" ht="22.5">
      <c r="A204" s="202" t="s">
        <v>119</v>
      </c>
      <c r="B204" s="605" t="s">
        <v>163</v>
      </c>
      <c r="C204" s="606"/>
      <c r="D204" s="606"/>
      <c r="E204" s="606"/>
      <c r="F204" s="606"/>
      <c r="G204" s="606"/>
      <c r="H204" s="606"/>
      <c r="I204" s="606"/>
      <c r="J204" s="606"/>
      <c r="K204" s="607"/>
    </row>
    <row r="205" spans="1:11" ht="20.25" customHeight="1">
      <c r="A205" s="202" t="s">
        <v>161</v>
      </c>
      <c r="B205" s="605" t="s">
        <v>162</v>
      </c>
      <c r="C205" s="606"/>
      <c r="D205" s="606"/>
      <c r="E205" s="606"/>
      <c r="F205" s="606"/>
      <c r="G205" s="606"/>
      <c r="H205" s="606"/>
      <c r="I205" s="606"/>
      <c r="J205" s="606"/>
      <c r="K205" s="607"/>
    </row>
    <row r="206" spans="1:11" ht="22.5">
      <c r="A206" s="342" t="s">
        <v>121</v>
      </c>
      <c r="B206" s="343">
        <f>C206+F206+I206</f>
        <v>25082925.910400003</v>
      </c>
      <c r="C206" s="343">
        <f>D206+E206</f>
        <v>7490900</v>
      </c>
      <c r="D206" s="343">
        <f>'Додаток 3'!I158*1000</f>
        <v>7490900</v>
      </c>
      <c r="E206" s="343"/>
      <c r="F206" s="343">
        <f>G206+H206</f>
        <v>8565590.4000000004</v>
      </c>
      <c r="G206" s="343">
        <f>'Додаток 3'!J158*1000</f>
        <v>8565590.4000000004</v>
      </c>
      <c r="H206" s="343"/>
      <c r="I206" s="343">
        <f>J206+K206</f>
        <v>9026435.510400001</v>
      </c>
      <c r="J206" s="343">
        <f>'Додаток 3'!K158*1000</f>
        <v>9026435.510400001</v>
      </c>
      <c r="K206" s="343"/>
    </row>
    <row r="207" spans="1:11" ht="23.25">
      <c r="A207" s="342" t="s">
        <v>123</v>
      </c>
      <c r="B207" s="47"/>
      <c r="C207" s="45"/>
      <c r="D207" s="45"/>
      <c r="E207" s="45"/>
      <c r="F207" s="45"/>
      <c r="G207" s="45"/>
      <c r="H207" s="45"/>
      <c r="I207" s="45"/>
      <c r="J207" s="45"/>
      <c r="K207" s="44"/>
    </row>
    <row r="208" spans="1:11" ht="46.5">
      <c r="A208" s="60" t="s">
        <v>172</v>
      </c>
      <c r="B208" s="47"/>
      <c r="C208" s="45">
        <v>39</v>
      </c>
      <c r="D208" s="45"/>
      <c r="E208" s="45"/>
      <c r="F208" s="45">
        <v>39</v>
      </c>
      <c r="G208" s="45"/>
      <c r="H208" s="45"/>
      <c r="I208" s="45">
        <v>39</v>
      </c>
      <c r="J208" s="45"/>
      <c r="K208" s="44"/>
    </row>
    <row r="209" spans="1:11" ht="23.25">
      <c r="A209" s="342" t="s">
        <v>124</v>
      </c>
      <c r="B209" s="47"/>
      <c r="C209" s="45"/>
      <c r="D209" s="45"/>
      <c r="E209" s="45"/>
      <c r="F209" s="45"/>
      <c r="G209" s="45"/>
      <c r="H209" s="45"/>
      <c r="I209" s="45"/>
      <c r="J209" s="45"/>
      <c r="K209" s="44"/>
    </row>
    <row r="210" spans="1:11" ht="69.75" customHeight="1">
      <c r="A210" s="56" t="s">
        <v>173</v>
      </c>
      <c r="B210" s="47"/>
      <c r="C210" s="45">
        <f>C206/C208</f>
        <v>192074.35897435897</v>
      </c>
      <c r="D210" s="45"/>
      <c r="E210" s="45"/>
      <c r="F210" s="45">
        <f>F206/F208</f>
        <v>219630.5230769231</v>
      </c>
      <c r="G210" s="45"/>
      <c r="H210" s="45"/>
      <c r="I210" s="45">
        <f>I206/I208</f>
        <v>231447.06436923079</v>
      </c>
      <c r="J210" s="45"/>
      <c r="K210" s="44"/>
    </row>
    <row r="211" spans="1:11" ht="23.25">
      <c r="A211" s="57" t="s">
        <v>116</v>
      </c>
      <c r="B211" s="608" t="s">
        <v>325</v>
      </c>
      <c r="C211" s="608"/>
      <c r="D211" s="608"/>
      <c r="E211" s="608"/>
      <c r="F211" s="608"/>
      <c r="G211" s="608"/>
      <c r="H211" s="608"/>
      <c r="I211" s="608"/>
      <c r="J211" s="608"/>
      <c r="K211" s="608"/>
    </row>
    <row r="212" spans="1:11" ht="22.5">
      <c r="A212" s="202" t="s">
        <v>119</v>
      </c>
      <c r="B212" s="605" t="s">
        <v>163</v>
      </c>
      <c r="C212" s="606"/>
      <c r="D212" s="606"/>
      <c r="E212" s="606"/>
      <c r="F212" s="606"/>
      <c r="G212" s="606"/>
      <c r="H212" s="606"/>
      <c r="I212" s="606"/>
      <c r="J212" s="606"/>
      <c r="K212" s="607"/>
    </row>
    <row r="213" spans="1:11" ht="22.5">
      <c r="A213" s="342" t="s">
        <v>121</v>
      </c>
      <c r="B213" s="343">
        <f>C213+F213+I213</f>
        <v>420000</v>
      </c>
      <c r="C213" s="343">
        <f>D213+E213</f>
        <v>420000</v>
      </c>
      <c r="D213" s="343">
        <f>'Додаток 3'!I162*1000</f>
        <v>420000</v>
      </c>
      <c r="E213" s="343"/>
      <c r="F213" s="343">
        <f>G213+H213</f>
        <v>0</v>
      </c>
      <c r="G213" s="343">
        <f>'Додаток 3'!J162*1000</f>
        <v>0</v>
      </c>
      <c r="H213" s="343"/>
      <c r="I213" s="343">
        <f>J213+K213</f>
        <v>0</v>
      </c>
      <c r="J213" s="343">
        <f>'Додаток 3'!K162*1000</f>
        <v>0</v>
      </c>
      <c r="K213" s="343"/>
    </row>
    <row r="214" spans="1:11" ht="23.25">
      <c r="A214" s="342" t="s">
        <v>123</v>
      </c>
      <c r="B214" s="47"/>
      <c r="C214" s="45"/>
      <c r="D214" s="45"/>
      <c r="E214" s="45"/>
      <c r="F214" s="45"/>
      <c r="G214" s="45"/>
      <c r="H214" s="45"/>
      <c r="I214" s="45"/>
      <c r="J214" s="45"/>
      <c r="K214" s="44"/>
    </row>
    <row r="215" spans="1:11" ht="46.5">
      <c r="A215" s="60" t="s">
        <v>326</v>
      </c>
      <c r="B215" s="47"/>
      <c r="C215" s="45">
        <v>2</v>
      </c>
      <c r="D215" s="45"/>
      <c r="E215" s="45"/>
      <c r="F215" s="45">
        <v>2</v>
      </c>
      <c r="G215" s="45"/>
      <c r="H215" s="45"/>
      <c r="I215" s="45">
        <v>2</v>
      </c>
      <c r="J215" s="45"/>
      <c r="K215" s="44"/>
    </row>
    <row r="216" spans="1:11" ht="23.25">
      <c r="A216" s="342" t="s">
        <v>124</v>
      </c>
      <c r="B216" s="47"/>
      <c r="C216" s="45"/>
      <c r="D216" s="45"/>
      <c r="E216" s="45"/>
      <c r="F216" s="45"/>
      <c r="G216" s="45"/>
      <c r="H216" s="45"/>
      <c r="I216" s="45"/>
      <c r="J216" s="45"/>
      <c r="K216" s="44"/>
    </row>
    <row r="217" spans="1:11" ht="69.75">
      <c r="A217" s="56" t="s">
        <v>174</v>
      </c>
      <c r="B217" s="47"/>
      <c r="C217" s="45">
        <f>C213/C215</f>
        <v>210000</v>
      </c>
      <c r="D217" s="45"/>
      <c r="E217" s="45"/>
      <c r="F217" s="45">
        <f>F213/F215</f>
        <v>0</v>
      </c>
      <c r="G217" s="45"/>
      <c r="H217" s="45"/>
      <c r="I217" s="45">
        <f>I213/I215</f>
        <v>0</v>
      </c>
      <c r="J217" s="45"/>
      <c r="K217" s="44"/>
    </row>
    <row r="218" spans="1:11" ht="23.25">
      <c r="A218" s="57" t="s">
        <v>116</v>
      </c>
      <c r="B218" s="608" t="s">
        <v>57</v>
      </c>
      <c r="C218" s="608"/>
      <c r="D218" s="608"/>
      <c r="E218" s="608"/>
      <c r="F218" s="608"/>
      <c r="G218" s="608"/>
      <c r="H218" s="608"/>
      <c r="I218" s="608"/>
      <c r="J218" s="608"/>
      <c r="K218" s="608"/>
    </row>
    <row r="219" spans="1:11" ht="22.5">
      <c r="A219" s="202" t="s">
        <v>148</v>
      </c>
      <c r="B219" s="605" t="s">
        <v>166</v>
      </c>
      <c r="C219" s="606"/>
      <c r="D219" s="606"/>
      <c r="E219" s="606"/>
      <c r="F219" s="606"/>
      <c r="G219" s="606"/>
      <c r="H219" s="606"/>
      <c r="I219" s="606"/>
      <c r="J219" s="606"/>
      <c r="K219" s="607"/>
    </row>
    <row r="220" spans="1:11" ht="23.25">
      <c r="A220" s="342" t="s">
        <v>121</v>
      </c>
      <c r="B220" s="343">
        <f>C220+F220+I220</f>
        <v>5857900</v>
      </c>
      <c r="C220" s="343">
        <f>D220+E220</f>
        <v>1921300</v>
      </c>
      <c r="D220" s="346">
        <f>'Додаток 3'!I163*1000</f>
        <v>1921300</v>
      </c>
      <c r="E220" s="343"/>
      <c r="F220" s="343">
        <f>G220+H220</f>
        <v>1906600</v>
      </c>
      <c r="G220" s="343">
        <f>'Додаток 3'!J163*1000</f>
        <v>1906600</v>
      </c>
      <c r="H220" s="343"/>
      <c r="I220" s="343">
        <f>J220+K220</f>
        <v>2030000</v>
      </c>
      <c r="J220" s="343">
        <f>'Додаток 3'!K163*1000</f>
        <v>2030000</v>
      </c>
      <c r="K220" s="206"/>
    </row>
    <row r="221" spans="1:11" ht="23.25">
      <c r="A221" s="342" t="s">
        <v>123</v>
      </c>
      <c r="B221" s="47"/>
      <c r="C221" s="45"/>
      <c r="D221" s="45"/>
      <c r="E221" s="45"/>
      <c r="F221" s="45"/>
      <c r="G221" s="45"/>
      <c r="H221" s="45"/>
      <c r="I221" s="45"/>
      <c r="J221" s="45"/>
      <c r="K221" s="44"/>
    </row>
    <row r="222" spans="1:11" ht="46.5">
      <c r="A222" s="60" t="s">
        <v>175</v>
      </c>
      <c r="B222" s="47"/>
      <c r="C222" s="45">
        <v>8805</v>
      </c>
      <c r="D222" s="45"/>
      <c r="E222" s="45"/>
      <c r="F222" s="45">
        <f>C222</f>
        <v>8805</v>
      </c>
      <c r="G222" s="45"/>
      <c r="H222" s="45"/>
      <c r="I222" s="45">
        <f>F222</f>
        <v>8805</v>
      </c>
      <c r="J222" s="45"/>
      <c r="K222" s="44"/>
    </row>
    <row r="223" spans="1:11" ht="54.75" customHeight="1">
      <c r="A223" s="60" t="s">
        <v>176</v>
      </c>
      <c r="B223" s="47"/>
      <c r="C223" s="45">
        <v>749</v>
      </c>
      <c r="D223" s="45"/>
      <c r="E223" s="45"/>
      <c r="F223" s="45">
        <v>749</v>
      </c>
      <c r="G223" s="45"/>
      <c r="H223" s="45"/>
      <c r="I223" s="45">
        <v>749</v>
      </c>
      <c r="J223" s="45"/>
      <c r="K223" s="44"/>
    </row>
    <row r="224" spans="1:11" ht="23.25">
      <c r="A224" s="342" t="s">
        <v>124</v>
      </c>
      <c r="B224" s="47"/>
      <c r="C224" s="45"/>
      <c r="D224" s="45"/>
      <c r="E224" s="45"/>
      <c r="F224" s="45"/>
      <c r="G224" s="45"/>
      <c r="H224" s="45"/>
      <c r="I224" s="45"/>
      <c r="J224" s="45"/>
      <c r="K224" s="44"/>
    </row>
    <row r="225" spans="1:12" ht="24" customHeight="1">
      <c r="A225" s="56" t="s">
        <v>177</v>
      </c>
      <c r="B225" s="47"/>
      <c r="C225" s="45">
        <f>C220/C223</f>
        <v>2565.1535380507344</v>
      </c>
      <c r="D225" s="45"/>
      <c r="E225" s="45"/>
      <c r="F225" s="45">
        <f>F220/F223</f>
        <v>2545.5273698264355</v>
      </c>
      <c r="G225" s="45"/>
      <c r="H225" s="45"/>
      <c r="I225" s="45">
        <f>I220/I223</f>
        <v>2710.2803738317757</v>
      </c>
      <c r="J225" s="45"/>
      <c r="K225" s="44"/>
    </row>
    <row r="226" spans="1:12" ht="69.75">
      <c r="A226" s="56" t="s">
        <v>178</v>
      </c>
      <c r="B226" s="47"/>
      <c r="C226" s="45">
        <f>C223/C222*100</f>
        <v>8.5065303804656445</v>
      </c>
      <c r="D226" s="45"/>
      <c r="E226" s="45"/>
      <c r="F226" s="45">
        <f>F223/F222*100</f>
        <v>8.5065303804656445</v>
      </c>
      <c r="G226" s="45"/>
      <c r="H226" s="45"/>
      <c r="I226" s="45">
        <f>I223/I222*100</f>
        <v>8.5065303804656445</v>
      </c>
      <c r="J226" s="45"/>
      <c r="K226" s="44"/>
    </row>
    <row r="227" spans="1:12" ht="23.25">
      <c r="A227" s="57" t="s">
        <v>116</v>
      </c>
      <c r="B227" s="608" t="s">
        <v>327</v>
      </c>
      <c r="C227" s="608"/>
      <c r="D227" s="608"/>
      <c r="E227" s="608"/>
      <c r="F227" s="608"/>
      <c r="G227" s="608"/>
      <c r="H227" s="608"/>
      <c r="I227" s="608"/>
      <c r="J227" s="608"/>
      <c r="K227" s="608"/>
    </row>
    <row r="228" spans="1:12" ht="22.5">
      <c r="A228" s="202" t="s">
        <v>119</v>
      </c>
      <c r="B228" s="605" t="s">
        <v>163</v>
      </c>
      <c r="C228" s="606"/>
      <c r="D228" s="606"/>
      <c r="E228" s="606"/>
      <c r="F228" s="606"/>
      <c r="G228" s="606"/>
      <c r="H228" s="606"/>
      <c r="I228" s="606"/>
      <c r="J228" s="606"/>
      <c r="K228" s="607"/>
    </row>
    <row r="229" spans="1:12" ht="23.25">
      <c r="A229" s="342" t="s">
        <v>121</v>
      </c>
      <c r="B229" s="343">
        <f>C229+F229+I229</f>
        <v>533400</v>
      </c>
      <c r="C229" s="343">
        <f>D229+E229</f>
        <v>120000</v>
      </c>
      <c r="D229" s="346">
        <f>'Додаток 3'!I166*1000</f>
        <v>120000</v>
      </c>
      <c r="E229" s="343"/>
      <c r="F229" s="343">
        <f>G229+H229</f>
        <v>200000</v>
      </c>
      <c r="G229" s="343">
        <f>'Додаток 3'!J166*1000</f>
        <v>200000</v>
      </c>
      <c r="H229" s="343"/>
      <c r="I229" s="343">
        <f>J229+K229</f>
        <v>213400</v>
      </c>
      <c r="J229" s="343">
        <f>'Додаток 3'!K166*1000</f>
        <v>213400</v>
      </c>
      <c r="K229" s="343"/>
      <c r="L229" s="98"/>
    </row>
    <row r="230" spans="1:12" ht="23.25">
      <c r="A230" s="342" t="s">
        <v>123</v>
      </c>
      <c r="B230" s="343"/>
      <c r="C230" s="206"/>
      <c r="D230" s="57"/>
      <c r="E230" s="206"/>
      <c r="F230" s="206"/>
      <c r="G230" s="206"/>
      <c r="H230" s="206"/>
      <c r="I230" s="206"/>
      <c r="J230" s="206"/>
      <c r="K230" s="343"/>
    </row>
    <row r="231" spans="1:12" ht="46.5">
      <c r="A231" s="60" t="s">
        <v>328</v>
      </c>
      <c r="B231" s="343"/>
      <c r="C231" s="203">
        <v>250</v>
      </c>
      <c r="D231" s="203"/>
      <c r="E231" s="203"/>
      <c r="F231" s="203">
        <v>250</v>
      </c>
      <c r="G231" s="203"/>
      <c r="H231" s="203"/>
      <c r="I231" s="203">
        <v>250</v>
      </c>
      <c r="J231" s="57"/>
      <c r="K231" s="343"/>
    </row>
    <row r="232" spans="1:12" ht="23.25" hidden="1">
      <c r="A232" s="342" t="s">
        <v>123</v>
      </c>
      <c r="B232" s="47"/>
      <c r="C232" s="45"/>
      <c r="D232" s="45"/>
      <c r="E232" s="45"/>
      <c r="F232" s="45"/>
      <c r="G232" s="45"/>
      <c r="H232" s="45"/>
      <c r="I232" s="45"/>
      <c r="J232" s="45"/>
      <c r="K232" s="44"/>
    </row>
    <row r="233" spans="1:12" ht="23.25" hidden="1">
      <c r="A233" s="58" t="s">
        <v>122</v>
      </c>
      <c r="B233" s="47"/>
      <c r="C233" s="45">
        <v>1</v>
      </c>
      <c r="D233" s="45"/>
      <c r="E233" s="45"/>
      <c r="F233" s="45">
        <f>C233</f>
        <v>1</v>
      </c>
      <c r="G233" s="45"/>
      <c r="H233" s="45"/>
      <c r="I233" s="45">
        <f>F233</f>
        <v>1</v>
      </c>
      <c r="J233" s="45"/>
      <c r="K233" s="44"/>
    </row>
    <row r="234" spans="1:12" ht="46.5" hidden="1">
      <c r="A234" s="60" t="s">
        <v>179</v>
      </c>
      <c r="B234" s="47"/>
      <c r="C234" s="45"/>
      <c r="D234" s="45"/>
      <c r="E234" s="45"/>
      <c r="F234" s="45"/>
      <c r="G234" s="45"/>
      <c r="H234" s="45"/>
      <c r="I234" s="45"/>
      <c r="J234" s="45"/>
      <c r="K234" s="44"/>
    </row>
    <row r="235" spans="1:12" ht="23.25" hidden="1">
      <c r="A235" s="342" t="s">
        <v>124</v>
      </c>
      <c r="B235" s="47"/>
      <c r="C235" s="45"/>
      <c r="D235" s="45"/>
      <c r="E235" s="45"/>
      <c r="F235" s="45"/>
      <c r="G235" s="45"/>
      <c r="H235" s="45"/>
      <c r="I235" s="45"/>
      <c r="J235" s="45"/>
      <c r="K235" s="44"/>
    </row>
    <row r="236" spans="1:12" ht="18" hidden="1" customHeight="1">
      <c r="A236" s="56" t="s">
        <v>180</v>
      </c>
      <c r="B236" s="47"/>
      <c r="C236" s="45" t="e">
        <f>C229/C234</f>
        <v>#DIV/0!</v>
      </c>
      <c r="D236" s="45"/>
      <c r="E236" s="45"/>
      <c r="F236" s="45"/>
      <c r="G236" s="45"/>
      <c r="H236" s="45"/>
      <c r="I236" s="45"/>
      <c r="J236" s="45"/>
      <c r="K236" s="44"/>
    </row>
    <row r="237" spans="1:12" ht="17.25" hidden="1" customHeight="1">
      <c r="A237" s="64" t="s">
        <v>125</v>
      </c>
      <c r="B237" s="47"/>
      <c r="C237" s="45"/>
      <c r="D237" s="45"/>
      <c r="E237" s="45"/>
      <c r="F237" s="45"/>
      <c r="G237" s="45"/>
      <c r="H237" s="45"/>
      <c r="I237" s="45"/>
      <c r="J237" s="45"/>
      <c r="K237" s="44"/>
    </row>
    <row r="238" spans="1:12" ht="46.5" hidden="1">
      <c r="A238" s="56" t="s">
        <v>181</v>
      </c>
      <c r="B238" s="47"/>
      <c r="C238" s="45">
        <f>C234/C231*100</f>
        <v>0</v>
      </c>
      <c r="D238" s="45"/>
      <c r="E238" s="45"/>
      <c r="F238" s="45"/>
      <c r="G238" s="45"/>
      <c r="H238" s="45"/>
      <c r="I238" s="45"/>
      <c r="J238" s="45"/>
      <c r="K238" s="44"/>
    </row>
    <row r="239" spans="1:12" ht="46.5">
      <c r="A239" s="56" t="s">
        <v>179</v>
      </c>
      <c r="B239" s="47"/>
      <c r="C239" s="45">
        <v>43</v>
      </c>
      <c r="D239" s="45"/>
      <c r="E239" s="45"/>
      <c r="F239" s="45">
        <v>70</v>
      </c>
      <c r="G239" s="45"/>
      <c r="H239" s="45"/>
      <c r="I239" s="45">
        <v>70</v>
      </c>
      <c r="J239" s="45"/>
      <c r="K239" s="44"/>
    </row>
    <row r="240" spans="1:12" ht="23.25">
      <c r="A240" s="342" t="s">
        <v>124</v>
      </c>
      <c r="B240" s="47"/>
      <c r="C240" s="45"/>
      <c r="D240" s="45"/>
      <c r="E240" s="45"/>
      <c r="F240" s="45"/>
      <c r="G240" s="45"/>
      <c r="H240" s="45"/>
      <c r="I240" s="45"/>
      <c r="J240" s="45"/>
      <c r="K240" s="44"/>
    </row>
    <row r="241" spans="1:11" ht="46.5">
      <c r="A241" s="55" t="s">
        <v>329</v>
      </c>
      <c r="B241" s="47"/>
      <c r="C241" s="45">
        <f>C229/C239</f>
        <v>2790.6976744186045</v>
      </c>
      <c r="D241" s="45"/>
      <c r="E241" s="45"/>
      <c r="F241" s="45">
        <f>F229/F239</f>
        <v>2857.1428571428573</v>
      </c>
      <c r="G241" s="45"/>
      <c r="H241" s="45"/>
      <c r="I241" s="45">
        <f>I229/I239</f>
        <v>3048.5714285714284</v>
      </c>
      <c r="J241" s="45"/>
      <c r="K241" s="44"/>
    </row>
    <row r="242" spans="1:11" ht="47.25" customHeight="1">
      <c r="A242" s="56" t="s">
        <v>181</v>
      </c>
      <c r="B242" s="47"/>
      <c r="C242" s="45">
        <f>C239/C231*100</f>
        <v>17.2</v>
      </c>
      <c r="D242" s="45"/>
      <c r="E242" s="45"/>
      <c r="F242" s="45">
        <f>F239/F231*100</f>
        <v>28.000000000000004</v>
      </c>
      <c r="G242" s="45"/>
      <c r="H242" s="45"/>
      <c r="I242" s="45">
        <f>I239/I231*100</f>
        <v>28.000000000000004</v>
      </c>
      <c r="J242" s="45"/>
      <c r="K242" s="44"/>
    </row>
    <row r="243" spans="1:11" ht="23.25">
      <c r="A243" s="57" t="s">
        <v>116</v>
      </c>
      <c r="B243" s="608" t="s">
        <v>330</v>
      </c>
      <c r="C243" s="608"/>
      <c r="D243" s="608"/>
      <c r="E243" s="608"/>
      <c r="F243" s="608"/>
      <c r="G243" s="608"/>
      <c r="H243" s="608"/>
      <c r="I243" s="608"/>
      <c r="J243" s="608"/>
      <c r="K243" s="608"/>
    </row>
    <row r="244" spans="1:11" ht="22.5">
      <c r="A244" s="202" t="s">
        <v>188</v>
      </c>
      <c r="B244" s="605" t="s">
        <v>189</v>
      </c>
      <c r="C244" s="606"/>
      <c r="D244" s="606"/>
      <c r="E244" s="606"/>
      <c r="F244" s="606"/>
      <c r="G244" s="606"/>
      <c r="H244" s="606"/>
      <c r="I244" s="606"/>
      <c r="J244" s="606"/>
      <c r="K244" s="607"/>
    </row>
    <row r="245" spans="1:11" ht="21.75" customHeight="1">
      <c r="A245" s="342" t="s">
        <v>121</v>
      </c>
      <c r="B245" s="343">
        <f>C245+F245+I245</f>
        <v>11499719.000000002</v>
      </c>
      <c r="C245" s="343">
        <f>D245+E245</f>
        <v>11499719.000000002</v>
      </c>
      <c r="D245" s="346">
        <f>'Додаток 3'!I167*1000</f>
        <v>11499719.000000002</v>
      </c>
      <c r="E245" s="343"/>
      <c r="F245" s="343"/>
      <c r="G245" s="343">
        <f>'Додаток 3'!J167*1000</f>
        <v>0</v>
      </c>
      <c r="H245" s="343"/>
      <c r="I245" s="343"/>
      <c r="J245" s="343">
        <f>'Додаток 3'!K167*1000</f>
        <v>0</v>
      </c>
      <c r="K245" s="343"/>
    </row>
    <row r="246" spans="1:11" ht="48" customHeight="1">
      <c r="A246" s="55" t="s">
        <v>348</v>
      </c>
      <c r="B246" s="343"/>
      <c r="C246" s="203">
        <v>10532673</v>
      </c>
      <c r="D246" s="57"/>
      <c r="E246" s="343"/>
      <c r="F246" s="343"/>
      <c r="G246" s="343"/>
      <c r="H246" s="343"/>
      <c r="I246" s="343"/>
      <c r="J246" s="343"/>
      <c r="K246" s="343"/>
    </row>
    <row r="247" spans="1:11" ht="23.25">
      <c r="A247" s="342" t="s">
        <v>123</v>
      </c>
      <c r="B247" s="47"/>
      <c r="C247" s="45"/>
      <c r="D247" s="45"/>
      <c r="E247" s="45"/>
      <c r="F247" s="45"/>
      <c r="G247" s="45"/>
      <c r="H247" s="45"/>
      <c r="I247" s="45"/>
      <c r="J247" s="45"/>
      <c r="K247" s="44"/>
    </row>
    <row r="248" spans="1:11" ht="48.75" customHeight="1">
      <c r="A248" s="60" t="s">
        <v>190</v>
      </c>
      <c r="B248" s="47"/>
      <c r="C248" s="45">
        <v>1492</v>
      </c>
      <c r="D248" s="45"/>
      <c r="E248" s="45"/>
      <c r="F248" s="45"/>
      <c r="G248" s="45"/>
      <c r="H248" s="45"/>
      <c r="I248" s="45"/>
      <c r="J248" s="45"/>
      <c r="K248" s="44"/>
    </row>
    <row r="249" spans="1:11" ht="23.25">
      <c r="A249" s="342" t="s">
        <v>124</v>
      </c>
      <c r="B249" s="47"/>
      <c r="C249" s="45"/>
      <c r="D249" s="45"/>
      <c r="E249" s="45"/>
      <c r="F249" s="45"/>
      <c r="G249" s="45"/>
      <c r="H249" s="45"/>
      <c r="I249" s="45"/>
      <c r="J249" s="45"/>
      <c r="K249" s="44"/>
    </row>
    <row r="250" spans="1:11" ht="69.75">
      <c r="A250" s="205" t="s">
        <v>191</v>
      </c>
      <c r="B250" s="47"/>
      <c r="C250" s="45">
        <f>C245/C248</f>
        <v>7707.5864611260067</v>
      </c>
      <c r="D250" s="45"/>
      <c r="E250" s="45"/>
      <c r="F250" s="45"/>
      <c r="G250" s="45"/>
      <c r="H250" s="45"/>
      <c r="I250" s="45"/>
      <c r="J250" s="45"/>
      <c r="K250" s="44"/>
    </row>
    <row r="251" spans="1:11" ht="42.75" customHeight="1">
      <c r="A251" s="57" t="s">
        <v>116</v>
      </c>
      <c r="B251" s="609" t="s">
        <v>403</v>
      </c>
      <c r="C251" s="610"/>
      <c r="D251" s="610"/>
      <c r="E251" s="610"/>
      <c r="F251" s="610"/>
      <c r="G251" s="610"/>
      <c r="H251" s="610"/>
      <c r="I251" s="610"/>
      <c r="J251" s="610"/>
      <c r="K251" s="611"/>
    </row>
    <row r="252" spans="1:11" ht="20.25" customHeight="1">
      <c r="A252" s="202" t="s">
        <v>119</v>
      </c>
      <c r="B252" s="605" t="s">
        <v>120</v>
      </c>
      <c r="C252" s="606"/>
      <c r="D252" s="606"/>
      <c r="E252" s="606"/>
      <c r="F252" s="606"/>
      <c r="G252" s="606"/>
      <c r="H252" s="606"/>
      <c r="I252" s="606"/>
      <c r="J252" s="606"/>
      <c r="K252" s="607"/>
    </row>
    <row r="253" spans="1:11" ht="22.5">
      <c r="A253" s="342" t="s">
        <v>121</v>
      </c>
      <c r="B253" s="342">
        <f>C253+F253+I253</f>
        <v>2915160</v>
      </c>
      <c r="C253" s="342">
        <f>D253+E253</f>
        <v>789510</v>
      </c>
      <c r="D253" s="342">
        <f>'Додаток 3'!I171*1000</f>
        <v>789510</v>
      </c>
      <c r="E253" s="342"/>
      <c r="F253" s="342">
        <f>G253+H253</f>
        <v>1030300</v>
      </c>
      <c r="G253" s="342">
        <f>'Додаток 3'!J171*1000</f>
        <v>1030300</v>
      </c>
      <c r="H253" s="342"/>
      <c r="I253" s="342">
        <f>J253+K253</f>
        <v>1095350</v>
      </c>
      <c r="J253" s="342">
        <f>'Додаток 3'!K171*1000</f>
        <v>1095350</v>
      </c>
      <c r="K253" s="204"/>
    </row>
    <row r="254" spans="1:11" ht="23.25">
      <c r="A254" s="342" t="s">
        <v>123</v>
      </c>
      <c r="B254" s="47"/>
      <c r="C254" s="45"/>
      <c r="D254" s="45"/>
      <c r="E254" s="45"/>
      <c r="F254" s="45"/>
      <c r="G254" s="45"/>
      <c r="H254" s="45"/>
      <c r="I254" s="45"/>
      <c r="J254" s="45"/>
      <c r="K254" s="44"/>
    </row>
    <row r="255" spans="1:11" ht="23.25">
      <c r="A255" s="58" t="s">
        <v>130</v>
      </c>
      <c r="B255" s="47"/>
      <c r="C255" s="45">
        <v>38</v>
      </c>
      <c r="D255" s="45"/>
      <c r="E255" s="45"/>
      <c r="F255" s="45">
        <v>38</v>
      </c>
      <c r="G255" s="45"/>
      <c r="H255" s="45"/>
      <c r="I255" s="45">
        <v>38</v>
      </c>
      <c r="J255" s="45"/>
      <c r="K255" s="44"/>
    </row>
    <row r="256" spans="1:11" ht="23.25">
      <c r="A256" s="342" t="s">
        <v>124</v>
      </c>
      <c r="B256" s="47"/>
      <c r="C256" s="45"/>
      <c r="D256" s="45"/>
      <c r="E256" s="45"/>
      <c r="F256" s="45"/>
      <c r="G256" s="45"/>
      <c r="H256" s="45"/>
      <c r="I256" s="45"/>
      <c r="J256" s="45"/>
      <c r="K256" s="44"/>
    </row>
    <row r="257" spans="1:11" ht="51.75" customHeight="1">
      <c r="A257" s="58" t="s">
        <v>398</v>
      </c>
      <c r="B257" s="47"/>
      <c r="C257" s="45">
        <f>C253/C255/12</f>
        <v>1731.3815789473683</v>
      </c>
      <c r="D257" s="45"/>
      <c r="E257" s="45"/>
      <c r="F257" s="45">
        <f>F253/F255/12</f>
        <v>2259.4298245614036</v>
      </c>
      <c r="G257" s="45"/>
      <c r="H257" s="45"/>
      <c r="I257" s="45">
        <f>I253/I255/12</f>
        <v>2402.0833333333335</v>
      </c>
      <c r="J257" s="45"/>
      <c r="K257" s="44"/>
    </row>
    <row r="258" spans="1:11" ht="22.5">
      <c r="A258" s="612" t="s">
        <v>411</v>
      </c>
      <c r="B258" s="612"/>
      <c r="C258" s="612"/>
      <c r="D258" s="612"/>
      <c r="E258" s="612"/>
      <c r="F258" s="612"/>
      <c r="G258" s="612"/>
      <c r="H258" s="612"/>
      <c r="I258" s="612"/>
      <c r="J258" s="612"/>
      <c r="K258" s="612"/>
    </row>
    <row r="259" spans="1:11" ht="22.5">
      <c r="A259" s="53" t="s">
        <v>117</v>
      </c>
      <c r="B259" s="43">
        <f t="shared" ref="B259:K259" si="2">B263+B280+B287+B295+B273</f>
        <v>30766090</v>
      </c>
      <c r="C259" s="43">
        <f t="shared" si="2"/>
        <v>22229090</v>
      </c>
      <c r="D259" s="43">
        <f t="shared" si="2"/>
        <v>22229090</v>
      </c>
      <c r="E259" s="43">
        <f t="shared" si="2"/>
        <v>0</v>
      </c>
      <c r="F259" s="43">
        <f t="shared" si="2"/>
        <v>5549300</v>
      </c>
      <c r="G259" s="43">
        <f t="shared" si="2"/>
        <v>5549300</v>
      </c>
      <c r="H259" s="43">
        <f t="shared" si="2"/>
        <v>0</v>
      </c>
      <c r="I259" s="43">
        <f t="shared" si="2"/>
        <v>2987700</v>
      </c>
      <c r="J259" s="43">
        <f t="shared" si="2"/>
        <v>2987700</v>
      </c>
      <c r="K259" s="43">
        <f t="shared" si="2"/>
        <v>0</v>
      </c>
    </row>
    <row r="260" spans="1:11" ht="22.5">
      <c r="A260" s="53" t="s">
        <v>118</v>
      </c>
      <c r="B260" s="613"/>
      <c r="C260" s="614"/>
      <c r="D260" s="614"/>
      <c r="E260" s="614"/>
      <c r="F260" s="614"/>
      <c r="G260" s="614"/>
      <c r="H260" s="614"/>
      <c r="I260" s="614"/>
      <c r="J260" s="614"/>
      <c r="K260" s="615"/>
    </row>
    <row r="261" spans="1:11" ht="23.25">
      <c r="A261" s="57" t="s">
        <v>116</v>
      </c>
      <c r="B261" s="608" t="s">
        <v>438</v>
      </c>
      <c r="C261" s="608"/>
      <c r="D261" s="608"/>
      <c r="E261" s="608"/>
      <c r="F261" s="608"/>
      <c r="G261" s="608"/>
      <c r="H261" s="608"/>
      <c r="I261" s="608"/>
      <c r="J261" s="608"/>
      <c r="K261" s="608"/>
    </row>
    <row r="262" spans="1:11" ht="22.5">
      <c r="A262" s="202" t="s">
        <v>148</v>
      </c>
      <c r="B262" s="605" t="s">
        <v>166</v>
      </c>
      <c r="C262" s="606"/>
      <c r="D262" s="606"/>
      <c r="E262" s="606"/>
      <c r="F262" s="606"/>
      <c r="G262" s="606"/>
      <c r="H262" s="606"/>
      <c r="I262" s="606"/>
      <c r="J262" s="606"/>
      <c r="K262" s="607"/>
    </row>
    <row r="263" spans="1:11" ht="23.25">
      <c r="A263" s="342" t="s">
        <v>121</v>
      </c>
      <c r="B263" s="343">
        <f>C263+F263+I263</f>
        <v>0</v>
      </c>
      <c r="C263" s="343">
        <f>D263+E263</f>
        <v>0</v>
      </c>
      <c r="D263" s="346">
        <f>'Додаток 3'!I195*1000</f>
        <v>0</v>
      </c>
      <c r="E263" s="343"/>
      <c r="F263" s="343">
        <f>G263+H263</f>
        <v>0</v>
      </c>
      <c r="G263" s="343">
        <f>'Додаток 3'!J195*1000</f>
        <v>0</v>
      </c>
      <c r="H263" s="343"/>
      <c r="I263" s="343">
        <f>J263+K263</f>
        <v>0</v>
      </c>
      <c r="J263" s="343">
        <f>'Додаток 3'!K195*1000</f>
        <v>0</v>
      </c>
      <c r="K263" s="206"/>
    </row>
    <row r="264" spans="1:11" ht="46.5">
      <c r="A264" s="55" t="s">
        <v>184</v>
      </c>
      <c r="B264" s="343"/>
      <c r="C264" s="203">
        <v>43</v>
      </c>
      <c r="D264" s="57"/>
      <c r="E264" s="343"/>
      <c r="F264" s="203">
        <v>43</v>
      </c>
      <c r="G264" s="203"/>
      <c r="H264" s="203"/>
      <c r="I264" s="203">
        <v>43</v>
      </c>
      <c r="J264" s="343"/>
      <c r="K264" s="343"/>
    </row>
    <row r="265" spans="1:11" ht="23.25">
      <c r="A265" s="342" t="s">
        <v>123</v>
      </c>
      <c r="B265" s="47"/>
      <c r="C265" s="45"/>
      <c r="D265" s="45"/>
      <c r="E265" s="45"/>
      <c r="F265" s="45"/>
      <c r="G265" s="45"/>
      <c r="H265" s="45"/>
      <c r="I265" s="45"/>
      <c r="J265" s="45"/>
      <c r="K265" s="44"/>
    </row>
    <row r="266" spans="1:11" ht="54" customHeight="1">
      <c r="A266" s="60" t="s">
        <v>185</v>
      </c>
      <c r="B266" s="47"/>
      <c r="C266" s="45">
        <v>20</v>
      </c>
      <c r="D266" s="45"/>
      <c r="E266" s="45"/>
      <c r="F266" s="45">
        <v>20</v>
      </c>
      <c r="G266" s="45"/>
      <c r="H266" s="45"/>
      <c r="I266" s="45">
        <v>20</v>
      </c>
      <c r="J266" s="45"/>
      <c r="K266" s="44"/>
    </row>
    <row r="267" spans="1:11" ht="23.25">
      <c r="A267" s="342" t="s">
        <v>124</v>
      </c>
      <c r="B267" s="47"/>
      <c r="C267" s="45"/>
      <c r="D267" s="45"/>
      <c r="E267" s="45"/>
      <c r="F267" s="45"/>
      <c r="G267" s="45"/>
      <c r="H267" s="45"/>
      <c r="I267" s="45"/>
      <c r="J267" s="45"/>
      <c r="K267" s="44"/>
    </row>
    <row r="268" spans="1:11" ht="46.5">
      <c r="A268" s="56" t="s">
        <v>186</v>
      </c>
      <c r="B268" s="47"/>
      <c r="C268" s="45">
        <f>C263/C266</f>
        <v>0</v>
      </c>
      <c r="D268" s="45"/>
      <c r="E268" s="45"/>
      <c r="F268" s="45">
        <f>F263/F266</f>
        <v>0</v>
      </c>
      <c r="G268" s="45"/>
      <c r="H268" s="45"/>
      <c r="I268" s="45">
        <f>I263/I266</f>
        <v>0</v>
      </c>
      <c r="J268" s="45"/>
      <c r="K268" s="44"/>
    </row>
    <row r="269" spans="1:11" ht="23.25">
      <c r="A269" s="64" t="s">
        <v>125</v>
      </c>
      <c r="B269" s="47"/>
      <c r="C269" s="45"/>
      <c r="D269" s="45"/>
      <c r="E269" s="45"/>
      <c r="F269" s="45"/>
      <c r="G269" s="45"/>
      <c r="H269" s="45"/>
      <c r="I269" s="45"/>
      <c r="J269" s="45"/>
      <c r="K269" s="44"/>
    </row>
    <row r="270" spans="1:11" ht="69.75">
      <c r="A270" s="56" t="s">
        <v>187</v>
      </c>
      <c r="B270" s="47"/>
      <c r="C270" s="45">
        <f>C266/C264*100</f>
        <v>46.511627906976742</v>
      </c>
      <c r="D270" s="45"/>
      <c r="E270" s="45"/>
      <c r="F270" s="45">
        <f>F266/F264*100</f>
        <v>46.511627906976742</v>
      </c>
      <c r="G270" s="45"/>
      <c r="H270" s="45"/>
      <c r="I270" s="45">
        <f>I266/I264*100</f>
        <v>46.511627906976742</v>
      </c>
      <c r="J270" s="45"/>
      <c r="K270" s="44"/>
    </row>
    <row r="271" spans="1:11" ht="23.25">
      <c r="A271" s="57" t="s">
        <v>116</v>
      </c>
      <c r="B271" s="608" t="s">
        <v>109</v>
      </c>
      <c r="C271" s="608"/>
      <c r="D271" s="608"/>
      <c r="E271" s="608"/>
      <c r="F271" s="608"/>
      <c r="G271" s="608"/>
      <c r="H271" s="608"/>
      <c r="I271" s="608"/>
      <c r="J271" s="608"/>
      <c r="K271" s="608"/>
    </row>
    <row r="272" spans="1:11" ht="22.5">
      <c r="A272" s="202" t="s">
        <v>148</v>
      </c>
      <c r="B272" s="605" t="s">
        <v>166</v>
      </c>
      <c r="C272" s="606"/>
      <c r="D272" s="606"/>
      <c r="E272" s="606"/>
      <c r="F272" s="606"/>
      <c r="G272" s="606"/>
      <c r="H272" s="606"/>
      <c r="I272" s="606"/>
      <c r="J272" s="606"/>
      <c r="K272" s="607"/>
    </row>
    <row r="273" spans="1:11" ht="22.5">
      <c r="A273" s="342" t="s">
        <v>121</v>
      </c>
      <c r="B273" s="343">
        <f>F273+I273</f>
        <v>0</v>
      </c>
      <c r="C273" s="343">
        <f>D273+E273</f>
        <v>0</v>
      </c>
      <c r="D273" s="343">
        <f>'Додаток 3'!I196*1000</f>
        <v>0</v>
      </c>
      <c r="E273" s="343"/>
      <c r="F273" s="343">
        <f>G273+H273</f>
        <v>0</v>
      </c>
      <c r="G273" s="343">
        <f>'Додаток 3'!J196*1000</f>
        <v>0</v>
      </c>
      <c r="H273" s="343"/>
      <c r="I273" s="343">
        <f>J273+K273</f>
        <v>0</v>
      </c>
      <c r="J273" s="343">
        <f>'Додаток 3'!K196*1000</f>
        <v>0</v>
      </c>
      <c r="K273" s="343"/>
    </row>
    <row r="274" spans="1:11" ht="23.25">
      <c r="A274" s="342" t="s">
        <v>123</v>
      </c>
      <c r="B274" s="47"/>
      <c r="C274" s="45"/>
      <c r="D274" s="45"/>
      <c r="E274" s="45"/>
      <c r="F274" s="45"/>
      <c r="G274" s="45"/>
      <c r="H274" s="45"/>
      <c r="I274" s="45"/>
      <c r="J274" s="46"/>
      <c r="K274" s="44"/>
    </row>
    <row r="275" spans="1:11" ht="22.5" customHeight="1">
      <c r="A275" s="55" t="s">
        <v>341</v>
      </c>
      <c r="B275" s="47"/>
      <c r="C275" s="63"/>
      <c r="D275" s="45"/>
      <c r="E275" s="45"/>
      <c r="F275" s="45">
        <v>5</v>
      </c>
      <c r="G275" s="45"/>
      <c r="H275" s="45"/>
      <c r="I275" s="45">
        <v>5</v>
      </c>
      <c r="J275" s="46"/>
      <c r="K275" s="44"/>
    </row>
    <row r="276" spans="1:11" ht="23.25">
      <c r="A276" s="342" t="s">
        <v>124</v>
      </c>
      <c r="B276" s="47"/>
      <c r="C276" s="45"/>
      <c r="D276" s="45"/>
      <c r="E276" s="45"/>
      <c r="F276" s="45"/>
      <c r="G276" s="45"/>
      <c r="H276" s="45"/>
      <c r="I276" s="45"/>
      <c r="J276" s="46"/>
      <c r="K276" s="44"/>
    </row>
    <row r="277" spans="1:11" ht="46.5">
      <c r="A277" s="62" t="s">
        <v>193</v>
      </c>
      <c r="B277" s="47"/>
      <c r="C277" s="45"/>
      <c r="D277" s="45"/>
      <c r="E277" s="45"/>
      <c r="F277" s="45">
        <f>F273/F275</f>
        <v>0</v>
      </c>
      <c r="G277" s="45"/>
      <c r="H277" s="45"/>
      <c r="I277" s="45">
        <f>I273/I275</f>
        <v>0</v>
      </c>
      <c r="J277" s="46"/>
      <c r="K277" s="44"/>
    </row>
    <row r="278" spans="1:11" ht="23.25">
      <c r="A278" s="57" t="s">
        <v>116</v>
      </c>
      <c r="B278" s="608" t="s">
        <v>331</v>
      </c>
      <c r="C278" s="608"/>
      <c r="D278" s="608"/>
      <c r="E278" s="608"/>
      <c r="F278" s="608"/>
      <c r="G278" s="608"/>
      <c r="H278" s="608"/>
      <c r="I278" s="608"/>
      <c r="J278" s="608"/>
      <c r="K278" s="608"/>
    </row>
    <row r="279" spans="1:11" ht="22.5">
      <c r="A279" s="202" t="s">
        <v>148</v>
      </c>
      <c r="B279" s="605" t="s">
        <v>166</v>
      </c>
      <c r="C279" s="606"/>
      <c r="D279" s="606"/>
      <c r="E279" s="606"/>
      <c r="F279" s="606"/>
      <c r="G279" s="606"/>
      <c r="H279" s="606"/>
      <c r="I279" s="606"/>
      <c r="J279" s="606"/>
      <c r="K279" s="607"/>
    </row>
    <row r="280" spans="1:11" ht="22.5">
      <c r="A280" s="342" t="s">
        <v>121</v>
      </c>
      <c r="B280" s="343">
        <f>C280+F280+I280</f>
        <v>8931200</v>
      </c>
      <c r="C280" s="343">
        <f>D280+E280</f>
        <v>2894200</v>
      </c>
      <c r="D280" s="343">
        <f>'Додаток 3'!I198*1000</f>
        <v>2894200</v>
      </c>
      <c r="E280" s="343"/>
      <c r="F280" s="343">
        <f>G280+H280</f>
        <v>3049300</v>
      </c>
      <c r="G280" s="343">
        <f>'Додаток 3'!J198*1000</f>
        <v>3049300</v>
      </c>
      <c r="H280" s="343"/>
      <c r="I280" s="343">
        <f>J280+K280</f>
        <v>2987700</v>
      </c>
      <c r="J280" s="343">
        <f>'Додаток 3'!K198*1000</f>
        <v>2987700</v>
      </c>
      <c r="K280" s="343"/>
    </row>
    <row r="281" spans="1:11" ht="23.25">
      <c r="A281" s="342" t="s">
        <v>123</v>
      </c>
      <c r="B281" s="47"/>
      <c r="C281" s="45"/>
      <c r="D281" s="45"/>
      <c r="E281" s="45"/>
      <c r="F281" s="45"/>
      <c r="G281" s="45"/>
      <c r="H281" s="45"/>
      <c r="I281" s="45"/>
      <c r="J281" s="45"/>
      <c r="K281" s="44"/>
    </row>
    <row r="282" spans="1:11" ht="23.25">
      <c r="A282" s="55" t="s">
        <v>402</v>
      </c>
      <c r="B282" s="47"/>
      <c r="C282" s="63">
        <v>2</v>
      </c>
      <c r="D282" s="45"/>
      <c r="E282" s="45"/>
      <c r="F282" s="63">
        <v>2</v>
      </c>
      <c r="G282" s="45"/>
      <c r="H282" s="45"/>
      <c r="I282" s="63">
        <v>2</v>
      </c>
      <c r="J282" s="45"/>
      <c r="K282" s="44"/>
    </row>
    <row r="283" spans="1:11" ht="23.25">
      <c r="A283" s="342" t="s">
        <v>124</v>
      </c>
      <c r="B283" s="47"/>
      <c r="C283" s="45"/>
      <c r="D283" s="45"/>
      <c r="E283" s="45"/>
      <c r="F283" s="45"/>
      <c r="G283" s="45"/>
      <c r="H283" s="45"/>
      <c r="I283" s="45"/>
      <c r="J283" s="45"/>
      <c r="K283" s="44"/>
    </row>
    <row r="284" spans="1:11" ht="23.25">
      <c r="A284" s="215" t="s">
        <v>332</v>
      </c>
      <c r="B284" s="47"/>
      <c r="C284" s="45">
        <f>C280/C282/12</f>
        <v>120591.66666666667</v>
      </c>
      <c r="D284" s="45"/>
      <c r="E284" s="45"/>
      <c r="F284" s="45">
        <f>F280/F282/12</f>
        <v>127054.16666666667</v>
      </c>
      <c r="G284" s="45"/>
      <c r="H284" s="45"/>
      <c r="I284" s="45">
        <f>I280/I282/12</f>
        <v>124487.5</v>
      </c>
      <c r="J284" s="45"/>
      <c r="K284" s="44"/>
    </row>
    <row r="285" spans="1:11" ht="23.25">
      <c r="A285" s="57" t="s">
        <v>116</v>
      </c>
      <c r="B285" s="608" t="s">
        <v>333</v>
      </c>
      <c r="C285" s="608"/>
      <c r="D285" s="608"/>
      <c r="E285" s="608"/>
      <c r="F285" s="608"/>
      <c r="G285" s="608"/>
      <c r="H285" s="608"/>
      <c r="I285" s="608"/>
      <c r="J285" s="608"/>
      <c r="K285" s="608"/>
    </row>
    <row r="286" spans="1:11" ht="22.5">
      <c r="A286" s="202" t="s">
        <v>148</v>
      </c>
      <c r="B286" s="605" t="s">
        <v>166</v>
      </c>
      <c r="C286" s="606"/>
      <c r="D286" s="606"/>
      <c r="E286" s="606"/>
      <c r="F286" s="606"/>
      <c r="G286" s="606"/>
      <c r="H286" s="606"/>
      <c r="I286" s="606"/>
      <c r="J286" s="606"/>
      <c r="K286" s="607"/>
    </row>
    <row r="287" spans="1:11" ht="23.25">
      <c r="A287" s="342" t="s">
        <v>121</v>
      </c>
      <c r="B287" s="343">
        <f>C287+F287+I287</f>
        <v>13488000</v>
      </c>
      <c r="C287" s="343">
        <f>D287+E287</f>
        <v>10988000</v>
      </c>
      <c r="D287" s="346">
        <f>'Додаток 3'!I199*1000</f>
        <v>10988000</v>
      </c>
      <c r="E287" s="343"/>
      <c r="F287" s="343">
        <f>G287</f>
        <v>2500000</v>
      </c>
      <c r="G287" s="343">
        <f>'Додаток 3'!J199*1000</f>
        <v>2500000</v>
      </c>
      <c r="H287" s="343"/>
      <c r="I287" s="343">
        <f>J287</f>
        <v>0</v>
      </c>
      <c r="J287" s="343">
        <f>'Додаток 3'!K199*1000</f>
        <v>0</v>
      </c>
      <c r="K287" s="343"/>
    </row>
    <row r="288" spans="1:11" ht="23.25">
      <c r="A288" s="342" t="s">
        <v>123</v>
      </c>
      <c r="B288" s="47"/>
      <c r="C288" s="45"/>
      <c r="D288" s="45"/>
      <c r="E288" s="45"/>
      <c r="F288" s="45"/>
      <c r="G288" s="45"/>
      <c r="H288" s="45"/>
      <c r="I288" s="45"/>
      <c r="J288" s="45"/>
      <c r="K288" s="44"/>
    </row>
    <row r="289" spans="1:11" ht="21" customHeight="1">
      <c r="A289" s="55" t="s">
        <v>192</v>
      </c>
      <c r="B289" s="47"/>
      <c r="C289" s="63">
        <v>8</v>
      </c>
      <c r="D289" s="45"/>
      <c r="E289" s="45"/>
      <c r="F289" s="45"/>
      <c r="G289" s="45">
        <v>8</v>
      </c>
      <c r="H289" s="45"/>
      <c r="I289" s="45"/>
      <c r="J289" s="45"/>
      <c r="K289" s="44"/>
    </row>
    <row r="290" spans="1:11" ht="23.25">
      <c r="A290" s="342" t="s">
        <v>124</v>
      </c>
      <c r="B290" s="47"/>
      <c r="C290" s="45"/>
      <c r="D290" s="45"/>
      <c r="E290" s="45"/>
      <c r="F290" s="45"/>
      <c r="G290" s="45"/>
      <c r="H290" s="45"/>
      <c r="I290" s="45"/>
      <c r="J290" s="45"/>
      <c r="K290" s="44"/>
    </row>
    <row r="291" spans="1:11" ht="46.5">
      <c r="A291" s="62" t="s">
        <v>334</v>
      </c>
      <c r="B291" s="47"/>
      <c r="C291" s="45">
        <f>C287/C289</f>
        <v>1373500</v>
      </c>
      <c r="D291" s="45"/>
      <c r="E291" s="45"/>
      <c r="F291" s="45"/>
      <c r="G291" s="45">
        <f>G287/G289</f>
        <v>312500</v>
      </c>
      <c r="H291" s="45"/>
      <c r="I291" s="45"/>
      <c r="J291" s="45"/>
      <c r="K291" s="44"/>
    </row>
    <row r="292" spans="1:11" ht="48" customHeight="1">
      <c r="A292" s="57" t="s">
        <v>116</v>
      </c>
      <c r="B292" s="609" t="s">
        <v>335</v>
      </c>
      <c r="C292" s="610"/>
      <c r="D292" s="610"/>
      <c r="E292" s="610"/>
      <c r="F292" s="610"/>
      <c r="G292" s="610"/>
      <c r="H292" s="610"/>
      <c r="I292" s="610"/>
      <c r="J292" s="610"/>
      <c r="K292" s="611"/>
    </row>
    <row r="293" spans="1:11" ht="20.25" customHeight="1">
      <c r="A293" s="202" t="s">
        <v>161</v>
      </c>
      <c r="B293" s="605" t="s">
        <v>162</v>
      </c>
      <c r="C293" s="606"/>
      <c r="D293" s="606"/>
      <c r="E293" s="606"/>
      <c r="F293" s="606"/>
      <c r="G293" s="606"/>
      <c r="H293" s="606"/>
      <c r="I293" s="606"/>
      <c r="J293" s="606"/>
      <c r="K293" s="607"/>
    </row>
    <row r="294" spans="1:11" ht="22.5">
      <c r="A294" s="202" t="s">
        <v>119</v>
      </c>
      <c r="B294" s="605" t="s">
        <v>163</v>
      </c>
      <c r="C294" s="606"/>
      <c r="D294" s="606"/>
      <c r="E294" s="606"/>
      <c r="F294" s="606"/>
      <c r="G294" s="606"/>
      <c r="H294" s="606"/>
      <c r="I294" s="606"/>
      <c r="J294" s="606"/>
      <c r="K294" s="607"/>
    </row>
    <row r="295" spans="1:11" ht="23.25">
      <c r="A295" s="342" t="s">
        <v>121</v>
      </c>
      <c r="B295" s="343">
        <f>C295+F295+I295</f>
        <v>8346889.9999999991</v>
      </c>
      <c r="C295" s="343">
        <f>D295+E295</f>
        <v>8346889.9999999991</v>
      </c>
      <c r="D295" s="346">
        <f>'Додаток 3'!I200*1000</f>
        <v>8346889.9999999991</v>
      </c>
      <c r="E295" s="343"/>
      <c r="F295" s="343">
        <f>G295</f>
        <v>0</v>
      </c>
      <c r="G295" s="343">
        <f>'Додаток 3'!J200*1000</f>
        <v>0</v>
      </c>
      <c r="H295" s="343"/>
      <c r="I295" s="343"/>
      <c r="J295" s="343"/>
      <c r="K295" s="343"/>
    </row>
    <row r="296" spans="1:11" ht="23.25">
      <c r="A296" s="342" t="s">
        <v>123</v>
      </c>
      <c r="B296" s="47"/>
      <c r="C296" s="45"/>
      <c r="D296" s="45"/>
      <c r="E296" s="45"/>
      <c r="F296" s="45"/>
      <c r="G296" s="45"/>
      <c r="H296" s="45"/>
      <c r="I296" s="45"/>
      <c r="J296" s="45"/>
      <c r="K296" s="44"/>
    </row>
    <row r="297" spans="1:11" ht="21" customHeight="1">
      <c r="A297" s="55" t="s">
        <v>192</v>
      </c>
      <c r="B297" s="47"/>
      <c r="C297" s="63">
        <v>5</v>
      </c>
      <c r="D297" s="45"/>
      <c r="E297" s="45"/>
      <c r="F297" s="45"/>
      <c r="G297" s="45"/>
      <c r="H297" s="45"/>
      <c r="I297" s="45"/>
      <c r="J297" s="45"/>
      <c r="K297" s="44"/>
    </row>
    <row r="298" spans="1:11" ht="23.25">
      <c r="A298" s="342" t="s">
        <v>124</v>
      </c>
      <c r="B298" s="47"/>
      <c r="C298" s="45"/>
      <c r="D298" s="45"/>
      <c r="E298" s="45"/>
      <c r="F298" s="45"/>
      <c r="G298" s="45"/>
      <c r="H298" s="45"/>
      <c r="I298" s="45"/>
      <c r="J298" s="45"/>
      <c r="K298" s="44"/>
    </row>
    <row r="299" spans="1:11" ht="47.25" customHeight="1">
      <c r="A299" s="62" t="s">
        <v>336</v>
      </c>
      <c r="B299" s="47"/>
      <c r="C299" s="45">
        <f>C295/C297/9</f>
        <v>185486.44444444441</v>
      </c>
      <c r="D299" s="45"/>
      <c r="E299" s="45"/>
      <c r="F299" s="45"/>
      <c r="G299" s="45"/>
      <c r="H299" s="45"/>
      <c r="I299" s="45"/>
      <c r="J299" s="45"/>
      <c r="K299" s="44"/>
    </row>
    <row r="300" spans="1:11" ht="22.5">
      <c r="A300" s="612" t="s">
        <v>257</v>
      </c>
      <c r="B300" s="612"/>
      <c r="C300" s="612"/>
      <c r="D300" s="612"/>
      <c r="E300" s="612"/>
      <c r="F300" s="612"/>
      <c r="G300" s="612"/>
      <c r="H300" s="612"/>
      <c r="I300" s="612"/>
      <c r="J300" s="612"/>
      <c r="K300" s="612"/>
    </row>
    <row r="301" spans="1:11" ht="22.5">
      <c r="A301" s="53" t="s">
        <v>117</v>
      </c>
      <c r="B301" s="43">
        <f>C301+F301+I301</f>
        <v>217233189</v>
      </c>
      <c r="C301" s="44">
        <f>D301+E301</f>
        <v>102395689</v>
      </c>
      <c r="D301" s="44">
        <f>D312+D313</f>
        <v>0</v>
      </c>
      <c r="E301" s="44">
        <f>E312+E313</f>
        <v>102395689</v>
      </c>
      <c r="F301" s="44">
        <f>G301+H301</f>
        <v>94837500</v>
      </c>
      <c r="G301" s="44">
        <f>G312+G313</f>
        <v>0</v>
      </c>
      <c r="H301" s="44">
        <f>H312+H313</f>
        <v>94837500</v>
      </c>
      <c r="I301" s="44">
        <f>J301+K301</f>
        <v>20000000</v>
      </c>
      <c r="J301" s="44">
        <f>J312+J313</f>
        <v>0</v>
      </c>
      <c r="K301" s="44">
        <f>K312+K313</f>
        <v>20000000</v>
      </c>
    </row>
    <row r="302" spans="1:11" ht="22.5">
      <c r="A302" s="53" t="s">
        <v>118</v>
      </c>
      <c r="B302" s="613"/>
      <c r="C302" s="614"/>
      <c r="D302" s="614"/>
      <c r="E302" s="614"/>
      <c r="F302" s="614"/>
      <c r="G302" s="614"/>
      <c r="H302" s="614"/>
      <c r="I302" s="614"/>
      <c r="J302" s="614"/>
      <c r="K302" s="615"/>
    </row>
    <row r="303" spans="1:11" ht="23.25">
      <c r="A303" s="54" t="s">
        <v>116</v>
      </c>
      <c r="B303" s="604" t="s">
        <v>58</v>
      </c>
      <c r="C303" s="604"/>
      <c r="D303" s="604"/>
      <c r="E303" s="604"/>
      <c r="F303" s="604"/>
      <c r="G303" s="604"/>
      <c r="H303" s="604"/>
      <c r="I303" s="604"/>
      <c r="J303" s="604"/>
      <c r="K303" s="604"/>
    </row>
    <row r="304" spans="1:11" ht="22.5">
      <c r="A304" s="202" t="s">
        <v>119</v>
      </c>
      <c r="B304" s="605" t="s">
        <v>163</v>
      </c>
      <c r="C304" s="606"/>
      <c r="D304" s="606"/>
      <c r="E304" s="606"/>
      <c r="F304" s="606"/>
      <c r="G304" s="606"/>
      <c r="H304" s="606"/>
      <c r="I304" s="606"/>
      <c r="J304" s="606"/>
      <c r="K304" s="607"/>
    </row>
    <row r="305" spans="1:13" ht="22.5">
      <c r="A305" s="202" t="s">
        <v>126</v>
      </c>
      <c r="B305" s="616" t="s">
        <v>164</v>
      </c>
      <c r="C305" s="616"/>
      <c r="D305" s="616"/>
      <c r="E305" s="616"/>
      <c r="F305" s="616"/>
      <c r="G305" s="616"/>
      <c r="H305" s="616"/>
      <c r="I305" s="616"/>
      <c r="J305" s="616"/>
      <c r="K305" s="616"/>
    </row>
    <row r="306" spans="1:13" ht="22.5">
      <c r="A306" s="202" t="s">
        <v>128</v>
      </c>
      <c r="B306" s="616" t="s">
        <v>129</v>
      </c>
      <c r="C306" s="616"/>
      <c r="D306" s="616"/>
      <c r="E306" s="616"/>
      <c r="F306" s="616"/>
      <c r="G306" s="616"/>
      <c r="H306" s="616"/>
      <c r="I306" s="616"/>
      <c r="J306" s="616"/>
      <c r="K306" s="616"/>
    </row>
    <row r="307" spans="1:13" ht="22.5">
      <c r="A307" s="202" t="s">
        <v>148</v>
      </c>
      <c r="B307" s="605" t="s">
        <v>437</v>
      </c>
      <c r="C307" s="606"/>
      <c r="D307" s="606"/>
      <c r="E307" s="606"/>
      <c r="F307" s="606"/>
      <c r="G307" s="606"/>
      <c r="H307" s="606"/>
      <c r="I307" s="606"/>
      <c r="J307" s="606"/>
      <c r="K307" s="607"/>
    </row>
    <row r="308" spans="1:13" ht="22.5">
      <c r="A308" s="202" t="s">
        <v>196</v>
      </c>
      <c r="B308" s="617" t="s">
        <v>197</v>
      </c>
      <c r="C308" s="618"/>
      <c r="D308" s="618"/>
      <c r="E308" s="618"/>
      <c r="F308" s="618"/>
      <c r="G308" s="618"/>
      <c r="H308" s="618"/>
      <c r="I308" s="618"/>
      <c r="J308" s="618"/>
      <c r="K308" s="619"/>
    </row>
    <row r="309" spans="1:13" ht="22.5">
      <c r="A309" s="202" t="s">
        <v>194</v>
      </c>
      <c r="B309" s="617" t="s">
        <v>195</v>
      </c>
      <c r="C309" s="618"/>
      <c r="D309" s="618"/>
      <c r="E309" s="618"/>
      <c r="F309" s="618"/>
      <c r="G309" s="618"/>
      <c r="H309" s="618"/>
      <c r="I309" s="618"/>
      <c r="J309" s="618"/>
      <c r="K309" s="619"/>
    </row>
    <row r="310" spans="1:13" ht="22.5">
      <c r="A310" s="202" t="s">
        <v>337</v>
      </c>
      <c r="B310" s="617" t="s">
        <v>338</v>
      </c>
      <c r="C310" s="618"/>
      <c r="D310" s="618"/>
      <c r="E310" s="618"/>
      <c r="F310" s="618"/>
      <c r="G310" s="618"/>
      <c r="H310" s="618"/>
      <c r="I310" s="618"/>
      <c r="J310" s="618"/>
      <c r="K310" s="619"/>
    </row>
    <row r="311" spans="1:13" ht="23.25">
      <c r="A311" s="342" t="s">
        <v>121</v>
      </c>
      <c r="B311" s="341">
        <f>C311+F311+I311</f>
        <v>217233189</v>
      </c>
      <c r="C311" s="341">
        <f>D311+E311</f>
        <v>102395689</v>
      </c>
      <c r="D311" s="340"/>
      <c r="E311" s="341">
        <f>'Додаток 3'!I247*1000</f>
        <v>102395689</v>
      </c>
      <c r="F311" s="46">
        <f>G311+H311</f>
        <v>94837500</v>
      </c>
      <c r="G311" s="46"/>
      <c r="H311" s="340">
        <f>'Додаток 3'!J247*1000</f>
        <v>94837500</v>
      </c>
      <c r="I311" s="46">
        <f>J311+K311</f>
        <v>20000000</v>
      </c>
      <c r="J311" s="46"/>
      <c r="K311" s="46">
        <f>'Додаток 3'!K247*1000</f>
        <v>20000000</v>
      </c>
    </row>
    <row r="312" spans="1:13" ht="23.25" customHeight="1">
      <c r="A312" s="62" t="s">
        <v>199</v>
      </c>
      <c r="B312" s="341">
        <f>C312+F312+I312</f>
        <v>71668319</v>
      </c>
      <c r="C312" s="341">
        <f>E312+D312</f>
        <v>71668319</v>
      </c>
      <c r="D312" s="340"/>
      <c r="E312" s="340">
        <f>'Додаток 3'!I224*1000</f>
        <v>71668319</v>
      </c>
      <c r="F312" s="46"/>
      <c r="G312" s="46"/>
      <c r="H312" s="340">
        <f>'Додаток 3'!J224*1000</f>
        <v>68837500</v>
      </c>
      <c r="I312" s="46"/>
      <c r="J312" s="46"/>
      <c r="K312" s="46">
        <f>'Додаток 3'!K224*1000</f>
        <v>10000000</v>
      </c>
      <c r="L312" s="48">
        <f>K312+H312+E312</f>
        <v>150505819</v>
      </c>
    </row>
    <row r="313" spans="1:13" ht="23.25">
      <c r="A313" s="62" t="s">
        <v>198</v>
      </c>
      <c r="B313" s="341">
        <f>C313+F313+I313</f>
        <v>30727370</v>
      </c>
      <c r="C313" s="341">
        <f>E313+D313</f>
        <v>30727370</v>
      </c>
      <c r="D313" s="340"/>
      <c r="E313" s="340">
        <f>('Додаток 3'!I238+'Додаток 3'!I245+'Додаток 3'!I246)*1000</f>
        <v>30727370</v>
      </c>
      <c r="F313" s="46"/>
      <c r="G313" s="46"/>
      <c r="H313" s="340">
        <f>'Додаток 3'!J238*1000</f>
        <v>26000000</v>
      </c>
      <c r="I313" s="46"/>
      <c r="J313" s="46"/>
      <c r="K313" s="46">
        <f>'Додаток 3'!K225*1000</f>
        <v>10000000</v>
      </c>
      <c r="L313" s="48">
        <f>E313+H313+K313</f>
        <v>66727370</v>
      </c>
    </row>
    <row r="314" spans="1:13" ht="23.25">
      <c r="A314" s="342" t="s">
        <v>123</v>
      </c>
      <c r="B314" s="61"/>
      <c r="C314" s="46"/>
      <c r="D314" s="46"/>
      <c r="E314" s="46"/>
      <c r="F314" s="46"/>
      <c r="G314" s="46"/>
      <c r="H314" s="46"/>
      <c r="I314" s="46"/>
      <c r="J314" s="46"/>
      <c r="K314" s="46"/>
    </row>
    <row r="315" spans="1:13" ht="23.25">
      <c r="A315" s="59" t="s">
        <v>200</v>
      </c>
      <c r="B315" s="61"/>
      <c r="C315" s="63">
        <f>3464+78+27+1076</f>
        <v>4645</v>
      </c>
      <c r="D315" s="46"/>
      <c r="E315" s="46"/>
      <c r="F315" s="46"/>
      <c r="G315" s="46"/>
      <c r="H315" s="46"/>
      <c r="I315" s="46"/>
      <c r="J315" s="46"/>
      <c r="K315" s="46"/>
    </row>
    <row r="316" spans="1:13" ht="24" customHeight="1">
      <c r="A316" s="59" t="s">
        <v>201</v>
      </c>
      <c r="B316" s="61"/>
      <c r="C316" s="63">
        <f>129+7+5+32+20</f>
        <v>193</v>
      </c>
      <c r="D316" s="46"/>
      <c r="E316" s="46"/>
      <c r="F316" s="46"/>
      <c r="G316" s="46"/>
      <c r="H316" s="46"/>
      <c r="I316" s="46"/>
      <c r="J316" s="46"/>
      <c r="K316" s="46"/>
    </row>
    <row r="317" spans="1:13" ht="23.25" hidden="1">
      <c r="A317" s="59" t="s">
        <v>202</v>
      </c>
      <c r="B317" s="61"/>
      <c r="C317" s="63"/>
      <c r="D317" s="46"/>
      <c r="E317" s="46"/>
      <c r="F317" s="46"/>
      <c r="G317" s="46"/>
      <c r="H317" s="46"/>
      <c r="I317" s="46"/>
      <c r="J317" s="46"/>
      <c r="K317" s="46"/>
    </row>
    <row r="318" spans="1:13" ht="23.25">
      <c r="A318" s="59" t="s">
        <v>203</v>
      </c>
      <c r="B318" s="61"/>
      <c r="C318" s="63">
        <v>4982</v>
      </c>
      <c r="D318" s="46"/>
      <c r="E318" s="46"/>
      <c r="F318" s="46"/>
      <c r="G318" s="46"/>
      <c r="H318" s="46"/>
      <c r="I318" s="46"/>
      <c r="J318" s="46"/>
      <c r="K318" s="46"/>
      <c r="L318" s="48">
        <f>E312+E313</f>
        <v>102395689</v>
      </c>
      <c r="M318" s="48">
        <f>E311-L318</f>
        <v>0</v>
      </c>
    </row>
    <row r="319" spans="1:13" ht="23.25">
      <c r="A319" s="342" t="s">
        <v>124</v>
      </c>
      <c r="B319" s="61"/>
      <c r="C319" s="46"/>
      <c r="D319" s="46"/>
      <c r="E319" s="46"/>
      <c r="F319" s="46"/>
      <c r="G319" s="46"/>
      <c r="H319" s="46"/>
      <c r="I319" s="46"/>
      <c r="J319" s="46"/>
      <c r="K319" s="46"/>
    </row>
    <row r="320" spans="1:13" ht="23.25">
      <c r="A320" s="59" t="s">
        <v>401</v>
      </c>
      <c r="B320" s="61"/>
      <c r="C320" s="63">
        <f>C312/C316</f>
        <v>371338.44041450776</v>
      </c>
      <c r="D320" s="46"/>
      <c r="E320" s="46"/>
      <c r="F320" s="46"/>
      <c r="G320" s="46"/>
      <c r="H320" s="46"/>
      <c r="I320" s="46"/>
      <c r="J320" s="46"/>
      <c r="K320" s="46"/>
    </row>
    <row r="321" spans="1:11" ht="23.25">
      <c r="A321" s="59" t="s">
        <v>210</v>
      </c>
      <c r="B321" s="61"/>
      <c r="C321" s="63">
        <f>C313/C318</f>
        <v>6167.677639502208</v>
      </c>
      <c r="D321" s="46"/>
      <c r="E321" s="46"/>
      <c r="F321" s="46"/>
      <c r="G321" s="46"/>
      <c r="H321" s="46"/>
      <c r="I321" s="46"/>
      <c r="J321" s="46"/>
      <c r="K321" s="46"/>
    </row>
    <row r="322" spans="1:11" ht="23.25" hidden="1">
      <c r="A322" s="64" t="s">
        <v>125</v>
      </c>
      <c r="B322" s="61"/>
      <c r="C322" s="46"/>
      <c r="D322" s="46"/>
      <c r="E322" s="46"/>
      <c r="F322" s="46"/>
      <c r="G322" s="46"/>
      <c r="H322" s="46"/>
      <c r="I322" s="46"/>
      <c r="J322" s="46"/>
      <c r="K322" s="46"/>
    </row>
    <row r="323" spans="1:11" ht="38.25" hidden="1" customHeight="1">
      <c r="A323" s="205" t="s">
        <v>205</v>
      </c>
      <c r="B323" s="61"/>
      <c r="C323" s="63">
        <f>C316/C315*100</f>
        <v>4.155005382131324</v>
      </c>
      <c r="D323" s="46"/>
      <c r="E323" s="46"/>
      <c r="F323" s="46"/>
      <c r="G323" s="46"/>
      <c r="H323" s="46"/>
      <c r="I323" s="46"/>
      <c r="J323" s="46"/>
      <c r="K323" s="46"/>
    </row>
    <row r="324" spans="1:11" ht="46.5" hidden="1">
      <c r="A324" s="55" t="s">
        <v>204</v>
      </c>
      <c r="B324" s="46"/>
      <c r="C324" s="46"/>
      <c r="D324" s="46"/>
      <c r="E324" s="46"/>
      <c r="F324" s="46"/>
      <c r="G324" s="46"/>
      <c r="H324" s="46"/>
      <c r="I324" s="46"/>
      <c r="J324" s="46"/>
      <c r="K324" s="46"/>
    </row>
    <row r="325" spans="1:11" ht="27.75" hidden="1" customHeight="1">
      <c r="A325" s="216" t="s">
        <v>147</v>
      </c>
      <c r="B325" s="217" t="e">
        <f>C325+F325+I325</f>
        <v>#REF!</v>
      </c>
      <c r="C325" s="218" t="e">
        <f>D325+E325</f>
        <v>#REF!</v>
      </c>
      <c r="D325" s="217">
        <f>D326</f>
        <v>0</v>
      </c>
      <c r="E325" s="217" t="e">
        <f>E326</f>
        <v>#REF!</v>
      </c>
      <c r="F325" s="46"/>
      <c r="G325" s="46"/>
      <c r="H325" s="46"/>
      <c r="I325" s="46"/>
      <c r="J325" s="46"/>
      <c r="K325" s="46"/>
    </row>
    <row r="326" spans="1:11" ht="41.25" hidden="1" customHeight="1">
      <c r="A326" s="62" t="s">
        <v>149</v>
      </c>
      <c r="B326" s="61"/>
      <c r="C326" s="46"/>
      <c r="D326" s="46"/>
      <c r="E326" s="46" t="e">
        <f>'[1]Додаток 2'!#REF!*1000</f>
        <v>#REF!</v>
      </c>
      <c r="F326" s="46"/>
      <c r="G326" s="46"/>
      <c r="H326" s="46"/>
      <c r="I326" s="46"/>
      <c r="J326" s="46"/>
      <c r="K326" s="46"/>
    </row>
    <row r="327" spans="1:11" ht="32.25" hidden="1" customHeight="1">
      <c r="A327" s="617" t="e">
        <f>'[1]Додаток 2'!#REF!</f>
        <v>#REF!</v>
      </c>
      <c r="B327" s="618"/>
      <c r="C327" s="618"/>
      <c r="D327" s="618"/>
      <c r="E327" s="618"/>
      <c r="F327" s="618"/>
      <c r="G327" s="618"/>
      <c r="H327" s="618"/>
      <c r="I327" s="618"/>
      <c r="J327" s="618"/>
      <c r="K327" s="619"/>
    </row>
    <row r="328" spans="1:11" ht="24.75" hidden="1" customHeight="1">
      <c r="A328" s="54" t="s">
        <v>116</v>
      </c>
      <c r="B328" s="604" t="e">
        <f>'[1]Додаток 2'!#REF!</f>
        <v>#REF!</v>
      </c>
      <c r="C328" s="604"/>
      <c r="D328" s="604"/>
      <c r="E328" s="604"/>
      <c r="F328" s="604"/>
      <c r="G328" s="604"/>
      <c r="H328" s="604"/>
      <c r="I328" s="604"/>
      <c r="J328" s="604"/>
      <c r="K328" s="604"/>
    </row>
    <row r="329" spans="1:11" ht="20.25" hidden="1" customHeight="1">
      <c r="A329" s="216" t="s">
        <v>147</v>
      </c>
      <c r="B329" s="217" t="e">
        <f>C329+F329+I329</f>
        <v>#REF!</v>
      </c>
      <c r="C329" s="218" t="e">
        <f>D329+E329</f>
        <v>#REF!</v>
      </c>
      <c r="D329" s="217" t="e">
        <f>D330</f>
        <v>#REF!</v>
      </c>
      <c r="E329" s="217">
        <f>E330</f>
        <v>0</v>
      </c>
      <c r="F329" s="46"/>
      <c r="G329" s="46"/>
      <c r="H329" s="46"/>
      <c r="I329" s="46"/>
      <c r="J329" s="46"/>
      <c r="K329" s="46"/>
    </row>
    <row r="330" spans="1:11" s="65" customFormat="1" ht="22.5" hidden="1" customHeight="1">
      <c r="A330" s="62" t="e">
        <f>'[1]Додаток 2'!#REF!</f>
        <v>#REF!</v>
      </c>
      <c r="B330" s="61"/>
      <c r="C330" s="46"/>
      <c r="D330" s="46" t="e">
        <f>'[1]Додаток 2'!#REF!</f>
        <v>#REF!</v>
      </c>
      <c r="E330" s="46"/>
      <c r="F330" s="46"/>
      <c r="G330" s="46"/>
      <c r="H330" s="46"/>
      <c r="I330" s="46"/>
      <c r="J330" s="46"/>
      <c r="K330" s="46"/>
    </row>
    <row r="331" spans="1:11" s="65" customFormat="1" ht="22.5" customHeight="1">
      <c r="A331" s="66"/>
      <c r="B331" s="67"/>
      <c r="C331" s="68"/>
      <c r="D331" s="68"/>
      <c r="E331" s="68"/>
      <c r="F331" s="68"/>
      <c r="G331" s="68"/>
      <c r="H331" s="68"/>
      <c r="I331" s="68"/>
      <c r="J331" s="68"/>
      <c r="K331" s="68"/>
    </row>
    <row r="332" spans="1:11" s="65" customFormat="1" ht="22.5" customHeight="1">
      <c r="A332" s="66"/>
      <c r="B332" s="67"/>
      <c r="C332" s="68"/>
      <c r="D332" s="68"/>
      <c r="E332" s="68"/>
      <c r="F332" s="68"/>
      <c r="G332" s="68"/>
      <c r="H332" s="68"/>
      <c r="I332" s="68"/>
      <c r="J332" s="68"/>
      <c r="K332" s="68"/>
    </row>
    <row r="333" spans="1:11" s="65" customFormat="1" ht="40.5" customHeight="1">
      <c r="A333" s="66"/>
      <c r="B333" s="67"/>
      <c r="C333" s="68"/>
      <c r="D333" s="68"/>
      <c r="E333" s="68"/>
      <c r="F333" s="68"/>
      <c r="G333" s="68"/>
      <c r="H333" s="68"/>
      <c r="I333" s="68"/>
      <c r="J333" s="68"/>
      <c r="K333" s="68"/>
    </row>
    <row r="334" spans="1:11" s="65" customFormat="1" ht="22.5" customHeight="1">
      <c r="A334" s="78" t="s">
        <v>454</v>
      </c>
      <c r="B334" s="78"/>
      <c r="C334" s="79"/>
      <c r="D334" s="80"/>
      <c r="E334" s="78"/>
      <c r="F334" s="81"/>
      <c r="G334" s="81"/>
      <c r="H334" s="81"/>
      <c r="I334" s="82" t="s">
        <v>455</v>
      </c>
      <c r="J334" s="72"/>
      <c r="K334" s="74"/>
    </row>
    <row r="335" spans="1:11" s="65" customFormat="1" ht="15" customHeight="1">
      <c r="A335" s="69"/>
      <c r="B335" s="69"/>
      <c r="C335" s="70"/>
      <c r="D335" s="71"/>
      <c r="E335" s="69"/>
      <c r="F335" s="72"/>
      <c r="G335" s="72"/>
      <c r="H335" s="72"/>
      <c r="I335" s="73"/>
      <c r="J335" s="72"/>
      <c r="K335" s="74"/>
    </row>
    <row r="336" spans="1:11" ht="25.5" customHeight="1">
      <c r="A336" s="76" t="s">
        <v>28</v>
      </c>
      <c r="B336" s="69"/>
      <c r="C336" s="77"/>
      <c r="D336" s="71"/>
      <c r="E336" s="69"/>
      <c r="F336" s="72"/>
      <c r="G336" s="72"/>
      <c r="H336" s="72"/>
      <c r="I336" s="72"/>
      <c r="J336" s="72"/>
      <c r="K336" s="75"/>
    </row>
    <row r="337" spans="1:11" ht="20.25" customHeight="1">
      <c r="A337" s="69"/>
      <c r="B337" s="69"/>
      <c r="C337" s="69"/>
      <c r="D337" s="71"/>
      <c r="E337" s="69"/>
      <c r="F337" s="72"/>
      <c r="G337" s="72"/>
      <c r="H337" s="72"/>
      <c r="I337" s="72"/>
      <c r="J337" s="72"/>
      <c r="K337" s="75"/>
    </row>
    <row r="338" spans="1:11" ht="20.25" customHeight="1">
      <c r="A338" s="69"/>
      <c r="B338" s="69"/>
      <c r="C338" s="69"/>
      <c r="D338" s="69"/>
      <c r="E338" s="69"/>
      <c r="F338" s="69"/>
      <c r="G338" s="69"/>
      <c r="H338" s="69"/>
      <c r="I338" s="69"/>
      <c r="J338" s="69"/>
    </row>
    <row r="339" spans="1:11" ht="20.25" customHeight="1"/>
    <row r="340" spans="1:11" ht="20.25" customHeight="1"/>
  </sheetData>
  <mergeCells count="104">
    <mergeCell ref="B227:K227"/>
    <mergeCell ref="B182:K182"/>
    <mergeCell ref="B183:K183"/>
    <mergeCell ref="B205:K205"/>
    <mergeCell ref="B243:K243"/>
    <mergeCell ref="B286:K286"/>
    <mergeCell ref="B279:K279"/>
    <mergeCell ref="B261:K261"/>
    <mergeCell ref="B262:K262"/>
    <mergeCell ref="B212:K212"/>
    <mergeCell ref="B228:K228"/>
    <mergeCell ref="A258:K258"/>
    <mergeCell ref="B260:K260"/>
    <mergeCell ref="B272:K272"/>
    <mergeCell ref="B285:K285"/>
    <mergeCell ref="B211:K211"/>
    <mergeCell ref="B22:K22"/>
    <mergeCell ref="B50:K50"/>
    <mergeCell ref="B23:K23"/>
    <mergeCell ref="B27:K27"/>
    <mergeCell ref="B46:K46"/>
    <mergeCell ref="B101:K101"/>
    <mergeCell ref="B85:K85"/>
    <mergeCell ref="B93:K93"/>
    <mergeCell ref="B94:K94"/>
    <mergeCell ref="B60:K60"/>
    <mergeCell ref="B61:K61"/>
    <mergeCell ref="B69:K69"/>
    <mergeCell ref="B70:K70"/>
    <mergeCell ref="B84:K84"/>
    <mergeCell ref="B51:K51"/>
    <mergeCell ref="B55:K55"/>
    <mergeCell ref="B56:K56"/>
    <mergeCell ref="B28:K28"/>
    <mergeCell ref="B37:K37"/>
    <mergeCell ref="B36:K36"/>
    <mergeCell ref="B112:K112"/>
    <mergeCell ref="B113:K113"/>
    <mergeCell ref="H2:K2"/>
    <mergeCell ref="A14:K14"/>
    <mergeCell ref="B16:K16"/>
    <mergeCell ref="B45:K45"/>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02:K102"/>
    <mergeCell ref="B111:K111"/>
    <mergeCell ref="B146:K146"/>
    <mergeCell ref="B155:K155"/>
    <mergeCell ref="B119:K119"/>
    <mergeCell ref="B120:K120"/>
    <mergeCell ref="B133:K133"/>
    <mergeCell ref="B134:K134"/>
    <mergeCell ref="B145:K145"/>
    <mergeCell ref="B219:K219"/>
    <mergeCell ref="B196:K196"/>
    <mergeCell ref="B197:K197"/>
    <mergeCell ref="B203:K203"/>
    <mergeCell ref="B204:K204"/>
    <mergeCell ref="B218:K218"/>
    <mergeCell ref="B168:K168"/>
    <mergeCell ref="B175:K175"/>
    <mergeCell ref="B128:K128"/>
    <mergeCell ref="B129:K129"/>
    <mergeCell ref="B156:K156"/>
    <mergeCell ref="B162:K162"/>
    <mergeCell ref="B163:K163"/>
    <mergeCell ref="B167:K167"/>
    <mergeCell ref="B176:K176"/>
    <mergeCell ref="A172:K172"/>
    <mergeCell ref="B174:K174"/>
    <mergeCell ref="B328:K328"/>
    <mergeCell ref="B307:K307"/>
    <mergeCell ref="B304:K304"/>
    <mergeCell ref="B305:K305"/>
    <mergeCell ref="B306:K306"/>
    <mergeCell ref="A327:K327"/>
    <mergeCell ref="B310:K310"/>
    <mergeCell ref="B309:K309"/>
    <mergeCell ref="B308:K308"/>
    <mergeCell ref="B303:K303"/>
    <mergeCell ref="B244:K244"/>
    <mergeCell ref="B278:K278"/>
    <mergeCell ref="B251:K251"/>
    <mergeCell ref="B252:K252"/>
    <mergeCell ref="B271:K271"/>
    <mergeCell ref="B292:K292"/>
    <mergeCell ref="B293:K293"/>
    <mergeCell ref="B294:K294"/>
    <mergeCell ref="A300:K300"/>
    <mergeCell ref="B302:K302"/>
  </mergeCells>
  <pageMargins left="1.1811023622047245" right="0.43307086614173229" top="0.78740157480314965" bottom="0.78740157480314965" header="0.31496062992125984" footer="0.31496062992125984"/>
  <pageSetup paperSize="9" scale="43" orientation="landscape" r:id="rId1"/>
  <rowBreaks count="9" manualBreakCount="9">
    <brk id="45" max="10" man="1"/>
    <brk id="75" max="10" man="1"/>
    <brk id="104" max="10" man="1"/>
    <brk id="139" max="10" man="1"/>
    <brk id="173" max="10" man="1"/>
    <brk id="207" max="10" man="1"/>
    <brk id="241" max="10" man="1"/>
    <brk id="269" max="10" man="1"/>
    <brk id="302" max="10" man="1"/>
  </rowBreaks>
</worksheet>
</file>

<file path=xl/worksheets/sheet5.xml><?xml version="1.0" encoding="utf-8"?>
<worksheet xmlns="http://schemas.openxmlformats.org/spreadsheetml/2006/main" xmlns:r="http://schemas.openxmlformats.org/officeDocument/2006/relationships">
  <dimension ref="A1:X441"/>
  <sheetViews>
    <sheetView view="pageBreakPreview" zoomScale="30" zoomScaleNormal="30" zoomScaleSheetLayoutView="30" zoomScalePageLayoutView="30" workbookViewId="0">
      <selection activeCell="C436" sqref="C436"/>
    </sheetView>
  </sheetViews>
  <sheetFormatPr defaultColWidth="9.140625" defaultRowHeight="75" customHeight="1"/>
  <cols>
    <col min="1" max="1" width="8.42578125" style="128" customWidth="1"/>
    <col min="2" max="2" width="40.7109375" style="8" customWidth="1"/>
    <col min="3" max="3" width="51.28515625" style="33" customWidth="1"/>
    <col min="4" max="4" width="18.28515625" style="129" hidden="1" customWidth="1"/>
    <col min="5" max="5" width="69.42578125" style="130" hidden="1" customWidth="1"/>
    <col min="6" max="6" width="22.7109375" style="131" hidden="1" customWidth="1"/>
    <col min="7" max="7" width="43" style="133" customWidth="1"/>
    <col min="8" max="8" width="32.28515625" style="113" hidden="1" customWidth="1"/>
    <col min="9" max="9" width="25.140625" style="113" hidden="1" customWidth="1"/>
    <col min="10" max="10" width="21.7109375" style="113" hidden="1" customWidth="1"/>
    <col min="11" max="11" width="22.140625" style="113" hidden="1" customWidth="1"/>
    <col min="12" max="12" width="51.5703125" style="113" customWidth="1"/>
    <col min="13" max="13" width="18.7109375" style="113" customWidth="1"/>
    <col min="14" max="17" width="33.140625" style="113" customWidth="1"/>
    <col min="18" max="18" width="75.85546875" style="137" customWidth="1"/>
    <col min="19" max="19" width="20.85546875" style="8" customWidth="1"/>
    <col min="20" max="20" width="21.140625" style="8" customWidth="1"/>
    <col min="21" max="21" width="9.140625" style="8" customWidth="1"/>
    <col min="22" max="22" width="9.140625" style="8"/>
    <col min="23" max="23" width="11.28515625" style="8" bestFit="1" customWidth="1"/>
    <col min="24" max="24" width="10.5703125" style="8" bestFit="1" customWidth="1"/>
    <col min="25" max="16384" width="9.140625" style="8"/>
  </cols>
  <sheetData>
    <row r="1" spans="1:19" ht="27.75">
      <c r="A1" s="135"/>
      <c r="R1" s="136"/>
    </row>
    <row r="2" spans="1:19" ht="27.75">
      <c r="A2" s="135"/>
    </row>
    <row r="3" spans="1:19" ht="34.5">
      <c r="A3" s="503" t="s">
        <v>469</v>
      </c>
      <c r="B3" s="503"/>
      <c r="C3" s="503"/>
      <c r="D3" s="503"/>
      <c r="E3" s="503"/>
      <c r="F3" s="503"/>
      <c r="G3" s="503"/>
      <c r="H3" s="503"/>
      <c r="I3" s="503"/>
      <c r="J3" s="503"/>
      <c r="K3" s="503"/>
      <c r="L3" s="503"/>
      <c r="M3" s="503"/>
      <c r="N3" s="503"/>
      <c r="O3" s="503"/>
      <c r="P3" s="503"/>
      <c r="Q3" s="503"/>
      <c r="R3" s="503"/>
    </row>
    <row r="4" spans="1:19" ht="27.75">
      <c r="H4" s="138" t="s">
        <v>20</v>
      </c>
      <c r="I4" s="139" t="e">
        <f>#REF!+#REF!+#REF!+#REF!</f>
        <v>#REF!</v>
      </c>
    </row>
    <row r="5" spans="1:19" ht="34.5" customHeight="1">
      <c r="A5" s="633" t="s">
        <v>1</v>
      </c>
      <c r="B5" s="633" t="s">
        <v>2</v>
      </c>
      <c r="C5" s="633" t="s">
        <v>3</v>
      </c>
      <c r="D5" s="633" t="s">
        <v>50</v>
      </c>
      <c r="E5" s="634" t="s">
        <v>48</v>
      </c>
      <c r="F5" s="633" t="s">
        <v>45</v>
      </c>
      <c r="G5" s="633" t="s">
        <v>4</v>
      </c>
      <c r="H5" s="637" t="s">
        <v>15</v>
      </c>
      <c r="I5" s="638"/>
      <c r="J5" s="638"/>
      <c r="K5" s="639"/>
      <c r="L5" s="640" t="s">
        <v>453</v>
      </c>
      <c r="M5" s="640"/>
      <c r="N5" s="640"/>
      <c r="O5" s="640" t="s">
        <v>467</v>
      </c>
      <c r="P5" s="640"/>
      <c r="Q5" s="640"/>
      <c r="R5" s="634" t="s">
        <v>5</v>
      </c>
    </row>
    <row r="6" spans="1:19" ht="25.5" customHeight="1">
      <c r="A6" s="633"/>
      <c r="B6" s="633"/>
      <c r="C6" s="633"/>
      <c r="D6" s="633"/>
      <c r="E6" s="635"/>
      <c r="F6" s="633"/>
      <c r="G6" s="633"/>
      <c r="H6" s="633" t="s">
        <v>85</v>
      </c>
      <c r="I6" s="640" t="s">
        <v>16</v>
      </c>
      <c r="J6" s="640"/>
      <c r="K6" s="640"/>
      <c r="L6" s="640"/>
      <c r="M6" s="640"/>
      <c r="N6" s="640"/>
      <c r="O6" s="640"/>
      <c r="P6" s="640"/>
      <c r="Q6" s="640"/>
      <c r="R6" s="635"/>
    </row>
    <row r="7" spans="1:19" s="140" customFormat="1" ht="215.25" customHeight="1">
      <c r="A7" s="633"/>
      <c r="B7" s="633"/>
      <c r="C7" s="633"/>
      <c r="D7" s="633"/>
      <c r="E7" s="636"/>
      <c r="F7" s="633"/>
      <c r="G7" s="633"/>
      <c r="H7" s="633"/>
      <c r="I7" s="273" t="s">
        <v>44</v>
      </c>
      <c r="J7" s="273" t="s">
        <v>433</v>
      </c>
      <c r="K7" s="273" t="s">
        <v>49</v>
      </c>
      <c r="L7" s="280" t="s">
        <v>463</v>
      </c>
      <c r="M7" s="280" t="s">
        <v>464</v>
      </c>
      <c r="N7" s="280" t="s">
        <v>465</v>
      </c>
      <c r="O7" s="281" t="s">
        <v>468</v>
      </c>
      <c r="P7" s="280" t="s">
        <v>464</v>
      </c>
      <c r="Q7" s="280" t="s">
        <v>465</v>
      </c>
      <c r="R7" s="636"/>
    </row>
    <row r="8" spans="1:19" s="140" customFormat="1" ht="30.75">
      <c r="A8" s="273">
        <v>1</v>
      </c>
      <c r="B8" s="273">
        <v>2</v>
      </c>
      <c r="C8" s="273">
        <v>3</v>
      </c>
      <c r="D8" s="273"/>
      <c r="E8" s="273"/>
      <c r="F8" s="273"/>
      <c r="G8" s="273">
        <v>4</v>
      </c>
      <c r="H8" s="273"/>
      <c r="I8" s="273"/>
      <c r="J8" s="273"/>
      <c r="K8" s="273"/>
      <c r="L8" s="273">
        <v>5</v>
      </c>
      <c r="M8" s="273">
        <v>6</v>
      </c>
      <c r="N8" s="273">
        <v>7</v>
      </c>
      <c r="O8" s="273">
        <v>8</v>
      </c>
      <c r="P8" s="273">
        <v>9</v>
      </c>
      <c r="Q8" s="273">
        <v>10</v>
      </c>
      <c r="R8" s="273">
        <v>11</v>
      </c>
      <c r="S8" s="111"/>
    </row>
    <row r="9" spans="1:19" s="140" customFormat="1" ht="27" hidden="1">
      <c r="A9" s="422" t="s">
        <v>278</v>
      </c>
      <c r="B9" s="423"/>
      <c r="C9" s="423"/>
      <c r="D9" s="423"/>
      <c r="E9" s="423"/>
      <c r="F9" s="423"/>
      <c r="G9" s="423"/>
      <c r="H9" s="423"/>
      <c r="I9" s="423"/>
      <c r="J9" s="423"/>
      <c r="K9" s="423"/>
      <c r="L9" s="423"/>
      <c r="M9" s="423"/>
      <c r="N9" s="423"/>
      <c r="O9" s="423"/>
      <c r="P9" s="423"/>
      <c r="Q9" s="423"/>
      <c r="R9" s="424"/>
      <c r="S9" s="111"/>
    </row>
    <row r="10" spans="1:19" s="11" customFormat="1" ht="27" hidden="1" customHeight="1">
      <c r="A10" s="523" t="s">
        <v>227</v>
      </c>
      <c r="B10" s="520" t="s">
        <v>220</v>
      </c>
      <c r="C10" s="485" t="s">
        <v>228</v>
      </c>
      <c r="D10" s="470" t="s">
        <v>345</v>
      </c>
      <c r="E10" s="471"/>
      <c r="F10" s="471"/>
      <c r="G10" s="472"/>
      <c r="H10" s="99">
        <f>H11+H12</f>
        <v>240</v>
      </c>
      <c r="I10" s="99">
        <f>I11+I12</f>
        <v>240</v>
      </c>
      <c r="J10" s="99">
        <f>J11+J12</f>
        <v>0</v>
      </c>
      <c r="K10" s="99">
        <f>K11+K12</f>
        <v>0</v>
      </c>
      <c r="L10" s="101"/>
      <c r="M10" s="101"/>
      <c r="N10" s="101"/>
      <c r="O10" s="101"/>
      <c r="P10" s="101"/>
      <c r="Q10" s="101"/>
      <c r="R10" s="374" t="s">
        <v>272</v>
      </c>
    </row>
    <row r="11" spans="1:19" ht="55.5" hidden="1" customHeight="1">
      <c r="A11" s="524"/>
      <c r="B11" s="521"/>
      <c r="C11" s="485"/>
      <c r="D11" s="25" t="s">
        <v>36</v>
      </c>
      <c r="E11" s="230" t="s">
        <v>80</v>
      </c>
      <c r="F11" s="418" t="s">
        <v>222</v>
      </c>
      <c r="G11" s="418" t="s">
        <v>446</v>
      </c>
      <c r="H11" s="99">
        <f>I11+J11+K11</f>
        <v>60</v>
      </c>
      <c r="I11" s="100">
        <f>60</f>
        <v>60</v>
      </c>
      <c r="J11" s="100">
        <v>0</v>
      </c>
      <c r="K11" s="100">
        <v>0</v>
      </c>
      <c r="L11" s="254"/>
      <c r="M11" s="254"/>
      <c r="N11" s="254"/>
      <c r="O11" s="254"/>
      <c r="P11" s="254"/>
      <c r="Q11" s="254"/>
      <c r="R11" s="393"/>
    </row>
    <row r="12" spans="1:19" ht="55.5" hidden="1" customHeight="1">
      <c r="A12" s="524"/>
      <c r="B12" s="521"/>
      <c r="C12" s="485"/>
      <c r="D12" s="25" t="s">
        <v>36</v>
      </c>
      <c r="E12" s="230" t="s">
        <v>81</v>
      </c>
      <c r="F12" s="418"/>
      <c r="G12" s="418"/>
      <c r="H12" s="99">
        <f>I12+J12+K12</f>
        <v>180</v>
      </c>
      <c r="I12" s="100">
        <f>150+30</f>
        <v>180</v>
      </c>
      <c r="J12" s="100">
        <v>0</v>
      </c>
      <c r="K12" s="100">
        <v>0</v>
      </c>
      <c r="L12" s="254"/>
      <c r="M12" s="254"/>
      <c r="N12" s="254"/>
      <c r="O12" s="254"/>
      <c r="P12" s="254"/>
      <c r="Q12" s="254"/>
      <c r="R12" s="393"/>
    </row>
    <row r="13" spans="1:19" ht="27" hidden="1" customHeight="1">
      <c r="A13" s="524"/>
      <c r="B13" s="521"/>
      <c r="C13" s="485" t="s">
        <v>229</v>
      </c>
      <c r="D13" s="470" t="s">
        <v>353</v>
      </c>
      <c r="E13" s="471"/>
      <c r="F13" s="471"/>
      <c r="G13" s="472"/>
      <c r="H13" s="99">
        <f>H14+H15</f>
        <v>7016.41</v>
      </c>
      <c r="I13" s="99">
        <f>I14+I15</f>
        <v>1577.81</v>
      </c>
      <c r="J13" s="99">
        <f>J14+J15</f>
        <v>2614.6999999999998</v>
      </c>
      <c r="K13" s="99">
        <f>K14+K15</f>
        <v>2823.8999999999996</v>
      </c>
      <c r="L13" s="255"/>
      <c r="M13" s="255"/>
      <c r="N13" s="255"/>
      <c r="O13" s="255"/>
      <c r="P13" s="255"/>
      <c r="Q13" s="255"/>
      <c r="R13" s="393"/>
    </row>
    <row r="14" spans="1:19" ht="55.5" hidden="1" customHeight="1">
      <c r="A14" s="524"/>
      <c r="B14" s="521"/>
      <c r="C14" s="485"/>
      <c r="D14" s="25" t="s">
        <v>36</v>
      </c>
      <c r="E14" s="230" t="s">
        <v>80</v>
      </c>
      <c r="F14" s="418" t="s">
        <v>222</v>
      </c>
      <c r="G14" s="418" t="s">
        <v>446</v>
      </c>
      <c r="H14" s="99">
        <f>I14+J14+K14</f>
        <v>3883.6000000000004</v>
      </c>
      <c r="I14" s="100">
        <v>919</v>
      </c>
      <c r="J14" s="100">
        <v>1425.3</v>
      </c>
      <c r="K14" s="100">
        <v>1539.3</v>
      </c>
      <c r="L14" s="254"/>
      <c r="M14" s="254"/>
      <c r="N14" s="254"/>
      <c r="O14" s="254"/>
      <c r="P14" s="254"/>
      <c r="Q14" s="254"/>
      <c r="R14" s="393"/>
    </row>
    <row r="15" spans="1:19" ht="55.5" hidden="1" customHeight="1">
      <c r="A15" s="524"/>
      <c r="B15" s="521"/>
      <c r="C15" s="485"/>
      <c r="D15" s="25" t="s">
        <v>36</v>
      </c>
      <c r="E15" s="230" t="s">
        <v>81</v>
      </c>
      <c r="F15" s="418"/>
      <c r="G15" s="418"/>
      <c r="H15" s="99">
        <f>I15+J15+K15</f>
        <v>3132.81</v>
      </c>
      <c r="I15" s="100">
        <f>753.5-43.38-51.31</f>
        <v>658.81</v>
      </c>
      <c r="J15" s="100">
        <v>1189.4000000000001</v>
      </c>
      <c r="K15" s="100">
        <v>1284.5999999999999</v>
      </c>
      <c r="L15" s="106"/>
      <c r="M15" s="106"/>
      <c r="N15" s="106"/>
      <c r="O15" s="106"/>
      <c r="P15" s="106"/>
      <c r="Q15" s="106"/>
      <c r="R15" s="375"/>
    </row>
    <row r="16" spans="1:19" ht="27" hidden="1" customHeight="1">
      <c r="A16" s="524"/>
      <c r="B16" s="521"/>
      <c r="C16" s="485" t="s">
        <v>230</v>
      </c>
      <c r="D16" s="470" t="s">
        <v>354</v>
      </c>
      <c r="E16" s="471"/>
      <c r="F16" s="471"/>
      <c r="G16" s="472"/>
      <c r="H16" s="104">
        <f>H17+H18</f>
        <v>3495.1</v>
      </c>
      <c r="I16" s="104">
        <f>I17+I18</f>
        <v>1081.8</v>
      </c>
      <c r="J16" s="104">
        <f>J17+J18</f>
        <v>1169.3</v>
      </c>
      <c r="K16" s="104">
        <f>K17+K18</f>
        <v>1244</v>
      </c>
      <c r="L16" s="143"/>
      <c r="M16" s="143"/>
      <c r="N16" s="143"/>
      <c r="O16" s="143"/>
      <c r="P16" s="143"/>
      <c r="Q16" s="143"/>
      <c r="R16" s="374" t="s">
        <v>47</v>
      </c>
    </row>
    <row r="17" spans="1:19" ht="55.5" hidden="1" customHeight="1">
      <c r="A17" s="524"/>
      <c r="B17" s="521"/>
      <c r="C17" s="485"/>
      <c r="D17" s="25" t="s">
        <v>33</v>
      </c>
      <c r="E17" s="230" t="s">
        <v>80</v>
      </c>
      <c r="F17" s="418" t="s">
        <v>222</v>
      </c>
      <c r="G17" s="418" t="s">
        <v>446</v>
      </c>
      <c r="H17" s="99">
        <f>I17+J17+K17</f>
        <v>1721.1</v>
      </c>
      <c r="I17" s="100">
        <v>532</v>
      </c>
      <c r="J17" s="100">
        <v>575.29999999999995</v>
      </c>
      <c r="K17" s="100">
        <v>613.79999999999995</v>
      </c>
      <c r="L17" s="254"/>
      <c r="M17" s="254"/>
      <c r="N17" s="254"/>
      <c r="O17" s="254"/>
      <c r="P17" s="254"/>
      <c r="Q17" s="254"/>
      <c r="R17" s="393"/>
    </row>
    <row r="18" spans="1:19" ht="55.5" hidden="1" customHeight="1">
      <c r="A18" s="524"/>
      <c r="B18" s="521"/>
      <c r="C18" s="485"/>
      <c r="D18" s="25" t="s">
        <v>33</v>
      </c>
      <c r="E18" s="141" t="s">
        <v>81</v>
      </c>
      <c r="F18" s="418"/>
      <c r="G18" s="418"/>
      <c r="H18" s="99">
        <f>I18+J18+K18</f>
        <v>1774</v>
      </c>
      <c r="I18" s="100">
        <v>549.79999999999995</v>
      </c>
      <c r="J18" s="100">
        <v>594</v>
      </c>
      <c r="K18" s="100">
        <v>630.20000000000005</v>
      </c>
      <c r="L18" s="106"/>
      <c r="M18" s="106"/>
      <c r="N18" s="106"/>
      <c r="O18" s="106"/>
      <c r="P18" s="106"/>
      <c r="Q18" s="106"/>
      <c r="R18" s="375"/>
    </row>
    <row r="19" spans="1:19" ht="27.75" hidden="1">
      <c r="A19" s="524"/>
      <c r="B19" s="521"/>
      <c r="C19" s="475" t="s">
        <v>445</v>
      </c>
      <c r="D19" s="470" t="s">
        <v>444</v>
      </c>
      <c r="E19" s="471"/>
      <c r="F19" s="471"/>
      <c r="G19" s="472"/>
      <c r="H19" s="99">
        <f>I19+J19+K19</f>
        <v>1522</v>
      </c>
      <c r="I19" s="99">
        <f>I20+I21</f>
        <v>0</v>
      </c>
      <c r="J19" s="99">
        <f>J20+J21</f>
        <v>813.80000000000007</v>
      </c>
      <c r="K19" s="99">
        <f>K20+K21</f>
        <v>708.2</v>
      </c>
      <c r="L19" s="101"/>
      <c r="M19" s="101"/>
      <c r="N19" s="101"/>
      <c r="O19" s="101"/>
      <c r="P19" s="101"/>
      <c r="Q19" s="101"/>
      <c r="R19" s="224"/>
    </row>
    <row r="20" spans="1:19" ht="55.5" hidden="1">
      <c r="A20" s="524"/>
      <c r="B20" s="521"/>
      <c r="C20" s="475"/>
      <c r="D20" s="25" t="s">
        <v>33</v>
      </c>
      <c r="E20" s="230" t="s">
        <v>80</v>
      </c>
      <c r="F20" s="418" t="s">
        <v>222</v>
      </c>
      <c r="G20" s="418" t="s">
        <v>446</v>
      </c>
      <c r="H20" s="99">
        <f>I20+J20+K20</f>
        <v>251.29999999999998</v>
      </c>
      <c r="I20" s="100"/>
      <c r="J20" s="100">
        <v>121.6</v>
      </c>
      <c r="K20" s="100">
        <v>129.69999999999999</v>
      </c>
      <c r="L20" s="102"/>
      <c r="M20" s="102"/>
      <c r="N20" s="102"/>
      <c r="O20" s="102"/>
      <c r="P20" s="102"/>
      <c r="Q20" s="102"/>
      <c r="R20" s="224"/>
    </row>
    <row r="21" spans="1:19" ht="55.5" hidden="1">
      <c r="A21" s="525"/>
      <c r="B21" s="522"/>
      <c r="C21" s="475"/>
      <c r="D21" s="25" t="s">
        <v>33</v>
      </c>
      <c r="E21" s="141" t="s">
        <v>81</v>
      </c>
      <c r="F21" s="418"/>
      <c r="G21" s="418"/>
      <c r="H21" s="99">
        <f>I21+J21+K21</f>
        <v>1270.7</v>
      </c>
      <c r="I21" s="100"/>
      <c r="J21" s="100">
        <v>692.2</v>
      </c>
      <c r="K21" s="100">
        <v>578.5</v>
      </c>
      <c r="L21" s="100"/>
      <c r="M21" s="100"/>
      <c r="N21" s="100"/>
      <c r="O21" s="100"/>
      <c r="P21" s="100"/>
      <c r="Q21" s="100"/>
      <c r="R21" s="230"/>
    </row>
    <row r="22" spans="1:19" s="140" customFormat="1" ht="27" hidden="1" customHeight="1">
      <c r="A22" s="486"/>
      <c r="B22" s="487"/>
      <c r="C22" s="487"/>
      <c r="D22" s="487"/>
      <c r="E22" s="490" t="s">
        <v>279</v>
      </c>
      <c r="F22" s="491"/>
      <c r="G22" s="492"/>
      <c r="H22" s="104">
        <f>H10+H13+H16+H19</f>
        <v>12273.51</v>
      </c>
      <c r="I22" s="104">
        <f>I10+I13+I16+I19</f>
        <v>2899.6099999999997</v>
      </c>
      <c r="J22" s="104">
        <f>J10+J13+J16+J19</f>
        <v>4597.8</v>
      </c>
      <c r="K22" s="104">
        <f>K10+K13+K16+K19</f>
        <v>4776.0999999999995</v>
      </c>
      <c r="L22" s="143"/>
      <c r="M22" s="143"/>
      <c r="N22" s="143"/>
      <c r="O22" s="143"/>
      <c r="P22" s="143"/>
      <c r="Q22" s="143"/>
      <c r="R22" s="476"/>
      <c r="S22" s="111"/>
    </row>
    <row r="23" spans="1:19" s="140" customFormat="1" ht="55.5" hidden="1" customHeight="1">
      <c r="A23" s="488"/>
      <c r="B23" s="489"/>
      <c r="C23" s="489"/>
      <c r="D23" s="489"/>
      <c r="E23" s="230" t="s">
        <v>80</v>
      </c>
      <c r="F23" s="404"/>
      <c r="G23" s="407" t="s">
        <v>446</v>
      </c>
      <c r="H23" s="104">
        <f>H11+H14+H17+H20</f>
        <v>5916.0000000000009</v>
      </c>
      <c r="I23" s="104">
        <f>I11+I14+I17</f>
        <v>1511</v>
      </c>
      <c r="J23" s="104">
        <f>J11+J14+J17+J20</f>
        <v>2122.1999999999998</v>
      </c>
      <c r="K23" s="104">
        <f>K11+K14+K17+K20</f>
        <v>2282.7999999999997</v>
      </c>
      <c r="L23" s="256"/>
      <c r="M23" s="256"/>
      <c r="N23" s="256"/>
      <c r="O23" s="256"/>
      <c r="P23" s="256"/>
      <c r="Q23" s="256"/>
      <c r="R23" s="477"/>
      <c r="S23" s="111"/>
    </row>
    <row r="24" spans="1:19" s="140" customFormat="1" ht="5.25" customHeight="1">
      <c r="A24" s="488"/>
      <c r="B24" s="489"/>
      <c r="C24" s="489"/>
      <c r="D24" s="489"/>
      <c r="E24" s="142" t="s">
        <v>81</v>
      </c>
      <c r="F24" s="405"/>
      <c r="G24" s="408"/>
      <c r="H24" s="104">
        <f>H12+H15+H18+H21</f>
        <v>6357.5099999999993</v>
      </c>
      <c r="I24" s="143">
        <f>I12+I15+I18</f>
        <v>1388.61</v>
      </c>
      <c r="J24" s="104">
        <f>J12+J15+J18+J21</f>
        <v>2475.6000000000004</v>
      </c>
      <c r="K24" s="104">
        <f>K12+K15+K18+K21</f>
        <v>2493.3000000000002</v>
      </c>
      <c r="L24" s="108"/>
      <c r="M24" s="104"/>
      <c r="N24" s="104"/>
      <c r="O24" s="108"/>
      <c r="P24" s="108"/>
      <c r="Q24" s="108"/>
      <c r="R24" s="647"/>
      <c r="S24" s="111"/>
    </row>
    <row r="25" spans="1:19" s="140" customFormat="1" ht="69" customHeight="1">
      <c r="A25" s="469" t="s">
        <v>233</v>
      </c>
      <c r="B25" s="398" t="s">
        <v>221</v>
      </c>
      <c r="C25" s="450" t="s">
        <v>231</v>
      </c>
      <c r="D25" s="470" t="s">
        <v>346</v>
      </c>
      <c r="E25" s="471"/>
      <c r="F25" s="471"/>
      <c r="G25" s="472"/>
      <c r="H25" s="104">
        <f>H26+H31+H32+H33</f>
        <v>74241.53</v>
      </c>
      <c r="I25" s="104">
        <f>I26+I31+I32+I33</f>
        <v>72841.53</v>
      </c>
      <c r="J25" s="104">
        <f>J26+J31+J32+J33</f>
        <v>1400</v>
      </c>
      <c r="K25" s="104">
        <f>K26+K31+K32+K33</f>
        <v>0</v>
      </c>
      <c r="L25" s="104"/>
      <c r="M25" s="271"/>
      <c r="N25" s="271"/>
      <c r="O25" s="104">
        <v>1000</v>
      </c>
      <c r="P25" s="104">
        <v>400</v>
      </c>
      <c r="Q25" s="104">
        <v>1400</v>
      </c>
      <c r="R25" s="374" t="s">
        <v>347</v>
      </c>
      <c r="S25" s="111"/>
    </row>
    <row r="26" spans="1:19" s="140" customFormat="1" ht="27" customHeight="1">
      <c r="A26" s="469"/>
      <c r="B26" s="516"/>
      <c r="C26" s="473"/>
      <c r="D26" s="144" t="s">
        <v>98</v>
      </c>
      <c r="E26" s="145"/>
      <c r="F26" s="145"/>
      <c r="G26" s="146"/>
      <c r="H26" s="104">
        <f>SUM(H27:H30)</f>
        <v>28677.03</v>
      </c>
      <c r="I26" s="104">
        <f>SUM(I27:I30)</f>
        <v>27277.03</v>
      </c>
      <c r="J26" s="104">
        <f>SUM(J27:J30)</f>
        <v>1400</v>
      </c>
      <c r="K26" s="104">
        <f>SUM(K27:K30)</f>
        <v>0</v>
      </c>
      <c r="L26" s="104"/>
      <c r="M26" s="271"/>
      <c r="N26" s="271"/>
      <c r="O26" s="104"/>
      <c r="P26" s="104"/>
      <c r="Q26" s="104"/>
      <c r="R26" s="393"/>
      <c r="S26" s="111"/>
    </row>
    <row r="27" spans="1:19" s="140" customFormat="1" ht="55.5">
      <c r="A27" s="469"/>
      <c r="B27" s="516"/>
      <c r="C27" s="473"/>
      <c r="D27" s="25" t="s">
        <v>29</v>
      </c>
      <c r="E27" s="230" t="s">
        <v>82</v>
      </c>
      <c r="F27" s="442" t="s">
        <v>222</v>
      </c>
      <c r="G27" s="418" t="s">
        <v>446</v>
      </c>
      <c r="H27" s="100">
        <f t="shared" ref="H27:H32" si="0">I27+J27+K27</f>
        <v>7149.1299999999992</v>
      </c>
      <c r="I27" s="100">
        <f>8727.9-76-1021.1-481.67</f>
        <v>7149.1299999999992</v>
      </c>
      <c r="J27" s="100">
        <v>0</v>
      </c>
      <c r="K27" s="100">
        <v>0</v>
      </c>
      <c r="L27" s="100"/>
      <c r="M27" s="271"/>
      <c r="N27" s="271"/>
      <c r="O27" s="100"/>
      <c r="P27" s="100"/>
      <c r="Q27" s="100"/>
      <c r="R27" s="393"/>
      <c r="S27" s="111"/>
    </row>
    <row r="28" spans="1:19" s="140" customFormat="1" ht="27.75">
      <c r="A28" s="469"/>
      <c r="B28" s="516"/>
      <c r="C28" s="473"/>
      <c r="D28" s="25" t="s">
        <v>29</v>
      </c>
      <c r="E28" s="230" t="s">
        <v>76</v>
      </c>
      <c r="F28" s="478"/>
      <c r="G28" s="474"/>
      <c r="H28" s="100">
        <f t="shared" si="0"/>
        <v>2619.9</v>
      </c>
      <c r="I28" s="100">
        <f>3419.9-800</f>
        <v>2619.9</v>
      </c>
      <c r="J28" s="100"/>
      <c r="K28" s="100">
        <v>0</v>
      </c>
      <c r="L28" s="100"/>
      <c r="M28" s="271"/>
      <c r="N28" s="271"/>
      <c r="O28" s="100"/>
      <c r="P28" s="100"/>
      <c r="Q28" s="100"/>
      <c r="R28" s="393"/>
      <c r="S28" s="111"/>
    </row>
    <row r="29" spans="1:19" s="140" customFormat="1" ht="27.75">
      <c r="A29" s="469"/>
      <c r="B29" s="516"/>
      <c r="C29" s="473"/>
      <c r="D29" s="25" t="s">
        <v>29</v>
      </c>
      <c r="E29" s="230" t="s">
        <v>77</v>
      </c>
      <c r="F29" s="478"/>
      <c r="G29" s="474"/>
      <c r="H29" s="100">
        <f t="shared" si="0"/>
        <v>7191.2</v>
      </c>
      <c r="I29" s="100">
        <f>7232.7-41.5</f>
        <v>7191.2</v>
      </c>
      <c r="J29" s="100"/>
      <c r="K29" s="100">
        <v>0</v>
      </c>
      <c r="L29" s="100"/>
      <c r="M29" s="271"/>
      <c r="N29" s="271"/>
      <c r="O29" s="100"/>
      <c r="P29" s="100"/>
      <c r="Q29" s="100"/>
      <c r="R29" s="393"/>
      <c r="S29" s="111"/>
    </row>
    <row r="30" spans="1:19" s="140" customFormat="1" ht="55.5">
      <c r="A30" s="469"/>
      <c r="B30" s="516"/>
      <c r="C30" s="473"/>
      <c r="D30" s="25" t="s">
        <v>29</v>
      </c>
      <c r="E30" s="230" t="s">
        <v>75</v>
      </c>
      <c r="F30" s="478"/>
      <c r="G30" s="474"/>
      <c r="H30" s="100">
        <f t="shared" si="0"/>
        <v>11716.8</v>
      </c>
      <c r="I30" s="100">
        <v>10316.799999999999</v>
      </c>
      <c r="J30" s="219">
        <f>1000+400</f>
        <v>1400</v>
      </c>
      <c r="K30" s="100">
        <v>0</v>
      </c>
      <c r="L30" s="100"/>
      <c r="M30" s="271"/>
      <c r="N30" s="271"/>
      <c r="O30" s="100">
        <v>1000</v>
      </c>
      <c r="P30" s="100">
        <v>400</v>
      </c>
      <c r="Q30" s="100">
        <f>O30+P30</f>
        <v>1400</v>
      </c>
      <c r="R30" s="393"/>
      <c r="S30" s="111"/>
    </row>
    <row r="31" spans="1:19" s="140" customFormat="1" ht="139.5" hidden="1" customHeight="1">
      <c r="A31" s="469"/>
      <c r="B31" s="516"/>
      <c r="C31" s="473"/>
      <c r="D31" s="25" t="s">
        <v>29</v>
      </c>
      <c r="E31" s="230" t="s">
        <v>82</v>
      </c>
      <c r="F31" s="478"/>
      <c r="G31" s="229" t="s">
        <v>99</v>
      </c>
      <c r="H31" s="99">
        <f>I31+J31+K31</f>
        <v>144.6</v>
      </c>
      <c r="I31" s="99">
        <v>144.6</v>
      </c>
      <c r="J31" s="99">
        <v>0</v>
      </c>
      <c r="K31" s="99">
        <v>0</v>
      </c>
      <c r="L31" s="99"/>
      <c r="M31" s="99"/>
      <c r="N31" s="99"/>
      <c r="O31" s="99"/>
      <c r="P31" s="99"/>
      <c r="Q31" s="99"/>
      <c r="R31" s="393"/>
      <c r="S31" s="111"/>
    </row>
    <row r="32" spans="1:19" s="140" customFormat="1" ht="55.5" hidden="1" customHeight="1">
      <c r="A32" s="469"/>
      <c r="B32" s="516"/>
      <c r="C32" s="473"/>
      <c r="D32" s="25" t="s">
        <v>29</v>
      </c>
      <c r="E32" s="230" t="s">
        <v>82</v>
      </c>
      <c r="F32" s="478"/>
      <c r="G32" s="246" t="s">
        <v>344</v>
      </c>
      <c r="H32" s="99">
        <f t="shared" si="0"/>
        <v>60</v>
      </c>
      <c r="I32" s="99">
        <v>60</v>
      </c>
      <c r="J32" s="99">
        <v>0</v>
      </c>
      <c r="K32" s="99">
        <v>0</v>
      </c>
      <c r="L32" s="99"/>
      <c r="M32" s="99"/>
      <c r="N32" s="99"/>
      <c r="O32" s="99"/>
      <c r="P32" s="99"/>
      <c r="Q32" s="99"/>
      <c r="R32" s="393"/>
      <c r="S32" s="111"/>
    </row>
    <row r="33" spans="1:19" s="140" customFormat="1" ht="27" hidden="1" customHeight="1">
      <c r="A33" s="469"/>
      <c r="B33" s="516"/>
      <c r="C33" s="473"/>
      <c r="D33" s="514" t="s">
        <v>98</v>
      </c>
      <c r="E33" s="515"/>
      <c r="F33" s="478"/>
      <c r="G33" s="519" t="s">
        <v>96</v>
      </c>
      <c r="H33" s="99">
        <f>SUM(H34:H37)</f>
        <v>45359.9</v>
      </c>
      <c r="I33" s="99">
        <f>SUM(I34:I37)</f>
        <v>45359.9</v>
      </c>
      <c r="J33" s="99">
        <f>SUM(J34:J37)</f>
        <v>0</v>
      </c>
      <c r="K33" s="99">
        <f>SUM(K34:K37)</f>
        <v>0</v>
      </c>
      <c r="L33" s="99"/>
      <c r="M33" s="99"/>
      <c r="N33" s="99"/>
      <c r="O33" s="99"/>
      <c r="P33" s="99"/>
      <c r="Q33" s="99"/>
      <c r="R33" s="393"/>
      <c r="S33" s="111"/>
    </row>
    <row r="34" spans="1:19" s="140" customFormat="1" ht="55.5" hidden="1">
      <c r="A34" s="469"/>
      <c r="B34" s="516"/>
      <c r="C34" s="473"/>
      <c r="D34" s="25" t="s">
        <v>29</v>
      </c>
      <c r="E34" s="230" t="s">
        <v>82</v>
      </c>
      <c r="F34" s="478"/>
      <c r="G34" s="474"/>
      <c r="H34" s="100">
        <f>I34+J34+K34</f>
        <v>12485.6</v>
      </c>
      <c r="I34" s="100">
        <v>12485.6</v>
      </c>
      <c r="J34" s="100">
        <v>0</v>
      </c>
      <c r="K34" s="100">
        <v>0</v>
      </c>
      <c r="L34" s="100"/>
      <c r="M34" s="100"/>
      <c r="N34" s="100"/>
      <c r="O34" s="100"/>
      <c r="P34" s="100"/>
      <c r="Q34" s="100"/>
      <c r="R34" s="393"/>
      <c r="S34" s="111"/>
    </row>
    <row r="35" spans="1:19" s="140" customFormat="1" ht="27.75" hidden="1">
      <c r="A35" s="469"/>
      <c r="B35" s="516"/>
      <c r="C35" s="473"/>
      <c r="D35" s="25" t="s">
        <v>29</v>
      </c>
      <c r="E35" s="230" t="s">
        <v>76</v>
      </c>
      <c r="F35" s="478"/>
      <c r="G35" s="474"/>
      <c r="H35" s="100">
        <f>I35+J35+K35</f>
        <v>8160.1</v>
      </c>
      <c r="I35" s="100">
        <v>8160.1</v>
      </c>
      <c r="J35" s="100">
        <v>0</v>
      </c>
      <c r="K35" s="100">
        <v>0</v>
      </c>
      <c r="L35" s="100"/>
      <c r="M35" s="100"/>
      <c r="N35" s="100"/>
      <c r="O35" s="100"/>
      <c r="P35" s="100"/>
      <c r="Q35" s="100"/>
      <c r="R35" s="393"/>
      <c r="S35" s="111"/>
    </row>
    <row r="36" spans="1:19" s="140" customFormat="1" ht="27.75" hidden="1">
      <c r="A36" s="469"/>
      <c r="B36" s="516"/>
      <c r="C36" s="473"/>
      <c r="D36" s="25" t="s">
        <v>29</v>
      </c>
      <c r="E36" s="230" t="s">
        <v>77</v>
      </c>
      <c r="F36" s="478"/>
      <c r="G36" s="474"/>
      <c r="H36" s="100">
        <f>I36+J36+K36</f>
        <v>12866.2</v>
      </c>
      <c r="I36" s="100">
        <v>12866.2</v>
      </c>
      <c r="J36" s="100">
        <v>0</v>
      </c>
      <c r="K36" s="100">
        <v>0</v>
      </c>
      <c r="L36" s="100"/>
      <c r="M36" s="100"/>
      <c r="N36" s="100"/>
      <c r="O36" s="100"/>
      <c r="P36" s="100"/>
      <c r="Q36" s="100"/>
      <c r="R36" s="393"/>
      <c r="S36" s="111"/>
    </row>
    <row r="37" spans="1:19" s="140" customFormat="1" ht="55.5" hidden="1">
      <c r="A37" s="469"/>
      <c r="B37" s="516"/>
      <c r="C37" s="473"/>
      <c r="D37" s="25" t="s">
        <v>29</v>
      </c>
      <c r="E37" s="230" t="s">
        <v>75</v>
      </c>
      <c r="F37" s="478"/>
      <c r="G37" s="474"/>
      <c r="H37" s="100">
        <f>I37+J37+K37</f>
        <v>11848</v>
      </c>
      <c r="I37" s="100">
        <v>11848</v>
      </c>
      <c r="J37" s="100">
        <v>0</v>
      </c>
      <c r="K37" s="100">
        <v>0</v>
      </c>
      <c r="L37" s="100"/>
      <c r="M37" s="100"/>
      <c r="N37" s="100"/>
      <c r="O37" s="100"/>
      <c r="P37" s="100"/>
      <c r="Q37" s="100"/>
      <c r="R37" s="375"/>
      <c r="S37" s="111"/>
    </row>
    <row r="38" spans="1:19" s="148" customFormat="1" ht="27" hidden="1" customHeight="1">
      <c r="A38" s="469"/>
      <c r="B38" s="516"/>
      <c r="C38" s="450" t="s">
        <v>234</v>
      </c>
      <c r="D38" s="470" t="s">
        <v>355</v>
      </c>
      <c r="E38" s="471"/>
      <c r="F38" s="471"/>
      <c r="G38" s="472"/>
      <c r="H38" s="99">
        <f>SUM(H39:H42)</f>
        <v>55261.611999999994</v>
      </c>
      <c r="I38" s="99">
        <f>SUM(I39:I42)</f>
        <v>18688</v>
      </c>
      <c r="J38" s="99">
        <f>SUM(J39:J42)</f>
        <v>17583.48</v>
      </c>
      <c r="K38" s="99">
        <f>SUM(K39:K42)</f>
        <v>18990.131999999998</v>
      </c>
      <c r="L38" s="101"/>
      <c r="M38" s="101"/>
      <c r="N38" s="101"/>
      <c r="O38" s="101"/>
      <c r="P38" s="101"/>
      <c r="Q38" s="101"/>
      <c r="R38" s="374" t="s">
        <v>272</v>
      </c>
      <c r="S38" s="147"/>
    </row>
    <row r="39" spans="1:19" ht="55.5" hidden="1">
      <c r="A39" s="469"/>
      <c r="B39" s="516"/>
      <c r="C39" s="450"/>
      <c r="D39" s="25" t="s">
        <v>29</v>
      </c>
      <c r="E39" s="230" t="s">
        <v>82</v>
      </c>
      <c r="F39" s="418" t="s">
        <v>222</v>
      </c>
      <c r="G39" s="418" t="s">
        <v>446</v>
      </c>
      <c r="H39" s="100">
        <f t="shared" ref="H39:H51" si="1">I39+J39+K39</f>
        <v>10965.8</v>
      </c>
      <c r="I39" s="100">
        <v>3629.9</v>
      </c>
      <c r="J39" s="100">
        <v>3526.9</v>
      </c>
      <c r="K39" s="100">
        <v>3809</v>
      </c>
      <c r="L39" s="254"/>
      <c r="M39" s="254"/>
      <c r="N39" s="254"/>
      <c r="O39" s="254"/>
      <c r="P39" s="254"/>
      <c r="Q39" s="254"/>
      <c r="R39" s="393"/>
    </row>
    <row r="40" spans="1:19" ht="27.75" hidden="1">
      <c r="A40" s="469"/>
      <c r="B40" s="516"/>
      <c r="C40" s="450"/>
      <c r="D40" s="25" t="s">
        <v>29</v>
      </c>
      <c r="E40" s="230" t="s">
        <v>76</v>
      </c>
      <c r="F40" s="478"/>
      <c r="G40" s="474"/>
      <c r="H40" s="100">
        <f t="shared" si="1"/>
        <v>13403.4</v>
      </c>
      <c r="I40" s="100">
        <v>4524.8999999999996</v>
      </c>
      <c r="J40" s="100">
        <v>4268.5</v>
      </c>
      <c r="K40" s="100">
        <v>4610</v>
      </c>
      <c r="L40" s="254"/>
      <c r="M40" s="254"/>
      <c r="N40" s="254"/>
      <c r="O40" s="254"/>
      <c r="P40" s="254"/>
      <c r="Q40" s="254"/>
      <c r="R40" s="393"/>
    </row>
    <row r="41" spans="1:19" s="140" customFormat="1" ht="27.75" hidden="1">
      <c r="A41" s="469"/>
      <c r="B41" s="516"/>
      <c r="C41" s="450"/>
      <c r="D41" s="25" t="s">
        <v>29</v>
      </c>
      <c r="E41" s="230" t="s">
        <v>77</v>
      </c>
      <c r="F41" s="478"/>
      <c r="G41" s="474"/>
      <c r="H41" s="100">
        <f t="shared" si="1"/>
        <v>17752.25</v>
      </c>
      <c r="I41" s="100">
        <f>5671.7+326.2+422.4</f>
        <v>6420.2999999999993</v>
      </c>
      <c r="J41" s="100">
        <v>5448.05</v>
      </c>
      <c r="K41" s="100">
        <v>5883.9</v>
      </c>
      <c r="L41" s="254"/>
      <c r="M41" s="254"/>
      <c r="N41" s="254"/>
      <c r="O41" s="254"/>
      <c r="P41" s="254"/>
      <c r="Q41" s="254"/>
      <c r="R41" s="393"/>
      <c r="S41" s="111"/>
    </row>
    <row r="42" spans="1:19" s="140" customFormat="1" ht="55.5" hidden="1">
      <c r="A42" s="469"/>
      <c r="B42" s="516"/>
      <c r="C42" s="450"/>
      <c r="D42" s="25" t="s">
        <v>29</v>
      </c>
      <c r="E42" s="230" t="s">
        <v>75</v>
      </c>
      <c r="F42" s="478"/>
      <c r="G42" s="474"/>
      <c r="H42" s="100">
        <f t="shared" si="1"/>
        <v>13140.162</v>
      </c>
      <c r="I42" s="100">
        <v>4112.8999999999996</v>
      </c>
      <c r="J42" s="100">
        <v>4340.03</v>
      </c>
      <c r="K42" s="100">
        <v>4687.232</v>
      </c>
      <c r="L42" s="106"/>
      <c r="M42" s="106"/>
      <c r="N42" s="106"/>
      <c r="O42" s="106"/>
      <c r="P42" s="106"/>
      <c r="Q42" s="106"/>
      <c r="R42" s="375"/>
      <c r="S42" s="111"/>
    </row>
    <row r="43" spans="1:19" s="140" customFormat="1" ht="27" hidden="1" customHeight="1">
      <c r="A43" s="469"/>
      <c r="B43" s="516"/>
      <c r="C43" s="414" t="s">
        <v>280</v>
      </c>
      <c r="D43" s="470" t="s">
        <v>356</v>
      </c>
      <c r="E43" s="471"/>
      <c r="F43" s="471"/>
      <c r="G43" s="472"/>
      <c r="H43" s="99">
        <f>SUM(H44:H48)</f>
        <v>9972.6550000000007</v>
      </c>
      <c r="I43" s="99">
        <f>SUM(I44:I48)</f>
        <v>4584.2129999999997</v>
      </c>
      <c r="J43" s="99">
        <f>SUM(J44:J48)</f>
        <v>2606.9</v>
      </c>
      <c r="K43" s="99">
        <f>SUM(K44:K48)</f>
        <v>2781.5419999999999</v>
      </c>
      <c r="L43" s="101"/>
      <c r="M43" s="101"/>
      <c r="N43" s="101"/>
      <c r="O43" s="101"/>
      <c r="P43" s="101"/>
      <c r="Q43" s="101"/>
      <c r="R43" s="374" t="s">
        <v>273</v>
      </c>
      <c r="S43" s="111"/>
    </row>
    <row r="44" spans="1:19" ht="46.5" hidden="1">
      <c r="A44" s="469"/>
      <c r="B44" s="516"/>
      <c r="C44" s="414"/>
      <c r="D44" s="518" t="s">
        <v>29</v>
      </c>
      <c r="E44" s="450" t="s">
        <v>82</v>
      </c>
      <c r="F44" s="442" t="s">
        <v>222</v>
      </c>
      <c r="G44" s="229" t="s">
        <v>446</v>
      </c>
      <c r="H44" s="99">
        <f>I44+J44+K44</f>
        <v>2156</v>
      </c>
      <c r="I44" s="100">
        <f>1060.5</f>
        <v>1060.5</v>
      </c>
      <c r="J44" s="100">
        <v>530</v>
      </c>
      <c r="K44" s="100">
        <v>565.5</v>
      </c>
      <c r="L44" s="254"/>
      <c r="M44" s="254"/>
      <c r="N44" s="254"/>
      <c r="O44" s="254"/>
      <c r="P44" s="254"/>
      <c r="Q44" s="254"/>
      <c r="R44" s="393"/>
    </row>
    <row r="45" spans="1:19" ht="139.5" hidden="1" customHeight="1">
      <c r="A45" s="469"/>
      <c r="B45" s="516"/>
      <c r="C45" s="414"/>
      <c r="D45" s="518"/>
      <c r="E45" s="450"/>
      <c r="F45" s="442"/>
      <c r="G45" s="229" t="s">
        <v>99</v>
      </c>
      <c r="H45" s="99">
        <f t="shared" si="1"/>
        <v>2.6</v>
      </c>
      <c r="I45" s="100">
        <v>2.6</v>
      </c>
      <c r="J45" s="100">
        <v>0</v>
      </c>
      <c r="K45" s="100">
        <v>0</v>
      </c>
      <c r="L45" s="254"/>
      <c r="M45" s="254"/>
      <c r="N45" s="254"/>
      <c r="O45" s="254"/>
      <c r="P45" s="254"/>
      <c r="Q45" s="254"/>
      <c r="R45" s="393"/>
    </row>
    <row r="46" spans="1:19" s="140" customFormat="1" ht="27.75" hidden="1">
      <c r="A46" s="469"/>
      <c r="B46" s="516"/>
      <c r="C46" s="414"/>
      <c r="D46" s="25" t="s">
        <v>29</v>
      </c>
      <c r="E46" s="230" t="s">
        <v>76</v>
      </c>
      <c r="F46" s="442"/>
      <c r="G46" s="418" t="s">
        <v>446</v>
      </c>
      <c r="H46" s="99">
        <f>I46+J46+K46</f>
        <v>1349.4</v>
      </c>
      <c r="I46" s="100">
        <v>667.3</v>
      </c>
      <c r="J46" s="100">
        <v>330</v>
      </c>
      <c r="K46" s="100">
        <v>352.1</v>
      </c>
      <c r="L46" s="254"/>
      <c r="M46" s="254"/>
      <c r="N46" s="254"/>
      <c r="O46" s="254"/>
      <c r="P46" s="254"/>
      <c r="Q46" s="254"/>
      <c r="R46" s="393"/>
      <c r="S46" s="111"/>
    </row>
    <row r="47" spans="1:19" s="140" customFormat="1" ht="27.75" hidden="1">
      <c r="A47" s="469"/>
      <c r="B47" s="516"/>
      <c r="C47" s="414"/>
      <c r="D47" s="25" t="s">
        <v>29</v>
      </c>
      <c r="E47" s="230" t="s">
        <v>77</v>
      </c>
      <c r="F47" s="442"/>
      <c r="G47" s="418"/>
      <c r="H47" s="99">
        <f t="shared" si="1"/>
        <v>2322.19</v>
      </c>
      <c r="I47" s="100">
        <v>1144</v>
      </c>
      <c r="J47" s="100">
        <v>570</v>
      </c>
      <c r="K47" s="100">
        <v>608.19000000000005</v>
      </c>
      <c r="L47" s="254"/>
      <c r="M47" s="254"/>
      <c r="N47" s="254"/>
      <c r="O47" s="254"/>
      <c r="P47" s="254"/>
      <c r="Q47" s="254"/>
      <c r="R47" s="393"/>
      <c r="S47" s="111"/>
    </row>
    <row r="48" spans="1:19" s="140" customFormat="1" ht="55.5" hidden="1">
      <c r="A48" s="469"/>
      <c r="B48" s="516"/>
      <c r="C48" s="414"/>
      <c r="D48" s="25" t="s">
        <v>29</v>
      </c>
      <c r="E48" s="230" t="s">
        <v>75</v>
      </c>
      <c r="F48" s="442"/>
      <c r="G48" s="418"/>
      <c r="H48" s="99">
        <f t="shared" si="1"/>
        <v>4142.4650000000001</v>
      </c>
      <c r="I48" s="100">
        <f>2748.919-253.468-420-365.638</f>
        <v>1709.8130000000001</v>
      </c>
      <c r="J48" s="100">
        <v>1176.9000000000001</v>
      </c>
      <c r="K48" s="100">
        <v>1255.752</v>
      </c>
      <c r="L48" s="106"/>
      <c r="M48" s="106"/>
      <c r="N48" s="106"/>
      <c r="O48" s="106"/>
      <c r="P48" s="106"/>
      <c r="Q48" s="106"/>
      <c r="R48" s="375"/>
      <c r="S48" s="111"/>
    </row>
    <row r="49" spans="1:19" ht="83.25" hidden="1">
      <c r="A49" s="469"/>
      <c r="B49" s="516"/>
      <c r="C49" s="230" t="s">
        <v>274</v>
      </c>
      <c r="D49" s="245" t="s">
        <v>29</v>
      </c>
      <c r="E49" s="230" t="s">
        <v>82</v>
      </c>
      <c r="F49" s="229" t="s">
        <v>222</v>
      </c>
      <c r="G49" s="229" t="s">
        <v>446</v>
      </c>
      <c r="H49" s="99">
        <f t="shared" si="1"/>
        <v>1307.3</v>
      </c>
      <c r="I49" s="100">
        <v>690</v>
      </c>
      <c r="J49" s="100">
        <v>300</v>
      </c>
      <c r="K49" s="100">
        <v>317.3</v>
      </c>
      <c r="L49" s="100"/>
      <c r="M49" s="100"/>
      <c r="N49" s="100"/>
      <c r="O49" s="100"/>
      <c r="P49" s="100"/>
      <c r="Q49" s="100"/>
      <c r="R49" s="248" t="s">
        <v>59</v>
      </c>
      <c r="S49" s="109"/>
    </row>
    <row r="50" spans="1:19" ht="305.25" hidden="1">
      <c r="A50" s="469"/>
      <c r="B50" s="516"/>
      <c r="C50" s="230" t="s">
        <v>349</v>
      </c>
      <c r="D50" s="245" t="s">
        <v>29</v>
      </c>
      <c r="E50" s="230" t="s">
        <v>82</v>
      </c>
      <c r="F50" s="229" t="s">
        <v>222</v>
      </c>
      <c r="G50" s="229" t="s">
        <v>446</v>
      </c>
      <c r="H50" s="99">
        <f t="shared" si="1"/>
        <v>1200</v>
      </c>
      <c r="I50" s="100">
        <v>1200</v>
      </c>
      <c r="J50" s="100"/>
      <c r="K50" s="100">
        <f>J50*1.051</f>
        <v>0</v>
      </c>
      <c r="L50" s="100"/>
      <c r="M50" s="100"/>
      <c r="N50" s="100"/>
      <c r="O50" s="100"/>
      <c r="P50" s="100"/>
      <c r="Q50" s="100"/>
      <c r="R50" s="248" t="s">
        <v>60</v>
      </c>
      <c r="S50" s="109"/>
    </row>
    <row r="51" spans="1:19" ht="138.75" hidden="1">
      <c r="A51" s="469"/>
      <c r="B51" s="516"/>
      <c r="C51" s="230" t="s">
        <v>350</v>
      </c>
      <c r="D51" s="245" t="s">
        <v>29</v>
      </c>
      <c r="E51" s="230" t="s">
        <v>82</v>
      </c>
      <c r="F51" s="229" t="s">
        <v>222</v>
      </c>
      <c r="G51" s="229" t="s">
        <v>446</v>
      </c>
      <c r="H51" s="99">
        <f t="shared" si="1"/>
        <v>1300</v>
      </c>
      <c r="I51" s="100">
        <v>1000</v>
      </c>
      <c r="J51" s="100">
        <v>300</v>
      </c>
      <c r="K51" s="100"/>
      <c r="L51" s="100"/>
      <c r="M51" s="100"/>
      <c r="N51" s="100"/>
      <c r="O51" s="100"/>
      <c r="P51" s="100"/>
      <c r="Q51" s="100"/>
      <c r="R51" s="248" t="s">
        <v>62</v>
      </c>
      <c r="S51" s="109"/>
    </row>
    <row r="52" spans="1:19" ht="27.75" hidden="1">
      <c r="A52" s="469"/>
      <c r="B52" s="516"/>
      <c r="C52" s="414" t="s">
        <v>357</v>
      </c>
      <c r="D52" s="428" t="s">
        <v>358</v>
      </c>
      <c r="E52" s="428"/>
      <c r="F52" s="428"/>
      <c r="G52" s="428"/>
      <c r="H52" s="99">
        <f>H53+H54</f>
        <v>3883</v>
      </c>
      <c r="I52" s="99">
        <f>I53+I54</f>
        <v>3883</v>
      </c>
      <c r="J52" s="99">
        <f>J53+J54</f>
        <v>0</v>
      </c>
      <c r="K52" s="99">
        <f>K53+K54</f>
        <v>0</v>
      </c>
      <c r="L52" s="99"/>
      <c r="M52" s="99"/>
      <c r="N52" s="99"/>
      <c r="O52" s="99"/>
      <c r="P52" s="99"/>
      <c r="Q52" s="99"/>
      <c r="R52" s="230"/>
      <c r="S52" s="109"/>
    </row>
    <row r="53" spans="1:19" ht="139.5" hidden="1" customHeight="1">
      <c r="A53" s="469"/>
      <c r="B53" s="516"/>
      <c r="C53" s="414"/>
      <c r="D53" s="493" t="s">
        <v>29</v>
      </c>
      <c r="E53" s="393" t="s">
        <v>77</v>
      </c>
      <c r="F53" s="383" t="s">
        <v>222</v>
      </c>
      <c r="G53" s="233" t="s">
        <v>99</v>
      </c>
      <c r="H53" s="99">
        <f>I53+J53+K53</f>
        <v>2680.3</v>
      </c>
      <c r="I53" s="100">
        <v>2680.3</v>
      </c>
      <c r="J53" s="100">
        <v>0</v>
      </c>
      <c r="K53" s="100">
        <v>0</v>
      </c>
      <c r="L53" s="102"/>
      <c r="M53" s="102"/>
      <c r="N53" s="102"/>
      <c r="O53" s="102"/>
      <c r="P53" s="102"/>
      <c r="Q53" s="102"/>
      <c r="R53" s="415" t="s">
        <v>363</v>
      </c>
      <c r="S53" s="109"/>
    </row>
    <row r="54" spans="1:19" ht="46.5" hidden="1">
      <c r="A54" s="469"/>
      <c r="B54" s="516"/>
      <c r="C54" s="414"/>
      <c r="D54" s="494"/>
      <c r="E54" s="375"/>
      <c r="F54" s="384"/>
      <c r="G54" s="229" t="s">
        <v>446</v>
      </c>
      <c r="H54" s="99">
        <f>I54+J54+K54</f>
        <v>1202.7</v>
      </c>
      <c r="I54" s="100">
        <v>1202.7</v>
      </c>
      <c r="J54" s="100">
        <v>0</v>
      </c>
      <c r="K54" s="100">
        <f>J54*1.051</f>
        <v>0</v>
      </c>
      <c r="L54" s="106"/>
      <c r="M54" s="106"/>
      <c r="N54" s="106"/>
      <c r="O54" s="106"/>
      <c r="P54" s="106"/>
      <c r="Q54" s="106"/>
      <c r="R54" s="417"/>
    </row>
    <row r="55" spans="1:19" ht="27" hidden="1" customHeight="1">
      <c r="A55" s="469"/>
      <c r="B55" s="516"/>
      <c r="C55" s="413" t="s">
        <v>359</v>
      </c>
      <c r="D55" s="428" t="s">
        <v>360</v>
      </c>
      <c r="E55" s="428"/>
      <c r="F55" s="428"/>
      <c r="G55" s="428"/>
      <c r="H55" s="99">
        <f>H56+H57+H58</f>
        <v>850</v>
      </c>
      <c r="I55" s="99">
        <f>I56+I57+I58</f>
        <v>850</v>
      </c>
      <c r="J55" s="99">
        <f>J56+J57+J58</f>
        <v>0</v>
      </c>
      <c r="K55" s="99">
        <f>K56+K57+K58</f>
        <v>0</v>
      </c>
      <c r="L55" s="101"/>
      <c r="M55" s="101"/>
      <c r="N55" s="101"/>
      <c r="O55" s="101"/>
      <c r="P55" s="101"/>
      <c r="Q55" s="101"/>
      <c r="R55" s="374" t="s">
        <v>67</v>
      </c>
    </row>
    <row r="56" spans="1:19" ht="55.5" hidden="1">
      <c r="A56" s="469"/>
      <c r="B56" s="516"/>
      <c r="C56" s="413"/>
      <c r="D56" s="25" t="s">
        <v>29</v>
      </c>
      <c r="E56" s="230" t="s">
        <v>82</v>
      </c>
      <c r="F56" s="445" t="s">
        <v>222</v>
      </c>
      <c r="G56" s="418" t="s">
        <v>55</v>
      </c>
      <c r="H56" s="99">
        <f>I56+J56+K56</f>
        <v>400</v>
      </c>
      <c r="I56" s="100">
        <v>400</v>
      </c>
      <c r="J56" s="100">
        <v>0</v>
      </c>
      <c r="K56" s="100">
        <v>0</v>
      </c>
      <c r="L56" s="254"/>
      <c r="M56" s="254"/>
      <c r="N56" s="254"/>
      <c r="O56" s="254"/>
      <c r="P56" s="254"/>
      <c r="Q56" s="254"/>
      <c r="R56" s="393"/>
      <c r="S56" s="10"/>
    </row>
    <row r="57" spans="1:19" ht="27.75" hidden="1">
      <c r="A57" s="469"/>
      <c r="B57" s="516"/>
      <c r="C57" s="413"/>
      <c r="D57" s="25" t="s">
        <v>29</v>
      </c>
      <c r="E57" s="230" t="s">
        <v>76</v>
      </c>
      <c r="F57" s="446"/>
      <c r="G57" s="474"/>
      <c r="H57" s="99">
        <f>I57+J57+K57</f>
        <v>150</v>
      </c>
      <c r="I57" s="100">
        <v>150</v>
      </c>
      <c r="J57" s="100">
        <v>0</v>
      </c>
      <c r="K57" s="100">
        <v>0</v>
      </c>
      <c r="L57" s="254"/>
      <c r="M57" s="254"/>
      <c r="N57" s="254"/>
      <c r="O57" s="254"/>
      <c r="P57" s="254"/>
      <c r="Q57" s="254"/>
      <c r="R57" s="393"/>
      <c r="S57" s="10"/>
    </row>
    <row r="58" spans="1:19" ht="27.75" hidden="1">
      <c r="A58" s="469"/>
      <c r="B58" s="516"/>
      <c r="C58" s="413"/>
      <c r="D58" s="25" t="s">
        <v>29</v>
      </c>
      <c r="E58" s="230" t="s">
        <v>77</v>
      </c>
      <c r="F58" s="447"/>
      <c r="G58" s="474"/>
      <c r="H58" s="99">
        <f>I58+J58+K58</f>
        <v>300</v>
      </c>
      <c r="I58" s="100">
        <v>300</v>
      </c>
      <c r="J58" s="100">
        <v>0</v>
      </c>
      <c r="K58" s="100">
        <v>0</v>
      </c>
      <c r="L58" s="106"/>
      <c r="M58" s="106"/>
      <c r="N58" s="106"/>
      <c r="O58" s="106"/>
      <c r="P58" s="106"/>
      <c r="Q58" s="106"/>
      <c r="R58" s="375"/>
      <c r="S58" s="10"/>
    </row>
    <row r="59" spans="1:19" s="140" customFormat="1" ht="27" hidden="1" customHeight="1">
      <c r="A59" s="469"/>
      <c r="B59" s="516"/>
      <c r="C59" s="413" t="s">
        <v>235</v>
      </c>
      <c r="D59" s="428" t="s">
        <v>361</v>
      </c>
      <c r="E59" s="428"/>
      <c r="F59" s="428"/>
      <c r="G59" s="428"/>
      <c r="H59" s="99">
        <f>SUM(H60:H63)</f>
        <v>5412.3880000000008</v>
      </c>
      <c r="I59" s="99">
        <f>SUM(I60:I63)</f>
        <v>2536.1000000000004</v>
      </c>
      <c r="J59" s="99">
        <f>SUM(J60:J63)</f>
        <v>1388.8000000000002</v>
      </c>
      <c r="K59" s="99">
        <f>SUM(K60:K63)</f>
        <v>1487.4879999999998</v>
      </c>
      <c r="L59" s="101"/>
      <c r="M59" s="101"/>
      <c r="N59" s="101"/>
      <c r="O59" s="101"/>
      <c r="P59" s="101"/>
      <c r="Q59" s="101"/>
      <c r="R59" s="374" t="s">
        <v>63</v>
      </c>
      <c r="S59" s="111"/>
    </row>
    <row r="60" spans="1:19" s="140" customFormat="1" ht="55.5" hidden="1">
      <c r="A60" s="469"/>
      <c r="B60" s="516"/>
      <c r="C60" s="413"/>
      <c r="D60" s="25" t="s">
        <v>29</v>
      </c>
      <c r="E60" s="230" t="s">
        <v>82</v>
      </c>
      <c r="F60" s="418" t="s">
        <v>17</v>
      </c>
      <c r="G60" s="418" t="s">
        <v>446</v>
      </c>
      <c r="H60" s="99">
        <f t="shared" ref="H60:H66" si="2">I60+J60+K60</f>
        <v>764.6</v>
      </c>
      <c r="I60" s="100">
        <v>324.10000000000002</v>
      </c>
      <c r="J60" s="100">
        <v>213.1</v>
      </c>
      <c r="K60" s="100">
        <v>227.4</v>
      </c>
      <c r="L60" s="254"/>
      <c r="M60" s="254"/>
      <c r="N60" s="254"/>
      <c r="O60" s="254"/>
      <c r="P60" s="254"/>
      <c r="Q60" s="254"/>
      <c r="R60" s="393"/>
      <c r="S60" s="111"/>
    </row>
    <row r="61" spans="1:19" s="140" customFormat="1" ht="27.75" hidden="1">
      <c r="A61" s="469"/>
      <c r="B61" s="516"/>
      <c r="C61" s="413"/>
      <c r="D61" s="25" t="s">
        <v>29</v>
      </c>
      <c r="E61" s="230" t="s">
        <v>76</v>
      </c>
      <c r="F61" s="418"/>
      <c r="G61" s="418"/>
      <c r="H61" s="99">
        <f t="shared" si="2"/>
        <v>302.98</v>
      </c>
      <c r="I61" s="100">
        <v>125.3</v>
      </c>
      <c r="J61" s="100">
        <v>85.78</v>
      </c>
      <c r="K61" s="100">
        <v>91.9</v>
      </c>
      <c r="L61" s="254"/>
      <c r="M61" s="254"/>
      <c r="N61" s="254"/>
      <c r="O61" s="254"/>
      <c r="P61" s="254"/>
      <c r="Q61" s="254"/>
      <c r="R61" s="393"/>
      <c r="S61" s="111"/>
    </row>
    <row r="62" spans="1:19" s="140" customFormat="1" ht="27.75" hidden="1">
      <c r="A62" s="469"/>
      <c r="B62" s="516"/>
      <c r="C62" s="413"/>
      <c r="D62" s="25" t="s">
        <v>29</v>
      </c>
      <c r="E62" s="230" t="s">
        <v>77</v>
      </c>
      <c r="F62" s="418"/>
      <c r="G62" s="418"/>
      <c r="H62" s="99">
        <f t="shared" si="2"/>
        <v>3348.27</v>
      </c>
      <c r="I62" s="100">
        <v>1528</v>
      </c>
      <c r="J62" s="100">
        <v>878.52</v>
      </c>
      <c r="K62" s="100">
        <v>941.75</v>
      </c>
      <c r="L62" s="254"/>
      <c r="M62" s="254"/>
      <c r="N62" s="254"/>
      <c r="O62" s="254"/>
      <c r="P62" s="254"/>
      <c r="Q62" s="254"/>
      <c r="R62" s="393"/>
      <c r="S62" s="111"/>
    </row>
    <row r="63" spans="1:19" s="140" customFormat="1" ht="55.5" hidden="1">
      <c r="A63" s="469"/>
      <c r="B63" s="516"/>
      <c r="C63" s="413"/>
      <c r="D63" s="25" t="s">
        <v>29</v>
      </c>
      <c r="E63" s="230" t="s">
        <v>75</v>
      </c>
      <c r="F63" s="418"/>
      <c r="G63" s="418"/>
      <c r="H63" s="99">
        <f t="shared" si="2"/>
        <v>996.53800000000001</v>
      </c>
      <c r="I63" s="100">
        <v>558.70000000000005</v>
      </c>
      <c r="J63" s="100">
        <v>211.4</v>
      </c>
      <c r="K63" s="100">
        <v>226.43799999999999</v>
      </c>
      <c r="L63" s="106"/>
      <c r="M63" s="106"/>
      <c r="N63" s="106"/>
      <c r="O63" s="106"/>
      <c r="P63" s="106"/>
      <c r="Q63" s="106"/>
      <c r="R63" s="375"/>
      <c r="S63" s="111"/>
    </row>
    <row r="64" spans="1:19" ht="249.75" hidden="1">
      <c r="A64" s="469"/>
      <c r="B64" s="516"/>
      <c r="C64" s="248" t="s">
        <v>236</v>
      </c>
      <c r="D64" s="245" t="s">
        <v>33</v>
      </c>
      <c r="E64" s="230" t="s">
        <v>76</v>
      </c>
      <c r="F64" s="231" t="s">
        <v>17</v>
      </c>
      <c r="G64" s="229" t="s">
        <v>447</v>
      </c>
      <c r="H64" s="99">
        <f t="shared" si="2"/>
        <v>5834</v>
      </c>
      <c r="I64" s="100">
        <f>2500-800</f>
        <v>1700</v>
      </c>
      <c r="J64" s="100">
        <v>2000</v>
      </c>
      <c r="K64" s="105">
        <v>2134</v>
      </c>
      <c r="L64" s="105"/>
      <c r="M64" s="105"/>
      <c r="N64" s="105"/>
      <c r="O64" s="105"/>
      <c r="P64" s="105"/>
      <c r="Q64" s="105"/>
      <c r="R64" s="248" t="s">
        <v>362</v>
      </c>
    </row>
    <row r="65" spans="1:20" ht="116.25" hidden="1">
      <c r="A65" s="469"/>
      <c r="B65" s="516"/>
      <c r="C65" s="248" t="s">
        <v>424</v>
      </c>
      <c r="D65" s="245" t="s">
        <v>422</v>
      </c>
      <c r="E65" s="230" t="s">
        <v>425</v>
      </c>
      <c r="F65" s="231" t="s">
        <v>17</v>
      </c>
      <c r="G65" s="229" t="s">
        <v>447</v>
      </c>
      <c r="H65" s="99">
        <f>I65+J65+K65</f>
        <v>3000</v>
      </c>
      <c r="I65" s="100">
        <v>3000</v>
      </c>
      <c r="J65" s="100">
        <v>0</v>
      </c>
      <c r="K65" s="105">
        <v>0</v>
      </c>
      <c r="L65" s="105"/>
      <c r="M65" s="105"/>
      <c r="N65" s="105"/>
      <c r="O65" s="105"/>
      <c r="P65" s="105"/>
      <c r="Q65" s="105"/>
      <c r="R65" s="248" t="s">
        <v>430</v>
      </c>
    </row>
    <row r="66" spans="1:20" ht="83.25" hidden="1">
      <c r="A66" s="469"/>
      <c r="B66" s="516"/>
      <c r="C66" s="237" t="s">
        <v>426</v>
      </c>
      <c r="D66" s="245" t="s">
        <v>29</v>
      </c>
      <c r="E66" s="230" t="s">
        <v>75</v>
      </c>
      <c r="F66" s="229" t="s">
        <v>222</v>
      </c>
      <c r="G66" s="229" t="s">
        <v>448</v>
      </c>
      <c r="H66" s="99">
        <f t="shared" si="2"/>
        <v>2173.5</v>
      </c>
      <c r="I66" s="100">
        <v>1867.7</v>
      </c>
      <c r="J66" s="100">
        <v>305.8</v>
      </c>
      <c r="K66" s="100"/>
      <c r="L66" s="100"/>
      <c r="M66" s="100"/>
      <c r="N66" s="100"/>
      <c r="O66" s="100"/>
      <c r="P66" s="100"/>
      <c r="Q66" s="100"/>
      <c r="R66" s="237" t="s">
        <v>281</v>
      </c>
      <c r="S66" s="109"/>
    </row>
    <row r="67" spans="1:20" ht="222" hidden="1">
      <c r="A67" s="469"/>
      <c r="B67" s="516"/>
      <c r="C67" s="149" t="s">
        <v>427</v>
      </c>
      <c r="D67" s="245" t="s">
        <v>29</v>
      </c>
      <c r="E67" s="230" t="s">
        <v>75</v>
      </c>
      <c r="F67" s="229" t="s">
        <v>222</v>
      </c>
      <c r="G67" s="229" t="s">
        <v>448</v>
      </c>
      <c r="H67" s="99">
        <f>I67+J67+K67</f>
        <v>3716.54</v>
      </c>
      <c r="I67" s="100">
        <v>946.27</v>
      </c>
      <c r="J67" s="100">
        <v>1337.3</v>
      </c>
      <c r="K67" s="100">
        <v>1432.97</v>
      </c>
      <c r="L67" s="102"/>
      <c r="M67" s="102"/>
      <c r="N67" s="102"/>
      <c r="O67" s="102"/>
      <c r="P67" s="102"/>
      <c r="Q67" s="102"/>
      <c r="R67" s="149" t="s">
        <v>106</v>
      </c>
      <c r="S67" s="109"/>
    </row>
    <row r="68" spans="1:20" ht="27" hidden="1" customHeight="1">
      <c r="A68" s="469"/>
      <c r="B68" s="516"/>
      <c r="C68" s="414" t="s">
        <v>428</v>
      </c>
      <c r="D68" s="428" t="s">
        <v>429</v>
      </c>
      <c r="E68" s="428"/>
      <c r="F68" s="428"/>
      <c r="G68" s="428"/>
      <c r="H68" s="99">
        <f>H69+H70+H71</f>
        <v>6073.8</v>
      </c>
      <c r="I68" s="99">
        <f>I69+I70+I71</f>
        <v>1217.8</v>
      </c>
      <c r="J68" s="99">
        <f>J69+J70+J71</f>
        <v>2344</v>
      </c>
      <c r="K68" s="99">
        <f>K69+K70+K71</f>
        <v>2512</v>
      </c>
      <c r="L68" s="101"/>
      <c r="M68" s="101"/>
      <c r="N68" s="101"/>
      <c r="O68" s="101"/>
      <c r="P68" s="101"/>
      <c r="Q68" s="101"/>
      <c r="R68" s="415" t="s">
        <v>74</v>
      </c>
      <c r="S68" s="109"/>
    </row>
    <row r="69" spans="1:20" ht="55.5" hidden="1">
      <c r="A69" s="469"/>
      <c r="B69" s="516"/>
      <c r="C69" s="414"/>
      <c r="D69" s="25" t="s">
        <v>29</v>
      </c>
      <c r="E69" s="150" t="s">
        <v>82</v>
      </c>
      <c r="F69" s="445" t="s">
        <v>222</v>
      </c>
      <c r="G69" s="445" t="s">
        <v>448</v>
      </c>
      <c r="H69" s="99">
        <f>I69+J69+K69</f>
        <v>144</v>
      </c>
      <c r="I69" s="100">
        <v>144</v>
      </c>
      <c r="J69" s="100"/>
      <c r="K69" s="100"/>
      <c r="L69" s="254"/>
      <c r="M69" s="254"/>
      <c r="N69" s="254"/>
      <c r="O69" s="254"/>
      <c r="P69" s="254"/>
      <c r="Q69" s="254"/>
      <c r="R69" s="416"/>
      <c r="S69" s="109"/>
    </row>
    <row r="70" spans="1:20" ht="27.75" hidden="1">
      <c r="A70" s="469"/>
      <c r="B70" s="517"/>
      <c r="C70" s="414"/>
      <c r="D70" s="25" t="s">
        <v>29</v>
      </c>
      <c r="E70" s="150" t="s">
        <v>76</v>
      </c>
      <c r="F70" s="446"/>
      <c r="G70" s="446"/>
      <c r="H70" s="99">
        <f>I70+J70+K70</f>
        <v>5723.1</v>
      </c>
      <c r="I70" s="100">
        <v>1073.8</v>
      </c>
      <c r="J70" s="100">
        <v>2244</v>
      </c>
      <c r="K70" s="100">
        <v>2405.3000000000002</v>
      </c>
      <c r="L70" s="106"/>
      <c r="M70" s="106"/>
      <c r="N70" s="106"/>
      <c r="O70" s="106"/>
      <c r="P70" s="106"/>
      <c r="Q70" s="106"/>
      <c r="R70" s="417"/>
      <c r="S70" s="110"/>
      <c r="T70" s="151"/>
    </row>
    <row r="71" spans="1:20" ht="55.5" hidden="1">
      <c r="A71" s="241"/>
      <c r="B71" s="152"/>
      <c r="C71" s="251"/>
      <c r="D71" s="25" t="s">
        <v>33</v>
      </c>
      <c r="E71" s="150" t="s">
        <v>82</v>
      </c>
      <c r="F71" s="446"/>
      <c r="G71" s="446"/>
      <c r="H71" s="99">
        <f>I71+J71+K71</f>
        <v>206.7</v>
      </c>
      <c r="I71" s="100"/>
      <c r="J71" s="100">
        <v>100</v>
      </c>
      <c r="K71" s="100">
        <v>106.7</v>
      </c>
      <c r="L71" s="100"/>
      <c r="M71" s="100"/>
      <c r="N71" s="100"/>
      <c r="O71" s="100"/>
      <c r="P71" s="100"/>
      <c r="Q71" s="100"/>
      <c r="R71" s="235"/>
      <c r="S71" s="110"/>
      <c r="T71" s="151"/>
    </row>
    <row r="72" spans="1:20" ht="83.25" hidden="1">
      <c r="A72" s="241"/>
      <c r="B72" s="152"/>
      <c r="C72" s="149" t="s">
        <v>440</v>
      </c>
      <c r="D72" s="245" t="s">
        <v>29</v>
      </c>
      <c r="E72" s="150" t="s">
        <v>82</v>
      </c>
      <c r="F72" s="446"/>
      <c r="G72" s="446"/>
      <c r="H72" s="99">
        <f>I72+J72+K72</f>
        <v>1000</v>
      </c>
      <c r="I72" s="100">
        <v>0</v>
      </c>
      <c r="J72" s="100">
        <v>1000</v>
      </c>
      <c r="K72" s="100">
        <v>0</v>
      </c>
      <c r="L72" s="100"/>
      <c r="M72" s="100"/>
      <c r="N72" s="100"/>
      <c r="O72" s="100"/>
      <c r="P72" s="100"/>
      <c r="Q72" s="100"/>
      <c r="R72" s="237" t="s">
        <v>441</v>
      </c>
      <c r="S72" s="110"/>
      <c r="T72" s="151"/>
    </row>
    <row r="73" spans="1:20" ht="27" hidden="1" customHeight="1">
      <c r="A73" s="241"/>
      <c r="B73" s="152"/>
      <c r="C73" s="415" t="s">
        <v>439</v>
      </c>
      <c r="D73" s="443" t="s">
        <v>443</v>
      </c>
      <c r="E73" s="444"/>
      <c r="F73" s="446"/>
      <c r="G73" s="446"/>
      <c r="H73" s="99">
        <f>H74+H75+H76+H77+H78+H79+H80</f>
        <v>500</v>
      </c>
      <c r="I73" s="99">
        <f>I74+I75+I76+I77+I78+I79+I80</f>
        <v>0</v>
      </c>
      <c r="J73" s="99">
        <f>J74+J75+J76+J77+J78+J79+J80</f>
        <v>500</v>
      </c>
      <c r="K73" s="99">
        <f>K74+K75+K76+K77+K78+K79+K80</f>
        <v>0</v>
      </c>
      <c r="L73" s="101"/>
      <c r="M73" s="101"/>
      <c r="N73" s="101"/>
      <c r="O73" s="101"/>
      <c r="P73" s="101"/>
      <c r="Q73" s="101"/>
      <c r="R73" s="526" t="s">
        <v>442</v>
      </c>
      <c r="S73" s="110"/>
      <c r="T73" s="151"/>
    </row>
    <row r="74" spans="1:20" ht="55.5" hidden="1">
      <c r="A74" s="241"/>
      <c r="B74" s="152"/>
      <c r="C74" s="417"/>
      <c r="D74" s="245" t="s">
        <v>29</v>
      </c>
      <c r="E74" s="150" t="s">
        <v>82</v>
      </c>
      <c r="F74" s="446"/>
      <c r="G74" s="446"/>
      <c r="H74" s="99">
        <f>I74+J74+K74</f>
        <v>101.2</v>
      </c>
      <c r="I74" s="106">
        <v>0</v>
      </c>
      <c r="J74" s="106">
        <v>101.2</v>
      </c>
      <c r="K74" s="106">
        <v>0</v>
      </c>
      <c r="L74" s="254"/>
      <c r="M74" s="254"/>
      <c r="N74" s="254"/>
      <c r="O74" s="254"/>
      <c r="P74" s="254"/>
      <c r="Q74" s="254"/>
      <c r="R74" s="527"/>
      <c r="S74" s="110"/>
      <c r="T74" s="151"/>
    </row>
    <row r="75" spans="1:20" ht="27.75" hidden="1">
      <c r="A75" s="241"/>
      <c r="B75" s="152"/>
      <c r="C75" s="153"/>
      <c r="D75" s="245" t="s">
        <v>29</v>
      </c>
      <c r="E75" s="150" t="s">
        <v>76</v>
      </c>
      <c r="F75" s="446"/>
      <c r="G75" s="446"/>
      <c r="H75" s="99">
        <f t="shared" ref="H75:H80" si="3">I75+J75+K75</f>
        <v>40.700000000000003</v>
      </c>
      <c r="I75" s="106">
        <v>0</v>
      </c>
      <c r="J75" s="106">
        <v>40.700000000000003</v>
      </c>
      <c r="K75" s="106">
        <v>0</v>
      </c>
      <c r="L75" s="254"/>
      <c r="M75" s="254"/>
      <c r="N75" s="254"/>
      <c r="O75" s="254"/>
      <c r="P75" s="254"/>
      <c r="Q75" s="254"/>
      <c r="R75" s="527"/>
      <c r="S75" s="110"/>
      <c r="T75" s="151"/>
    </row>
    <row r="76" spans="1:20" ht="27.75" hidden="1">
      <c r="A76" s="241"/>
      <c r="B76" s="152"/>
      <c r="C76" s="153"/>
      <c r="D76" s="245" t="s">
        <v>29</v>
      </c>
      <c r="E76" s="230" t="s">
        <v>77</v>
      </c>
      <c r="F76" s="446"/>
      <c r="G76" s="446"/>
      <c r="H76" s="99">
        <f t="shared" si="3"/>
        <v>99</v>
      </c>
      <c r="I76" s="106">
        <v>0</v>
      </c>
      <c r="J76" s="106">
        <v>99</v>
      </c>
      <c r="K76" s="106">
        <v>0</v>
      </c>
      <c r="L76" s="254"/>
      <c r="M76" s="254"/>
      <c r="N76" s="254"/>
      <c r="O76" s="254"/>
      <c r="P76" s="254"/>
      <c r="Q76" s="254"/>
      <c r="R76" s="527"/>
      <c r="S76" s="110"/>
      <c r="T76" s="151"/>
    </row>
    <row r="77" spans="1:20" ht="55.5" hidden="1">
      <c r="A77" s="241"/>
      <c r="B77" s="152"/>
      <c r="C77" s="153"/>
      <c r="D77" s="245" t="s">
        <v>29</v>
      </c>
      <c r="E77" s="230" t="s">
        <v>75</v>
      </c>
      <c r="F77" s="446"/>
      <c r="G77" s="446"/>
      <c r="H77" s="99">
        <f t="shared" si="3"/>
        <v>99</v>
      </c>
      <c r="I77" s="106">
        <v>0</v>
      </c>
      <c r="J77" s="106">
        <v>99</v>
      </c>
      <c r="K77" s="106">
        <v>0</v>
      </c>
      <c r="L77" s="254"/>
      <c r="M77" s="254"/>
      <c r="N77" s="254"/>
      <c r="O77" s="254"/>
      <c r="P77" s="254"/>
      <c r="Q77" s="254"/>
      <c r="R77" s="527"/>
      <c r="S77" s="110"/>
      <c r="T77" s="151"/>
    </row>
    <row r="78" spans="1:20" ht="55.5" hidden="1" customHeight="1">
      <c r="A78" s="241"/>
      <c r="B78" s="152"/>
      <c r="C78" s="153"/>
      <c r="D78" s="154" t="s">
        <v>30</v>
      </c>
      <c r="E78" s="41" t="s">
        <v>79</v>
      </c>
      <c r="F78" s="446"/>
      <c r="G78" s="446"/>
      <c r="H78" s="99">
        <f t="shared" si="3"/>
        <v>58.8</v>
      </c>
      <c r="I78" s="106">
        <v>0</v>
      </c>
      <c r="J78" s="106">
        <v>58.8</v>
      </c>
      <c r="K78" s="106">
        <v>0</v>
      </c>
      <c r="L78" s="254"/>
      <c r="M78" s="254"/>
      <c r="N78" s="254"/>
      <c r="O78" s="254"/>
      <c r="P78" s="254"/>
      <c r="Q78" s="254"/>
      <c r="R78" s="527"/>
      <c r="S78" s="110"/>
      <c r="T78" s="151"/>
    </row>
    <row r="79" spans="1:20" ht="55.5" hidden="1">
      <c r="A79" s="241"/>
      <c r="B79" s="152"/>
      <c r="C79" s="153"/>
      <c r="D79" s="25" t="s">
        <v>33</v>
      </c>
      <c r="E79" s="230" t="s">
        <v>80</v>
      </c>
      <c r="F79" s="446"/>
      <c r="G79" s="446"/>
      <c r="H79" s="99">
        <f t="shared" si="3"/>
        <v>48</v>
      </c>
      <c r="I79" s="106">
        <v>0</v>
      </c>
      <c r="J79" s="106">
        <v>48</v>
      </c>
      <c r="K79" s="106">
        <v>0</v>
      </c>
      <c r="L79" s="254"/>
      <c r="M79" s="254"/>
      <c r="N79" s="254"/>
      <c r="O79" s="254"/>
      <c r="P79" s="254"/>
      <c r="Q79" s="254"/>
      <c r="R79" s="527"/>
      <c r="S79" s="110"/>
      <c r="T79" s="151"/>
    </row>
    <row r="80" spans="1:20" ht="55.5" hidden="1">
      <c r="A80" s="241"/>
      <c r="B80" s="152"/>
      <c r="C80" s="153"/>
      <c r="D80" s="25" t="s">
        <v>33</v>
      </c>
      <c r="E80" s="141" t="s">
        <v>81</v>
      </c>
      <c r="F80" s="447"/>
      <c r="G80" s="447"/>
      <c r="H80" s="99">
        <f t="shared" si="3"/>
        <v>53.3</v>
      </c>
      <c r="I80" s="106">
        <v>0</v>
      </c>
      <c r="J80" s="106">
        <v>53.3</v>
      </c>
      <c r="K80" s="106">
        <v>0</v>
      </c>
      <c r="L80" s="106"/>
      <c r="M80" s="106"/>
      <c r="N80" s="106"/>
      <c r="O80" s="106"/>
      <c r="P80" s="106"/>
      <c r="Q80" s="106"/>
      <c r="R80" s="528"/>
      <c r="S80" s="110"/>
      <c r="T80" s="151"/>
    </row>
    <row r="81" spans="1:20" ht="27" hidden="1" customHeight="1">
      <c r="A81" s="433"/>
      <c r="B81" s="434"/>
      <c r="C81" s="434"/>
      <c r="D81" s="435"/>
      <c r="E81" s="497" t="s">
        <v>285</v>
      </c>
      <c r="F81" s="498"/>
      <c r="G81" s="155"/>
      <c r="H81" s="125">
        <f>H25+H38+H43+H49+H50+H51+H52+H55+H59+H64+H66+H67+H68+H65+H72+H73</f>
        <v>175726.32499999998</v>
      </c>
      <c r="I81" s="125">
        <f>I25+I38+I43+I49+I50+I51+I52+I55+I59+I64+I66+I67+I68+I65+I72+I73</f>
        <v>115004.61300000001</v>
      </c>
      <c r="J81" s="125">
        <f>J25+J38+J43+J49+J50+J51+J52+J55+J59+J64+J66+J67+J68+J65+J72+J73</f>
        <v>31066.28</v>
      </c>
      <c r="K81" s="125">
        <f>K25+K38+K43+K49+K50+K51+K52+K55+K59+K64+K66+K67+K68+K65+K72+K73</f>
        <v>29655.432000000001</v>
      </c>
      <c r="L81" s="255"/>
      <c r="M81" s="255"/>
      <c r="N81" s="255"/>
      <c r="O81" s="255"/>
      <c r="P81" s="255"/>
      <c r="Q81" s="255"/>
      <c r="R81" s="526"/>
      <c r="S81" s="110"/>
      <c r="T81" s="151"/>
    </row>
    <row r="82" spans="1:20" ht="46.5" hidden="1">
      <c r="A82" s="436"/>
      <c r="B82" s="437"/>
      <c r="C82" s="437"/>
      <c r="D82" s="438"/>
      <c r="E82" s="499"/>
      <c r="F82" s="500"/>
      <c r="G82" s="229" t="s">
        <v>448</v>
      </c>
      <c r="H82" s="99">
        <f>H26+H38+H44+H46+H47+H48+H49+H50+H51+H54+H55+H59+H64+H66+H67+H68+H65</f>
        <v>125978.92499999999</v>
      </c>
      <c r="I82" s="99">
        <f>I26+I38+I44+I46+I47+I48+I49+I50+I51+I54+I55+I59+I64+I66+I67+I68+I65</f>
        <v>66757.212999999989</v>
      </c>
      <c r="J82" s="99">
        <f>J26+J38+J44+J46+J47+J48+J49+J50+J51+J54+J55+J59+J64+J66+J67+J68+J65+J72+J73</f>
        <v>31066.28</v>
      </c>
      <c r="K82" s="99">
        <f>K26+K38+K44+K46+K47+K48+K49+K50+K51+K54+K55+K59+K64+K66+K67+K68+K65</f>
        <v>29655.431999999997</v>
      </c>
      <c r="L82" s="255"/>
      <c r="M82" s="255"/>
      <c r="N82" s="255"/>
      <c r="O82" s="255"/>
      <c r="P82" s="255"/>
      <c r="Q82" s="255"/>
      <c r="R82" s="527"/>
      <c r="S82" s="110"/>
      <c r="T82" s="151"/>
    </row>
    <row r="83" spans="1:20" ht="69.75" hidden="1">
      <c r="A83" s="436"/>
      <c r="B83" s="437"/>
      <c r="C83" s="437"/>
      <c r="D83" s="438"/>
      <c r="E83" s="499"/>
      <c r="F83" s="500"/>
      <c r="G83" s="156" t="s">
        <v>96</v>
      </c>
      <c r="H83" s="99">
        <f>H33</f>
        <v>45359.9</v>
      </c>
      <c r="I83" s="99">
        <f>I33</f>
        <v>45359.9</v>
      </c>
      <c r="J83" s="99">
        <f>J33</f>
        <v>0</v>
      </c>
      <c r="K83" s="99">
        <f>K33</f>
        <v>0</v>
      </c>
      <c r="L83" s="255"/>
      <c r="M83" s="255"/>
      <c r="N83" s="255"/>
      <c r="O83" s="255"/>
      <c r="P83" s="255"/>
      <c r="Q83" s="255"/>
      <c r="R83" s="527"/>
      <c r="S83" s="110"/>
      <c r="T83" s="151"/>
    </row>
    <row r="84" spans="1:20" ht="139.5" hidden="1" customHeight="1">
      <c r="A84" s="436"/>
      <c r="B84" s="437"/>
      <c r="C84" s="437"/>
      <c r="D84" s="438"/>
      <c r="E84" s="499"/>
      <c r="F84" s="500"/>
      <c r="G84" s="229" t="s">
        <v>99</v>
      </c>
      <c r="H84" s="99">
        <f>H31+H45+H53</f>
        <v>2827.5</v>
      </c>
      <c r="I84" s="99">
        <f>I31+I45+I53</f>
        <v>2827.5</v>
      </c>
      <c r="J84" s="99">
        <f>J31+J45+J53</f>
        <v>0</v>
      </c>
      <c r="K84" s="99">
        <f>K31+K45+K53</f>
        <v>0</v>
      </c>
      <c r="L84" s="255"/>
      <c r="M84" s="255"/>
      <c r="N84" s="255"/>
      <c r="O84" s="255"/>
      <c r="P84" s="255"/>
      <c r="Q84" s="255"/>
      <c r="R84" s="527"/>
      <c r="S84" s="110"/>
      <c r="T84" s="151"/>
    </row>
    <row r="85" spans="1:20" ht="46.5" hidden="1" customHeight="1">
      <c r="A85" s="436"/>
      <c r="B85" s="437"/>
      <c r="C85" s="437"/>
      <c r="D85" s="438"/>
      <c r="E85" s="501"/>
      <c r="F85" s="502"/>
      <c r="G85" s="246" t="s">
        <v>344</v>
      </c>
      <c r="H85" s="99">
        <f>H32</f>
        <v>60</v>
      </c>
      <c r="I85" s="99">
        <f>I32</f>
        <v>60</v>
      </c>
      <c r="J85" s="99">
        <f>J32</f>
        <v>0</v>
      </c>
      <c r="K85" s="99">
        <f>K32</f>
        <v>0</v>
      </c>
      <c r="L85" s="255"/>
      <c r="M85" s="255"/>
      <c r="N85" s="255"/>
      <c r="O85" s="255"/>
      <c r="P85" s="255"/>
      <c r="Q85" s="255"/>
      <c r="R85" s="527"/>
      <c r="S85" s="110"/>
      <c r="T85" s="151"/>
    </row>
    <row r="86" spans="1:20" ht="27.75" hidden="1">
      <c r="A86" s="436"/>
      <c r="B86" s="437"/>
      <c r="C86" s="437"/>
      <c r="D86" s="438"/>
      <c r="E86" s="376" t="s">
        <v>286</v>
      </c>
      <c r="F86" s="378"/>
      <c r="G86" s="229"/>
      <c r="H86" s="99"/>
      <c r="I86" s="106"/>
      <c r="J86" s="100"/>
      <c r="K86" s="100"/>
      <c r="L86" s="254"/>
      <c r="M86" s="254"/>
      <c r="N86" s="254"/>
      <c r="O86" s="254"/>
      <c r="P86" s="254"/>
      <c r="Q86" s="254"/>
      <c r="R86" s="527"/>
      <c r="S86" s="110"/>
      <c r="T86" s="151"/>
    </row>
    <row r="87" spans="1:20" ht="27" hidden="1" customHeight="1">
      <c r="A87" s="436"/>
      <c r="B87" s="437"/>
      <c r="C87" s="437"/>
      <c r="D87" s="438"/>
      <c r="E87" s="479" t="s">
        <v>82</v>
      </c>
      <c r="F87" s="480"/>
      <c r="G87" s="242" t="s">
        <v>98</v>
      </c>
      <c r="H87" s="99">
        <f>SUM(H88:H91)</f>
        <v>39387.53</v>
      </c>
      <c r="I87" s="99">
        <f>SUM(I88:I91)</f>
        <v>28290.43</v>
      </c>
      <c r="J87" s="99">
        <f>SUM(J88:J91)</f>
        <v>6071.2</v>
      </c>
      <c r="K87" s="99">
        <f>SUM(K88:K91)</f>
        <v>5025.8999999999996</v>
      </c>
      <c r="L87" s="255"/>
      <c r="M87" s="255"/>
      <c r="N87" s="255"/>
      <c r="O87" s="255"/>
      <c r="P87" s="255"/>
      <c r="Q87" s="255"/>
      <c r="R87" s="527"/>
      <c r="S87" s="110"/>
      <c r="T87" s="151"/>
    </row>
    <row r="88" spans="1:20" ht="46.5" hidden="1">
      <c r="A88" s="436"/>
      <c r="B88" s="437"/>
      <c r="C88" s="437"/>
      <c r="D88" s="438"/>
      <c r="E88" s="481"/>
      <c r="F88" s="482"/>
      <c r="G88" s="229" t="s">
        <v>448</v>
      </c>
      <c r="H88" s="99">
        <f>H27+H39+H44+H49+H50+H51+H56+H60+H69+H72+H74+H71</f>
        <v>26694.73</v>
      </c>
      <c r="I88" s="99">
        <f>I27+I39+I44+I49+I50+I51+I56+I60+I69+I72+I74</f>
        <v>15597.63</v>
      </c>
      <c r="J88" s="99">
        <f>J27+J39+J44+J49+J50+J51+J56+J60+J69+J72+J74+J71</f>
        <v>6071.2</v>
      </c>
      <c r="K88" s="99">
        <f>K27+K39+K44+K49+K50+K51+K56+K60+K69+K72+K74+K71</f>
        <v>5025.8999999999996</v>
      </c>
      <c r="L88" s="255"/>
      <c r="M88" s="255"/>
      <c r="N88" s="255"/>
      <c r="O88" s="255"/>
      <c r="P88" s="255"/>
      <c r="Q88" s="255"/>
      <c r="R88" s="527"/>
      <c r="S88" s="110"/>
      <c r="T88" s="151"/>
    </row>
    <row r="89" spans="1:20" ht="69.75" hidden="1">
      <c r="A89" s="436"/>
      <c r="B89" s="437"/>
      <c r="C89" s="437"/>
      <c r="D89" s="438"/>
      <c r="E89" s="481"/>
      <c r="F89" s="482"/>
      <c r="G89" s="156" t="s">
        <v>96</v>
      </c>
      <c r="H89" s="99">
        <f>H34</f>
        <v>12485.6</v>
      </c>
      <c r="I89" s="99">
        <f>I34</f>
        <v>12485.6</v>
      </c>
      <c r="J89" s="99">
        <f>J34</f>
        <v>0</v>
      </c>
      <c r="K89" s="99">
        <f>K34</f>
        <v>0</v>
      </c>
      <c r="L89" s="255"/>
      <c r="M89" s="255"/>
      <c r="N89" s="255"/>
      <c r="O89" s="255"/>
      <c r="P89" s="255"/>
      <c r="Q89" s="255"/>
      <c r="R89" s="527"/>
      <c r="S89" s="110"/>
      <c r="T89" s="151"/>
    </row>
    <row r="90" spans="1:20" ht="139.5" hidden="1" customHeight="1">
      <c r="A90" s="436"/>
      <c r="B90" s="437"/>
      <c r="C90" s="437"/>
      <c r="D90" s="438"/>
      <c r="E90" s="481"/>
      <c r="F90" s="482"/>
      <c r="G90" s="229" t="s">
        <v>99</v>
      </c>
      <c r="H90" s="99">
        <f>H31+H45</f>
        <v>147.19999999999999</v>
      </c>
      <c r="I90" s="99">
        <f>I31+I45</f>
        <v>147.19999999999999</v>
      </c>
      <c r="J90" s="99">
        <f>J31+J45</f>
        <v>0</v>
      </c>
      <c r="K90" s="99">
        <f>K31+K45</f>
        <v>0</v>
      </c>
      <c r="L90" s="255"/>
      <c r="M90" s="255"/>
      <c r="N90" s="255"/>
      <c r="O90" s="255"/>
      <c r="P90" s="255"/>
      <c r="Q90" s="255"/>
      <c r="R90" s="527"/>
      <c r="S90" s="110"/>
      <c r="T90" s="151"/>
    </row>
    <row r="91" spans="1:20" ht="46.5" hidden="1" customHeight="1">
      <c r="A91" s="436"/>
      <c r="B91" s="437"/>
      <c r="C91" s="437"/>
      <c r="D91" s="438"/>
      <c r="E91" s="483"/>
      <c r="F91" s="484"/>
      <c r="G91" s="246" t="s">
        <v>344</v>
      </c>
      <c r="H91" s="99">
        <f>H32</f>
        <v>60</v>
      </c>
      <c r="I91" s="99">
        <f>I32</f>
        <v>60</v>
      </c>
      <c r="J91" s="99">
        <f>J32</f>
        <v>0</v>
      </c>
      <c r="K91" s="99">
        <f>K32</f>
        <v>0</v>
      </c>
      <c r="L91" s="255"/>
      <c r="M91" s="255"/>
      <c r="N91" s="255"/>
      <c r="O91" s="255"/>
      <c r="P91" s="255"/>
      <c r="Q91" s="255"/>
      <c r="R91" s="527"/>
      <c r="S91" s="110"/>
      <c r="T91" s="151"/>
    </row>
    <row r="92" spans="1:20" ht="27" hidden="1" customHeight="1">
      <c r="A92" s="436"/>
      <c r="B92" s="437"/>
      <c r="C92" s="437"/>
      <c r="D92" s="438"/>
      <c r="E92" s="479" t="s">
        <v>76</v>
      </c>
      <c r="F92" s="480"/>
      <c r="G92" s="242" t="s">
        <v>98</v>
      </c>
      <c r="H92" s="99">
        <f>SUM(H93:H94)</f>
        <v>37542.879999999997</v>
      </c>
      <c r="I92" s="99">
        <f>SUM(I93:I94)</f>
        <v>19021.3</v>
      </c>
      <c r="J92" s="99">
        <f>SUM(J93:J94)</f>
        <v>8928.2799999999988</v>
      </c>
      <c r="K92" s="99">
        <f>SUM(K93:K94)</f>
        <v>9593.2999999999993</v>
      </c>
      <c r="L92" s="255"/>
      <c r="M92" s="255"/>
      <c r="N92" s="255"/>
      <c r="O92" s="255"/>
      <c r="P92" s="255"/>
      <c r="Q92" s="255"/>
      <c r="R92" s="527"/>
      <c r="S92" s="110"/>
      <c r="T92" s="151"/>
    </row>
    <row r="93" spans="1:20" ht="46.5" hidden="1">
      <c r="A93" s="436"/>
      <c r="B93" s="437"/>
      <c r="C93" s="437"/>
      <c r="D93" s="438"/>
      <c r="E93" s="481"/>
      <c r="F93" s="482"/>
      <c r="G93" s="229" t="s">
        <v>448</v>
      </c>
      <c r="H93" s="99">
        <f>H28+H40+H46+H57+H61+H64+H70</f>
        <v>29382.78</v>
      </c>
      <c r="I93" s="99">
        <f>I28+I40+I46+I57+I61+I64+I70</f>
        <v>10861.199999999999</v>
      </c>
      <c r="J93" s="99">
        <f>J28+J40+J46+J57+J61+J64+J70</f>
        <v>8928.2799999999988</v>
      </c>
      <c r="K93" s="99">
        <f>K28+K40+K46+K57+K61+K64+K70</f>
        <v>9593.2999999999993</v>
      </c>
      <c r="L93" s="255"/>
      <c r="M93" s="255"/>
      <c r="N93" s="255"/>
      <c r="O93" s="255"/>
      <c r="P93" s="255"/>
      <c r="Q93" s="255"/>
      <c r="R93" s="527"/>
      <c r="S93" s="110"/>
      <c r="T93" s="151"/>
    </row>
    <row r="94" spans="1:20" ht="69.75" hidden="1">
      <c r="A94" s="436"/>
      <c r="B94" s="437"/>
      <c r="C94" s="437"/>
      <c r="D94" s="438"/>
      <c r="E94" s="483"/>
      <c r="F94" s="484"/>
      <c r="G94" s="156" t="s">
        <v>96</v>
      </c>
      <c r="H94" s="99">
        <f>H35</f>
        <v>8160.1</v>
      </c>
      <c r="I94" s="99">
        <f>I35</f>
        <v>8160.1</v>
      </c>
      <c r="J94" s="99">
        <f>J35</f>
        <v>0</v>
      </c>
      <c r="K94" s="99">
        <f>K35</f>
        <v>0</v>
      </c>
      <c r="L94" s="255"/>
      <c r="M94" s="255"/>
      <c r="N94" s="255"/>
      <c r="O94" s="255"/>
      <c r="P94" s="255"/>
      <c r="Q94" s="255"/>
      <c r="R94" s="527"/>
      <c r="S94" s="110"/>
      <c r="T94" s="151"/>
    </row>
    <row r="95" spans="1:20" ht="27" hidden="1" customHeight="1">
      <c r="A95" s="436"/>
      <c r="B95" s="437"/>
      <c r="C95" s="437"/>
      <c r="D95" s="438"/>
      <c r="E95" s="479" t="s">
        <v>77</v>
      </c>
      <c r="F95" s="480"/>
      <c r="G95" s="242" t="s">
        <v>98</v>
      </c>
      <c r="H95" s="99">
        <f>SUM(H96:H98)</f>
        <v>47663.11</v>
      </c>
      <c r="I95" s="99">
        <f>SUM(I96:I98)</f>
        <v>33332.700000000004</v>
      </c>
      <c r="J95" s="99">
        <f>SUM(J96:J98)</f>
        <v>6896.57</v>
      </c>
      <c r="K95" s="99">
        <f>SUM(K96:K98)</f>
        <v>7433.84</v>
      </c>
      <c r="L95" s="255"/>
      <c r="M95" s="255"/>
      <c r="N95" s="255"/>
      <c r="O95" s="255"/>
      <c r="P95" s="255"/>
      <c r="Q95" s="255"/>
      <c r="R95" s="527"/>
      <c r="S95" s="110"/>
      <c r="T95" s="151"/>
    </row>
    <row r="96" spans="1:20" ht="46.5" hidden="1">
      <c r="A96" s="436"/>
      <c r="B96" s="437"/>
      <c r="C96" s="437"/>
      <c r="D96" s="438"/>
      <c r="E96" s="481"/>
      <c r="F96" s="482"/>
      <c r="G96" s="229" t="s">
        <v>448</v>
      </c>
      <c r="H96" s="99">
        <f>H29+H41+H47+H54+H58+H62</f>
        <v>32116.61</v>
      </c>
      <c r="I96" s="99">
        <f>I29+I41+I47+I54+I58+I62</f>
        <v>17786.2</v>
      </c>
      <c r="J96" s="99">
        <f>J29+J41+J47+J54+J58+J62</f>
        <v>6896.57</v>
      </c>
      <c r="K96" s="99">
        <f>K29+K41+K47+K54+K58+K62</f>
        <v>7433.84</v>
      </c>
      <c r="L96" s="255"/>
      <c r="M96" s="255"/>
      <c r="N96" s="255"/>
      <c r="O96" s="255"/>
      <c r="P96" s="255"/>
      <c r="Q96" s="255"/>
      <c r="R96" s="527"/>
      <c r="S96" s="110"/>
      <c r="T96" s="151"/>
    </row>
    <row r="97" spans="1:20" ht="69.75" hidden="1">
      <c r="A97" s="436"/>
      <c r="B97" s="437"/>
      <c r="C97" s="437"/>
      <c r="D97" s="438"/>
      <c r="E97" s="481"/>
      <c r="F97" s="482"/>
      <c r="G97" s="156" t="s">
        <v>96</v>
      </c>
      <c r="H97" s="99">
        <f>H36</f>
        <v>12866.2</v>
      </c>
      <c r="I97" s="99">
        <f>I36</f>
        <v>12866.2</v>
      </c>
      <c r="J97" s="99">
        <f>J36</f>
        <v>0</v>
      </c>
      <c r="K97" s="99">
        <f>K36</f>
        <v>0</v>
      </c>
      <c r="L97" s="255"/>
      <c r="M97" s="255"/>
      <c r="N97" s="255"/>
      <c r="O97" s="255"/>
      <c r="P97" s="255"/>
      <c r="Q97" s="255"/>
      <c r="R97" s="527"/>
      <c r="S97" s="110"/>
      <c r="T97" s="151"/>
    </row>
    <row r="98" spans="1:20" ht="139.5" hidden="1" customHeight="1">
      <c r="A98" s="436"/>
      <c r="B98" s="437"/>
      <c r="C98" s="437"/>
      <c r="D98" s="438"/>
      <c r="E98" s="483"/>
      <c r="F98" s="484"/>
      <c r="G98" s="229" t="s">
        <v>99</v>
      </c>
      <c r="H98" s="99">
        <f>H53</f>
        <v>2680.3</v>
      </c>
      <c r="I98" s="99">
        <f>I53</f>
        <v>2680.3</v>
      </c>
      <c r="J98" s="99">
        <f>J53</f>
        <v>0</v>
      </c>
      <c r="K98" s="99">
        <f>K53</f>
        <v>0</v>
      </c>
      <c r="L98" s="255"/>
      <c r="M98" s="255"/>
      <c r="N98" s="255"/>
      <c r="O98" s="255"/>
      <c r="P98" s="255"/>
      <c r="Q98" s="255"/>
      <c r="R98" s="527"/>
      <c r="S98" s="110"/>
      <c r="T98" s="151"/>
    </row>
    <row r="99" spans="1:20" ht="27" hidden="1" customHeight="1">
      <c r="A99" s="436"/>
      <c r="B99" s="437"/>
      <c r="C99" s="437"/>
      <c r="D99" s="438"/>
      <c r="E99" s="479" t="s">
        <v>75</v>
      </c>
      <c r="F99" s="480"/>
      <c r="G99" s="242" t="s">
        <v>98</v>
      </c>
      <c r="H99" s="99">
        <f>SUM(H100:H101)</f>
        <v>47734.004999999997</v>
      </c>
      <c r="I99" s="99">
        <f>SUM(I100:I101)</f>
        <v>31360.183000000001</v>
      </c>
      <c r="J99" s="99">
        <f>SUM(J100:J101)</f>
        <v>8771.43</v>
      </c>
      <c r="K99" s="99">
        <f>SUM(K100:K101)</f>
        <v>7602.3920000000007</v>
      </c>
      <c r="L99" s="255"/>
      <c r="M99" s="255"/>
      <c r="N99" s="255"/>
      <c r="O99" s="255"/>
      <c r="P99" s="255"/>
      <c r="Q99" s="255"/>
      <c r="R99" s="527"/>
      <c r="S99" s="110"/>
      <c r="T99" s="151"/>
    </row>
    <row r="100" spans="1:20" ht="46.5" hidden="1">
      <c r="A100" s="436"/>
      <c r="B100" s="437"/>
      <c r="C100" s="437"/>
      <c r="D100" s="438"/>
      <c r="E100" s="481"/>
      <c r="F100" s="482"/>
      <c r="G100" s="229" t="s">
        <v>448</v>
      </c>
      <c r="H100" s="99">
        <f>H30+H42+H48+H63+H66+H67</f>
        <v>35886.004999999997</v>
      </c>
      <c r="I100" s="99">
        <f>I30+I42+I48+I63+I66+I67</f>
        <v>19512.183000000001</v>
      </c>
      <c r="J100" s="99">
        <f>J30+J42+J48+J63+J66+J67</f>
        <v>8771.43</v>
      </c>
      <c r="K100" s="99">
        <f>K30+K42+K48+K63+K66+K67</f>
        <v>7602.3920000000007</v>
      </c>
      <c r="L100" s="255"/>
      <c r="M100" s="255"/>
      <c r="N100" s="255"/>
      <c r="O100" s="255"/>
      <c r="P100" s="255"/>
      <c r="Q100" s="255"/>
      <c r="R100" s="527"/>
      <c r="S100" s="110"/>
      <c r="T100" s="151"/>
    </row>
    <row r="101" spans="1:20" ht="69.75" hidden="1">
      <c r="A101" s="436"/>
      <c r="B101" s="437"/>
      <c r="C101" s="437"/>
      <c r="D101" s="438"/>
      <c r="E101" s="483"/>
      <c r="F101" s="484"/>
      <c r="G101" s="156" t="s">
        <v>96</v>
      </c>
      <c r="H101" s="99">
        <f>H37</f>
        <v>11848</v>
      </c>
      <c r="I101" s="99">
        <f>I37</f>
        <v>11848</v>
      </c>
      <c r="J101" s="99">
        <f>J37</f>
        <v>0</v>
      </c>
      <c r="K101" s="99">
        <f>K37</f>
        <v>0</v>
      </c>
      <c r="L101" s="125"/>
      <c r="M101" s="125"/>
      <c r="N101" s="125"/>
      <c r="O101" s="125"/>
      <c r="P101" s="125"/>
      <c r="Q101" s="125"/>
      <c r="R101" s="528"/>
      <c r="S101" s="110"/>
      <c r="T101" s="151"/>
    </row>
    <row r="102" spans="1:20" ht="46.5" hidden="1">
      <c r="A102" s="439"/>
      <c r="B102" s="440"/>
      <c r="C102" s="440"/>
      <c r="D102" s="441"/>
      <c r="E102" s="431" t="s">
        <v>425</v>
      </c>
      <c r="F102" s="432"/>
      <c r="G102" s="229" t="s">
        <v>448</v>
      </c>
      <c r="H102" s="99">
        <f>H65</f>
        <v>3000</v>
      </c>
      <c r="I102" s="99">
        <f>I65</f>
        <v>3000</v>
      </c>
      <c r="J102" s="99">
        <f>J65</f>
        <v>0</v>
      </c>
      <c r="K102" s="99">
        <f>K65</f>
        <v>0</v>
      </c>
      <c r="L102" s="125"/>
      <c r="M102" s="125"/>
      <c r="N102" s="125"/>
      <c r="O102" s="125"/>
      <c r="P102" s="125"/>
      <c r="Q102" s="125"/>
      <c r="R102" s="238"/>
      <c r="S102" s="110"/>
      <c r="T102" s="151"/>
    </row>
    <row r="103" spans="1:20" s="140" customFormat="1" ht="27" hidden="1" customHeight="1">
      <c r="A103" s="495" t="s">
        <v>237</v>
      </c>
      <c r="B103" s="398" t="s">
        <v>421</v>
      </c>
      <c r="C103" s="450" t="s">
        <v>239</v>
      </c>
      <c r="D103" s="470" t="s">
        <v>364</v>
      </c>
      <c r="E103" s="471"/>
      <c r="F103" s="471"/>
      <c r="G103" s="472"/>
      <c r="H103" s="99">
        <f>H104+H105</f>
        <v>8977.9000000000015</v>
      </c>
      <c r="I103" s="99">
        <f>I104+I105</f>
        <v>8977.9000000000015</v>
      </c>
      <c r="J103" s="99">
        <f>J104+J105</f>
        <v>0</v>
      </c>
      <c r="K103" s="99">
        <f>K104+K105</f>
        <v>0</v>
      </c>
      <c r="L103" s="101"/>
      <c r="M103" s="101"/>
      <c r="N103" s="101"/>
      <c r="O103" s="101"/>
      <c r="P103" s="101"/>
      <c r="Q103" s="101"/>
      <c r="R103" s="586" t="s">
        <v>150</v>
      </c>
      <c r="S103" s="111"/>
    </row>
    <row r="104" spans="1:20" s="140" customFormat="1" ht="46.5" hidden="1">
      <c r="A104" s="496"/>
      <c r="B104" s="399"/>
      <c r="C104" s="450"/>
      <c r="D104" s="429" t="s">
        <v>30</v>
      </c>
      <c r="E104" s="374" t="s">
        <v>79</v>
      </c>
      <c r="F104" s="442" t="s">
        <v>222</v>
      </c>
      <c r="G104" s="229" t="s">
        <v>449</v>
      </c>
      <c r="H104" s="99">
        <f>I104+J104+K104</f>
        <v>2630.3</v>
      </c>
      <c r="I104" s="100">
        <f>4309.8-9.5-1000-670</f>
        <v>2630.3</v>
      </c>
      <c r="J104" s="100">
        <v>0</v>
      </c>
      <c r="K104" s="100">
        <v>0</v>
      </c>
      <c r="L104" s="254"/>
      <c r="M104" s="254"/>
      <c r="N104" s="254"/>
      <c r="O104" s="254"/>
      <c r="P104" s="254"/>
      <c r="Q104" s="254"/>
      <c r="R104" s="587"/>
      <c r="S104" s="111"/>
    </row>
    <row r="105" spans="1:20" s="140" customFormat="1" ht="69.75" hidden="1">
      <c r="A105" s="496"/>
      <c r="B105" s="399"/>
      <c r="C105" s="450"/>
      <c r="D105" s="430"/>
      <c r="E105" s="375"/>
      <c r="F105" s="442"/>
      <c r="G105" s="229" t="s">
        <v>96</v>
      </c>
      <c r="H105" s="99">
        <f>I105+J105+K105</f>
        <v>6347.6</v>
      </c>
      <c r="I105" s="100">
        <v>6347.6</v>
      </c>
      <c r="J105" s="100">
        <v>0</v>
      </c>
      <c r="K105" s="100">
        <v>0</v>
      </c>
      <c r="L105" s="254"/>
      <c r="M105" s="254"/>
      <c r="N105" s="254"/>
      <c r="O105" s="254"/>
      <c r="P105" s="254"/>
      <c r="Q105" s="254"/>
      <c r="R105" s="587"/>
      <c r="S105" s="111"/>
    </row>
    <row r="106" spans="1:20" s="140" customFormat="1" ht="83.25" hidden="1">
      <c r="A106" s="496"/>
      <c r="B106" s="399"/>
      <c r="C106" s="230" t="s">
        <v>275</v>
      </c>
      <c r="D106" s="154" t="s">
        <v>30</v>
      </c>
      <c r="E106" s="41" t="s">
        <v>79</v>
      </c>
      <c r="F106" s="442"/>
      <c r="G106" s="229" t="s">
        <v>446</v>
      </c>
      <c r="H106" s="99">
        <f>I106+J106+K106</f>
        <v>8369.6</v>
      </c>
      <c r="I106" s="100">
        <f>3145.8-450</f>
        <v>2695.8</v>
      </c>
      <c r="J106" s="100">
        <v>2727.8</v>
      </c>
      <c r="K106" s="100">
        <v>2946</v>
      </c>
      <c r="L106" s="254"/>
      <c r="M106" s="254"/>
      <c r="N106" s="254"/>
      <c r="O106" s="254"/>
      <c r="P106" s="254"/>
      <c r="Q106" s="254"/>
      <c r="R106" s="587"/>
      <c r="S106" s="111"/>
    </row>
    <row r="107" spans="1:20" s="140" customFormat="1" ht="83.25" hidden="1">
      <c r="A107" s="496"/>
      <c r="B107" s="399"/>
      <c r="C107" s="230" t="s">
        <v>276</v>
      </c>
      <c r="D107" s="154" t="s">
        <v>30</v>
      </c>
      <c r="E107" s="41" t="s">
        <v>79</v>
      </c>
      <c r="F107" s="442"/>
      <c r="G107" s="229" t="s">
        <v>446</v>
      </c>
      <c r="H107" s="99">
        <f>I107+J107+K107</f>
        <v>1062.92</v>
      </c>
      <c r="I107" s="105">
        <v>525.5</v>
      </c>
      <c r="J107" s="100">
        <v>260</v>
      </c>
      <c r="K107" s="126">
        <v>277.42</v>
      </c>
      <c r="L107" s="257"/>
      <c r="M107" s="257"/>
      <c r="N107" s="257"/>
      <c r="O107" s="257"/>
      <c r="P107" s="257"/>
      <c r="Q107" s="257"/>
      <c r="R107" s="587"/>
      <c r="S107" s="111"/>
    </row>
    <row r="108" spans="1:20" s="140" customFormat="1" ht="138.75" hidden="1">
      <c r="A108" s="496"/>
      <c r="B108" s="400"/>
      <c r="C108" s="230" t="s">
        <v>277</v>
      </c>
      <c r="D108" s="154" t="s">
        <v>30</v>
      </c>
      <c r="E108" s="41" t="s">
        <v>79</v>
      </c>
      <c r="F108" s="442"/>
      <c r="G108" s="229" t="s">
        <v>446</v>
      </c>
      <c r="H108" s="99">
        <f>I108+J108+K108</f>
        <v>973.3</v>
      </c>
      <c r="I108" s="100">
        <v>411.8</v>
      </c>
      <c r="J108" s="100">
        <v>271</v>
      </c>
      <c r="K108" s="100">
        <v>290.5</v>
      </c>
      <c r="L108" s="106"/>
      <c r="M108" s="106"/>
      <c r="N108" s="106"/>
      <c r="O108" s="106"/>
      <c r="P108" s="106"/>
      <c r="Q108" s="106"/>
      <c r="R108" s="588"/>
      <c r="S108" s="111"/>
    </row>
    <row r="109" spans="1:20" s="140" customFormat="1" ht="27" hidden="1">
      <c r="A109" s="469"/>
      <c r="B109" s="469"/>
      <c r="C109" s="469"/>
      <c r="D109" s="469"/>
      <c r="E109" s="398" t="s">
        <v>283</v>
      </c>
      <c r="F109" s="582"/>
      <c r="G109" s="229"/>
      <c r="H109" s="99">
        <f>H103+H106+H107+H108</f>
        <v>19383.719999999998</v>
      </c>
      <c r="I109" s="99">
        <f>I103+I106+I107+I108</f>
        <v>12611</v>
      </c>
      <c r="J109" s="99">
        <f>J103+J106+J107+J108</f>
        <v>3258.8</v>
      </c>
      <c r="K109" s="99">
        <f>K103+K106+K107+K108</f>
        <v>3513.92</v>
      </c>
      <c r="L109" s="101"/>
      <c r="M109" s="101"/>
      <c r="N109" s="101"/>
      <c r="O109" s="101"/>
      <c r="P109" s="101"/>
      <c r="Q109" s="101"/>
      <c r="R109" s="385"/>
      <c r="S109" s="111"/>
    </row>
    <row r="110" spans="1:20" s="140" customFormat="1" ht="46.5" hidden="1">
      <c r="A110" s="469"/>
      <c r="B110" s="469"/>
      <c r="C110" s="469"/>
      <c r="D110" s="469"/>
      <c r="E110" s="399"/>
      <c r="F110" s="582"/>
      <c r="G110" s="229" t="s">
        <v>446</v>
      </c>
      <c r="H110" s="99">
        <f>H104+H106+H107+H108</f>
        <v>13036.12</v>
      </c>
      <c r="I110" s="99">
        <f>I104+I106+I107+I108</f>
        <v>6263.4000000000005</v>
      </c>
      <c r="J110" s="99">
        <f>J104+J106+J107+J108</f>
        <v>3258.8</v>
      </c>
      <c r="K110" s="99">
        <f>K104+K106+K107+K108</f>
        <v>3513.92</v>
      </c>
      <c r="L110" s="255"/>
      <c r="M110" s="255"/>
      <c r="N110" s="255"/>
      <c r="O110" s="255"/>
      <c r="P110" s="255"/>
      <c r="Q110" s="255"/>
      <c r="R110" s="386"/>
      <c r="S110" s="111"/>
    </row>
    <row r="111" spans="1:20" s="140" customFormat="1" ht="69.75" hidden="1">
      <c r="A111" s="469"/>
      <c r="B111" s="469"/>
      <c r="C111" s="469"/>
      <c r="D111" s="469"/>
      <c r="E111" s="400"/>
      <c r="F111" s="582"/>
      <c r="G111" s="229" t="s">
        <v>96</v>
      </c>
      <c r="H111" s="99">
        <f>H105</f>
        <v>6347.6</v>
      </c>
      <c r="I111" s="99">
        <f>I105</f>
        <v>6347.6</v>
      </c>
      <c r="J111" s="99">
        <f>J105</f>
        <v>0</v>
      </c>
      <c r="K111" s="99">
        <f>K105</f>
        <v>0</v>
      </c>
      <c r="L111" s="125"/>
      <c r="M111" s="125"/>
      <c r="N111" s="125"/>
      <c r="O111" s="125"/>
      <c r="P111" s="125"/>
      <c r="Q111" s="125"/>
      <c r="R111" s="427"/>
      <c r="S111" s="111"/>
    </row>
    <row r="112" spans="1:20" s="140" customFormat="1" ht="27" hidden="1" customHeight="1">
      <c r="A112" s="469" t="s">
        <v>240</v>
      </c>
      <c r="B112" s="398" t="s">
        <v>282</v>
      </c>
      <c r="C112" s="374" t="s">
        <v>241</v>
      </c>
      <c r="D112" s="470" t="s">
        <v>365</v>
      </c>
      <c r="E112" s="471"/>
      <c r="F112" s="471"/>
      <c r="G112" s="472"/>
      <c r="H112" s="99">
        <f>H113+H114</f>
        <v>20902.575000000001</v>
      </c>
      <c r="I112" s="99">
        <f>I113+I114</f>
        <v>6210.2</v>
      </c>
      <c r="J112" s="99">
        <f>J113+J114</f>
        <v>7111.8</v>
      </c>
      <c r="K112" s="99">
        <f>K113+K114</f>
        <v>7580.5749999999998</v>
      </c>
      <c r="L112" s="101"/>
      <c r="M112" s="101"/>
      <c r="N112" s="101"/>
      <c r="O112" s="101"/>
      <c r="P112" s="101"/>
      <c r="Q112" s="101"/>
      <c r="R112" s="586" t="s">
        <v>151</v>
      </c>
      <c r="S112" s="111"/>
    </row>
    <row r="113" spans="1:19" s="140" customFormat="1" ht="46.5" hidden="1">
      <c r="A113" s="469"/>
      <c r="B113" s="399"/>
      <c r="C113" s="393"/>
      <c r="D113" s="429" t="s">
        <v>31</v>
      </c>
      <c r="E113" s="374" t="s">
        <v>78</v>
      </c>
      <c r="F113" s="442" t="s">
        <v>222</v>
      </c>
      <c r="G113" s="229" t="s">
        <v>446</v>
      </c>
      <c r="H113" s="99">
        <f>I113+J113+K113</f>
        <v>19770.375</v>
      </c>
      <c r="I113" s="100">
        <f>4969+109</f>
        <v>5078</v>
      </c>
      <c r="J113" s="100">
        <f>7149.3-37.5</f>
        <v>7111.8</v>
      </c>
      <c r="K113" s="100">
        <f>7621.2-40.625</f>
        <v>7580.5749999999998</v>
      </c>
      <c r="L113" s="254"/>
      <c r="M113" s="254"/>
      <c r="N113" s="254"/>
      <c r="O113" s="254"/>
      <c r="P113" s="254"/>
      <c r="Q113" s="254"/>
      <c r="R113" s="587"/>
      <c r="S113" s="111"/>
    </row>
    <row r="114" spans="1:19" s="140" customFormat="1" ht="69.75" hidden="1">
      <c r="A114" s="469"/>
      <c r="B114" s="399"/>
      <c r="C114" s="375"/>
      <c r="D114" s="430"/>
      <c r="E114" s="375"/>
      <c r="F114" s="442"/>
      <c r="G114" s="229" t="s">
        <v>96</v>
      </c>
      <c r="H114" s="99">
        <f>I114+J114+K114</f>
        <v>1132.2</v>
      </c>
      <c r="I114" s="100">
        <v>1132.2</v>
      </c>
      <c r="J114" s="100">
        <v>0</v>
      </c>
      <c r="K114" s="100">
        <v>0</v>
      </c>
      <c r="L114" s="254"/>
      <c r="M114" s="254"/>
      <c r="N114" s="254"/>
      <c r="O114" s="254"/>
      <c r="P114" s="254"/>
      <c r="Q114" s="254"/>
      <c r="R114" s="587"/>
      <c r="S114" s="111"/>
    </row>
    <row r="115" spans="1:19" s="140" customFormat="1" ht="83.25" hidden="1">
      <c r="A115" s="469"/>
      <c r="B115" s="400"/>
      <c r="C115" s="230" t="s">
        <v>242</v>
      </c>
      <c r="D115" s="154" t="s">
        <v>31</v>
      </c>
      <c r="E115" s="41" t="s">
        <v>78</v>
      </c>
      <c r="F115" s="442"/>
      <c r="G115" s="229" t="s">
        <v>446</v>
      </c>
      <c r="H115" s="99">
        <f>I115+J115+K115</f>
        <v>1469.6</v>
      </c>
      <c r="I115" s="100">
        <v>527.79999999999995</v>
      </c>
      <c r="J115" s="100">
        <v>452.8</v>
      </c>
      <c r="K115" s="100">
        <v>489</v>
      </c>
      <c r="L115" s="106"/>
      <c r="M115" s="106"/>
      <c r="N115" s="106"/>
      <c r="O115" s="106"/>
      <c r="P115" s="106"/>
      <c r="Q115" s="106"/>
      <c r="R115" s="588"/>
      <c r="S115" s="111"/>
    </row>
    <row r="116" spans="1:19" s="140" customFormat="1" ht="27" hidden="1">
      <c r="A116" s="449"/>
      <c r="B116" s="449"/>
      <c r="C116" s="449"/>
      <c r="D116" s="449"/>
      <c r="E116" s="398" t="s">
        <v>284</v>
      </c>
      <c r="F116" s="442"/>
      <c r="G116" s="229"/>
      <c r="H116" s="99">
        <f>H112+H115</f>
        <v>22372.174999999999</v>
      </c>
      <c r="I116" s="99">
        <f>I112+I115</f>
        <v>6738</v>
      </c>
      <c r="J116" s="99">
        <f>J112+J115</f>
        <v>7564.6</v>
      </c>
      <c r="K116" s="99">
        <f>K112+K115</f>
        <v>8069.5749999999998</v>
      </c>
      <c r="L116" s="101"/>
      <c r="M116" s="101"/>
      <c r="N116" s="101"/>
      <c r="O116" s="101"/>
      <c r="P116" s="101"/>
      <c r="Q116" s="101"/>
      <c r="R116" s="385"/>
      <c r="S116" s="111"/>
    </row>
    <row r="117" spans="1:19" s="140" customFormat="1" ht="46.5" hidden="1">
      <c r="A117" s="449"/>
      <c r="B117" s="449"/>
      <c r="C117" s="449"/>
      <c r="D117" s="449"/>
      <c r="E117" s="399"/>
      <c r="F117" s="442"/>
      <c r="G117" s="229" t="s">
        <v>446</v>
      </c>
      <c r="H117" s="99">
        <f>H113+H115</f>
        <v>21239.974999999999</v>
      </c>
      <c r="I117" s="99">
        <f>I113+I115</f>
        <v>5605.8</v>
      </c>
      <c r="J117" s="99">
        <f>J113+J115</f>
        <v>7564.6</v>
      </c>
      <c r="K117" s="99">
        <f>K113+K115</f>
        <v>8069.5749999999998</v>
      </c>
      <c r="L117" s="255"/>
      <c r="M117" s="255"/>
      <c r="N117" s="255"/>
      <c r="O117" s="255"/>
      <c r="P117" s="255"/>
      <c r="Q117" s="255"/>
      <c r="R117" s="386"/>
      <c r="S117" s="111"/>
    </row>
    <row r="118" spans="1:19" s="140" customFormat="1" ht="69.75" hidden="1">
      <c r="A118" s="449"/>
      <c r="B118" s="449"/>
      <c r="C118" s="449"/>
      <c r="D118" s="449"/>
      <c r="E118" s="400"/>
      <c r="F118" s="442"/>
      <c r="G118" s="229" t="s">
        <v>96</v>
      </c>
      <c r="H118" s="99">
        <f>H114</f>
        <v>1132.2</v>
      </c>
      <c r="I118" s="99">
        <f>I114</f>
        <v>1132.2</v>
      </c>
      <c r="J118" s="99">
        <f>J114</f>
        <v>0</v>
      </c>
      <c r="K118" s="99">
        <f>K114</f>
        <v>0</v>
      </c>
      <c r="L118" s="125"/>
      <c r="M118" s="125"/>
      <c r="N118" s="125"/>
      <c r="O118" s="125"/>
      <c r="P118" s="125"/>
      <c r="Q118" s="125"/>
      <c r="R118" s="427"/>
      <c r="S118" s="111"/>
    </row>
    <row r="119" spans="1:19" ht="27" hidden="1">
      <c r="A119" s="422" t="s">
        <v>64</v>
      </c>
      <c r="B119" s="423"/>
      <c r="C119" s="423"/>
      <c r="D119" s="423"/>
      <c r="E119" s="423"/>
      <c r="F119" s="423"/>
      <c r="G119" s="424"/>
      <c r="H119" s="104">
        <f>H22+H81+H109+H116</f>
        <v>229755.72999999998</v>
      </c>
      <c r="I119" s="104">
        <f>I22+I81+I109+I116</f>
        <v>137253.223</v>
      </c>
      <c r="J119" s="104">
        <f>J22+J81+J109+J116</f>
        <v>46487.48</v>
      </c>
      <c r="K119" s="104">
        <f>K22+K81+K109+K116</f>
        <v>46015.026999999995</v>
      </c>
      <c r="L119" s="143"/>
      <c r="M119" s="143"/>
      <c r="N119" s="143"/>
      <c r="O119" s="143"/>
      <c r="P119" s="143"/>
      <c r="Q119" s="143"/>
      <c r="R119" s="644"/>
      <c r="S119" s="109"/>
    </row>
    <row r="120" spans="1:19" s="140" customFormat="1" ht="46.5" hidden="1" customHeight="1">
      <c r="A120" s="573" t="s">
        <v>18</v>
      </c>
      <c r="B120" s="573"/>
      <c r="C120" s="573"/>
      <c r="D120" s="573"/>
      <c r="E120" s="573"/>
      <c r="F120" s="574"/>
      <c r="G120" s="157" t="s">
        <v>446</v>
      </c>
      <c r="H120" s="115">
        <f>H22+H82+H110+H117</f>
        <v>172528.53</v>
      </c>
      <c r="I120" s="115">
        <f>I22+I82+I110+I117</f>
        <v>81526.022999999986</v>
      </c>
      <c r="J120" s="115">
        <f>J22+J82+J110+J117</f>
        <v>46487.48</v>
      </c>
      <c r="K120" s="115">
        <f>K22+K82+K110+K117</f>
        <v>46015.026999999995</v>
      </c>
      <c r="L120" s="258"/>
      <c r="M120" s="258"/>
      <c r="N120" s="258"/>
      <c r="O120" s="258"/>
      <c r="P120" s="258"/>
      <c r="Q120" s="258"/>
      <c r="R120" s="645"/>
      <c r="S120" s="111"/>
    </row>
    <row r="121" spans="1:19" s="140" customFormat="1" ht="69.75" hidden="1">
      <c r="A121" s="576"/>
      <c r="B121" s="576"/>
      <c r="C121" s="576"/>
      <c r="D121" s="576"/>
      <c r="E121" s="576"/>
      <c r="F121" s="577"/>
      <c r="G121" s="157" t="s">
        <v>96</v>
      </c>
      <c r="H121" s="115">
        <f>H118+H111+H83</f>
        <v>52839.700000000004</v>
      </c>
      <c r="I121" s="115">
        <f>I118+I111+I83</f>
        <v>52839.700000000004</v>
      </c>
      <c r="J121" s="115">
        <f>J118+J111+J83</f>
        <v>0</v>
      </c>
      <c r="K121" s="115">
        <f>K118+K111+K83</f>
        <v>0</v>
      </c>
      <c r="L121" s="258"/>
      <c r="M121" s="258"/>
      <c r="N121" s="258"/>
      <c r="O121" s="258"/>
      <c r="P121" s="258"/>
      <c r="Q121" s="258"/>
      <c r="R121" s="645"/>
      <c r="S121" s="111"/>
    </row>
    <row r="122" spans="1:19" s="140" customFormat="1" ht="162.75" hidden="1">
      <c r="A122" s="576"/>
      <c r="B122" s="576"/>
      <c r="C122" s="576"/>
      <c r="D122" s="576"/>
      <c r="E122" s="576"/>
      <c r="F122" s="577"/>
      <c r="G122" s="158" t="s">
        <v>99</v>
      </c>
      <c r="H122" s="115">
        <f>H84</f>
        <v>2827.5</v>
      </c>
      <c r="I122" s="115">
        <f t="shared" ref="I122:K123" si="4">I84</f>
        <v>2827.5</v>
      </c>
      <c r="J122" s="115">
        <f t="shared" si="4"/>
        <v>0</v>
      </c>
      <c r="K122" s="115">
        <f t="shared" si="4"/>
        <v>0</v>
      </c>
      <c r="L122" s="258"/>
      <c r="M122" s="258"/>
      <c r="N122" s="258"/>
      <c r="O122" s="258"/>
      <c r="P122" s="258"/>
      <c r="Q122" s="258"/>
      <c r="R122" s="645"/>
      <c r="S122" s="111"/>
    </row>
    <row r="123" spans="1:19" s="140" customFormat="1" ht="69.75" hidden="1">
      <c r="A123" s="579"/>
      <c r="B123" s="579"/>
      <c r="C123" s="579"/>
      <c r="D123" s="579"/>
      <c r="E123" s="579"/>
      <c r="F123" s="580"/>
      <c r="G123" s="159" t="s">
        <v>344</v>
      </c>
      <c r="H123" s="115">
        <f>H85</f>
        <v>60</v>
      </c>
      <c r="I123" s="115">
        <f t="shared" si="4"/>
        <v>60</v>
      </c>
      <c r="J123" s="115">
        <f t="shared" si="4"/>
        <v>0</v>
      </c>
      <c r="K123" s="115">
        <f t="shared" si="4"/>
        <v>0</v>
      </c>
      <c r="L123" s="258"/>
      <c r="M123" s="258"/>
      <c r="N123" s="258"/>
      <c r="O123" s="258"/>
      <c r="P123" s="258"/>
      <c r="Q123" s="258"/>
      <c r="R123" s="645"/>
      <c r="S123" s="111"/>
    </row>
    <row r="124" spans="1:19" s="140" customFormat="1" ht="27" hidden="1">
      <c r="A124" s="454" t="s">
        <v>290</v>
      </c>
      <c r="B124" s="455"/>
      <c r="C124" s="455"/>
      <c r="D124" s="456"/>
      <c r="E124" s="450" t="s">
        <v>82</v>
      </c>
      <c r="F124" s="404"/>
      <c r="G124" s="242" t="s">
        <v>97</v>
      </c>
      <c r="H124" s="104">
        <f>SUM(H125:H128)</f>
        <v>39387.53</v>
      </c>
      <c r="I124" s="104">
        <f>SUM(I125:I128)</f>
        <v>28290.43</v>
      </c>
      <c r="J124" s="104">
        <f>SUM(J125:J128)</f>
        <v>0</v>
      </c>
      <c r="K124" s="104">
        <f>SUM(K125:K128)</f>
        <v>5025.8999999999996</v>
      </c>
      <c r="L124" s="256"/>
      <c r="M124" s="256"/>
      <c r="N124" s="256"/>
      <c r="O124" s="256"/>
      <c r="P124" s="256"/>
      <c r="Q124" s="256"/>
      <c r="R124" s="645"/>
      <c r="S124" s="111"/>
    </row>
    <row r="125" spans="1:19" ht="46.5" hidden="1">
      <c r="A125" s="457"/>
      <c r="B125" s="458"/>
      <c r="C125" s="458"/>
      <c r="D125" s="459"/>
      <c r="E125" s="450"/>
      <c r="F125" s="405"/>
      <c r="G125" s="229" t="s">
        <v>446</v>
      </c>
      <c r="H125" s="116">
        <f>H88</f>
        <v>26694.73</v>
      </c>
      <c r="I125" s="116">
        <f>I88</f>
        <v>15597.63</v>
      </c>
      <c r="J125" s="116">
        <f>J879</f>
        <v>0</v>
      </c>
      <c r="K125" s="116">
        <f>K88</f>
        <v>5025.8999999999996</v>
      </c>
      <c r="L125" s="259"/>
      <c r="M125" s="259"/>
      <c r="N125" s="259"/>
      <c r="O125" s="259"/>
      <c r="P125" s="259"/>
      <c r="Q125" s="259"/>
      <c r="R125" s="645"/>
      <c r="S125" s="109"/>
    </row>
    <row r="126" spans="1:19" ht="139.5" hidden="1" customHeight="1">
      <c r="A126" s="457"/>
      <c r="B126" s="458"/>
      <c r="C126" s="458"/>
      <c r="D126" s="459"/>
      <c r="E126" s="450"/>
      <c r="F126" s="405"/>
      <c r="G126" s="229" t="str">
        <f>G31</f>
        <v>Субвенція з місцевого бюджету на здійснення переданих видатків у сфері охорони здоров'я за рахунок коштів медичної субвенції (загальний фонд)</v>
      </c>
      <c r="H126" s="100">
        <f>H90</f>
        <v>147.19999999999999</v>
      </c>
      <c r="I126" s="100">
        <f t="shared" ref="I126:K127" si="5">I90</f>
        <v>147.19999999999999</v>
      </c>
      <c r="J126" s="100">
        <f t="shared" si="5"/>
        <v>0</v>
      </c>
      <c r="K126" s="100">
        <f t="shared" si="5"/>
        <v>0</v>
      </c>
      <c r="L126" s="254"/>
      <c r="M126" s="254"/>
      <c r="N126" s="254"/>
      <c r="O126" s="254"/>
      <c r="P126" s="254"/>
      <c r="Q126" s="254"/>
      <c r="R126" s="645"/>
      <c r="S126" s="109"/>
    </row>
    <row r="127" spans="1:19" ht="46.5" hidden="1" customHeight="1">
      <c r="A127" s="457"/>
      <c r="B127" s="458"/>
      <c r="C127" s="458"/>
      <c r="D127" s="459"/>
      <c r="E127" s="450"/>
      <c r="F127" s="405"/>
      <c r="G127" s="229" t="s">
        <v>344</v>
      </c>
      <c r="H127" s="116">
        <f>H91</f>
        <v>60</v>
      </c>
      <c r="I127" s="116">
        <f t="shared" si="5"/>
        <v>60</v>
      </c>
      <c r="J127" s="116">
        <f t="shared" si="5"/>
        <v>0</v>
      </c>
      <c r="K127" s="116">
        <f t="shared" si="5"/>
        <v>0</v>
      </c>
      <c r="L127" s="259"/>
      <c r="M127" s="259"/>
      <c r="N127" s="259"/>
      <c r="O127" s="259"/>
      <c r="P127" s="259"/>
      <c r="Q127" s="259"/>
      <c r="R127" s="645"/>
      <c r="S127" s="109"/>
    </row>
    <row r="128" spans="1:19" ht="69.75" hidden="1">
      <c r="A128" s="457"/>
      <c r="B128" s="458"/>
      <c r="C128" s="458"/>
      <c r="D128" s="459"/>
      <c r="E128" s="450"/>
      <c r="F128" s="405"/>
      <c r="G128" s="229" t="s">
        <v>96</v>
      </c>
      <c r="H128" s="116">
        <f>H89</f>
        <v>12485.6</v>
      </c>
      <c r="I128" s="116">
        <f>I89</f>
        <v>12485.6</v>
      </c>
      <c r="J128" s="116">
        <f>J89</f>
        <v>0</v>
      </c>
      <c r="K128" s="116">
        <f>K89</f>
        <v>0</v>
      </c>
      <c r="L128" s="259"/>
      <c r="M128" s="259"/>
      <c r="N128" s="259"/>
      <c r="O128" s="259"/>
      <c r="P128" s="259"/>
      <c r="Q128" s="259"/>
      <c r="R128" s="645"/>
      <c r="S128" s="109"/>
    </row>
    <row r="129" spans="1:19" ht="27" hidden="1">
      <c r="A129" s="457"/>
      <c r="B129" s="458"/>
      <c r="C129" s="458"/>
      <c r="D129" s="459"/>
      <c r="E129" s="374" t="s">
        <v>76</v>
      </c>
      <c r="F129" s="405"/>
      <c r="G129" s="242" t="s">
        <v>97</v>
      </c>
      <c r="H129" s="104">
        <f>SUM(H130:H131)</f>
        <v>37542.879999999997</v>
      </c>
      <c r="I129" s="104">
        <f>SUM(I130:I131)</f>
        <v>19021.3</v>
      </c>
      <c r="J129" s="104">
        <f>SUM(J130:J131)</f>
        <v>8928.2799999999988</v>
      </c>
      <c r="K129" s="104">
        <f>SUM(K130:K131)</f>
        <v>9593.2999999999993</v>
      </c>
      <c r="L129" s="256"/>
      <c r="M129" s="256"/>
      <c r="N129" s="256"/>
      <c r="O129" s="256"/>
      <c r="P129" s="256"/>
      <c r="Q129" s="256"/>
      <c r="R129" s="645"/>
      <c r="S129" s="109"/>
    </row>
    <row r="130" spans="1:19" ht="46.5" hidden="1">
      <c r="A130" s="457"/>
      <c r="B130" s="458"/>
      <c r="C130" s="458"/>
      <c r="D130" s="459"/>
      <c r="E130" s="393"/>
      <c r="F130" s="405"/>
      <c r="G130" s="229" t="s">
        <v>446</v>
      </c>
      <c r="H130" s="116">
        <f>H93</f>
        <v>29382.78</v>
      </c>
      <c r="I130" s="116">
        <f t="shared" ref="I130:K131" si="6">I93</f>
        <v>10861.199999999999</v>
      </c>
      <c r="J130" s="116">
        <f t="shared" si="6"/>
        <v>8928.2799999999988</v>
      </c>
      <c r="K130" s="116">
        <f t="shared" si="6"/>
        <v>9593.2999999999993</v>
      </c>
      <c r="L130" s="259"/>
      <c r="M130" s="259"/>
      <c r="N130" s="259"/>
      <c r="O130" s="259"/>
      <c r="P130" s="259"/>
      <c r="Q130" s="259"/>
      <c r="R130" s="645"/>
      <c r="S130" s="109"/>
    </row>
    <row r="131" spans="1:19" ht="69.75" hidden="1">
      <c r="A131" s="457"/>
      <c r="B131" s="458"/>
      <c r="C131" s="458"/>
      <c r="D131" s="459"/>
      <c r="E131" s="375"/>
      <c r="F131" s="405"/>
      <c r="G131" s="246" t="s">
        <v>96</v>
      </c>
      <c r="H131" s="116">
        <f>H94</f>
        <v>8160.1</v>
      </c>
      <c r="I131" s="116">
        <f t="shared" si="6"/>
        <v>8160.1</v>
      </c>
      <c r="J131" s="116">
        <f t="shared" si="6"/>
        <v>0</v>
      </c>
      <c r="K131" s="116">
        <f t="shared" si="6"/>
        <v>0</v>
      </c>
      <c r="L131" s="259"/>
      <c r="M131" s="259"/>
      <c r="N131" s="259"/>
      <c r="O131" s="259"/>
      <c r="P131" s="259"/>
      <c r="Q131" s="259"/>
      <c r="R131" s="645"/>
      <c r="S131" s="109"/>
    </row>
    <row r="132" spans="1:19" ht="27" hidden="1">
      <c r="A132" s="457"/>
      <c r="B132" s="458"/>
      <c r="C132" s="458"/>
      <c r="D132" s="459"/>
      <c r="E132" s="374" t="s">
        <v>77</v>
      </c>
      <c r="F132" s="405"/>
      <c r="G132" s="242" t="s">
        <v>97</v>
      </c>
      <c r="H132" s="104">
        <f>SUM(H133:H135)</f>
        <v>47663.11</v>
      </c>
      <c r="I132" s="104">
        <f>SUM(I133:I135)</f>
        <v>33332.700000000004</v>
      </c>
      <c r="J132" s="104">
        <f>SUM(J133:J135)</f>
        <v>6896.57</v>
      </c>
      <c r="K132" s="104">
        <f>SUM(K133:K135)</f>
        <v>7433.84</v>
      </c>
      <c r="L132" s="256"/>
      <c r="M132" s="256"/>
      <c r="N132" s="256"/>
      <c r="O132" s="256"/>
      <c r="P132" s="256"/>
      <c r="Q132" s="256"/>
      <c r="R132" s="645"/>
      <c r="S132" s="109"/>
    </row>
    <row r="133" spans="1:19" ht="46.5" hidden="1">
      <c r="A133" s="457"/>
      <c r="B133" s="458"/>
      <c r="C133" s="458"/>
      <c r="D133" s="459"/>
      <c r="E133" s="393"/>
      <c r="F133" s="405"/>
      <c r="G133" s="229" t="s">
        <v>446</v>
      </c>
      <c r="H133" s="116">
        <f>H96</f>
        <v>32116.61</v>
      </c>
      <c r="I133" s="116">
        <f t="shared" ref="I133:K135" si="7">I96</f>
        <v>17786.2</v>
      </c>
      <c r="J133" s="116">
        <f t="shared" si="7"/>
        <v>6896.57</v>
      </c>
      <c r="K133" s="116">
        <f t="shared" si="7"/>
        <v>7433.84</v>
      </c>
      <c r="L133" s="259"/>
      <c r="M133" s="259"/>
      <c r="N133" s="259"/>
      <c r="O133" s="259"/>
      <c r="P133" s="259"/>
      <c r="Q133" s="259"/>
      <c r="R133" s="645"/>
      <c r="S133" s="109"/>
    </row>
    <row r="134" spans="1:19" ht="69.75" hidden="1">
      <c r="A134" s="457"/>
      <c r="B134" s="458"/>
      <c r="C134" s="458"/>
      <c r="D134" s="459"/>
      <c r="E134" s="393"/>
      <c r="F134" s="405"/>
      <c r="G134" s="246" t="s">
        <v>96</v>
      </c>
      <c r="H134" s="116">
        <f>H97</f>
        <v>12866.2</v>
      </c>
      <c r="I134" s="116">
        <f t="shared" si="7"/>
        <v>12866.2</v>
      </c>
      <c r="J134" s="116">
        <f t="shared" si="7"/>
        <v>0</v>
      </c>
      <c r="K134" s="116">
        <f t="shared" si="7"/>
        <v>0</v>
      </c>
      <c r="L134" s="259"/>
      <c r="M134" s="259"/>
      <c r="N134" s="259"/>
      <c r="O134" s="259"/>
      <c r="P134" s="259"/>
      <c r="Q134" s="259"/>
      <c r="R134" s="645"/>
      <c r="S134" s="109"/>
    </row>
    <row r="135" spans="1:19" ht="139.5" hidden="1" customHeight="1">
      <c r="A135" s="457"/>
      <c r="B135" s="458"/>
      <c r="C135" s="458"/>
      <c r="D135" s="459"/>
      <c r="E135" s="375"/>
      <c r="F135" s="405"/>
      <c r="G135" s="232" t="s">
        <v>99</v>
      </c>
      <c r="H135" s="116">
        <f>H98</f>
        <v>2680.3</v>
      </c>
      <c r="I135" s="116">
        <f t="shared" si="7"/>
        <v>2680.3</v>
      </c>
      <c r="J135" s="116">
        <f t="shared" si="7"/>
        <v>0</v>
      </c>
      <c r="K135" s="116">
        <f t="shared" si="7"/>
        <v>0</v>
      </c>
      <c r="L135" s="259"/>
      <c r="M135" s="259"/>
      <c r="N135" s="259"/>
      <c r="O135" s="259"/>
      <c r="P135" s="259"/>
      <c r="Q135" s="259"/>
      <c r="R135" s="645"/>
      <c r="S135" s="109"/>
    </row>
    <row r="136" spans="1:19" ht="27" hidden="1">
      <c r="A136" s="457"/>
      <c r="B136" s="458"/>
      <c r="C136" s="458"/>
      <c r="D136" s="459"/>
      <c r="E136" s="374" t="s">
        <v>75</v>
      </c>
      <c r="F136" s="405"/>
      <c r="G136" s="242" t="s">
        <v>97</v>
      </c>
      <c r="H136" s="104">
        <f>SUM(H137:H138)</f>
        <v>47734.004999999997</v>
      </c>
      <c r="I136" s="104">
        <f>SUM(I137:I138)</f>
        <v>31360.183000000001</v>
      </c>
      <c r="J136" s="104">
        <f>SUM(J137:J138)</f>
        <v>8771.43</v>
      </c>
      <c r="K136" s="104">
        <f>SUM(K137:K138)</f>
        <v>7602.3920000000007</v>
      </c>
      <c r="L136" s="256"/>
      <c r="M136" s="256"/>
      <c r="N136" s="256"/>
      <c r="O136" s="256"/>
      <c r="P136" s="256"/>
      <c r="Q136" s="256"/>
      <c r="R136" s="645"/>
      <c r="S136" s="109"/>
    </row>
    <row r="137" spans="1:19" ht="46.5" hidden="1">
      <c r="A137" s="457"/>
      <c r="B137" s="458"/>
      <c r="C137" s="458"/>
      <c r="D137" s="459"/>
      <c r="E137" s="393"/>
      <c r="F137" s="405"/>
      <c r="G137" s="246" t="s">
        <v>446</v>
      </c>
      <c r="H137" s="116">
        <f>H100</f>
        <v>35886.004999999997</v>
      </c>
      <c r="I137" s="116">
        <f t="shared" ref="I137:K138" si="8">I100</f>
        <v>19512.183000000001</v>
      </c>
      <c r="J137" s="116">
        <f t="shared" si="8"/>
        <v>8771.43</v>
      </c>
      <c r="K137" s="116">
        <f t="shared" si="8"/>
        <v>7602.3920000000007</v>
      </c>
      <c r="L137" s="259"/>
      <c r="M137" s="259"/>
      <c r="N137" s="259"/>
      <c r="O137" s="259"/>
      <c r="P137" s="259"/>
      <c r="Q137" s="259"/>
      <c r="R137" s="645"/>
      <c r="S137" s="109"/>
    </row>
    <row r="138" spans="1:19" ht="69.75" hidden="1">
      <c r="A138" s="457"/>
      <c r="B138" s="458"/>
      <c r="C138" s="458"/>
      <c r="D138" s="459"/>
      <c r="E138" s="375"/>
      <c r="F138" s="405"/>
      <c r="G138" s="246" t="s">
        <v>96</v>
      </c>
      <c r="H138" s="116">
        <f>H101</f>
        <v>11848</v>
      </c>
      <c r="I138" s="116">
        <f t="shared" si="8"/>
        <v>11848</v>
      </c>
      <c r="J138" s="116">
        <f t="shared" si="8"/>
        <v>0</v>
      </c>
      <c r="K138" s="116">
        <f t="shared" si="8"/>
        <v>0</v>
      </c>
      <c r="L138" s="259"/>
      <c r="M138" s="259"/>
      <c r="N138" s="259"/>
      <c r="O138" s="259"/>
      <c r="P138" s="259"/>
      <c r="Q138" s="259"/>
      <c r="R138" s="645"/>
      <c r="S138" s="109"/>
    </row>
    <row r="139" spans="1:19" ht="27" hidden="1">
      <c r="A139" s="457"/>
      <c r="B139" s="458"/>
      <c r="C139" s="458"/>
      <c r="D139" s="459"/>
      <c r="E139" s="374" t="s">
        <v>79</v>
      </c>
      <c r="F139" s="405"/>
      <c r="G139" s="242" t="s">
        <v>97</v>
      </c>
      <c r="H139" s="104">
        <f>SUM(H140:H141)</f>
        <v>19383.72</v>
      </c>
      <c r="I139" s="104">
        <f>SUM(I140:I141)</f>
        <v>12611</v>
      </c>
      <c r="J139" s="104">
        <f>SUM(J140:J141)</f>
        <v>3258.8</v>
      </c>
      <c r="K139" s="104">
        <f>SUM(K140:K141)</f>
        <v>3513.92</v>
      </c>
      <c r="L139" s="256"/>
      <c r="M139" s="256"/>
      <c r="N139" s="256"/>
      <c r="O139" s="256"/>
      <c r="P139" s="256"/>
      <c r="Q139" s="256"/>
      <c r="R139" s="645"/>
      <c r="S139" s="109"/>
    </row>
    <row r="140" spans="1:19" ht="46.5" hidden="1">
      <c r="A140" s="457"/>
      <c r="B140" s="458"/>
      <c r="C140" s="458"/>
      <c r="D140" s="459"/>
      <c r="E140" s="393"/>
      <c r="F140" s="405"/>
      <c r="G140" s="246" t="s">
        <v>446</v>
      </c>
      <c r="H140" s="116">
        <f>H110</f>
        <v>13036.12</v>
      </c>
      <c r="I140" s="116">
        <f t="shared" ref="I140:K141" si="9">I110</f>
        <v>6263.4000000000005</v>
      </c>
      <c r="J140" s="116">
        <f t="shared" si="9"/>
        <v>3258.8</v>
      </c>
      <c r="K140" s="116">
        <f t="shared" si="9"/>
        <v>3513.92</v>
      </c>
      <c r="L140" s="259"/>
      <c r="M140" s="259"/>
      <c r="N140" s="259"/>
      <c r="O140" s="259"/>
      <c r="P140" s="259"/>
      <c r="Q140" s="259"/>
      <c r="R140" s="645"/>
      <c r="S140" s="109"/>
    </row>
    <row r="141" spans="1:19" ht="69.75" hidden="1">
      <c r="A141" s="457"/>
      <c r="B141" s="458"/>
      <c r="C141" s="458"/>
      <c r="D141" s="459"/>
      <c r="E141" s="375"/>
      <c r="F141" s="405"/>
      <c r="G141" s="246" t="s">
        <v>96</v>
      </c>
      <c r="H141" s="116">
        <f>H111</f>
        <v>6347.6</v>
      </c>
      <c r="I141" s="116">
        <f t="shared" si="9"/>
        <v>6347.6</v>
      </c>
      <c r="J141" s="116">
        <f t="shared" si="9"/>
        <v>0</v>
      </c>
      <c r="K141" s="116">
        <f t="shared" si="9"/>
        <v>0</v>
      </c>
      <c r="L141" s="259"/>
      <c r="M141" s="259"/>
      <c r="N141" s="259"/>
      <c r="O141" s="259"/>
      <c r="P141" s="259"/>
      <c r="Q141" s="259"/>
      <c r="R141" s="645"/>
      <c r="S141" s="109"/>
    </row>
    <row r="142" spans="1:19" ht="27" hidden="1">
      <c r="A142" s="457"/>
      <c r="B142" s="458"/>
      <c r="C142" s="458"/>
      <c r="D142" s="459"/>
      <c r="E142" s="374" t="s">
        <v>78</v>
      </c>
      <c r="F142" s="405"/>
      <c r="G142" s="242" t="s">
        <v>97</v>
      </c>
      <c r="H142" s="104">
        <f>SUM(H143:H144)</f>
        <v>22372.174999999999</v>
      </c>
      <c r="I142" s="104">
        <f>SUM(I143:I144)</f>
        <v>6738</v>
      </c>
      <c r="J142" s="104">
        <f>SUM(J143:J144)</f>
        <v>7564.6</v>
      </c>
      <c r="K142" s="104">
        <f>SUM(K143:K144)</f>
        <v>8069.5749999999998</v>
      </c>
      <c r="L142" s="256"/>
      <c r="M142" s="256"/>
      <c r="N142" s="256"/>
      <c r="O142" s="256"/>
      <c r="P142" s="256"/>
      <c r="Q142" s="256"/>
      <c r="R142" s="645"/>
      <c r="S142" s="109"/>
    </row>
    <row r="143" spans="1:19" ht="75" hidden="1" customHeight="1">
      <c r="A143" s="457"/>
      <c r="B143" s="458"/>
      <c r="C143" s="458"/>
      <c r="D143" s="459"/>
      <c r="E143" s="393"/>
      <c r="F143" s="405"/>
      <c r="G143" s="246" t="s">
        <v>446</v>
      </c>
      <c r="H143" s="116">
        <f t="shared" ref="H143:K144" si="10">H117</f>
        <v>21239.974999999999</v>
      </c>
      <c r="I143" s="116">
        <f t="shared" si="10"/>
        <v>5605.8</v>
      </c>
      <c r="J143" s="116">
        <f t="shared" si="10"/>
        <v>7564.6</v>
      </c>
      <c r="K143" s="116">
        <f t="shared" si="10"/>
        <v>8069.5749999999998</v>
      </c>
      <c r="L143" s="259"/>
      <c r="M143" s="259"/>
      <c r="N143" s="259"/>
      <c r="O143" s="259"/>
      <c r="P143" s="259"/>
      <c r="Q143" s="259"/>
      <c r="R143" s="645"/>
      <c r="S143" s="109"/>
    </row>
    <row r="144" spans="1:19" ht="75" hidden="1" customHeight="1">
      <c r="A144" s="457"/>
      <c r="B144" s="458"/>
      <c r="C144" s="458"/>
      <c r="D144" s="459"/>
      <c r="E144" s="375"/>
      <c r="F144" s="405"/>
      <c r="G144" s="246" t="s">
        <v>96</v>
      </c>
      <c r="H144" s="116">
        <f t="shared" si="10"/>
        <v>1132.2</v>
      </c>
      <c r="I144" s="116">
        <f t="shared" si="10"/>
        <v>1132.2</v>
      </c>
      <c r="J144" s="116">
        <f t="shared" si="10"/>
        <v>0</v>
      </c>
      <c r="K144" s="116">
        <f t="shared" si="10"/>
        <v>0</v>
      </c>
      <c r="L144" s="259"/>
      <c r="M144" s="259"/>
      <c r="N144" s="259"/>
      <c r="O144" s="259"/>
      <c r="P144" s="259"/>
      <c r="Q144" s="259"/>
      <c r="R144" s="645"/>
      <c r="S144" s="109"/>
    </row>
    <row r="145" spans="1:24" ht="75" hidden="1" customHeight="1">
      <c r="A145" s="457"/>
      <c r="B145" s="458"/>
      <c r="C145" s="458"/>
      <c r="D145" s="459"/>
      <c r="E145" s="41" t="s">
        <v>80</v>
      </c>
      <c r="F145" s="405"/>
      <c r="G145" s="246" t="s">
        <v>446</v>
      </c>
      <c r="H145" s="104">
        <f>H23</f>
        <v>5916.0000000000009</v>
      </c>
      <c r="I145" s="104">
        <f t="shared" ref="I145:K146" si="11">I23</f>
        <v>1511</v>
      </c>
      <c r="J145" s="104">
        <f t="shared" si="11"/>
        <v>2122.1999999999998</v>
      </c>
      <c r="K145" s="104">
        <f t="shared" si="11"/>
        <v>2282.7999999999997</v>
      </c>
      <c r="L145" s="256"/>
      <c r="M145" s="256"/>
      <c r="N145" s="256"/>
      <c r="O145" s="256"/>
      <c r="P145" s="256"/>
      <c r="Q145" s="256"/>
      <c r="R145" s="645"/>
      <c r="S145" s="109"/>
    </row>
    <row r="146" spans="1:24" ht="75" hidden="1" customHeight="1">
      <c r="A146" s="457"/>
      <c r="B146" s="458"/>
      <c r="C146" s="458"/>
      <c r="D146" s="459"/>
      <c r="E146" s="230" t="s">
        <v>81</v>
      </c>
      <c r="F146" s="405"/>
      <c r="G146" s="246" t="s">
        <v>446</v>
      </c>
      <c r="H146" s="104">
        <f>H24</f>
        <v>6357.5099999999993</v>
      </c>
      <c r="I146" s="104">
        <f t="shared" si="11"/>
        <v>1388.61</v>
      </c>
      <c r="J146" s="104">
        <f t="shared" si="11"/>
        <v>2475.6000000000004</v>
      </c>
      <c r="K146" s="104">
        <f t="shared" si="11"/>
        <v>2493.3000000000002</v>
      </c>
      <c r="L146" s="256"/>
      <c r="M146" s="256"/>
      <c r="N146" s="256"/>
      <c r="O146" s="256"/>
      <c r="P146" s="256"/>
      <c r="Q146" s="256"/>
      <c r="R146" s="645"/>
      <c r="S146" s="109"/>
    </row>
    <row r="147" spans="1:24" ht="75" hidden="1" customHeight="1">
      <c r="A147" s="460"/>
      <c r="B147" s="461"/>
      <c r="C147" s="461"/>
      <c r="D147" s="462"/>
      <c r="E147" s="230" t="s">
        <v>425</v>
      </c>
      <c r="F147" s="406"/>
      <c r="G147" s="246" t="s">
        <v>446</v>
      </c>
      <c r="H147" s="104">
        <f>H102</f>
        <v>3000</v>
      </c>
      <c r="I147" s="104">
        <f>I102</f>
        <v>3000</v>
      </c>
      <c r="J147" s="104">
        <f>J102</f>
        <v>0</v>
      </c>
      <c r="K147" s="104">
        <f>K102</f>
        <v>0</v>
      </c>
      <c r="L147" s="108"/>
      <c r="M147" s="108"/>
      <c r="N147" s="108"/>
      <c r="O147" s="108"/>
      <c r="P147" s="108"/>
      <c r="Q147" s="108"/>
      <c r="R147" s="646"/>
      <c r="S147" s="109"/>
    </row>
    <row r="148" spans="1:24" ht="48" hidden="1" customHeight="1">
      <c r="A148" s="422" t="s">
        <v>223</v>
      </c>
      <c r="B148" s="423"/>
      <c r="C148" s="423"/>
      <c r="D148" s="423"/>
      <c r="E148" s="423"/>
      <c r="F148" s="423"/>
      <c r="G148" s="423"/>
      <c r="H148" s="423"/>
      <c r="I148" s="423"/>
      <c r="J148" s="423"/>
      <c r="K148" s="423"/>
      <c r="L148" s="423"/>
      <c r="M148" s="423"/>
      <c r="N148" s="423"/>
      <c r="O148" s="423"/>
      <c r="P148" s="423"/>
      <c r="Q148" s="423"/>
      <c r="R148" s="424"/>
    </row>
    <row r="149" spans="1:24" ht="310.5" hidden="1" customHeight="1">
      <c r="A149" s="449" t="s">
        <v>232</v>
      </c>
      <c r="B149" s="428" t="s">
        <v>224</v>
      </c>
      <c r="C149" s="450" t="s">
        <v>243</v>
      </c>
      <c r="D149" s="422" t="s">
        <v>366</v>
      </c>
      <c r="E149" s="423"/>
      <c r="F149" s="423"/>
      <c r="G149" s="424"/>
      <c r="H149" s="104">
        <f>SUM(H150:H151)</f>
        <v>16126.574089599999</v>
      </c>
      <c r="I149" s="104">
        <f>SUM(I150:I151)</f>
        <v>5194</v>
      </c>
      <c r="J149" s="104">
        <f>SUM(J150:J151)</f>
        <v>5234.409599999999</v>
      </c>
      <c r="K149" s="104">
        <f>SUM(K150:K151)</f>
        <v>5698.1644895999998</v>
      </c>
      <c r="L149" s="104"/>
      <c r="M149" s="104"/>
      <c r="N149" s="104"/>
      <c r="O149" s="143"/>
      <c r="P149" s="143"/>
      <c r="Q149" s="143"/>
      <c r="R149" s="415" t="s">
        <v>287</v>
      </c>
    </row>
    <row r="150" spans="1:24" ht="179.25" hidden="1" customHeight="1">
      <c r="A150" s="449"/>
      <c r="B150" s="428"/>
      <c r="C150" s="450"/>
      <c r="D150" s="25" t="s">
        <v>33</v>
      </c>
      <c r="E150" s="160" t="s">
        <v>80</v>
      </c>
      <c r="F150" s="418" t="s">
        <v>222</v>
      </c>
      <c r="G150" s="418" t="s">
        <v>446</v>
      </c>
      <c r="H150" s="99">
        <f>I150+J150+K150</f>
        <v>7318.1826335999995</v>
      </c>
      <c r="I150" s="100">
        <v>2331.3000000000002</v>
      </c>
      <c r="J150" s="100">
        <v>2387.7535999999996</v>
      </c>
      <c r="K150" s="100">
        <v>2599.1290335999997</v>
      </c>
      <c r="L150" s="100"/>
      <c r="M150" s="100"/>
      <c r="N150" s="100"/>
      <c r="O150" s="254"/>
      <c r="P150" s="254"/>
      <c r="Q150" s="254"/>
      <c r="R150" s="416"/>
      <c r="S150" s="100">
        <f>J149+J156-J157+J152+J16+J19</f>
        <v>15183.8</v>
      </c>
      <c r="T150" s="161">
        <v>5600</v>
      </c>
      <c r="U150" s="8">
        <v>5975.2</v>
      </c>
      <c r="W150" s="162">
        <f>T150-J158</f>
        <v>2387.7535999999996</v>
      </c>
      <c r="X150" s="162">
        <f>U150-K158</f>
        <v>2599.1290335999997</v>
      </c>
    </row>
    <row r="151" spans="1:24" ht="88.5" hidden="1" customHeight="1">
      <c r="A151" s="449"/>
      <c r="B151" s="428"/>
      <c r="C151" s="450"/>
      <c r="D151" s="25" t="s">
        <v>33</v>
      </c>
      <c r="E151" s="160" t="s">
        <v>81</v>
      </c>
      <c r="F151" s="418"/>
      <c r="G151" s="418"/>
      <c r="H151" s="99">
        <f>I151+J151+K151</f>
        <v>8808.3914559999994</v>
      </c>
      <c r="I151" s="100">
        <v>2862.7</v>
      </c>
      <c r="J151" s="100">
        <v>2846.6559999999999</v>
      </c>
      <c r="K151" s="100">
        <v>3099.0354559999996</v>
      </c>
      <c r="L151" s="100"/>
      <c r="M151" s="100"/>
      <c r="N151" s="100"/>
      <c r="O151" s="106"/>
      <c r="P151" s="106"/>
      <c r="Q151" s="106"/>
      <c r="R151" s="417"/>
      <c r="S151" s="100">
        <f>J152+J16</f>
        <v>2070</v>
      </c>
      <c r="T151" s="161">
        <v>6700</v>
      </c>
      <c r="U151" s="8">
        <v>7148.9</v>
      </c>
      <c r="W151" s="162">
        <f>T151-J159</f>
        <v>2846.6559999999999</v>
      </c>
      <c r="X151" s="162">
        <f>U151-K159</f>
        <v>3099.0354559999996</v>
      </c>
    </row>
    <row r="152" spans="1:24" s="140" customFormat="1" ht="75" hidden="1" customHeight="1">
      <c r="A152" s="449"/>
      <c r="B152" s="428"/>
      <c r="C152" s="451" t="s">
        <v>244</v>
      </c>
      <c r="D152" s="448" t="s">
        <v>367</v>
      </c>
      <c r="E152" s="448"/>
      <c r="F152" s="448"/>
      <c r="G152" s="448"/>
      <c r="H152" s="99">
        <f>H153+H154</f>
        <v>2688.9522999999999</v>
      </c>
      <c r="I152" s="99">
        <f>I153+I154</f>
        <v>833.40000000000009</v>
      </c>
      <c r="J152" s="99">
        <f>J153+J154</f>
        <v>900.7</v>
      </c>
      <c r="K152" s="99">
        <f>K153+K154</f>
        <v>954.85230000000001</v>
      </c>
      <c r="L152" s="101"/>
      <c r="M152" s="101"/>
      <c r="N152" s="101"/>
      <c r="O152" s="101"/>
      <c r="P152" s="101"/>
      <c r="Q152" s="101"/>
      <c r="R152" s="374" t="s">
        <v>46</v>
      </c>
      <c r="S152" s="111"/>
      <c r="T152" s="140">
        <v>6700</v>
      </c>
      <c r="U152" s="140">
        <v>7148.9</v>
      </c>
    </row>
    <row r="153" spans="1:24" ht="75" hidden="1" customHeight="1">
      <c r="A153" s="449"/>
      <c r="B153" s="428"/>
      <c r="C153" s="452"/>
      <c r="D153" s="25" t="s">
        <v>33</v>
      </c>
      <c r="E153" s="295" t="s">
        <v>80</v>
      </c>
      <c r="F153" s="418" t="s">
        <v>222</v>
      </c>
      <c r="G153" s="418" t="s">
        <v>446</v>
      </c>
      <c r="H153" s="99">
        <f>I153+J153+K153</f>
        <v>1540</v>
      </c>
      <c r="I153" s="100">
        <v>478.8</v>
      </c>
      <c r="J153" s="100">
        <v>513.4</v>
      </c>
      <c r="K153" s="100">
        <v>547.79999999999995</v>
      </c>
      <c r="L153" s="254"/>
      <c r="M153" s="254"/>
      <c r="N153" s="254"/>
      <c r="O153" s="254"/>
      <c r="P153" s="254"/>
      <c r="Q153" s="254"/>
      <c r="R153" s="393"/>
    </row>
    <row r="154" spans="1:24" ht="87.75" hidden="1" customHeight="1">
      <c r="A154" s="449"/>
      <c r="B154" s="428"/>
      <c r="C154" s="453"/>
      <c r="D154" s="25" t="s">
        <v>33</v>
      </c>
      <c r="E154" s="141" t="s">
        <v>81</v>
      </c>
      <c r="F154" s="418"/>
      <c r="G154" s="418"/>
      <c r="H154" s="99">
        <f>I154+J154+K154</f>
        <v>1148.9523000000002</v>
      </c>
      <c r="I154" s="100">
        <v>354.6</v>
      </c>
      <c r="J154" s="100">
        <v>387.3</v>
      </c>
      <c r="K154" s="100">
        <f>J154*1.051</f>
        <v>407.0523</v>
      </c>
      <c r="L154" s="106"/>
      <c r="M154" s="106"/>
      <c r="N154" s="106"/>
      <c r="O154" s="106"/>
      <c r="P154" s="106"/>
      <c r="Q154" s="106"/>
      <c r="R154" s="375"/>
    </row>
    <row r="155" spans="1:24" ht="158.25" hidden="1" customHeight="1">
      <c r="A155" s="449"/>
      <c r="B155" s="428"/>
      <c r="C155" s="149" t="s">
        <v>245</v>
      </c>
      <c r="D155" s="285" t="s">
        <v>29</v>
      </c>
      <c r="E155" s="295" t="s">
        <v>75</v>
      </c>
      <c r="F155" s="292" t="s">
        <v>222</v>
      </c>
      <c r="G155" s="290" t="s">
        <v>446</v>
      </c>
      <c r="H155" s="99">
        <f>I155+J155+K155</f>
        <v>900</v>
      </c>
      <c r="I155" s="100">
        <v>900</v>
      </c>
      <c r="J155" s="100"/>
      <c r="K155" s="100"/>
      <c r="L155" s="102"/>
      <c r="M155" s="102"/>
      <c r="N155" s="102"/>
      <c r="O155" s="102"/>
      <c r="P155" s="102"/>
      <c r="Q155" s="102"/>
      <c r="R155" s="415" t="s">
        <v>72</v>
      </c>
    </row>
    <row r="156" spans="1:24" ht="75" hidden="1" customHeight="1">
      <c r="A156" s="449"/>
      <c r="B156" s="428"/>
      <c r="C156" s="410" t="s">
        <v>246</v>
      </c>
      <c r="D156" s="448" t="s">
        <v>368</v>
      </c>
      <c r="E156" s="448"/>
      <c r="F156" s="448"/>
      <c r="G156" s="448"/>
      <c r="H156" s="99">
        <f>SUM(H157:H159)</f>
        <v>25082.925910400001</v>
      </c>
      <c r="I156" s="99">
        <f>SUM(I157:I159)</f>
        <v>7490.9</v>
      </c>
      <c r="J156" s="99">
        <f>SUM(J157:J159)</f>
        <v>8565.590400000001</v>
      </c>
      <c r="K156" s="99">
        <f>SUM(K157:K159)</f>
        <v>9026.4355104000006</v>
      </c>
      <c r="L156" s="255"/>
      <c r="M156" s="255"/>
      <c r="N156" s="255"/>
      <c r="O156" s="255"/>
      <c r="P156" s="255"/>
      <c r="Q156" s="255"/>
      <c r="R156" s="416"/>
    </row>
    <row r="157" spans="1:24" ht="75" hidden="1" customHeight="1">
      <c r="A157" s="449"/>
      <c r="B157" s="428"/>
      <c r="C157" s="411"/>
      <c r="D157" s="299" t="s">
        <v>29</v>
      </c>
      <c r="E157" s="295" t="s">
        <v>75</v>
      </c>
      <c r="F157" s="442" t="s">
        <v>17</v>
      </c>
      <c r="G157" s="418" t="s">
        <v>446</v>
      </c>
      <c r="H157" s="99">
        <f>I157+J157+K157</f>
        <v>3900.5</v>
      </c>
      <c r="I157" s="100">
        <f>600+200</f>
        <v>800</v>
      </c>
      <c r="J157" s="100">
        <v>1500</v>
      </c>
      <c r="K157" s="100">
        <v>1600.5</v>
      </c>
      <c r="L157" s="254"/>
      <c r="M157" s="254"/>
      <c r="N157" s="254"/>
      <c r="O157" s="254"/>
      <c r="P157" s="254"/>
      <c r="Q157" s="254"/>
      <c r="R157" s="416"/>
    </row>
    <row r="158" spans="1:24" ht="75" hidden="1" customHeight="1">
      <c r="A158" s="449"/>
      <c r="B158" s="428"/>
      <c r="C158" s="411"/>
      <c r="D158" s="25" t="s">
        <v>36</v>
      </c>
      <c r="E158" s="295" t="s">
        <v>80</v>
      </c>
      <c r="F158" s="442"/>
      <c r="G158" s="418"/>
      <c r="H158" s="99">
        <f>I158+J158+K158</f>
        <v>9630.2173664000002</v>
      </c>
      <c r="I158" s="100">
        <v>3041.9</v>
      </c>
      <c r="J158" s="100">
        <v>3212.2464000000004</v>
      </c>
      <c r="K158" s="100">
        <v>3376.0709664000001</v>
      </c>
      <c r="L158" s="254"/>
      <c r="M158" s="254"/>
      <c r="N158" s="254"/>
      <c r="O158" s="254"/>
      <c r="P158" s="254"/>
      <c r="Q158" s="254"/>
      <c r="R158" s="416"/>
    </row>
    <row r="159" spans="1:24" ht="55.5" hidden="1">
      <c r="A159" s="449"/>
      <c r="B159" s="428"/>
      <c r="C159" s="412"/>
      <c r="D159" s="25" t="s">
        <v>36</v>
      </c>
      <c r="E159" s="141" t="s">
        <v>81</v>
      </c>
      <c r="F159" s="442"/>
      <c r="G159" s="418"/>
      <c r="H159" s="99">
        <f>I159+J159+K159</f>
        <v>11552.208544000001</v>
      </c>
      <c r="I159" s="100">
        <v>3649</v>
      </c>
      <c r="J159" s="100">
        <v>3853.3440000000001</v>
      </c>
      <c r="K159" s="100">
        <v>4049.864544</v>
      </c>
      <c r="L159" s="254"/>
      <c r="M159" s="254"/>
      <c r="N159" s="254"/>
      <c r="O159" s="254"/>
      <c r="P159" s="254"/>
      <c r="Q159" s="254"/>
      <c r="R159" s="416"/>
    </row>
    <row r="160" spans="1:24" ht="138.75" hidden="1" customHeight="1">
      <c r="A160" s="449"/>
      <c r="B160" s="428"/>
      <c r="C160" s="289" t="s">
        <v>247</v>
      </c>
      <c r="D160" s="299" t="s">
        <v>29</v>
      </c>
      <c r="E160" s="295" t="s">
        <v>75</v>
      </c>
      <c r="F160" s="442"/>
      <c r="G160" s="418"/>
      <c r="H160" s="99">
        <f>I160+J160+K160</f>
        <v>420</v>
      </c>
      <c r="I160" s="100">
        <v>420</v>
      </c>
      <c r="J160" s="100"/>
      <c r="K160" s="100"/>
      <c r="L160" s="106"/>
      <c r="M160" s="106"/>
      <c r="N160" s="106"/>
      <c r="O160" s="106"/>
      <c r="P160" s="106"/>
      <c r="Q160" s="106"/>
      <c r="R160" s="417"/>
    </row>
    <row r="161" spans="1:19" ht="62.25" customHeight="1">
      <c r="A161" s="449"/>
      <c r="B161" s="428"/>
      <c r="C161" s="414" t="s">
        <v>248</v>
      </c>
      <c r="D161" s="448" t="s">
        <v>369</v>
      </c>
      <c r="E161" s="448"/>
      <c r="F161" s="448"/>
      <c r="G161" s="448"/>
      <c r="H161" s="99">
        <f>H162+H163</f>
        <v>5857.9</v>
      </c>
      <c r="I161" s="99">
        <f>I162+I163</f>
        <v>1921.3</v>
      </c>
      <c r="J161" s="99">
        <f>J162+J163</f>
        <v>1906.6</v>
      </c>
      <c r="K161" s="99">
        <f>K162+K163</f>
        <v>2030</v>
      </c>
      <c r="L161" s="99">
        <v>1920.9</v>
      </c>
      <c r="M161" s="99">
        <v>0.4</v>
      </c>
      <c r="N161" s="99">
        <f>L161+M161</f>
        <v>1921.3000000000002</v>
      </c>
      <c r="O161" s="99"/>
      <c r="P161" s="99"/>
      <c r="Q161" s="99"/>
      <c r="R161" s="415" t="s">
        <v>107</v>
      </c>
    </row>
    <row r="162" spans="1:19" ht="27.75">
      <c r="A162" s="449"/>
      <c r="B162" s="428"/>
      <c r="C162" s="414"/>
      <c r="D162" s="394" t="s">
        <v>33</v>
      </c>
      <c r="E162" s="295" t="s">
        <v>76</v>
      </c>
      <c r="F162" s="442" t="s">
        <v>222</v>
      </c>
      <c r="G162" s="418" t="s">
        <v>446</v>
      </c>
      <c r="H162" s="99">
        <f>I162+J162+K162</f>
        <v>1745.5</v>
      </c>
      <c r="I162" s="100">
        <f>573.9+0.4</f>
        <v>574.29999999999995</v>
      </c>
      <c r="J162" s="100">
        <v>566.6</v>
      </c>
      <c r="K162" s="100">
        <v>604.6</v>
      </c>
      <c r="L162" s="100">
        <v>573.9</v>
      </c>
      <c r="M162" s="100">
        <v>0.4</v>
      </c>
      <c r="N162" s="100">
        <f>L162+M162</f>
        <v>574.29999999999995</v>
      </c>
      <c r="O162" s="100"/>
      <c r="P162" s="100"/>
      <c r="Q162" s="100"/>
      <c r="R162" s="416"/>
    </row>
    <row r="163" spans="1:19" ht="55.5">
      <c r="A163" s="449"/>
      <c r="B163" s="428"/>
      <c r="C163" s="414"/>
      <c r="D163" s="394"/>
      <c r="E163" s="295" t="s">
        <v>78</v>
      </c>
      <c r="F163" s="442"/>
      <c r="G163" s="418"/>
      <c r="H163" s="99">
        <f>I163+J163+K163</f>
        <v>4112.3999999999996</v>
      </c>
      <c r="I163" s="100">
        <v>1347</v>
      </c>
      <c r="J163" s="100">
        <v>1340</v>
      </c>
      <c r="K163" s="100">
        <v>1425.4</v>
      </c>
      <c r="L163" s="100"/>
      <c r="M163" s="100"/>
      <c r="N163" s="100"/>
      <c r="O163" s="100"/>
      <c r="P163" s="100"/>
      <c r="Q163" s="100"/>
      <c r="R163" s="417"/>
    </row>
    <row r="164" spans="1:19" ht="138.75" hidden="1">
      <c r="A164" s="449"/>
      <c r="B164" s="428"/>
      <c r="C164" s="295" t="s">
        <v>249</v>
      </c>
      <c r="D164" s="163" t="s">
        <v>29</v>
      </c>
      <c r="E164" s="295" t="s">
        <v>77</v>
      </c>
      <c r="F164" s="283" t="s">
        <v>222</v>
      </c>
      <c r="G164" s="293" t="s">
        <v>446</v>
      </c>
      <c r="H164" s="99">
        <f>I164+J164+K164</f>
        <v>533.4</v>
      </c>
      <c r="I164" s="100">
        <v>120</v>
      </c>
      <c r="J164" s="100">
        <v>200</v>
      </c>
      <c r="K164" s="100">
        <v>213.4</v>
      </c>
      <c r="L164" s="100"/>
      <c r="M164" s="100"/>
      <c r="N164" s="100"/>
      <c r="O164" s="100"/>
      <c r="P164" s="100"/>
      <c r="Q164" s="100"/>
      <c r="R164" s="149" t="s">
        <v>108</v>
      </c>
    </row>
    <row r="165" spans="1:19" ht="27" hidden="1" customHeight="1">
      <c r="A165" s="449"/>
      <c r="B165" s="428"/>
      <c r="C165" s="413" t="s">
        <v>288</v>
      </c>
      <c r="D165" s="448" t="s">
        <v>370</v>
      </c>
      <c r="E165" s="448"/>
      <c r="F165" s="448"/>
      <c r="G165" s="448"/>
      <c r="H165" s="99">
        <f>H166+H167+H168</f>
        <v>11499.719000000001</v>
      </c>
      <c r="I165" s="99">
        <f>I166+I167+I168</f>
        <v>11499.719000000001</v>
      </c>
      <c r="J165" s="99">
        <f>J166+J167+J168</f>
        <v>0</v>
      </c>
      <c r="K165" s="99">
        <f>K166+K167+K168</f>
        <v>0</v>
      </c>
      <c r="L165" s="99"/>
      <c r="M165" s="99"/>
      <c r="N165" s="99"/>
      <c r="O165" s="99"/>
      <c r="P165" s="99"/>
      <c r="Q165" s="99"/>
      <c r="R165" s="374" t="s">
        <v>69</v>
      </c>
    </row>
    <row r="166" spans="1:19" ht="139.5" hidden="1" customHeight="1">
      <c r="A166" s="449"/>
      <c r="B166" s="428"/>
      <c r="C166" s="413"/>
      <c r="D166" s="394" t="s">
        <v>34</v>
      </c>
      <c r="E166" s="414" t="s">
        <v>222</v>
      </c>
      <c r="F166" s="466"/>
      <c r="G166" s="290" t="s">
        <v>99</v>
      </c>
      <c r="H166" s="99">
        <f>I166+J166+K166</f>
        <v>1490.1</v>
      </c>
      <c r="I166" s="100">
        <v>1490.1</v>
      </c>
      <c r="J166" s="105">
        <v>0</v>
      </c>
      <c r="K166" s="100">
        <v>0</v>
      </c>
      <c r="L166" s="100"/>
      <c r="M166" s="100"/>
      <c r="N166" s="100"/>
      <c r="O166" s="100"/>
      <c r="P166" s="100"/>
      <c r="Q166" s="100"/>
      <c r="R166" s="393"/>
    </row>
    <row r="167" spans="1:19" ht="186" hidden="1" customHeight="1">
      <c r="A167" s="449"/>
      <c r="B167" s="428"/>
      <c r="C167" s="413"/>
      <c r="D167" s="394"/>
      <c r="E167" s="414"/>
      <c r="F167" s="466"/>
      <c r="G167" s="290" t="s">
        <v>100</v>
      </c>
      <c r="H167" s="99">
        <f>I167+J167+K167</f>
        <v>6609.6190000000006</v>
      </c>
      <c r="I167" s="100">
        <f>4342.569+2267.05</f>
        <v>6609.6190000000006</v>
      </c>
      <c r="J167" s="105">
        <v>0</v>
      </c>
      <c r="K167" s="100">
        <v>0</v>
      </c>
      <c r="L167" s="100"/>
      <c r="M167" s="100"/>
      <c r="N167" s="100"/>
      <c r="O167" s="100"/>
      <c r="P167" s="100"/>
      <c r="Q167" s="100"/>
      <c r="R167" s="393"/>
    </row>
    <row r="168" spans="1:19" ht="46.5" hidden="1">
      <c r="A168" s="449"/>
      <c r="B168" s="428"/>
      <c r="C168" s="413"/>
      <c r="D168" s="394"/>
      <c r="E168" s="414"/>
      <c r="F168" s="466"/>
      <c r="G168" s="290" t="s">
        <v>448</v>
      </c>
      <c r="H168" s="99">
        <f>I168+J168+K168</f>
        <v>3400</v>
      </c>
      <c r="I168" s="100">
        <f>1600+800+1000</f>
        <v>3400</v>
      </c>
      <c r="J168" s="100">
        <v>0</v>
      </c>
      <c r="K168" s="100">
        <v>0</v>
      </c>
      <c r="L168" s="100"/>
      <c r="M168" s="100"/>
      <c r="N168" s="100"/>
      <c r="O168" s="100"/>
      <c r="P168" s="100"/>
      <c r="Q168" s="100"/>
      <c r="R168" s="375"/>
    </row>
    <row r="169" spans="1:19" ht="27" hidden="1" customHeight="1">
      <c r="A169" s="449"/>
      <c r="B169" s="428"/>
      <c r="C169" s="414" t="s">
        <v>289</v>
      </c>
      <c r="D169" s="422" t="s">
        <v>371</v>
      </c>
      <c r="E169" s="423"/>
      <c r="F169" s="423"/>
      <c r="G169" s="424"/>
      <c r="H169" s="99">
        <f>SUM(H170:H174)</f>
        <v>2915.16</v>
      </c>
      <c r="I169" s="99">
        <f>SUM(I170:I174)</f>
        <v>789.51</v>
      </c>
      <c r="J169" s="99">
        <f>SUM(J170:J174)</f>
        <v>1030.3</v>
      </c>
      <c r="K169" s="99">
        <f>SUM(K170:K174)</f>
        <v>1095.3499999999999</v>
      </c>
      <c r="L169" s="99"/>
      <c r="M169" s="99"/>
      <c r="N169" s="99"/>
      <c r="O169" s="99"/>
      <c r="P169" s="99"/>
      <c r="Q169" s="99"/>
      <c r="R169" s="415" t="s">
        <v>51</v>
      </c>
    </row>
    <row r="170" spans="1:19" s="140" customFormat="1" ht="46.5" hidden="1">
      <c r="A170" s="449"/>
      <c r="B170" s="428"/>
      <c r="C170" s="414"/>
      <c r="D170" s="467" t="s">
        <v>29</v>
      </c>
      <c r="E170" s="450" t="s">
        <v>82</v>
      </c>
      <c r="F170" s="442" t="s">
        <v>17</v>
      </c>
      <c r="G170" s="290" t="s">
        <v>446</v>
      </c>
      <c r="H170" s="99">
        <f>I170+J170+K170</f>
        <v>1045.1100000000001</v>
      </c>
      <c r="I170" s="100">
        <f>307.81</f>
        <v>307.81</v>
      </c>
      <c r="J170" s="100">
        <v>356.7</v>
      </c>
      <c r="K170" s="100">
        <v>380.6</v>
      </c>
      <c r="L170" s="100"/>
      <c r="M170" s="100"/>
      <c r="N170" s="100"/>
      <c r="O170" s="100"/>
      <c r="P170" s="100"/>
      <c r="Q170" s="100"/>
      <c r="R170" s="416"/>
      <c r="S170" s="111"/>
    </row>
    <row r="171" spans="1:19" s="140" customFormat="1" ht="139.5" hidden="1" customHeight="1">
      <c r="A171" s="449"/>
      <c r="B171" s="428"/>
      <c r="C171" s="414"/>
      <c r="D171" s="468"/>
      <c r="E171" s="450"/>
      <c r="F171" s="442"/>
      <c r="G171" s="290" t="s">
        <v>99</v>
      </c>
      <c r="H171" s="99">
        <f>I171+J171+K171</f>
        <v>0.6</v>
      </c>
      <c r="I171" s="100">
        <v>0.6</v>
      </c>
      <c r="J171" s="100"/>
      <c r="K171" s="100"/>
      <c r="L171" s="100"/>
      <c r="M171" s="100"/>
      <c r="N171" s="100"/>
      <c r="O171" s="100"/>
      <c r="P171" s="100"/>
      <c r="Q171" s="100"/>
      <c r="R171" s="416"/>
      <c r="S171" s="111"/>
    </row>
    <row r="172" spans="1:19" s="140" customFormat="1" ht="27.75" hidden="1">
      <c r="A172" s="449"/>
      <c r="B172" s="428"/>
      <c r="C172" s="414"/>
      <c r="D172" s="164" t="s">
        <v>29</v>
      </c>
      <c r="E172" s="295" t="s">
        <v>76</v>
      </c>
      <c r="F172" s="442"/>
      <c r="G172" s="418" t="s">
        <v>446</v>
      </c>
      <c r="H172" s="99">
        <f>I172+J172+K172</f>
        <v>1126.2</v>
      </c>
      <c r="I172" s="100">
        <f>384-96</f>
        <v>288</v>
      </c>
      <c r="J172" s="100">
        <v>405.5</v>
      </c>
      <c r="K172" s="100">
        <v>432.7</v>
      </c>
      <c r="L172" s="100"/>
      <c r="M172" s="100"/>
      <c r="N172" s="100"/>
      <c r="O172" s="100"/>
      <c r="P172" s="100"/>
      <c r="Q172" s="100"/>
      <c r="R172" s="416"/>
      <c r="S172" s="111"/>
    </row>
    <row r="173" spans="1:19" s="140" customFormat="1" ht="27.75" hidden="1">
      <c r="A173" s="449"/>
      <c r="B173" s="428"/>
      <c r="C173" s="414"/>
      <c r="D173" s="164" t="s">
        <v>29</v>
      </c>
      <c r="E173" s="295" t="s">
        <v>77</v>
      </c>
      <c r="F173" s="442"/>
      <c r="G173" s="418"/>
      <c r="H173" s="99">
        <f>I173+J173+K173</f>
        <v>689.05</v>
      </c>
      <c r="I173" s="100">
        <f>193.3-17</f>
        <v>176.3</v>
      </c>
      <c r="J173" s="100">
        <v>250</v>
      </c>
      <c r="K173" s="100">
        <f>J173*1.051</f>
        <v>262.75</v>
      </c>
      <c r="L173" s="100"/>
      <c r="M173" s="100"/>
      <c r="N173" s="100"/>
      <c r="O173" s="100"/>
      <c r="P173" s="100"/>
      <c r="Q173" s="100"/>
      <c r="R173" s="416"/>
      <c r="S173" s="111"/>
    </row>
    <row r="174" spans="1:19" s="140" customFormat="1" ht="55.5" hidden="1">
      <c r="A174" s="449"/>
      <c r="B174" s="428"/>
      <c r="C174" s="414"/>
      <c r="D174" s="164" t="s">
        <v>29</v>
      </c>
      <c r="E174" s="295" t="s">
        <v>75</v>
      </c>
      <c r="F174" s="442"/>
      <c r="G174" s="418"/>
      <c r="H174" s="99">
        <f>I174+J174+K174</f>
        <v>54.2</v>
      </c>
      <c r="I174" s="100">
        <v>16.8</v>
      </c>
      <c r="J174" s="100">
        <v>18.100000000000001</v>
      </c>
      <c r="K174" s="100">
        <v>19.3</v>
      </c>
      <c r="L174" s="100"/>
      <c r="M174" s="100"/>
      <c r="N174" s="100"/>
      <c r="O174" s="100"/>
      <c r="P174" s="100"/>
      <c r="Q174" s="100"/>
      <c r="R174" s="417"/>
      <c r="S174" s="111"/>
    </row>
    <row r="175" spans="1:19" ht="30">
      <c r="A175" s="592" t="s">
        <v>66</v>
      </c>
      <c r="B175" s="593"/>
      <c r="C175" s="593"/>
      <c r="D175" s="593"/>
      <c r="E175" s="593"/>
      <c r="F175" s="594"/>
      <c r="G175" s="301"/>
      <c r="H175" s="99">
        <f>H149+H152+H155+H156+H160+H161+H164+H165+H169</f>
        <v>66024.631300000008</v>
      </c>
      <c r="I175" s="99">
        <f>I149+I152+I155+I156+I160+I161+I164+I165+I169</f>
        <v>29168.828999999998</v>
      </c>
      <c r="J175" s="99">
        <f>J149+J152+J155+J156+J160+J161+J164+J165+J169</f>
        <v>17837.599999999999</v>
      </c>
      <c r="K175" s="99">
        <f>K149+K152+K155+K156+K160+K161+K164+K165+K169</f>
        <v>19018.202300000001</v>
      </c>
      <c r="L175" s="99">
        <v>29168.400000000001</v>
      </c>
      <c r="M175" s="99">
        <f>N175-L175</f>
        <v>0.39999999999781721</v>
      </c>
      <c r="N175" s="99">
        <v>29168.799999999999</v>
      </c>
      <c r="O175" s="99"/>
      <c r="P175" s="99"/>
      <c r="Q175" s="99"/>
      <c r="R175" s="385"/>
    </row>
    <row r="176" spans="1:19" s="140" customFormat="1" ht="46.5" hidden="1" customHeight="1">
      <c r="A176" s="573" t="s">
        <v>18</v>
      </c>
      <c r="B176" s="573"/>
      <c r="C176" s="130"/>
      <c r="D176" s="165"/>
      <c r="E176" s="166"/>
      <c r="F176" s="167"/>
      <c r="G176" s="157" t="s">
        <v>446</v>
      </c>
      <c r="H176" s="115">
        <f>H150+H151+H153+H154+H155+H157+H158+H159+H160+H162+H163+H164+H168+H170+H172+H173+H174</f>
        <v>57924.312299999998</v>
      </c>
      <c r="I176" s="115">
        <f>I150+I151+I153+I154+I155+I157+I158+I159+I160+I162+I163+I164+I168+I170+I172+I173+I174</f>
        <v>21068.51</v>
      </c>
      <c r="J176" s="115">
        <f>J150+J151+J153+J154+J155+J157+J158+J159+J160+J162+J163+J164+J168+J170+J172+J173+J174</f>
        <v>17837.600000000002</v>
      </c>
      <c r="K176" s="115">
        <f>K150+K151+K153+K154+K155+K157+K158+K159+K160+K162+K163+K164+K168+K170+K172+K173+K174</f>
        <v>19018.202300000001</v>
      </c>
      <c r="L176" s="115"/>
      <c r="M176" s="115"/>
      <c r="N176" s="115"/>
      <c r="O176" s="115"/>
      <c r="P176" s="115"/>
      <c r="Q176" s="115"/>
      <c r="R176" s="386"/>
      <c r="S176" s="111"/>
    </row>
    <row r="177" spans="1:19" s="140" customFormat="1" ht="162.75" hidden="1">
      <c r="A177" s="168"/>
      <c r="B177" s="27"/>
      <c r="C177" s="166"/>
      <c r="D177" s="165"/>
      <c r="E177" s="166"/>
      <c r="F177" s="169"/>
      <c r="G177" s="158" t="s">
        <v>99</v>
      </c>
      <c r="H177" s="117">
        <f>H171+H166</f>
        <v>1490.6999999999998</v>
      </c>
      <c r="I177" s="117">
        <f>I171+I166</f>
        <v>1490.6999999999998</v>
      </c>
      <c r="J177" s="117">
        <f>J171+J166</f>
        <v>0</v>
      </c>
      <c r="K177" s="117">
        <f>K171+K166</f>
        <v>0</v>
      </c>
      <c r="L177" s="115"/>
      <c r="M177" s="115"/>
      <c r="N177" s="115"/>
      <c r="O177" s="115"/>
      <c r="P177" s="115"/>
      <c r="Q177" s="115"/>
      <c r="R177" s="386"/>
      <c r="S177" s="111"/>
    </row>
    <row r="178" spans="1:19" s="140" customFormat="1" ht="209.25" hidden="1">
      <c r="A178" s="168"/>
      <c r="B178" s="27"/>
      <c r="C178" s="166"/>
      <c r="D178" s="165"/>
      <c r="E178" s="166"/>
      <c r="F178" s="169"/>
      <c r="G178" s="159" t="s">
        <v>100</v>
      </c>
      <c r="H178" s="117">
        <f>H167</f>
        <v>6609.6190000000006</v>
      </c>
      <c r="I178" s="117">
        <f>I167</f>
        <v>6609.6190000000006</v>
      </c>
      <c r="J178" s="117">
        <f>J167</f>
        <v>0</v>
      </c>
      <c r="K178" s="117">
        <f>K167</f>
        <v>0</v>
      </c>
      <c r="L178" s="258"/>
      <c r="M178" s="258"/>
      <c r="N178" s="258"/>
      <c r="O178" s="258"/>
      <c r="P178" s="258"/>
      <c r="Q178" s="258"/>
      <c r="R178" s="386"/>
      <c r="S178" s="111"/>
    </row>
    <row r="179" spans="1:19" s="140" customFormat="1" ht="27" hidden="1">
      <c r="A179" s="428" t="s">
        <v>290</v>
      </c>
      <c r="B179" s="428"/>
      <c r="C179" s="428"/>
      <c r="D179" s="428"/>
      <c r="E179" s="397" t="s">
        <v>82</v>
      </c>
      <c r="F179" s="397"/>
      <c r="G179" s="170" t="s">
        <v>98</v>
      </c>
      <c r="H179" s="104">
        <f>SUM(H180:H181)</f>
        <v>1045.71</v>
      </c>
      <c r="I179" s="104">
        <f>SUM(I180:I181)</f>
        <v>308.41000000000003</v>
      </c>
      <c r="J179" s="104">
        <f>SUM(J180:J181)</f>
        <v>356.7</v>
      </c>
      <c r="K179" s="104">
        <f>SUM(K180:K181)</f>
        <v>380.6</v>
      </c>
      <c r="L179" s="256"/>
      <c r="M179" s="256"/>
      <c r="N179" s="256"/>
      <c r="O179" s="256"/>
      <c r="P179" s="256"/>
      <c r="Q179" s="256"/>
      <c r="R179" s="386"/>
      <c r="S179" s="111"/>
    </row>
    <row r="180" spans="1:19" s="140" customFormat="1" ht="157.5" hidden="1">
      <c r="A180" s="428"/>
      <c r="B180" s="428"/>
      <c r="C180" s="428"/>
      <c r="D180" s="428"/>
      <c r="E180" s="397"/>
      <c r="F180" s="397"/>
      <c r="G180" s="301" t="s">
        <v>99</v>
      </c>
      <c r="H180" s="104">
        <f>H171</f>
        <v>0.6</v>
      </c>
      <c r="I180" s="104">
        <f>I171</f>
        <v>0.6</v>
      </c>
      <c r="J180" s="104">
        <f>J171</f>
        <v>0</v>
      </c>
      <c r="K180" s="104">
        <f>K171</f>
        <v>0</v>
      </c>
      <c r="L180" s="256"/>
      <c r="M180" s="256"/>
      <c r="N180" s="256"/>
      <c r="O180" s="256"/>
      <c r="P180" s="256"/>
      <c r="Q180" s="256"/>
      <c r="R180" s="386"/>
      <c r="S180" s="111"/>
    </row>
    <row r="181" spans="1:19" s="140" customFormat="1" ht="45" hidden="1" customHeight="1">
      <c r="A181" s="428"/>
      <c r="B181" s="428"/>
      <c r="C181" s="428"/>
      <c r="D181" s="428"/>
      <c r="E181" s="397"/>
      <c r="F181" s="397"/>
      <c r="G181" s="301" t="s">
        <v>446</v>
      </c>
      <c r="H181" s="104">
        <f>H170</f>
        <v>1045.1100000000001</v>
      </c>
      <c r="I181" s="104">
        <f>I170</f>
        <v>307.81</v>
      </c>
      <c r="J181" s="104">
        <f>J170</f>
        <v>356.7</v>
      </c>
      <c r="K181" s="104">
        <f>K170</f>
        <v>380.6</v>
      </c>
      <c r="L181" s="256"/>
      <c r="M181" s="256"/>
      <c r="N181" s="256"/>
      <c r="O181" s="256"/>
      <c r="P181" s="256"/>
      <c r="Q181" s="256"/>
      <c r="R181" s="386"/>
      <c r="S181" s="111"/>
    </row>
    <row r="182" spans="1:19" ht="27" hidden="1">
      <c r="A182" s="428"/>
      <c r="B182" s="428"/>
      <c r="C182" s="428"/>
      <c r="D182" s="428"/>
      <c r="E182" s="397" t="s">
        <v>76</v>
      </c>
      <c r="F182" s="397"/>
      <c r="G182" s="407" t="s">
        <v>446</v>
      </c>
      <c r="H182" s="104">
        <f>H172+H162</f>
        <v>2871.7</v>
      </c>
      <c r="I182" s="104">
        <f>I172+I162</f>
        <v>862.3</v>
      </c>
      <c r="J182" s="104">
        <f>J172+J162</f>
        <v>972.1</v>
      </c>
      <c r="K182" s="104">
        <f>K172+K162</f>
        <v>1037.3</v>
      </c>
      <c r="L182" s="256"/>
      <c r="M182" s="256"/>
      <c r="N182" s="256"/>
      <c r="O182" s="256"/>
      <c r="P182" s="256"/>
      <c r="Q182" s="256"/>
      <c r="R182" s="386"/>
      <c r="S182" s="109"/>
    </row>
    <row r="183" spans="1:19" ht="27" hidden="1">
      <c r="A183" s="428"/>
      <c r="B183" s="428"/>
      <c r="C183" s="428"/>
      <c r="D183" s="428"/>
      <c r="E183" s="397" t="s">
        <v>77</v>
      </c>
      <c r="F183" s="397"/>
      <c r="G183" s="408"/>
      <c r="H183" s="104">
        <f>H173+H164</f>
        <v>1222.4499999999998</v>
      </c>
      <c r="I183" s="104">
        <f>I173+I164</f>
        <v>296.3</v>
      </c>
      <c r="J183" s="104">
        <f>J173+J164</f>
        <v>450</v>
      </c>
      <c r="K183" s="104">
        <f>K173+K164</f>
        <v>476.15</v>
      </c>
      <c r="L183" s="256"/>
      <c r="M183" s="256"/>
      <c r="N183" s="256"/>
      <c r="O183" s="256"/>
      <c r="P183" s="256"/>
      <c r="Q183" s="256"/>
      <c r="R183" s="386"/>
      <c r="S183" s="109"/>
    </row>
    <row r="184" spans="1:19" ht="27" hidden="1">
      <c r="A184" s="428"/>
      <c r="B184" s="428"/>
      <c r="C184" s="428"/>
      <c r="D184" s="428"/>
      <c r="E184" s="397" t="s">
        <v>75</v>
      </c>
      <c r="F184" s="397"/>
      <c r="G184" s="408"/>
      <c r="H184" s="104">
        <f>H174+H160+H157+H155</f>
        <v>5274.7</v>
      </c>
      <c r="I184" s="104">
        <f>I174+I160+I157+I155</f>
        <v>2136.8000000000002</v>
      </c>
      <c r="J184" s="104">
        <f>J174+J160+J157+J155</f>
        <v>1518.1</v>
      </c>
      <c r="K184" s="104">
        <f>K174+K160+K157+K155</f>
        <v>1619.8</v>
      </c>
      <c r="L184" s="256"/>
      <c r="M184" s="256"/>
      <c r="N184" s="256"/>
      <c r="O184" s="256"/>
      <c r="P184" s="256"/>
      <c r="Q184" s="256"/>
      <c r="R184" s="386"/>
      <c r="S184" s="109"/>
    </row>
    <row r="185" spans="1:19" ht="27" hidden="1">
      <c r="A185" s="428"/>
      <c r="B185" s="428"/>
      <c r="C185" s="428"/>
      <c r="D185" s="428"/>
      <c r="E185" s="425" t="s">
        <v>78</v>
      </c>
      <c r="F185" s="426"/>
      <c r="G185" s="408"/>
      <c r="H185" s="104">
        <f>H163</f>
        <v>4112.3999999999996</v>
      </c>
      <c r="I185" s="104">
        <f>I163</f>
        <v>1347</v>
      </c>
      <c r="J185" s="104">
        <f>J163</f>
        <v>1340</v>
      </c>
      <c r="K185" s="104">
        <f>K163</f>
        <v>1425.4</v>
      </c>
      <c r="L185" s="256"/>
      <c r="M185" s="256"/>
      <c r="N185" s="256"/>
      <c r="O185" s="256"/>
      <c r="P185" s="256"/>
      <c r="Q185" s="256"/>
      <c r="R185" s="386"/>
      <c r="S185" s="109"/>
    </row>
    <row r="186" spans="1:19" ht="27" hidden="1">
      <c r="A186" s="428"/>
      <c r="B186" s="428"/>
      <c r="C186" s="428"/>
      <c r="D186" s="428"/>
      <c r="E186" s="397" t="s">
        <v>80</v>
      </c>
      <c r="F186" s="397"/>
      <c r="G186" s="408"/>
      <c r="H186" s="104">
        <f t="shared" ref="H186:K187" si="12">H150+H153+H158</f>
        <v>18488.400000000001</v>
      </c>
      <c r="I186" s="104">
        <f t="shared" si="12"/>
        <v>5852</v>
      </c>
      <c r="J186" s="104">
        <f t="shared" si="12"/>
        <v>6113.4</v>
      </c>
      <c r="K186" s="104">
        <f t="shared" si="12"/>
        <v>6523</v>
      </c>
      <c r="L186" s="256"/>
      <c r="M186" s="256"/>
      <c r="N186" s="256"/>
      <c r="O186" s="256"/>
      <c r="P186" s="256"/>
      <c r="Q186" s="256"/>
      <c r="R186" s="386"/>
      <c r="S186" s="109"/>
    </row>
    <row r="187" spans="1:19" ht="27" hidden="1">
      <c r="A187" s="428"/>
      <c r="B187" s="428"/>
      <c r="C187" s="428"/>
      <c r="D187" s="428"/>
      <c r="E187" s="397" t="s">
        <v>81</v>
      </c>
      <c r="F187" s="397"/>
      <c r="G187" s="409"/>
      <c r="H187" s="104">
        <f t="shared" si="12"/>
        <v>21509.552300000003</v>
      </c>
      <c r="I187" s="104">
        <f t="shared" si="12"/>
        <v>6866.2999999999993</v>
      </c>
      <c r="J187" s="104">
        <f t="shared" si="12"/>
        <v>7087.3</v>
      </c>
      <c r="K187" s="104">
        <f t="shared" si="12"/>
        <v>7555.952299999999</v>
      </c>
      <c r="L187" s="256"/>
      <c r="M187" s="256"/>
      <c r="N187" s="256"/>
      <c r="O187" s="256"/>
      <c r="P187" s="256"/>
      <c r="Q187" s="256"/>
      <c r="R187" s="386"/>
      <c r="S187" s="109"/>
    </row>
    <row r="188" spans="1:19" ht="27" hidden="1">
      <c r="A188" s="428"/>
      <c r="B188" s="428"/>
      <c r="C188" s="428"/>
      <c r="D188" s="428"/>
      <c r="E188" s="397" t="s">
        <v>54</v>
      </c>
      <c r="F188" s="397"/>
      <c r="G188" s="170" t="s">
        <v>98</v>
      </c>
      <c r="H188" s="99">
        <f>SUM(H189:H191)</f>
        <v>11499.719000000001</v>
      </c>
      <c r="I188" s="99">
        <f>SUM(I189:I191)</f>
        <v>11499.719000000001</v>
      </c>
      <c r="J188" s="99">
        <f>SUM(J189:J191)</f>
        <v>0</v>
      </c>
      <c r="K188" s="99">
        <f>SUM(K189:K191)</f>
        <v>0</v>
      </c>
      <c r="L188" s="255"/>
      <c r="M188" s="255"/>
      <c r="N188" s="255"/>
      <c r="O188" s="255"/>
      <c r="P188" s="255"/>
      <c r="Q188" s="255"/>
      <c r="R188" s="386"/>
      <c r="S188" s="109"/>
    </row>
    <row r="189" spans="1:19" ht="157.5" hidden="1">
      <c r="A189" s="428"/>
      <c r="B189" s="428"/>
      <c r="C189" s="428"/>
      <c r="D189" s="428"/>
      <c r="E189" s="397"/>
      <c r="F189" s="397"/>
      <c r="G189" s="301" t="s">
        <v>99</v>
      </c>
      <c r="H189" s="99">
        <f>H166</f>
        <v>1490.1</v>
      </c>
      <c r="I189" s="99">
        <f>I166</f>
        <v>1490.1</v>
      </c>
      <c r="J189" s="99">
        <f>J166</f>
        <v>0</v>
      </c>
      <c r="K189" s="99">
        <f>K166</f>
        <v>0</v>
      </c>
      <c r="L189" s="255"/>
      <c r="M189" s="255"/>
      <c r="N189" s="255"/>
      <c r="O189" s="255"/>
      <c r="P189" s="255"/>
      <c r="Q189" s="255"/>
      <c r="R189" s="386"/>
      <c r="S189" s="109"/>
    </row>
    <row r="190" spans="1:19" ht="202.5" hidden="1">
      <c r="A190" s="428"/>
      <c r="B190" s="428"/>
      <c r="C190" s="428"/>
      <c r="D190" s="428"/>
      <c r="E190" s="397"/>
      <c r="F190" s="397"/>
      <c r="G190" s="301" t="s">
        <v>100</v>
      </c>
      <c r="H190" s="99">
        <f>H167</f>
        <v>6609.6190000000006</v>
      </c>
      <c r="I190" s="99">
        <f t="shared" ref="I190:K191" si="13">I167</f>
        <v>6609.6190000000006</v>
      </c>
      <c r="J190" s="99">
        <f t="shared" si="13"/>
        <v>0</v>
      </c>
      <c r="K190" s="99">
        <f t="shared" si="13"/>
        <v>0</v>
      </c>
      <c r="L190" s="255"/>
      <c r="M190" s="255"/>
      <c r="N190" s="255"/>
      <c r="O190" s="255"/>
      <c r="P190" s="255"/>
      <c r="Q190" s="255"/>
      <c r="R190" s="386"/>
      <c r="S190" s="109"/>
    </row>
    <row r="191" spans="1:19" ht="45" hidden="1" customHeight="1">
      <c r="A191" s="428"/>
      <c r="B191" s="428"/>
      <c r="C191" s="428"/>
      <c r="D191" s="428"/>
      <c r="E191" s="397"/>
      <c r="F191" s="397"/>
      <c r="G191" s="301" t="s">
        <v>448</v>
      </c>
      <c r="H191" s="99">
        <f>H168</f>
        <v>3400</v>
      </c>
      <c r="I191" s="99">
        <f t="shared" si="13"/>
        <v>3400</v>
      </c>
      <c r="J191" s="99">
        <f t="shared" si="13"/>
        <v>0</v>
      </c>
      <c r="K191" s="99">
        <f t="shared" si="13"/>
        <v>0</v>
      </c>
      <c r="L191" s="125"/>
      <c r="M191" s="125"/>
      <c r="N191" s="125"/>
      <c r="O191" s="125"/>
      <c r="P191" s="125"/>
      <c r="Q191" s="125"/>
      <c r="R191" s="427"/>
      <c r="S191" s="109"/>
    </row>
    <row r="192" spans="1:19" ht="30" hidden="1">
      <c r="A192" s="589" t="s">
        <v>412</v>
      </c>
      <c r="B192" s="590"/>
      <c r="C192" s="590"/>
      <c r="D192" s="590"/>
      <c r="E192" s="590"/>
      <c r="F192" s="590"/>
      <c r="G192" s="590"/>
      <c r="H192" s="590"/>
      <c r="I192" s="590"/>
      <c r="J192" s="590"/>
      <c r="K192" s="590"/>
      <c r="L192" s="590"/>
      <c r="M192" s="590"/>
      <c r="N192" s="590"/>
      <c r="O192" s="590"/>
      <c r="P192" s="590"/>
      <c r="Q192" s="590"/>
      <c r="R192" s="591"/>
    </row>
    <row r="193" spans="1:19" ht="138.75" hidden="1">
      <c r="A193" s="395" t="s">
        <v>250</v>
      </c>
      <c r="B193" s="398" t="s">
        <v>225</v>
      </c>
      <c r="C193" s="298" t="s">
        <v>251</v>
      </c>
      <c r="D193" s="154" t="s">
        <v>33</v>
      </c>
      <c r="E193" s="171" t="s">
        <v>54</v>
      </c>
      <c r="F193" s="284"/>
      <c r="G193" s="294" t="s">
        <v>447</v>
      </c>
      <c r="H193" s="37">
        <f>I193+J193+K193</f>
        <v>0</v>
      </c>
      <c r="I193" s="118"/>
      <c r="J193" s="118"/>
      <c r="K193" s="118"/>
      <c r="L193" s="188"/>
      <c r="M193" s="188"/>
      <c r="N193" s="188"/>
      <c r="O193" s="188"/>
      <c r="P193" s="188"/>
      <c r="Q193" s="188"/>
      <c r="R193" s="41" t="s">
        <v>343</v>
      </c>
    </row>
    <row r="194" spans="1:19" ht="138.75" hidden="1">
      <c r="A194" s="396"/>
      <c r="B194" s="400"/>
      <c r="C194" s="298" t="s">
        <v>339</v>
      </c>
      <c r="D194" s="154" t="s">
        <v>33</v>
      </c>
      <c r="E194" s="171" t="s">
        <v>54</v>
      </c>
      <c r="F194" s="292"/>
      <c r="G194" s="294" t="s">
        <v>447</v>
      </c>
      <c r="H194" s="37">
        <f>I194+J194+K194</f>
        <v>0</v>
      </c>
      <c r="I194" s="118">
        <v>0</v>
      </c>
      <c r="J194" s="38"/>
      <c r="K194" s="38"/>
      <c r="L194" s="187"/>
      <c r="M194" s="187"/>
      <c r="N194" s="187"/>
      <c r="O194" s="187"/>
      <c r="P194" s="187"/>
      <c r="Q194" s="187"/>
      <c r="R194" s="41" t="s">
        <v>340</v>
      </c>
    </row>
    <row r="195" spans="1:19" ht="46.5" hidden="1">
      <c r="A195" s="172"/>
      <c r="B195" s="419"/>
      <c r="C195" s="420"/>
      <c r="D195" s="421"/>
      <c r="E195" s="291" t="s">
        <v>374</v>
      </c>
      <c r="F195" s="173"/>
      <c r="G195" s="294" t="s">
        <v>447</v>
      </c>
      <c r="H195" s="37">
        <f>H193+H194</f>
        <v>0</v>
      </c>
      <c r="I195" s="37">
        <f>I193+I194</f>
        <v>0</v>
      </c>
      <c r="J195" s="37">
        <f>J193+J194</f>
        <v>0</v>
      </c>
      <c r="K195" s="37">
        <f>K193+K194</f>
        <v>0</v>
      </c>
      <c r="L195" s="260"/>
      <c r="M195" s="260"/>
      <c r="N195" s="260"/>
      <c r="O195" s="260"/>
      <c r="P195" s="260"/>
      <c r="Q195" s="260"/>
      <c r="R195" s="41"/>
    </row>
    <row r="196" spans="1:19" ht="222" hidden="1">
      <c r="A196" s="286" t="s">
        <v>252</v>
      </c>
      <c r="B196" s="40" t="s">
        <v>226</v>
      </c>
      <c r="C196" s="34" t="s">
        <v>254</v>
      </c>
      <c r="D196" s="299" t="s">
        <v>32</v>
      </c>
      <c r="E196" s="289" t="s">
        <v>17</v>
      </c>
      <c r="F196" s="296"/>
      <c r="G196" s="290" t="s">
        <v>446</v>
      </c>
      <c r="H196" s="37">
        <f>I196+J196+K196</f>
        <v>8931.2000000000007</v>
      </c>
      <c r="I196" s="38">
        <v>2894.2</v>
      </c>
      <c r="J196" s="38">
        <v>3049.3</v>
      </c>
      <c r="K196" s="38">
        <f>2931+56.7</f>
        <v>2987.7</v>
      </c>
      <c r="L196" s="187"/>
      <c r="M196" s="187"/>
      <c r="N196" s="187"/>
      <c r="O196" s="187"/>
      <c r="P196" s="187"/>
      <c r="Q196" s="187"/>
      <c r="R196" s="41" t="s">
        <v>70</v>
      </c>
    </row>
    <row r="197" spans="1:19" ht="138.75" hidden="1">
      <c r="A197" s="596" t="s">
        <v>253</v>
      </c>
      <c r="B197" s="428" t="s">
        <v>94</v>
      </c>
      <c r="C197" s="298" t="s">
        <v>255</v>
      </c>
      <c r="D197" s="299" t="s">
        <v>33</v>
      </c>
      <c r="E197" s="298" t="s">
        <v>54</v>
      </c>
      <c r="F197" s="292"/>
      <c r="G197" s="290" t="s">
        <v>446</v>
      </c>
      <c r="H197" s="174">
        <f>I197+J197+K197</f>
        <v>13488</v>
      </c>
      <c r="I197" s="38">
        <f>15739-1800-2951</f>
        <v>10988</v>
      </c>
      <c r="J197" s="38">
        <v>2500</v>
      </c>
      <c r="K197" s="38">
        <v>0</v>
      </c>
      <c r="L197" s="187"/>
      <c r="M197" s="187"/>
      <c r="N197" s="187"/>
      <c r="O197" s="187"/>
      <c r="P197" s="187"/>
      <c r="Q197" s="187"/>
      <c r="R197" s="41" t="s">
        <v>373</v>
      </c>
    </row>
    <row r="198" spans="1:19" ht="27" hidden="1" customHeight="1">
      <c r="A198" s="596"/>
      <c r="B198" s="428"/>
      <c r="C198" s="450" t="s">
        <v>256</v>
      </c>
      <c r="D198" s="448" t="s">
        <v>372</v>
      </c>
      <c r="E198" s="448"/>
      <c r="F198" s="448"/>
      <c r="G198" s="448"/>
      <c r="H198" s="42">
        <f>H199+H200</f>
        <v>8346.89</v>
      </c>
      <c r="I198" s="39">
        <f>I199+I200</f>
        <v>8346.89</v>
      </c>
      <c r="J198" s="39">
        <f>J199+J200</f>
        <v>0</v>
      </c>
      <c r="K198" s="39">
        <f>K199+K200</f>
        <v>0</v>
      </c>
      <c r="L198" s="261"/>
      <c r="M198" s="261"/>
      <c r="N198" s="261"/>
      <c r="O198" s="261"/>
      <c r="P198" s="261"/>
      <c r="Q198" s="261"/>
      <c r="R198" s="374" t="s">
        <v>65</v>
      </c>
      <c r="S198" s="10"/>
    </row>
    <row r="199" spans="1:19" s="11" customFormat="1" ht="186" hidden="1" customHeight="1">
      <c r="A199" s="596"/>
      <c r="B199" s="428"/>
      <c r="C199" s="450"/>
      <c r="D199" s="25" t="s">
        <v>36</v>
      </c>
      <c r="E199" s="295" t="s">
        <v>80</v>
      </c>
      <c r="F199" s="290" t="s">
        <v>17</v>
      </c>
      <c r="G199" s="290" t="s">
        <v>100</v>
      </c>
      <c r="H199" s="42">
        <f t="shared" ref="H199:H206" si="14">I199+J199+K199</f>
        <v>2.5</v>
      </c>
      <c r="I199" s="38">
        <v>2.5</v>
      </c>
      <c r="J199" s="38"/>
      <c r="K199" s="38"/>
      <c r="L199" s="188"/>
      <c r="M199" s="188"/>
      <c r="N199" s="188"/>
      <c r="O199" s="188"/>
      <c r="P199" s="188"/>
      <c r="Q199" s="188"/>
      <c r="R199" s="393"/>
    </row>
    <row r="200" spans="1:19" s="11" customFormat="1" ht="27" hidden="1" customHeight="1">
      <c r="A200" s="596"/>
      <c r="B200" s="428"/>
      <c r="C200" s="450"/>
      <c r="D200" s="603" t="s">
        <v>98</v>
      </c>
      <c r="E200" s="603"/>
      <c r="F200" s="603"/>
      <c r="G200" s="603"/>
      <c r="H200" s="42">
        <f>H201+H202+H204+H205+H206+H203</f>
        <v>8344.39</v>
      </c>
      <c r="I200" s="39">
        <f>I201+I202+I204+I205+I206+I203</f>
        <v>8344.39</v>
      </c>
      <c r="J200" s="39">
        <f>J201+J202+J204+J205+J206</f>
        <v>0</v>
      </c>
      <c r="K200" s="39">
        <f>K201+K202+K204+K205+K206</f>
        <v>0</v>
      </c>
      <c r="L200" s="260"/>
      <c r="M200" s="260"/>
      <c r="N200" s="260"/>
      <c r="O200" s="260"/>
      <c r="P200" s="260"/>
      <c r="Q200" s="260"/>
      <c r="R200" s="393"/>
    </row>
    <row r="201" spans="1:19" s="11" customFormat="1" ht="55.5" hidden="1">
      <c r="A201" s="596"/>
      <c r="B201" s="428"/>
      <c r="C201" s="450"/>
      <c r="D201" s="25" t="s">
        <v>36</v>
      </c>
      <c r="E201" s="295" t="s">
        <v>80</v>
      </c>
      <c r="F201" s="418" t="s">
        <v>17</v>
      </c>
      <c r="G201" s="418" t="s">
        <v>446</v>
      </c>
      <c r="H201" s="42">
        <f t="shared" si="14"/>
        <v>241.91</v>
      </c>
      <c r="I201" s="38">
        <f>50+51.31+140.6</f>
        <v>241.91</v>
      </c>
      <c r="J201" s="38"/>
      <c r="K201" s="38"/>
      <c r="L201" s="188"/>
      <c r="M201" s="188"/>
      <c r="N201" s="188"/>
      <c r="O201" s="188"/>
      <c r="P201" s="188"/>
      <c r="Q201" s="188"/>
      <c r="R201" s="393"/>
    </row>
    <row r="202" spans="1:19" s="11" customFormat="1" ht="55.5" hidden="1">
      <c r="A202" s="596"/>
      <c r="B202" s="428"/>
      <c r="C202" s="450"/>
      <c r="D202" s="25" t="s">
        <v>36</v>
      </c>
      <c r="E202" s="295" t="s">
        <v>81</v>
      </c>
      <c r="F202" s="418"/>
      <c r="G202" s="418"/>
      <c r="H202" s="42">
        <f t="shared" si="14"/>
        <v>187.78</v>
      </c>
      <c r="I202" s="38">
        <f>50+43.38+94.4</f>
        <v>187.78</v>
      </c>
      <c r="J202" s="38"/>
      <c r="K202" s="38"/>
      <c r="L202" s="188"/>
      <c r="M202" s="188"/>
      <c r="N202" s="188"/>
      <c r="O202" s="188"/>
      <c r="P202" s="188"/>
      <c r="Q202" s="188"/>
      <c r="R202" s="393"/>
    </row>
    <row r="203" spans="1:19" s="11" customFormat="1" ht="55.5" hidden="1">
      <c r="A203" s="596"/>
      <c r="B203" s="428"/>
      <c r="C203" s="450"/>
      <c r="D203" s="25" t="s">
        <v>36</v>
      </c>
      <c r="E203" s="295" t="s">
        <v>82</v>
      </c>
      <c r="F203" s="418"/>
      <c r="G203" s="418"/>
      <c r="H203" s="42">
        <f t="shared" si="14"/>
        <v>206.8</v>
      </c>
      <c r="I203" s="38">
        <v>206.8</v>
      </c>
      <c r="J203" s="38"/>
      <c r="K203" s="38"/>
      <c r="L203" s="188"/>
      <c r="M203" s="188"/>
      <c r="N203" s="188"/>
      <c r="O203" s="188"/>
      <c r="P203" s="188"/>
      <c r="Q203" s="188"/>
      <c r="R203" s="393"/>
    </row>
    <row r="204" spans="1:19" s="11" customFormat="1" ht="27.75" hidden="1">
      <c r="A204" s="596"/>
      <c r="B204" s="428"/>
      <c r="C204" s="450"/>
      <c r="D204" s="25" t="s">
        <v>29</v>
      </c>
      <c r="E204" s="295" t="s">
        <v>76</v>
      </c>
      <c r="F204" s="418"/>
      <c r="G204" s="418"/>
      <c r="H204" s="42">
        <f t="shared" si="14"/>
        <v>1422.3</v>
      </c>
      <c r="I204" s="38">
        <f>50+571.7+307.8+492.8</f>
        <v>1422.3</v>
      </c>
      <c r="J204" s="38"/>
      <c r="K204" s="38"/>
      <c r="L204" s="188"/>
      <c r="M204" s="188"/>
      <c r="N204" s="188"/>
      <c r="O204" s="188"/>
      <c r="P204" s="188"/>
      <c r="Q204" s="188"/>
      <c r="R204" s="393"/>
    </row>
    <row r="205" spans="1:19" s="11" customFormat="1" ht="27.75" hidden="1">
      <c r="A205" s="596"/>
      <c r="B205" s="428"/>
      <c r="C205" s="450"/>
      <c r="D205" s="25" t="s">
        <v>29</v>
      </c>
      <c r="E205" s="295" t="s">
        <v>77</v>
      </c>
      <c r="F205" s="418"/>
      <c r="G205" s="418"/>
      <c r="H205" s="42">
        <f t="shared" si="14"/>
        <v>4962.2</v>
      </c>
      <c r="I205" s="38">
        <f>150+1176.7+3635.5</f>
        <v>4962.2</v>
      </c>
      <c r="J205" s="38"/>
      <c r="K205" s="38"/>
      <c r="L205" s="188"/>
      <c r="M205" s="188"/>
      <c r="N205" s="188"/>
      <c r="O205" s="188"/>
      <c r="P205" s="188"/>
      <c r="Q205" s="188"/>
      <c r="R205" s="393"/>
    </row>
    <row r="206" spans="1:19" s="11" customFormat="1" ht="55.5" hidden="1">
      <c r="A206" s="596"/>
      <c r="B206" s="428"/>
      <c r="C206" s="450"/>
      <c r="D206" s="25" t="s">
        <v>29</v>
      </c>
      <c r="E206" s="295" t="s">
        <v>75</v>
      </c>
      <c r="F206" s="418"/>
      <c r="G206" s="418"/>
      <c r="H206" s="42">
        <f t="shared" si="14"/>
        <v>1323.4</v>
      </c>
      <c r="I206" s="38">
        <v>1323.4</v>
      </c>
      <c r="J206" s="38"/>
      <c r="K206" s="38"/>
      <c r="L206" s="118"/>
      <c r="M206" s="118"/>
      <c r="N206" s="118"/>
      <c r="O206" s="118"/>
      <c r="P206" s="118"/>
      <c r="Q206" s="118"/>
      <c r="R206" s="375"/>
    </row>
    <row r="207" spans="1:19" ht="54" hidden="1">
      <c r="A207" s="596"/>
      <c r="B207" s="595"/>
      <c r="C207" s="595"/>
      <c r="D207" s="595"/>
      <c r="E207" s="175" t="s">
        <v>375</v>
      </c>
      <c r="F207" s="163"/>
      <c r="G207" s="163"/>
      <c r="H207" s="107">
        <f>H197+H198</f>
        <v>21834.89</v>
      </c>
      <c r="I207" s="107">
        <f>I197+I198</f>
        <v>19334.89</v>
      </c>
      <c r="J207" s="107">
        <f>J197+J198</f>
        <v>2500</v>
      </c>
      <c r="K207" s="107">
        <f>K197+K198</f>
        <v>0</v>
      </c>
      <c r="L207" s="262"/>
      <c r="M207" s="262"/>
      <c r="N207" s="262"/>
      <c r="O207" s="262"/>
      <c r="P207" s="262"/>
      <c r="Q207" s="262"/>
      <c r="R207" s="385"/>
    </row>
    <row r="208" spans="1:19" ht="46.5" hidden="1">
      <c r="A208" s="597"/>
      <c r="B208" s="598"/>
      <c r="C208" s="598"/>
      <c r="D208" s="598"/>
      <c r="E208" s="598"/>
      <c r="F208" s="599"/>
      <c r="G208" s="163" t="s">
        <v>446</v>
      </c>
      <c r="H208" s="107">
        <f>H197+H200</f>
        <v>21832.39</v>
      </c>
      <c r="I208" s="119">
        <f>I197+I200</f>
        <v>19332.39</v>
      </c>
      <c r="J208" s="119">
        <f>J197+J200</f>
        <v>2500</v>
      </c>
      <c r="K208" s="119">
        <f>K197+K200</f>
        <v>0</v>
      </c>
      <c r="L208" s="263"/>
      <c r="M208" s="263"/>
      <c r="N208" s="263"/>
      <c r="O208" s="263"/>
      <c r="P208" s="263"/>
      <c r="Q208" s="263"/>
      <c r="R208" s="386"/>
    </row>
    <row r="209" spans="1:19" ht="186" hidden="1" customHeight="1">
      <c r="A209" s="600"/>
      <c r="B209" s="601"/>
      <c r="C209" s="601"/>
      <c r="D209" s="601"/>
      <c r="E209" s="601"/>
      <c r="F209" s="602"/>
      <c r="G209" s="163" t="s">
        <v>100</v>
      </c>
      <c r="H209" s="176">
        <f>H199</f>
        <v>2.5</v>
      </c>
      <c r="I209" s="120">
        <f>I199</f>
        <v>2.5</v>
      </c>
      <c r="J209" s="120">
        <f>J199</f>
        <v>0</v>
      </c>
      <c r="K209" s="120">
        <f>K199</f>
        <v>0</v>
      </c>
      <c r="L209" s="264"/>
      <c r="M209" s="264"/>
      <c r="N209" s="264"/>
      <c r="O209" s="264"/>
      <c r="P209" s="264"/>
      <c r="Q209" s="264"/>
      <c r="R209" s="427"/>
    </row>
    <row r="210" spans="1:19" ht="30" hidden="1">
      <c r="A210" s="592" t="s">
        <v>71</v>
      </c>
      <c r="B210" s="593"/>
      <c r="C210" s="593"/>
      <c r="D210" s="593"/>
      <c r="E210" s="593"/>
      <c r="F210" s="594"/>
      <c r="G210" s="177"/>
      <c r="H210" s="99">
        <f>H195+H196+H207</f>
        <v>30766.09</v>
      </c>
      <c r="I210" s="99">
        <f>I195+I196+I207</f>
        <v>22229.09</v>
      </c>
      <c r="J210" s="99">
        <f>J195+J196+J207</f>
        <v>5549.3</v>
      </c>
      <c r="K210" s="99">
        <f>K195+K196+K207</f>
        <v>2987.7</v>
      </c>
      <c r="L210" s="101"/>
      <c r="M210" s="101"/>
      <c r="N210" s="101"/>
      <c r="O210" s="101"/>
      <c r="P210" s="101"/>
      <c r="Q210" s="101"/>
      <c r="R210" s="385"/>
    </row>
    <row r="211" spans="1:19" s="140" customFormat="1" ht="46.5" hidden="1" customHeight="1">
      <c r="A211" s="573" t="s">
        <v>18</v>
      </c>
      <c r="B211" s="573"/>
      <c r="C211" s="130"/>
      <c r="D211" s="165"/>
      <c r="E211" s="166"/>
      <c r="F211" s="167"/>
      <c r="G211" s="157" t="s">
        <v>446</v>
      </c>
      <c r="H211" s="115">
        <f>H208+H196+H195</f>
        <v>30763.59</v>
      </c>
      <c r="I211" s="115">
        <f>I208+I196+I195</f>
        <v>22226.59</v>
      </c>
      <c r="J211" s="115">
        <f>J208+J196+J195</f>
        <v>5549.3</v>
      </c>
      <c r="K211" s="115">
        <f>K208+K196+K195</f>
        <v>2987.7</v>
      </c>
      <c r="L211" s="258"/>
      <c r="M211" s="258"/>
      <c r="N211" s="258"/>
      <c r="O211" s="258"/>
      <c r="P211" s="258"/>
      <c r="Q211" s="258"/>
      <c r="R211" s="386"/>
      <c r="S211" s="111"/>
    </row>
    <row r="212" spans="1:19" s="140" customFormat="1" ht="209.25" hidden="1">
      <c r="A212" s="178"/>
      <c r="B212" s="300"/>
      <c r="C212" s="130"/>
      <c r="D212" s="165"/>
      <c r="E212" s="166"/>
      <c r="F212" s="167"/>
      <c r="G212" s="159" t="s">
        <v>100</v>
      </c>
      <c r="H212" s="117">
        <f>H199</f>
        <v>2.5</v>
      </c>
      <c r="I212" s="117">
        <f>I199</f>
        <v>2.5</v>
      </c>
      <c r="J212" s="117">
        <f>J199</f>
        <v>0</v>
      </c>
      <c r="K212" s="117">
        <f>K199</f>
        <v>0</v>
      </c>
      <c r="L212" s="258"/>
      <c r="M212" s="258"/>
      <c r="N212" s="258"/>
      <c r="O212" s="258"/>
      <c r="P212" s="258"/>
      <c r="Q212" s="258"/>
      <c r="R212" s="386"/>
      <c r="S212" s="111"/>
    </row>
    <row r="213" spans="1:19" s="140" customFormat="1" ht="27" hidden="1">
      <c r="A213" s="573" t="s">
        <v>95</v>
      </c>
      <c r="B213" s="573"/>
      <c r="C213" s="573"/>
      <c r="D213" s="574"/>
      <c r="E213" s="374" t="s">
        <v>80</v>
      </c>
      <c r="F213" s="404"/>
      <c r="G213" s="170" t="s">
        <v>98</v>
      </c>
      <c r="H213" s="104">
        <f>H214+H215</f>
        <v>244.41</v>
      </c>
      <c r="I213" s="104">
        <f>I214+I215</f>
        <v>244.41</v>
      </c>
      <c r="J213" s="104">
        <f>J214+J215</f>
        <v>0</v>
      </c>
      <c r="K213" s="104">
        <f>K214+K215</f>
        <v>0</v>
      </c>
      <c r="L213" s="256"/>
      <c r="M213" s="256"/>
      <c r="N213" s="256"/>
      <c r="O213" s="256"/>
      <c r="P213" s="256"/>
      <c r="Q213" s="256"/>
      <c r="R213" s="386"/>
      <c r="S213" s="111"/>
    </row>
    <row r="214" spans="1:19" s="140" customFormat="1" ht="202.5" hidden="1">
      <c r="A214" s="576"/>
      <c r="B214" s="576"/>
      <c r="C214" s="576"/>
      <c r="D214" s="577"/>
      <c r="E214" s="393"/>
      <c r="F214" s="405"/>
      <c r="G214" s="301" t="s">
        <v>100</v>
      </c>
      <c r="H214" s="104">
        <f>H199</f>
        <v>2.5</v>
      </c>
      <c r="I214" s="104">
        <f>I199</f>
        <v>2.5</v>
      </c>
      <c r="J214" s="104">
        <f>J199</f>
        <v>0</v>
      </c>
      <c r="K214" s="104">
        <f>K199</f>
        <v>0</v>
      </c>
      <c r="L214" s="256"/>
      <c r="M214" s="256"/>
      <c r="N214" s="256"/>
      <c r="O214" s="256"/>
      <c r="P214" s="256"/>
      <c r="Q214" s="256"/>
      <c r="R214" s="386"/>
      <c r="S214" s="111"/>
    </row>
    <row r="215" spans="1:19" ht="45" hidden="1" customHeight="1">
      <c r="A215" s="576"/>
      <c r="B215" s="576"/>
      <c r="C215" s="576"/>
      <c r="D215" s="577"/>
      <c r="E215" s="375"/>
      <c r="F215" s="405"/>
      <c r="G215" s="287" t="s">
        <v>446</v>
      </c>
      <c r="H215" s="121">
        <f>H201</f>
        <v>241.91</v>
      </c>
      <c r="I215" s="121">
        <f>I201</f>
        <v>241.91</v>
      </c>
      <c r="J215" s="121">
        <f>J201</f>
        <v>0</v>
      </c>
      <c r="K215" s="121">
        <f>K201</f>
        <v>0</v>
      </c>
      <c r="L215" s="265"/>
      <c r="M215" s="265"/>
      <c r="N215" s="265"/>
      <c r="O215" s="265"/>
      <c r="P215" s="265"/>
      <c r="Q215" s="265"/>
      <c r="R215" s="386"/>
      <c r="S215" s="109"/>
    </row>
    <row r="216" spans="1:19" ht="55.5" hidden="1">
      <c r="A216" s="576"/>
      <c r="B216" s="576"/>
      <c r="C216" s="576"/>
      <c r="D216" s="577"/>
      <c r="E216" s="295" t="s">
        <v>54</v>
      </c>
      <c r="F216" s="405"/>
      <c r="G216" s="407" t="s">
        <v>446</v>
      </c>
      <c r="H216" s="121">
        <f>H193+H194+H196+H197</f>
        <v>22419.200000000001</v>
      </c>
      <c r="I216" s="121">
        <f>I193+I194+I196+I197</f>
        <v>13882.2</v>
      </c>
      <c r="J216" s="121">
        <f>J193+J194+J196+J197</f>
        <v>5549.3</v>
      </c>
      <c r="K216" s="121">
        <f>K193+K194+K196+K197</f>
        <v>2987.7</v>
      </c>
      <c r="L216" s="265"/>
      <c r="M216" s="265"/>
      <c r="N216" s="265"/>
      <c r="O216" s="265"/>
      <c r="P216" s="265"/>
      <c r="Q216" s="265"/>
      <c r="R216" s="386"/>
      <c r="S216" s="109"/>
    </row>
    <row r="217" spans="1:19" ht="55.5" hidden="1">
      <c r="A217" s="576"/>
      <c r="B217" s="576"/>
      <c r="C217" s="576"/>
      <c r="D217" s="577"/>
      <c r="E217" s="295" t="s">
        <v>81</v>
      </c>
      <c r="F217" s="405"/>
      <c r="G217" s="408"/>
      <c r="H217" s="121">
        <f>H202</f>
        <v>187.78</v>
      </c>
      <c r="I217" s="121">
        <f>I202</f>
        <v>187.78</v>
      </c>
      <c r="J217" s="121">
        <f>J202</f>
        <v>0</v>
      </c>
      <c r="K217" s="121">
        <f>K202</f>
        <v>0</v>
      </c>
      <c r="L217" s="265"/>
      <c r="M217" s="265"/>
      <c r="N217" s="265"/>
      <c r="O217" s="265"/>
      <c r="P217" s="265"/>
      <c r="Q217" s="265"/>
      <c r="R217" s="386"/>
      <c r="S217" s="109"/>
    </row>
    <row r="218" spans="1:19" ht="27.75" hidden="1">
      <c r="A218" s="576"/>
      <c r="B218" s="576"/>
      <c r="C218" s="576"/>
      <c r="D218" s="577"/>
      <c r="E218" s="295" t="s">
        <v>76</v>
      </c>
      <c r="F218" s="405"/>
      <c r="G218" s="408"/>
      <c r="H218" s="121">
        <f>H204</f>
        <v>1422.3</v>
      </c>
      <c r="I218" s="121">
        <f t="shared" ref="I218:K220" si="15">I204</f>
        <v>1422.3</v>
      </c>
      <c r="J218" s="121">
        <f t="shared" si="15"/>
        <v>0</v>
      </c>
      <c r="K218" s="121">
        <f t="shared" si="15"/>
        <v>0</v>
      </c>
      <c r="L218" s="265"/>
      <c r="M218" s="265"/>
      <c r="N218" s="265"/>
      <c r="O218" s="265"/>
      <c r="P218" s="265"/>
      <c r="Q218" s="265"/>
      <c r="R218" s="386"/>
      <c r="S218" s="109"/>
    </row>
    <row r="219" spans="1:19" ht="27.75" hidden="1">
      <c r="A219" s="576"/>
      <c r="B219" s="576"/>
      <c r="C219" s="576"/>
      <c r="D219" s="577"/>
      <c r="E219" s="295" t="s">
        <v>77</v>
      </c>
      <c r="F219" s="405"/>
      <c r="G219" s="408"/>
      <c r="H219" s="121">
        <f>H205</f>
        <v>4962.2</v>
      </c>
      <c r="I219" s="121">
        <f t="shared" si="15"/>
        <v>4962.2</v>
      </c>
      <c r="J219" s="121">
        <f t="shared" si="15"/>
        <v>0</v>
      </c>
      <c r="K219" s="121">
        <f t="shared" si="15"/>
        <v>0</v>
      </c>
      <c r="L219" s="265"/>
      <c r="M219" s="265"/>
      <c r="N219" s="265"/>
      <c r="O219" s="265"/>
      <c r="P219" s="265"/>
      <c r="Q219" s="265"/>
      <c r="R219" s="386"/>
      <c r="S219" s="109"/>
    </row>
    <row r="220" spans="1:19" ht="55.5" hidden="1">
      <c r="A220" s="579"/>
      <c r="B220" s="579"/>
      <c r="C220" s="579"/>
      <c r="D220" s="580"/>
      <c r="E220" s="295" t="s">
        <v>75</v>
      </c>
      <c r="F220" s="406"/>
      <c r="G220" s="409"/>
      <c r="H220" s="121">
        <f>H206</f>
        <v>1323.4</v>
      </c>
      <c r="I220" s="121">
        <f t="shared" si="15"/>
        <v>1323.4</v>
      </c>
      <c r="J220" s="121">
        <f t="shared" si="15"/>
        <v>0</v>
      </c>
      <c r="K220" s="121">
        <f t="shared" si="15"/>
        <v>0</v>
      </c>
      <c r="L220" s="266"/>
      <c r="M220" s="266"/>
      <c r="N220" s="266"/>
      <c r="O220" s="266"/>
      <c r="P220" s="266"/>
      <c r="Q220" s="266"/>
      <c r="R220" s="427"/>
      <c r="S220" s="109"/>
    </row>
    <row r="221" spans="1:19" ht="27">
      <c r="A221" s="422" t="s">
        <v>257</v>
      </c>
      <c r="B221" s="423"/>
      <c r="C221" s="423"/>
      <c r="D221" s="423"/>
      <c r="E221" s="423"/>
      <c r="F221" s="423"/>
      <c r="G221" s="423"/>
      <c r="H221" s="423"/>
      <c r="I221" s="423"/>
      <c r="J221" s="423"/>
      <c r="K221" s="423"/>
      <c r="L221" s="423"/>
      <c r="M221" s="423"/>
      <c r="N221" s="423"/>
      <c r="O221" s="423"/>
      <c r="P221" s="423"/>
      <c r="Q221" s="423"/>
      <c r="R221" s="424"/>
      <c r="S221" s="109"/>
    </row>
    <row r="222" spans="1:19" ht="62.25" customHeight="1">
      <c r="A222" s="582" t="s">
        <v>258</v>
      </c>
      <c r="B222" s="583" t="s">
        <v>259</v>
      </c>
      <c r="C222" s="641" t="s">
        <v>260</v>
      </c>
      <c r="D222" s="422" t="s">
        <v>376</v>
      </c>
      <c r="E222" s="423"/>
      <c r="F222" s="423"/>
      <c r="G222" s="424"/>
      <c r="H222" s="104">
        <f>H223+H231</f>
        <v>150734.109</v>
      </c>
      <c r="I222" s="104">
        <f>I223+I231</f>
        <v>71896.608999999997</v>
      </c>
      <c r="J222" s="104">
        <f>J223+J231</f>
        <v>68837.5</v>
      </c>
      <c r="K222" s="104">
        <f>K223+K231</f>
        <v>10000</v>
      </c>
      <c r="L222" s="143"/>
      <c r="M222" s="272"/>
      <c r="N222" s="272"/>
      <c r="O222" s="143">
        <v>63837.5</v>
      </c>
      <c r="P222" s="143">
        <v>5000</v>
      </c>
      <c r="Q222" s="143">
        <f>O222+P222</f>
        <v>68837.5</v>
      </c>
      <c r="R222" s="374" t="s">
        <v>101</v>
      </c>
      <c r="S222" s="109"/>
    </row>
    <row r="223" spans="1:19" ht="59.25" customHeight="1">
      <c r="A223" s="582"/>
      <c r="B223" s="584"/>
      <c r="C223" s="642"/>
      <c r="D223" s="379" t="s">
        <v>97</v>
      </c>
      <c r="E223" s="380"/>
      <c r="F223" s="380"/>
      <c r="G223" s="381"/>
      <c r="H223" s="108">
        <f>H224+H225+H226+H227+H228+H229+H230</f>
        <v>145742.05600000001</v>
      </c>
      <c r="I223" s="108">
        <f>I224+I225+I226+I227+I228+I229+I230</f>
        <v>66904.555999999997</v>
      </c>
      <c r="J223" s="108">
        <f>J224+J225+J226+J227+J228+J229+J230</f>
        <v>68837.5</v>
      </c>
      <c r="K223" s="108">
        <f>K224+K225+K226+K227+K228+K229+K230</f>
        <v>10000</v>
      </c>
      <c r="L223" s="104"/>
      <c r="M223" s="272"/>
      <c r="N223" s="272"/>
      <c r="O223" s="104">
        <v>63837.5</v>
      </c>
      <c r="P223" s="104">
        <f>P225+P226+P227+P228+P229</f>
        <v>5000</v>
      </c>
      <c r="Q223" s="104">
        <f>O223+P223</f>
        <v>68837.5</v>
      </c>
      <c r="R223" s="393"/>
      <c r="S223" s="109"/>
    </row>
    <row r="224" spans="1:19" ht="55.5" hidden="1">
      <c r="A224" s="582"/>
      <c r="B224" s="584"/>
      <c r="C224" s="642"/>
      <c r="D224" s="285" t="s">
        <v>33</v>
      </c>
      <c r="E224" s="295" t="s">
        <v>54</v>
      </c>
      <c r="F224" s="382" t="s">
        <v>17</v>
      </c>
      <c r="G224" s="445" t="s">
        <v>450</v>
      </c>
      <c r="H224" s="125">
        <f>I224+J224+K224</f>
        <v>39460.800000000003</v>
      </c>
      <c r="I224" s="100">
        <f>14923.3+1800+3000</f>
        <v>19723.3</v>
      </c>
      <c r="J224" s="100">
        <v>19737.5</v>
      </c>
      <c r="K224" s="100">
        <v>0</v>
      </c>
      <c r="L224" s="100"/>
      <c r="M224" s="272"/>
      <c r="N224" s="272"/>
      <c r="O224" s="100"/>
      <c r="P224" s="100"/>
      <c r="Q224" s="100"/>
      <c r="R224" s="393"/>
    </row>
    <row r="225" spans="1:19" ht="55.5" hidden="1">
      <c r="A225" s="582"/>
      <c r="B225" s="584"/>
      <c r="C225" s="642"/>
      <c r="D225" s="285" t="s">
        <v>29</v>
      </c>
      <c r="E225" s="295" t="s">
        <v>82</v>
      </c>
      <c r="F225" s="383"/>
      <c r="G225" s="446"/>
      <c r="H225" s="99">
        <f t="shared" ref="H225:H244" si="16">I225+J225+K225</f>
        <v>21042.5</v>
      </c>
      <c r="I225" s="102">
        <f>6890.5+50+202</f>
        <v>7142.5</v>
      </c>
      <c r="J225" s="100">
        <f>8400+2000+1000</f>
        <v>11400</v>
      </c>
      <c r="K225" s="100">
        <v>2500</v>
      </c>
      <c r="L225" s="100"/>
      <c r="M225" s="272"/>
      <c r="N225" s="272"/>
      <c r="O225" s="100">
        <v>10400</v>
      </c>
      <c r="P225" s="100">
        <v>1000</v>
      </c>
      <c r="Q225" s="100">
        <f>O225+P225</f>
        <v>11400</v>
      </c>
      <c r="R225" s="393"/>
      <c r="S225" s="10"/>
    </row>
    <row r="226" spans="1:19" ht="27.75" hidden="1">
      <c r="A226" s="582"/>
      <c r="B226" s="584"/>
      <c r="C226" s="642"/>
      <c r="D226" s="179" t="s">
        <v>29</v>
      </c>
      <c r="E226" s="295" t="s">
        <v>76</v>
      </c>
      <c r="F226" s="383"/>
      <c r="G226" s="446"/>
      <c r="H226" s="99">
        <f t="shared" si="16"/>
        <v>5132</v>
      </c>
      <c r="I226" s="102">
        <f>232+200</f>
        <v>432</v>
      </c>
      <c r="J226" s="100">
        <f>1200+1000</f>
        <v>2200</v>
      </c>
      <c r="K226" s="100">
        <v>2500</v>
      </c>
      <c r="L226" s="100"/>
      <c r="M226" s="272"/>
      <c r="N226" s="272"/>
      <c r="O226" s="100">
        <v>1200</v>
      </c>
      <c r="P226" s="100">
        <v>1000</v>
      </c>
      <c r="Q226" s="100">
        <f>O226+P226</f>
        <v>2200</v>
      </c>
      <c r="R226" s="393"/>
      <c r="S226" s="10"/>
    </row>
    <row r="227" spans="1:19" ht="35.25" hidden="1">
      <c r="A227" s="582"/>
      <c r="B227" s="584"/>
      <c r="C227" s="642"/>
      <c r="D227" s="179" t="s">
        <v>29</v>
      </c>
      <c r="E227" s="295" t="s">
        <v>77</v>
      </c>
      <c r="F227" s="383"/>
      <c r="G227" s="446"/>
      <c r="H227" s="99">
        <f t="shared" si="16"/>
        <v>28189.554</v>
      </c>
      <c r="I227" s="102">
        <f>11036+180-26.446</f>
        <v>11189.554</v>
      </c>
      <c r="J227" s="100">
        <f>13500+1000</f>
        <v>14500</v>
      </c>
      <c r="K227" s="100">
        <v>2500</v>
      </c>
      <c r="L227" s="100"/>
      <c r="M227" s="272"/>
      <c r="N227" s="272"/>
      <c r="O227" s="100">
        <v>13500</v>
      </c>
      <c r="P227" s="100">
        <v>1000</v>
      </c>
      <c r="Q227" s="100">
        <f>O227+P227</f>
        <v>14500</v>
      </c>
      <c r="R227" s="393"/>
      <c r="S227" s="270" t="s">
        <v>462</v>
      </c>
    </row>
    <row r="228" spans="1:19" ht="55.5" hidden="1">
      <c r="A228" s="582"/>
      <c r="B228" s="584"/>
      <c r="C228" s="642"/>
      <c r="D228" s="179" t="s">
        <v>29</v>
      </c>
      <c r="E228" s="295" t="s">
        <v>75</v>
      </c>
      <c r="F228" s="383"/>
      <c r="G228" s="446"/>
      <c r="H228" s="99">
        <f t="shared" si="16"/>
        <v>38297.202000000005</v>
      </c>
      <c r="I228" s="102">
        <f>20947.39-50.188</f>
        <v>20897.202000000001</v>
      </c>
      <c r="J228" s="100">
        <f>13900+1000</f>
        <v>14900</v>
      </c>
      <c r="K228" s="100">
        <v>2500</v>
      </c>
      <c r="L228" s="100"/>
      <c r="M228" s="272"/>
      <c r="N228" s="272"/>
      <c r="O228" s="100">
        <v>13900</v>
      </c>
      <c r="P228" s="100">
        <v>1000</v>
      </c>
      <c r="Q228" s="100">
        <f>O228+P228</f>
        <v>14900</v>
      </c>
      <c r="R228" s="393"/>
      <c r="S228" s="10"/>
    </row>
    <row r="229" spans="1:19" ht="55.5" hidden="1" customHeight="1">
      <c r="A229" s="582"/>
      <c r="B229" s="584"/>
      <c r="C229" s="642"/>
      <c r="D229" s="179" t="s">
        <v>30</v>
      </c>
      <c r="E229" s="282" t="s">
        <v>79</v>
      </c>
      <c r="F229" s="383"/>
      <c r="G229" s="446"/>
      <c r="H229" s="99">
        <f t="shared" si="16"/>
        <v>12930</v>
      </c>
      <c r="I229" s="100">
        <f>6800+30</f>
        <v>6830</v>
      </c>
      <c r="J229" s="100">
        <f>5100+1000</f>
        <v>6100</v>
      </c>
      <c r="K229" s="100">
        <v>0</v>
      </c>
      <c r="L229" s="100"/>
      <c r="M229" s="272"/>
      <c r="N229" s="272"/>
      <c r="O229" s="100">
        <v>5100</v>
      </c>
      <c r="P229" s="100">
        <v>1000</v>
      </c>
      <c r="Q229" s="100">
        <f>O229+P229</f>
        <v>6100</v>
      </c>
      <c r="R229" s="393"/>
      <c r="S229" s="10"/>
    </row>
    <row r="230" spans="1:19" ht="55.5" hidden="1">
      <c r="A230" s="582"/>
      <c r="B230" s="584"/>
      <c r="C230" s="642"/>
      <c r="D230" s="285" t="s">
        <v>31</v>
      </c>
      <c r="E230" s="282" t="s">
        <v>78</v>
      </c>
      <c r="F230" s="384"/>
      <c r="G230" s="447"/>
      <c r="H230" s="99">
        <f t="shared" si="16"/>
        <v>690</v>
      </c>
      <c r="I230" s="106">
        <f>590+100</f>
        <v>690</v>
      </c>
      <c r="J230" s="100">
        <v>0</v>
      </c>
      <c r="K230" s="100">
        <v>0</v>
      </c>
      <c r="L230" s="100"/>
      <c r="M230" s="100"/>
      <c r="N230" s="100"/>
      <c r="O230" s="100"/>
      <c r="P230" s="100"/>
      <c r="Q230" s="100"/>
      <c r="R230" s="393"/>
      <c r="S230" s="10"/>
    </row>
    <row r="231" spans="1:19" ht="27" hidden="1" customHeight="1">
      <c r="A231" s="582"/>
      <c r="B231" s="584"/>
      <c r="C231" s="642"/>
      <c r="D231" s="379" t="s">
        <v>97</v>
      </c>
      <c r="E231" s="380"/>
      <c r="F231" s="380"/>
      <c r="G231" s="381"/>
      <c r="H231" s="99">
        <f>H232+H233+H234+H235</f>
        <v>4992.0529999999999</v>
      </c>
      <c r="I231" s="99">
        <f>I232+I233+I234+I235</f>
        <v>4992.0529999999999</v>
      </c>
      <c r="J231" s="99">
        <f>J232+J233+J234</f>
        <v>0</v>
      </c>
      <c r="K231" s="99">
        <f>K232+K233+K234</f>
        <v>0</v>
      </c>
      <c r="L231" s="99"/>
      <c r="M231" s="99"/>
      <c r="N231" s="99"/>
      <c r="O231" s="99"/>
      <c r="P231" s="99"/>
      <c r="Q231" s="99"/>
      <c r="R231" s="393"/>
      <c r="S231" s="10"/>
    </row>
    <row r="232" spans="1:19" ht="55.5" hidden="1">
      <c r="A232" s="582"/>
      <c r="B232" s="584"/>
      <c r="C232" s="642"/>
      <c r="D232" s="179" t="s">
        <v>37</v>
      </c>
      <c r="E232" s="295" t="s">
        <v>82</v>
      </c>
      <c r="F232" s="382" t="s">
        <v>17</v>
      </c>
      <c r="G232" s="382" t="s">
        <v>208</v>
      </c>
      <c r="H232" s="99">
        <f t="shared" si="16"/>
        <v>250</v>
      </c>
      <c r="I232" s="106">
        <v>250</v>
      </c>
      <c r="J232" s="100">
        <v>0</v>
      </c>
      <c r="K232" s="100">
        <v>0</v>
      </c>
      <c r="L232" s="100"/>
      <c r="M232" s="100"/>
      <c r="N232" s="100"/>
      <c r="O232" s="100"/>
      <c r="P232" s="100"/>
      <c r="Q232" s="100"/>
      <c r="R232" s="393"/>
      <c r="S232" s="10"/>
    </row>
    <row r="233" spans="1:19" ht="55.5" hidden="1">
      <c r="A233" s="582"/>
      <c r="B233" s="584"/>
      <c r="C233" s="642"/>
      <c r="D233" s="179" t="s">
        <v>37</v>
      </c>
      <c r="E233" s="295" t="s">
        <v>75</v>
      </c>
      <c r="F233" s="383"/>
      <c r="G233" s="383"/>
      <c r="H233" s="99">
        <f t="shared" si="16"/>
        <v>1412.0530000000003</v>
      </c>
      <c r="I233" s="106">
        <f>1196.053+165.812+50.188</f>
        <v>1412.0530000000003</v>
      </c>
      <c r="J233" s="100">
        <v>0</v>
      </c>
      <c r="K233" s="100">
        <v>0</v>
      </c>
      <c r="L233" s="100"/>
      <c r="M233" s="100"/>
      <c r="N233" s="100"/>
      <c r="O233" s="100"/>
      <c r="P233" s="100"/>
      <c r="Q233" s="100"/>
      <c r="R233" s="393"/>
      <c r="S233" s="10"/>
    </row>
    <row r="234" spans="1:19" ht="55.5" hidden="1" customHeight="1">
      <c r="A234" s="582"/>
      <c r="B234" s="584"/>
      <c r="C234" s="643"/>
      <c r="D234" s="179" t="s">
        <v>37</v>
      </c>
      <c r="E234" s="282" t="s">
        <v>79</v>
      </c>
      <c r="F234" s="383"/>
      <c r="G234" s="383"/>
      <c r="H234" s="99">
        <f t="shared" si="16"/>
        <v>930</v>
      </c>
      <c r="I234" s="106">
        <v>930</v>
      </c>
      <c r="J234" s="100">
        <v>0</v>
      </c>
      <c r="K234" s="100">
        <v>0</v>
      </c>
      <c r="L234" s="100"/>
      <c r="M234" s="100"/>
      <c r="N234" s="100"/>
      <c r="O234" s="100"/>
      <c r="P234" s="100"/>
      <c r="Q234" s="100"/>
      <c r="R234" s="393"/>
      <c r="S234" s="10"/>
    </row>
    <row r="235" spans="1:19" ht="55.5" hidden="1">
      <c r="A235" s="582"/>
      <c r="B235" s="584"/>
      <c r="C235" s="180"/>
      <c r="D235" s="179" t="s">
        <v>37</v>
      </c>
      <c r="E235" s="295" t="s">
        <v>54</v>
      </c>
      <c r="F235" s="384"/>
      <c r="G235" s="384"/>
      <c r="H235" s="99">
        <f>I235+J235+K235</f>
        <v>2400</v>
      </c>
      <c r="I235" s="106">
        <v>2400</v>
      </c>
      <c r="J235" s="100">
        <v>0</v>
      </c>
      <c r="K235" s="100">
        <v>0</v>
      </c>
      <c r="L235" s="100"/>
      <c r="M235" s="100"/>
      <c r="N235" s="100"/>
      <c r="O235" s="100"/>
      <c r="P235" s="100"/>
      <c r="Q235" s="100"/>
      <c r="R235" s="393"/>
      <c r="S235" s="10"/>
    </row>
    <row r="236" spans="1:19" ht="72" customHeight="1">
      <c r="A236" s="582"/>
      <c r="B236" s="584"/>
      <c r="C236" s="641" t="s">
        <v>261</v>
      </c>
      <c r="D236" s="422" t="s">
        <v>377</v>
      </c>
      <c r="E236" s="423"/>
      <c r="F236" s="423"/>
      <c r="G236" s="424"/>
      <c r="H236" s="99">
        <f>SUM(H237:H242)</f>
        <v>63333.67</v>
      </c>
      <c r="I236" s="99">
        <f>SUM(I237:I242)</f>
        <v>27333.67</v>
      </c>
      <c r="J236" s="99">
        <f>SUM(J237:J242)</f>
        <v>26000</v>
      </c>
      <c r="K236" s="99">
        <f>SUM(K237:K242)</f>
        <v>10000</v>
      </c>
      <c r="L236" s="99"/>
      <c r="M236" s="272"/>
      <c r="N236" s="272"/>
      <c r="O236" s="99">
        <f>O237+O238+O239+O240+O241</f>
        <v>20000</v>
      </c>
      <c r="P236" s="99">
        <f>P237+P238+P239+P240+P241</f>
        <v>6000</v>
      </c>
      <c r="Q236" s="99">
        <f t="shared" ref="Q236:Q241" si="17">O236+P236</f>
        <v>26000</v>
      </c>
      <c r="R236" s="393"/>
      <c r="S236" s="10"/>
    </row>
    <row r="237" spans="1:19" ht="55.5" hidden="1">
      <c r="A237" s="582"/>
      <c r="B237" s="584"/>
      <c r="C237" s="642"/>
      <c r="D237" s="179" t="s">
        <v>183</v>
      </c>
      <c r="E237" s="295" t="s">
        <v>82</v>
      </c>
      <c r="F237" s="382" t="s">
        <v>17</v>
      </c>
      <c r="G237" s="418" t="s">
        <v>450</v>
      </c>
      <c r="H237" s="99">
        <f t="shared" si="16"/>
        <v>13480.869999999999</v>
      </c>
      <c r="I237" s="106">
        <f>6150-169.13</f>
        <v>5980.87</v>
      </c>
      <c r="J237" s="100">
        <f>3000+2000</f>
        <v>5000</v>
      </c>
      <c r="K237" s="100">
        <v>2500</v>
      </c>
      <c r="L237" s="100"/>
      <c r="M237" s="272"/>
      <c r="N237" s="272"/>
      <c r="O237" s="100">
        <v>3000</v>
      </c>
      <c r="P237" s="100">
        <v>2000</v>
      </c>
      <c r="Q237" s="100">
        <f t="shared" si="17"/>
        <v>5000</v>
      </c>
      <c r="R237" s="393"/>
      <c r="S237" s="10"/>
    </row>
    <row r="238" spans="1:19" ht="27.75" hidden="1">
      <c r="A238" s="582"/>
      <c r="B238" s="584"/>
      <c r="C238" s="642"/>
      <c r="D238" s="179" t="s">
        <v>183</v>
      </c>
      <c r="E238" s="295" t="s">
        <v>76</v>
      </c>
      <c r="F238" s="383"/>
      <c r="G238" s="418"/>
      <c r="H238" s="99">
        <f t="shared" si="16"/>
        <v>6669.13</v>
      </c>
      <c r="I238" s="106">
        <f>169.13</f>
        <v>169.13</v>
      </c>
      <c r="J238" s="100">
        <f>3000+1000</f>
        <v>4000</v>
      </c>
      <c r="K238" s="100">
        <v>2500</v>
      </c>
      <c r="L238" s="100"/>
      <c r="M238" s="272"/>
      <c r="N238" s="272"/>
      <c r="O238" s="100">
        <v>3000</v>
      </c>
      <c r="P238" s="100">
        <v>1000</v>
      </c>
      <c r="Q238" s="100">
        <f t="shared" si="17"/>
        <v>4000</v>
      </c>
      <c r="R238" s="393"/>
      <c r="S238" s="10"/>
    </row>
    <row r="239" spans="1:19" ht="27.75" hidden="1">
      <c r="A239" s="582"/>
      <c r="B239" s="584"/>
      <c r="C239" s="642"/>
      <c r="D239" s="179" t="s">
        <v>183</v>
      </c>
      <c r="E239" s="295" t="s">
        <v>77</v>
      </c>
      <c r="F239" s="383"/>
      <c r="G239" s="418"/>
      <c r="H239" s="99">
        <f t="shared" si="16"/>
        <v>16034.1</v>
      </c>
      <c r="I239" s="106">
        <f>6930-395.9</f>
        <v>6534.1</v>
      </c>
      <c r="J239" s="100">
        <f>6000+1000</f>
        <v>7000</v>
      </c>
      <c r="K239" s="100">
        <v>2500</v>
      </c>
      <c r="L239" s="100"/>
      <c r="M239" s="272"/>
      <c r="N239" s="272"/>
      <c r="O239" s="100">
        <v>6000</v>
      </c>
      <c r="P239" s="100">
        <v>1000</v>
      </c>
      <c r="Q239" s="100">
        <f t="shared" si="17"/>
        <v>7000</v>
      </c>
      <c r="R239" s="393"/>
      <c r="S239" s="10"/>
    </row>
    <row r="240" spans="1:19" ht="55.5" hidden="1">
      <c r="A240" s="582"/>
      <c r="B240" s="584"/>
      <c r="C240" s="642"/>
      <c r="D240" s="179" t="s">
        <v>183</v>
      </c>
      <c r="E240" s="295" t="s">
        <v>75</v>
      </c>
      <c r="F240" s="383"/>
      <c r="G240" s="418"/>
      <c r="H240" s="99">
        <f t="shared" si="16"/>
        <v>10000</v>
      </c>
      <c r="I240" s="106">
        <v>3500</v>
      </c>
      <c r="J240" s="100">
        <f>3000+1000</f>
        <v>4000</v>
      </c>
      <c r="K240" s="100">
        <v>2500</v>
      </c>
      <c r="L240" s="100"/>
      <c r="M240" s="272"/>
      <c r="N240" s="272"/>
      <c r="O240" s="100">
        <v>3000</v>
      </c>
      <c r="P240" s="100">
        <v>1000</v>
      </c>
      <c r="Q240" s="100">
        <f t="shared" si="17"/>
        <v>4000</v>
      </c>
      <c r="R240" s="393"/>
      <c r="S240" s="10"/>
    </row>
    <row r="241" spans="1:19" ht="55.5" hidden="1" customHeight="1">
      <c r="A241" s="582"/>
      <c r="B241" s="584"/>
      <c r="C241" s="642"/>
      <c r="D241" s="179" t="s">
        <v>183</v>
      </c>
      <c r="E241" s="282" t="s">
        <v>79</v>
      </c>
      <c r="F241" s="383"/>
      <c r="G241" s="418"/>
      <c r="H241" s="99">
        <f t="shared" si="16"/>
        <v>16589.57</v>
      </c>
      <c r="I241" s="106">
        <v>10589.57</v>
      </c>
      <c r="J241" s="100">
        <f>5000+1000</f>
        <v>6000</v>
      </c>
      <c r="K241" s="100">
        <v>0</v>
      </c>
      <c r="L241" s="100"/>
      <c r="M241" s="272"/>
      <c r="N241" s="272"/>
      <c r="O241" s="100">
        <v>5000</v>
      </c>
      <c r="P241" s="100">
        <v>1000</v>
      </c>
      <c r="Q241" s="100">
        <f t="shared" si="17"/>
        <v>6000</v>
      </c>
      <c r="R241" s="393"/>
      <c r="S241" s="10"/>
    </row>
    <row r="242" spans="1:19" ht="55.5" hidden="1">
      <c r="A242" s="582"/>
      <c r="B242" s="584"/>
      <c r="C242" s="643"/>
      <c r="D242" s="179" t="s">
        <v>183</v>
      </c>
      <c r="E242" s="282" t="s">
        <v>78</v>
      </c>
      <c r="F242" s="383"/>
      <c r="G242" s="418"/>
      <c r="H242" s="99">
        <f t="shared" si="16"/>
        <v>560</v>
      </c>
      <c r="I242" s="106">
        <v>560</v>
      </c>
      <c r="J242" s="100">
        <v>0</v>
      </c>
      <c r="K242" s="100">
        <v>0</v>
      </c>
      <c r="L242" s="100"/>
      <c r="M242" s="100"/>
      <c r="N242" s="100"/>
      <c r="O242" s="254"/>
      <c r="P242" s="254"/>
      <c r="Q242" s="254"/>
      <c r="R242" s="393"/>
      <c r="S242" s="10"/>
    </row>
    <row r="243" spans="1:19" ht="138.75" hidden="1" customHeight="1">
      <c r="A243" s="582"/>
      <c r="B243" s="584"/>
      <c r="C243" s="181" t="s">
        <v>378</v>
      </c>
      <c r="D243" s="299" t="s">
        <v>68</v>
      </c>
      <c r="E243" s="282" t="s">
        <v>75</v>
      </c>
      <c r="F243" s="383"/>
      <c r="G243" s="418"/>
      <c r="H243" s="99">
        <f t="shared" si="16"/>
        <v>2594</v>
      </c>
      <c r="I243" s="100">
        <f>3000+307.7-713.7</f>
        <v>2594</v>
      </c>
      <c r="J243" s="100">
        <v>0</v>
      </c>
      <c r="K243" s="100">
        <v>0</v>
      </c>
      <c r="L243" s="100"/>
      <c r="M243" s="100"/>
      <c r="N243" s="100"/>
      <c r="O243" s="106"/>
      <c r="P243" s="106"/>
      <c r="Q243" s="106"/>
      <c r="R243" s="375"/>
      <c r="S243" s="10"/>
    </row>
    <row r="244" spans="1:19" ht="333" hidden="1">
      <c r="A244" s="582"/>
      <c r="B244" s="585"/>
      <c r="C244" s="181" t="s">
        <v>414</v>
      </c>
      <c r="D244" s="299" t="s">
        <v>419</v>
      </c>
      <c r="E244" s="282" t="s">
        <v>54</v>
      </c>
      <c r="F244" s="383"/>
      <c r="G244" s="182" t="s">
        <v>413</v>
      </c>
      <c r="H244" s="99">
        <f t="shared" si="16"/>
        <v>799.7</v>
      </c>
      <c r="I244" s="100">
        <v>799.7</v>
      </c>
      <c r="J244" s="100">
        <v>0</v>
      </c>
      <c r="K244" s="100">
        <v>0</v>
      </c>
      <c r="L244" s="100"/>
      <c r="M244" s="100"/>
      <c r="N244" s="100"/>
      <c r="O244" s="100"/>
      <c r="P244" s="100"/>
      <c r="Q244" s="100"/>
      <c r="R244" s="298" t="s">
        <v>418</v>
      </c>
      <c r="S244" s="10"/>
    </row>
    <row r="245" spans="1:19" ht="51.75" customHeight="1">
      <c r="A245" s="534" t="s">
        <v>73</v>
      </c>
      <c r="B245" s="535"/>
      <c r="C245" s="535"/>
      <c r="D245" s="535"/>
      <c r="E245" s="535"/>
      <c r="F245" s="535"/>
      <c r="G245" s="536"/>
      <c r="H245" s="99">
        <f>H222+H236+H243+H244</f>
        <v>217461.47899999999</v>
      </c>
      <c r="I245" s="99">
        <f>I222+I236+I243+I244</f>
        <v>102623.97899999999</v>
      </c>
      <c r="J245" s="99">
        <f>J222+J236+J243+J244</f>
        <v>94837.5</v>
      </c>
      <c r="K245" s="99">
        <f>K222+K236+K243+K244</f>
        <v>20000</v>
      </c>
      <c r="L245" s="99">
        <v>102624</v>
      </c>
      <c r="M245" s="100">
        <f>N245-L245</f>
        <v>-228.30000000000291</v>
      </c>
      <c r="N245" s="297">
        <v>102395.7</v>
      </c>
      <c r="O245" s="99">
        <v>83837.5</v>
      </c>
      <c r="P245" s="99">
        <f>Q245-O245</f>
        <v>11000</v>
      </c>
      <c r="Q245" s="99">
        <v>94837.5</v>
      </c>
      <c r="R245" s="385"/>
    </row>
    <row r="246" spans="1:19" ht="139.5" hidden="1">
      <c r="A246" s="538" t="s">
        <v>18</v>
      </c>
      <c r="B246" s="538"/>
      <c r="C246" s="538"/>
      <c r="D246" s="538"/>
      <c r="E246" s="538"/>
      <c r="F246" s="498"/>
      <c r="G246" s="159" t="s">
        <v>207</v>
      </c>
      <c r="H246" s="122">
        <f>H232+H233+H234</f>
        <v>2592.0530000000003</v>
      </c>
      <c r="I246" s="122">
        <f>I232+I233+I234</f>
        <v>2592.0530000000003</v>
      </c>
      <c r="J246" s="122">
        <f>J232+J233+J234</f>
        <v>0</v>
      </c>
      <c r="K246" s="122">
        <f>K232+K233+K234</f>
        <v>0</v>
      </c>
      <c r="L246" s="122"/>
      <c r="M246" s="272"/>
      <c r="N246" s="272"/>
      <c r="O246" s="122"/>
      <c r="P246" s="122"/>
      <c r="Q246" s="122"/>
      <c r="R246" s="386"/>
    </row>
    <row r="247" spans="1:19" ht="69.75" hidden="1">
      <c r="A247" s="539"/>
      <c r="B247" s="539"/>
      <c r="C247" s="539"/>
      <c r="D247" s="539"/>
      <c r="E247" s="539"/>
      <c r="F247" s="500"/>
      <c r="G247" s="183" t="s">
        <v>413</v>
      </c>
      <c r="H247" s="122">
        <f>H244</f>
        <v>799.7</v>
      </c>
      <c r="I247" s="122">
        <f>I244</f>
        <v>799.7</v>
      </c>
      <c r="J247" s="122">
        <f>J244</f>
        <v>0</v>
      </c>
      <c r="K247" s="122">
        <f>K244</f>
        <v>0</v>
      </c>
      <c r="L247" s="122"/>
      <c r="M247" s="272"/>
      <c r="N247" s="272"/>
      <c r="O247" s="122"/>
      <c r="P247" s="122"/>
      <c r="Q247" s="122"/>
      <c r="R247" s="386"/>
    </row>
    <row r="248" spans="1:19" ht="46.5" customHeight="1">
      <c r="A248" s="540"/>
      <c r="B248" s="540"/>
      <c r="C248" s="540"/>
      <c r="D248" s="540"/>
      <c r="E248" s="540"/>
      <c r="F248" s="502"/>
      <c r="G248" s="159" t="s">
        <v>450</v>
      </c>
      <c r="H248" s="122">
        <f>H223+H236+H243</f>
        <v>211669.72600000002</v>
      </c>
      <c r="I248" s="122">
        <f>I223+I236+I243</f>
        <v>96832.225999999995</v>
      </c>
      <c r="J248" s="122">
        <f>J223+J236+J243</f>
        <v>94837.5</v>
      </c>
      <c r="K248" s="122">
        <f>K223+K236+K243</f>
        <v>20000</v>
      </c>
      <c r="L248" s="122"/>
      <c r="M248" s="272"/>
      <c r="N248" s="272"/>
      <c r="O248" s="122">
        <v>83837.5</v>
      </c>
      <c r="P248" s="122">
        <f>Q248-O248</f>
        <v>11000</v>
      </c>
      <c r="Q248" s="122">
        <v>94837.5</v>
      </c>
      <c r="R248" s="386"/>
    </row>
    <row r="249" spans="1:19" ht="27" hidden="1">
      <c r="A249" s="563" t="s">
        <v>95</v>
      </c>
      <c r="B249" s="564"/>
      <c r="C249" s="564"/>
      <c r="D249" s="565"/>
      <c r="E249" s="374" t="s">
        <v>82</v>
      </c>
      <c r="F249" s="541"/>
      <c r="G249" s="184" t="s">
        <v>97</v>
      </c>
      <c r="H249" s="123">
        <f>SUM(H250:H251)</f>
        <v>34773.369999999995</v>
      </c>
      <c r="I249" s="123">
        <f>SUM(I250:I251)</f>
        <v>13373.369999999999</v>
      </c>
      <c r="J249" s="123">
        <f>SUM(J250:J251)</f>
        <v>16400</v>
      </c>
      <c r="K249" s="123">
        <f>SUM(K250:K251)</f>
        <v>5000</v>
      </c>
      <c r="L249" s="267"/>
      <c r="M249" s="267"/>
      <c r="N249" s="267"/>
      <c r="O249" s="267"/>
      <c r="P249" s="267"/>
      <c r="Q249" s="267"/>
      <c r="R249" s="386"/>
      <c r="S249" s="109"/>
    </row>
    <row r="250" spans="1:19" ht="45" hidden="1" customHeight="1">
      <c r="A250" s="566"/>
      <c r="B250" s="567"/>
      <c r="C250" s="567"/>
      <c r="D250" s="568"/>
      <c r="E250" s="393"/>
      <c r="F250" s="541"/>
      <c r="G250" s="301" t="s">
        <v>450</v>
      </c>
      <c r="H250" s="104">
        <f>H225+H237</f>
        <v>34523.369999999995</v>
      </c>
      <c r="I250" s="104">
        <f>I225+I237</f>
        <v>13123.369999999999</v>
      </c>
      <c r="J250" s="104">
        <f>J225+J237</f>
        <v>16400</v>
      </c>
      <c r="K250" s="104">
        <f>K225+K237</f>
        <v>5000</v>
      </c>
      <c r="L250" s="256"/>
      <c r="M250" s="256"/>
      <c r="N250" s="256"/>
      <c r="O250" s="256"/>
      <c r="P250" s="256"/>
      <c r="Q250" s="256"/>
      <c r="R250" s="386"/>
      <c r="S250" s="109"/>
    </row>
    <row r="251" spans="1:19" ht="135" hidden="1">
      <c r="A251" s="566"/>
      <c r="B251" s="567"/>
      <c r="C251" s="567"/>
      <c r="D251" s="568"/>
      <c r="E251" s="375"/>
      <c r="F251" s="541"/>
      <c r="G251" s="301" t="s">
        <v>207</v>
      </c>
      <c r="H251" s="104">
        <f>H232</f>
        <v>250</v>
      </c>
      <c r="I251" s="104">
        <f>I232</f>
        <v>250</v>
      </c>
      <c r="J251" s="104">
        <f>J232</f>
        <v>0</v>
      </c>
      <c r="K251" s="104">
        <f>K232</f>
        <v>0</v>
      </c>
      <c r="L251" s="256"/>
      <c r="M251" s="256"/>
      <c r="N251" s="256"/>
      <c r="O251" s="256"/>
      <c r="P251" s="256"/>
      <c r="Q251" s="256"/>
      <c r="R251" s="386"/>
      <c r="S251" s="109"/>
    </row>
    <row r="252" spans="1:19" ht="27.75" hidden="1">
      <c r="A252" s="566"/>
      <c r="B252" s="567"/>
      <c r="C252" s="567"/>
      <c r="D252" s="568"/>
      <c r="E252" s="295" t="s">
        <v>76</v>
      </c>
      <c r="F252" s="541"/>
      <c r="G252" s="541" t="s">
        <v>450</v>
      </c>
      <c r="H252" s="104">
        <f>H226</f>
        <v>5132</v>
      </c>
      <c r="I252" s="104">
        <f>I226+I238</f>
        <v>601.13</v>
      </c>
      <c r="J252" s="104">
        <f>J226+J238</f>
        <v>6200</v>
      </c>
      <c r="K252" s="104">
        <f>K226</f>
        <v>2500</v>
      </c>
      <c r="L252" s="256"/>
      <c r="M252" s="256"/>
      <c r="N252" s="256"/>
      <c r="O252" s="256"/>
      <c r="P252" s="256"/>
      <c r="Q252" s="256"/>
      <c r="R252" s="386"/>
      <c r="S252" s="109"/>
    </row>
    <row r="253" spans="1:19" ht="27.75" hidden="1">
      <c r="A253" s="566"/>
      <c r="B253" s="567"/>
      <c r="C253" s="567"/>
      <c r="D253" s="568"/>
      <c r="E253" s="295" t="s">
        <v>77</v>
      </c>
      <c r="F253" s="541"/>
      <c r="G253" s="541"/>
      <c r="H253" s="104">
        <f>H227+H239</f>
        <v>44223.654000000002</v>
      </c>
      <c r="I253" s="104">
        <f>I227+I239</f>
        <v>17723.654000000002</v>
      </c>
      <c r="J253" s="104">
        <f>J227+J239</f>
        <v>21500</v>
      </c>
      <c r="K253" s="104">
        <f>K227+K239</f>
        <v>5000</v>
      </c>
      <c r="L253" s="256"/>
      <c r="M253" s="256"/>
      <c r="N253" s="256"/>
      <c r="O253" s="256"/>
      <c r="P253" s="256"/>
      <c r="Q253" s="256"/>
      <c r="R253" s="386"/>
      <c r="S253" s="109"/>
    </row>
    <row r="254" spans="1:19" ht="27" hidden="1">
      <c r="A254" s="566"/>
      <c r="B254" s="567"/>
      <c r="C254" s="567"/>
      <c r="D254" s="568"/>
      <c r="E254" s="374" t="s">
        <v>75</v>
      </c>
      <c r="F254" s="541"/>
      <c r="G254" s="184" t="s">
        <v>97</v>
      </c>
      <c r="H254" s="104">
        <f>H255+H256</f>
        <v>52303.255000000005</v>
      </c>
      <c r="I254" s="104">
        <f>I255+I256</f>
        <v>28403.255000000001</v>
      </c>
      <c r="J254" s="104">
        <f>J255+J256</f>
        <v>18900</v>
      </c>
      <c r="K254" s="104">
        <f>K255+K256</f>
        <v>5000</v>
      </c>
      <c r="L254" s="256"/>
      <c r="M254" s="256"/>
      <c r="N254" s="256"/>
      <c r="O254" s="256"/>
      <c r="P254" s="256"/>
      <c r="Q254" s="256"/>
      <c r="R254" s="386"/>
      <c r="S254" s="109"/>
    </row>
    <row r="255" spans="1:19" ht="45" hidden="1" customHeight="1">
      <c r="A255" s="566"/>
      <c r="B255" s="567"/>
      <c r="C255" s="567"/>
      <c r="D255" s="568"/>
      <c r="E255" s="393"/>
      <c r="F255" s="541"/>
      <c r="G255" s="301" t="s">
        <v>450</v>
      </c>
      <c r="H255" s="104">
        <f>H228+H240+H243</f>
        <v>50891.202000000005</v>
      </c>
      <c r="I255" s="104">
        <f>I228+I240+I243</f>
        <v>26991.202000000001</v>
      </c>
      <c r="J255" s="104">
        <f>J228+J240+J243</f>
        <v>18900</v>
      </c>
      <c r="K255" s="104">
        <f>K228+K240+K243</f>
        <v>5000</v>
      </c>
      <c r="L255" s="256"/>
      <c r="M255" s="256"/>
      <c r="N255" s="256"/>
      <c r="O255" s="256"/>
      <c r="P255" s="256"/>
      <c r="Q255" s="256"/>
      <c r="R255" s="386"/>
      <c r="S255" s="109"/>
    </row>
    <row r="256" spans="1:19" ht="135" hidden="1">
      <c r="A256" s="566"/>
      <c r="B256" s="567"/>
      <c r="C256" s="567"/>
      <c r="D256" s="568"/>
      <c r="E256" s="375"/>
      <c r="F256" s="541"/>
      <c r="G256" s="301" t="s">
        <v>207</v>
      </c>
      <c r="H256" s="104">
        <f>H233</f>
        <v>1412.0530000000003</v>
      </c>
      <c r="I256" s="104">
        <f>I233</f>
        <v>1412.0530000000003</v>
      </c>
      <c r="J256" s="104">
        <f>J233</f>
        <v>0</v>
      </c>
      <c r="K256" s="104">
        <f>K233</f>
        <v>0</v>
      </c>
      <c r="L256" s="256"/>
      <c r="M256" s="256"/>
      <c r="N256" s="256"/>
      <c r="O256" s="256"/>
      <c r="P256" s="256"/>
      <c r="Q256" s="256"/>
      <c r="R256" s="386"/>
      <c r="S256" s="109"/>
    </row>
    <row r="257" spans="1:19" ht="27" hidden="1">
      <c r="A257" s="566"/>
      <c r="B257" s="567"/>
      <c r="C257" s="567"/>
      <c r="D257" s="568"/>
      <c r="E257" s="374" t="s">
        <v>79</v>
      </c>
      <c r="F257" s="541"/>
      <c r="G257" s="184" t="s">
        <v>97</v>
      </c>
      <c r="H257" s="104">
        <f>H258+H259</f>
        <v>30449.57</v>
      </c>
      <c r="I257" s="104">
        <f>I258+I259</f>
        <v>18349.57</v>
      </c>
      <c r="J257" s="104">
        <f>J258+J259</f>
        <v>12100</v>
      </c>
      <c r="K257" s="104">
        <f>K258+K259</f>
        <v>0</v>
      </c>
      <c r="L257" s="256"/>
      <c r="M257" s="256"/>
      <c r="N257" s="256"/>
      <c r="O257" s="256"/>
      <c r="P257" s="256"/>
      <c r="Q257" s="256"/>
      <c r="R257" s="386"/>
      <c r="S257" s="109"/>
    </row>
    <row r="258" spans="1:19" ht="45" hidden="1" customHeight="1">
      <c r="A258" s="566"/>
      <c r="B258" s="567"/>
      <c r="C258" s="567"/>
      <c r="D258" s="568"/>
      <c r="E258" s="393"/>
      <c r="F258" s="541"/>
      <c r="G258" s="301" t="s">
        <v>450</v>
      </c>
      <c r="H258" s="104">
        <f>H229+H241</f>
        <v>29519.57</v>
      </c>
      <c r="I258" s="104">
        <f>I229+I241</f>
        <v>17419.57</v>
      </c>
      <c r="J258" s="104">
        <f>J229+J241</f>
        <v>12100</v>
      </c>
      <c r="K258" s="104">
        <f>K229+K241</f>
        <v>0</v>
      </c>
      <c r="L258" s="256"/>
      <c r="M258" s="256"/>
      <c r="N258" s="256"/>
      <c r="O258" s="256"/>
      <c r="P258" s="256"/>
      <c r="Q258" s="256"/>
      <c r="R258" s="386"/>
      <c r="S258" s="109"/>
    </row>
    <row r="259" spans="1:19" ht="135" hidden="1">
      <c r="A259" s="566"/>
      <c r="B259" s="567"/>
      <c r="C259" s="567"/>
      <c r="D259" s="568"/>
      <c r="E259" s="375"/>
      <c r="F259" s="541"/>
      <c r="G259" s="301" t="s">
        <v>207</v>
      </c>
      <c r="H259" s="104">
        <f>H234</f>
        <v>930</v>
      </c>
      <c r="I259" s="104">
        <f>I234</f>
        <v>930</v>
      </c>
      <c r="J259" s="104">
        <f>J234</f>
        <v>0</v>
      </c>
      <c r="K259" s="104">
        <f>K234</f>
        <v>0</v>
      </c>
      <c r="L259" s="256"/>
      <c r="M259" s="256"/>
      <c r="N259" s="256"/>
      <c r="O259" s="256"/>
      <c r="P259" s="256"/>
      <c r="Q259" s="256"/>
      <c r="R259" s="386"/>
      <c r="S259" s="109"/>
    </row>
    <row r="260" spans="1:19" ht="55.5" hidden="1" customHeight="1">
      <c r="A260" s="566"/>
      <c r="B260" s="567"/>
      <c r="C260" s="567"/>
      <c r="D260" s="568"/>
      <c r="E260" s="295" t="s">
        <v>78</v>
      </c>
      <c r="F260" s="541"/>
      <c r="G260" s="185" t="s">
        <v>450</v>
      </c>
      <c r="H260" s="104">
        <f>H230+H242</f>
        <v>1250</v>
      </c>
      <c r="I260" s="104">
        <f>I230+I242</f>
        <v>1250</v>
      </c>
      <c r="J260" s="104">
        <f>J230+J242</f>
        <v>0</v>
      </c>
      <c r="K260" s="104">
        <f>K230+K242</f>
        <v>0</v>
      </c>
      <c r="L260" s="256"/>
      <c r="M260" s="256"/>
      <c r="N260" s="256"/>
      <c r="O260" s="256"/>
      <c r="P260" s="256"/>
      <c r="Q260" s="256"/>
      <c r="R260" s="386"/>
      <c r="S260" s="109"/>
    </row>
    <row r="261" spans="1:19" ht="27" hidden="1">
      <c r="A261" s="566"/>
      <c r="B261" s="567"/>
      <c r="C261" s="567"/>
      <c r="D261" s="568"/>
      <c r="E261" s="374" t="s">
        <v>54</v>
      </c>
      <c r="F261" s="541"/>
      <c r="G261" s="184" t="s">
        <v>97</v>
      </c>
      <c r="H261" s="104">
        <f>H262+H263</f>
        <v>40260.5</v>
      </c>
      <c r="I261" s="104">
        <f>I262+I263</f>
        <v>20523</v>
      </c>
      <c r="J261" s="104">
        <f>J262+J263</f>
        <v>19737.5</v>
      </c>
      <c r="K261" s="104">
        <f>K262+K263</f>
        <v>0</v>
      </c>
      <c r="L261" s="256"/>
      <c r="M261" s="256"/>
      <c r="N261" s="256"/>
      <c r="O261" s="256"/>
      <c r="P261" s="256"/>
      <c r="Q261" s="256"/>
      <c r="R261" s="386"/>
      <c r="S261" s="109"/>
    </row>
    <row r="262" spans="1:19" ht="67.5" hidden="1">
      <c r="A262" s="566"/>
      <c r="B262" s="567"/>
      <c r="C262" s="567"/>
      <c r="D262" s="568"/>
      <c r="E262" s="393"/>
      <c r="F262" s="541"/>
      <c r="G262" s="288" t="s">
        <v>413</v>
      </c>
      <c r="H262" s="104">
        <f>H244</f>
        <v>799.7</v>
      </c>
      <c r="I262" s="104">
        <f>I244</f>
        <v>799.7</v>
      </c>
      <c r="J262" s="104">
        <f>J244</f>
        <v>0</v>
      </c>
      <c r="K262" s="104">
        <f>K244</f>
        <v>0</v>
      </c>
      <c r="L262" s="256"/>
      <c r="M262" s="256"/>
      <c r="N262" s="256"/>
      <c r="O262" s="256"/>
      <c r="P262" s="256"/>
      <c r="Q262" s="256"/>
      <c r="R262" s="386"/>
      <c r="S262" s="109"/>
    </row>
    <row r="263" spans="1:19" ht="45" hidden="1" customHeight="1">
      <c r="A263" s="569"/>
      <c r="B263" s="570"/>
      <c r="C263" s="570"/>
      <c r="D263" s="571"/>
      <c r="E263" s="375"/>
      <c r="F263" s="541"/>
      <c r="G263" s="287" t="s">
        <v>450</v>
      </c>
      <c r="H263" s="104">
        <f>H224</f>
        <v>39460.800000000003</v>
      </c>
      <c r="I263" s="104">
        <f>I224</f>
        <v>19723.3</v>
      </c>
      <c r="J263" s="104">
        <f>J224</f>
        <v>19737.5</v>
      </c>
      <c r="K263" s="104">
        <f>K224</f>
        <v>0</v>
      </c>
      <c r="L263" s="108"/>
      <c r="M263" s="108"/>
      <c r="N263" s="108"/>
      <c r="O263" s="108"/>
      <c r="P263" s="108"/>
      <c r="Q263" s="108"/>
      <c r="R263" s="427"/>
      <c r="S263" s="109"/>
    </row>
    <row r="264" spans="1:19" ht="57" customHeight="1">
      <c r="A264" s="534" t="s">
        <v>102</v>
      </c>
      <c r="B264" s="535"/>
      <c r="C264" s="535"/>
      <c r="D264" s="535"/>
      <c r="E264" s="535"/>
      <c r="F264" s="536"/>
      <c r="G264" s="186"/>
      <c r="H264" s="99">
        <f>H119+H175+H210+H245</f>
        <v>544007.93030000001</v>
      </c>
      <c r="I264" s="99">
        <f>I119+I175+I210+I245</f>
        <v>291275.12099999998</v>
      </c>
      <c r="J264" s="99">
        <f>J119+J175+J210+J245</f>
        <v>164711.88</v>
      </c>
      <c r="K264" s="99">
        <f>K119+K175+K210+K245</f>
        <v>88020.929299999989</v>
      </c>
      <c r="L264" s="99">
        <v>291274.7</v>
      </c>
      <c r="M264" s="99">
        <f>N264-L264</f>
        <v>-227.90000000002328</v>
      </c>
      <c r="N264" s="99">
        <v>291046.8</v>
      </c>
      <c r="O264" s="99">
        <v>153311.9</v>
      </c>
      <c r="P264" s="99">
        <f>Q264-O264</f>
        <v>11400</v>
      </c>
      <c r="Q264" s="99">
        <v>164711.9</v>
      </c>
      <c r="R264" s="537"/>
      <c r="S264" s="161">
        <f>153942.7-J264</f>
        <v>-10769.179999999993</v>
      </c>
    </row>
    <row r="265" spans="1:19" ht="45" hidden="1" customHeight="1">
      <c r="A265" s="387" t="s">
        <v>103</v>
      </c>
      <c r="B265" s="387"/>
      <c r="C265" s="387"/>
      <c r="D265" s="387"/>
      <c r="E265" s="387"/>
      <c r="F265" s="388"/>
      <c r="G265" s="287" t="s">
        <v>447</v>
      </c>
      <c r="H265" s="99">
        <f>H120+H176+H211</f>
        <v>261216.43229999999</v>
      </c>
      <c r="I265" s="99">
        <f>I120+I176+I211</f>
        <v>124821.12299999998</v>
      </c>
      <c r="J265" s="99">
        <f>J120+J176+J211-0.1</f>
        <v>69874.28</v>
      </c>
      <c r="K265" s="99">
        <f>K120+K176+K211</f>
        <v>68020.929299999989</v>
      </c>
      <c r="L265" s="99"/>
      <c r="M265" s="99"/>
      <c r="N265" s="99"/>
      <c r="O265" s="99"/>
      <c r="P265" s="99"/>
      <c r="Q265" s="99"/>
      <c r="R265" s="537"/>
    </row>
    <row r="266" spans="1:19" ht="45" hidden="1" customHeight="1">
      <c r="A266" s="389"/>
      <c r="B266" s="389"/>
      <c r="C266" s="389"/>
      <c r="D266" s="389"/>
      <c r="E266" s="389"/>
      <c r="F266" s="390"/>
      <c r="G266" s="287" t="s">
        <v>450</v>
      </c>
      <c r="H266" s="99">
        <f>H248</f>
        <v>211669.72600000002</v>
      </c>
      <c r="I266" s="99">
        <f>I248</f>
        <v>96832.225999999995</v>
      </c>
      <c r="J266" s="99">
        <f>J248</f>
        <v>94837.5</v>
      </c>
      <c r="K266" s="99">
        <f>K248</f>
        <v>20000</v>
      </c>
      <c r="L266" s="99"/>
      <c r="M266" s="99"/>
      <c r="N266" s="99"/>
      <c r="O266" s="99"/>
      <c r="P266" s="99"/>
      <c r="Q266" s="99"/>
      <c r="R266" s="537"/>
    </row>
    <row r="267" spans="1:19" ht="67.5" hidden="1">
      <c r="A267" s="389"/>
      <c r="B267" s="389"/>
      <c r="C267" s="389"/>
      <c r="D267" s="389"/>
      <c r="E267" s="389"/>
      <c r="F267" s="390"/>
      <c r="G267" s="287" t="s">
        <v>96</v>
      </c>
      <c r="H267" s="99">
        <f>H121</f>
        <v>52839.700000000004</v>
      </c>
      <c r="I267" s="99">
        <f>I121</f>
        <v>52839.700000000004</v>
      </c>
      <c r="J267" s="99">
        <f>J121</f>
        <v>0</v>
      </c>
      <c r="K267" s="99">
        <f>K121</f>
        <v>0</v>
      </c>
      <c r="L267" s="99"/>
      <c r="M267" s="99"/>
      <c r="N267" s="99"/>
      <c r="O267" s="99"/>
      <c r="P267" s="99"/>
      <c r="Q267" s="99"/>
      <c r="R267" s="537"/>
    </row>
    <row r="268" spans="1:19" ht="202.5" hidden="1">
      <c r="A268" s="389"/>
      <c r="B268" s="389"/>
      <c r="C268" s="389"/>
      <c r="D268" s="389"/>
      <c r="E268" s="389"/>
      <c r="F268" s="390"/>
      <c r="G268" s="301" t="s">
        <v>100</v>
      </c>
      <c r="H268" s="99">
        <f>H178+H212</f>
        <v>6612.1190000000006</v>
      </c>
      <c r="I268" s="99">
        <f>I178+I212</f>
        <v>6612.1190000000006</v>
      </c>
      <c r="J268" s="99">
        <f>J178+J212</f>
        <v>0</v>
      </c>
      <c r="K268" s="99">
        <f>K178+K212</f>
        <v>0</v>
      </c>
      <c r="L268" s="99"/>
      <c r="M268" s="99"/>
      <c r="N268" s="99"/>
      <c r="O268" s="99"/>
      <c r="P268" s="99"/>
      <c r="Q268" s="99"/>
      <c r="R268" s="537"/>
    </row>
    <row r="269" spans="1:19" ht="157.5" hidden="1">
      <c r="A269" s="389"/>
      <c r="B269" s="389"/>
      <c r="C269" s="389"/>
      <c r="D269" s="389"/>
      <c r="E269" s="389"/>
      <c r="F269" s="390"/>
      <c r="G269" s="287" t="s">
        <v>99</v>
      </c>
      <c r="H269" s="99">
        <f>H122+H177</f>
        <v>4318.2</v>
      </c>
      <c r="I269" s="99">
        <f>I122+I177</f>
        <v>4318.2</v>
      </c>
      <c r="J269" s="99">
        <f>J122+J177</f>
        <v>0</v>
      </c>
      <c r="K269" s="99">
        <f>K122+K177</f>
        <v>0</v>
      </c>
      <c r="L269" s="99"/>
      <c r="M269" s="99"/>
      <c r="N269" s="99"/>
      <c r="O269" s="99"/>
      <c r="P269" s="99"/>
      <c r="Q269" s="99"/>
      <c r="R269" s="537"/>
    </row>
    <row r="270" spans="1:19" ht="135" hidden="1">
      <c r="A270" s="389"/>
      <c r="B270" s="389"/>
      <c r="C270" s="389"/>
      <c r="D270" s="389"/>
      <c r="E270" s="389"/>
      <c r="F270" s="390"/>
      <c r="G270" s="301" t="s">
        <v>207</v>
      </c>
      <c r="H270" s="99">
        <f>H246</f>
        <v>2592.0530000000003</v>
      </c>
      <c r="I270" s="99">
        <f t="shared" ref="I270:K271" si="18">I246</f>
        <v>2592.0530000000003</v>
      </c>
      <c r="J270" s="99">
        <f t="shared" si="18"/>
        <v>0</v>
      </c>
      <c r="K270" s="99">
        <f t="shared" si="18"/>
        <v>0</v>
      </c>
      <c r="L270" s="99"/>
      <c r="M270" s="99"/>
      <c r="N270" s="99"/>
      <c r="O270" s="99"/>
      <c r="P270" s="99"/>
      <c r="Q270" s="99"/>
      <c r="R270" s="537"/>
    </row>
    <row r="271" spans="1:19" ht="67.5" hidden="1">
      <c r="A271" s="389"/>
      <c r="B271" s="389"/>
      <c r="C271" s="389"/>
      <c r="D271" s="389"/>
      <c r="E271" s="389"/>
      <c r="F271" s="390"/>
      <c r="G271" s="288" t="s">
        <v>413</v>
      </c>
      <c r="H271" s="99">
        <f>H247</f>
        <v>799.7</v>
      </c>
      <c r="I271" s="99">
        <f t="shared" si="18"/>
        <v>799.7</v>
      </c>
      <c r="J271" s="99">
        <f t="shared" si="18"/>
        <v>0</v>
      </c>
      <c r="K271" s="99">
        <f t="shared" si="18"/>
        <v>0</v>
      </c>
      <c r="L271" s="99"/>
      <c r="M271" s="99"/>
      <c r="N271" s="99"/>
      <c r="O271" s="99"/>
      <c r="P271" s="99"/>
      <c r="Q271" s="99"/>
      <c r="R271" s="537"/>
    </row>
    <row r="272" spans="1:19" ht="67.5" hidden="1">
      <c r="A272" s="391"/>
      <c r="B272" s="391"/>
      <c r="C272" s="391"/>
      <c r="D272" s="391"/>
      <c r="E272" s="391"/>
      <c r="F272" s="392"/>
      <c r="G272" s="287" t="s">
        <v>344</v>
      </c>
      <c r="H272" s="99">
        <f>H123</f>
        <v>60</v>
      </c>
      <c r="I272" s="99">
        <f>I123</f>
        <v>60</v>
      </c>
      <c r="J272" s="99">
        <f>J123</f>
        <v>0</v>
      </c>
      <c r="K272" s="99">
        <f>K123</f>
        <v>0</v>
      </c>
      <c r="L272" s="99"/>
      <c r="M272" s="99"/>
      <c r="N272" s="99"/>
      <c r="O272" s="99"/>
      <c r="P272" s="99"/>
      <c r="Q272" s="99"/>
      <c r="R272" s="537"/>
    </row>
    <row r="273" spans="1:18" ht="27" hidden="1">
      <c r="A273" s="387" t="s">
        <v>95</v>
      </c>
      <c r="B273" s="387"/>
      <c r="C273" s="387"/>
      <c r="D273" s="388"/>
      <c r="E273" s="398" t="s">
        <v>82</v>
      </c>
      <c r="F273" s="401"/>
      <c r="G273" s="250" t="s">
        <v>90</v>
      </c>
      <c r="H273" s="99">
        <f>SUM(H274:H279)</f>
        <v>75206.61</v>
      </c>
      <c r="I273" s="99">
        <f>SUM(I274:I279)</f>
        <v>41972.21</v>
      </c>
      <c r="J273" s="99">
        <f>SUM(J274:J279)</f>
        <v>16756.7</v>
      </c>
      <c r="K273" s="99">
        <f>SUM(K274:K279)</f>
        <v>10406.5</v>
      </c>
      <c r="L273" s="101"/>
      <c r="M273" s="101"/>
      <c r="N273" s="101"/>
      <c r="O273" s="101"/>
      <c r="P273" s="101"/>
      <c r="Q273" s="101"/>
      <c r="R273" s="187"/>
    </row>
    <row r="274" spans="1:18" ht="46.5" hidden="1">
      <c r="A274" s="389"/>
      <c r="B274" s="389"/>
      <c r="C274" s="389"/>
      <c r="D274" s="390"/>
      <c r="E274" s="399"/>
      <c r="F274" s="402"/>
      <c r="G274" s="229" t="s">
        <v>446</v>
      </c>
      <c r="H274" s="100">
        <f>H125+H181</f>
        <v>27739.84</v>
      </c>
      <c r="I274" s="100">
        <f>I125+I181</f>
        <v>15905.439999999999</v>
      </c>
      <c r="J274" s="100">
        <f>J125+J181</f>
        <v>356.7</v>
      </c>
      <c r="K274" s="100">
        <f>K125+K181</f>
        <v>5406.5</v>
      </c>
      <c r="L274" s="254"/>
      <c r="M274" s="254"/>
      <c r="N274" s="254"/>
      <c r="O274" s="254"/>
      <c r="P274" s="254"/>
      <c r="Q274" s="254"/>
      <c r="R274" s="188"/>
    </row>
    <row r="275" spans="1:18" ht="69.75" hidden="1">
      <c r="A275" s="389"/>
      <c r="B275" s="389"/>
      <c r="C275" s="389"/>
      <c r="D275" s="390"/>
      <c r="E275" s="399"/>
      <c r="F275" s="402"/>
      <c r="G275" s="232" t="s">
        <v>96</v>
      </c>
      <c r="H275" s="100">
        <f>H128</f>
        <v>12485.6</v>
      </c>
      <c r="I275" s="100">
        <f>I128</f>
        <v>12485.6</v>
      </c>
      <c r="J275" s="100">
        <f>J128</f>
        <v>0</v>
      </c>
      <c r="K275" s="100">
        <f>K128</f>
        <v>0</v>
      </c>
      <c r="L275" s="254"/>
      <c r="M275" s="254"/>
      <c r="N275" s="254"/>
      <c r="O275" s="254"/>
      <c r="P275" s="254"/>
      <c r="Q275" s="254"/>
      <c r="R275" s="188"/>
    </row>
    <row r="276" spans="1:18" ht="139.5" hidden="1">
      <c r="A276" s="389"/>
      <c r="B276" s="389"/>
      <c r="C276" s="389"/>
      <c r="D276" s="390"/>
      <c r="E276" s="399"/>
      <c r="F276" s="402"/>
      <c r="G276" s="232" t="str">
        <f>G126</f>
        <v>Субвенція з місцевого бюджету на здійснення переданих видатків у сфері охорони здоров'я за рахунок коштів медичної субвенції (загальний фонд)</v>
      </c>
      <c r="H276" s="102">
        <f>H126+H180</f>
        <v>147.79999999999998</v>
      </c>
      <c r="I276" s="102">
        <f>I126+I180</f>
        <v>147.79999999999998</v>
      </c>
      <c r="J276" s="102">
        <f>J126+J180</f>
        <v>0</v>
      </c>
      <c r="K276" s="102">
        <f>K126+K180</f>
        <v>0</v>
      </c>
      <c r="L276" s="254"/>
      <c r="M276" s="254"/>
      <c r="N276" s="254"/>
      <c r="O276" s="254"/>
      <c r="P276" s="254"/>
      <c r="Q276" s="254"/>
      <c r="R276" s="188"/>
    </row>
    <row r="277" spans="1:18" ht="139.5" hidden="1">
      <c r="A277" s="389"/>
      <c r="B277" s="389"/>
      <c r="C277" s="389"/>
      <c r="D277" s="390"/>
      <c r="E277" s="399"/>
      <c r="F277" s="402"/>
      <c r="G277" s="232" t="s">
        <v>207</v>
      </c>
      <c r="H277" s="100">
        <f>H251</f>
        <v>250</v>
      </c>
      <c r="I277" s="100">
        <f>I251</f>
        <v>250</v>
      </c>
      <c r="J277" s="100">
        <f>J251</f>
        <v>0</v>
      </c>
      <c r="K277" s="100">
        <f>K251</f>
        <v>0</v>
      </c>
      <c r="L277" s="254"/>
      <c r="M277" s="254"/>
      <c r="N277" s="254"/>
      <c r="O277" s="254"/>
      <c r="P277" s="254"/>
      <c r="Q277" s="254"/>
      <c r="R277" s="188"/>
    </row>
    <row r="278" spans="1:18" ht="46.5" hidden="1">
      <c r="A278" s="389"/>
      <c r="B278" s="389"/>
      <c r="C278" s="389"/>
      <c r="D278" s="390"/>
      <c r="E278" s="399"/>
      <c r="F278" s="402"/>
      <c r="G278" s="229" t="s">
        <v>344</v>
      </c>
      <c r="H278" s="100">
        <f>H127</f>
        <v>60</v>
      </c>
      <c r="I278" s="100">
        <f>I127</f>
        <v>60</v>
      </c>
      <c r="J278" s="100">
        <f>J127</f>
        <v>0</v>
      </c>
      <c r="K278" s="100">
        <f>K127</f>
        <v>0</v>
      </c>
      <c r="L278" s="254"/>
      <c r="M278" s="254"/>
      <c r="N278" s="254"/>
      <c r="O278" s="254"/>
      <c r="P278" s="254"/>
      <c r="Q278" s="254"/>
      <c r="R278" s="188"/>
    </row>
    <row r="279" spans="1:18" ht="46.5" hidden="1">
      <c r="A279" s="389"/>
      <c r="B279" s="389"/>
      <c r="C279" s="389"/>
      <c r="D279" s="390"/>
      <c r="E279" s="400"/>
      <c r="F279" s="402"/>
      <c r="G279" s="229" t="s">
        <v>450</v>
      </c>
      <c r="H279" s="100">
        <f>H250</f>
        <v>34523.369999999995</v>
      </c>
      <c r="I279" s="100">
        <f>I250</f>
        <v>13123.369999999999</v>
      </c>
      <c r="J279" s="100">
        <f>J250</f>
        <v>16400</v>
      </c>
      <c r="K279" s="100">
        <f>K250</f>
        <v>5000</v>
      </c>
      <c r="L279" s="254"/>
      <c r="M279" s="254"/>
      <c r="N279" s="254"/>
      <c r="O279" s="254"/>
      <c r="P279" s="254"/>
      <c r="Q279" s="254"/>
      <c r="R279" s="188"/>
    </row>
    <row r="280" spans="1:18" ht="27" hidden="1">
      <c r="A280" s="389"/>
      <c r="B280" s="389"/>
      <c r="C280" s="389"/>
      <c r="D280" s="390"/>
      <c r="E280" s="398" t="s">
        <v>76</v>
      </c>
      <c r="F280" s="402"/>
      <c r="G280" s="250" t="s">
        <v>90</v>
      </c>
      <c r="H280" s="99">
        <f>SUM(H281:H283)</f>
        <v>46968.88</v>
      </c>
      <c r="I280" s="99">
        <f>SUM(I281:I283)</f>
        <v>21907.03</v>
      </c>
      <c r="J280" s="99">
        <f>SUM(J281:J283)</f>
        <v>16100.38</v>
      </c>
      <c r="K280" s="99">
        <f>SUM(K281:K283)</f>
        <v>13130.599999999999</v>
      </c>
      <c r="L280" s="255"/>
      <c r="M280" s="255"/>
      <c r="N280" s="255"/>
      <c r="O280" s="255"/>
      <c r="P280" s="255"/>
      <c r="Q280" s="255"/>
      <c r="R280" s="188"/>
    </row>
    <row r="281" spans="1:18" ht="46.5" hidden="1">
      <c r="A281" s="389"/>
      <c r="B281" s="389"/>
      <c r="C281" s="389"/>
      <c r="D281" s="390"/>
      <c r="E281" s="399"/>
      <c r="F281" s="402"/>
      <c r="G281" s="229" t="s">
        <v>446</v>
      </c>
      <c r="H281" s="100">
        <f>H130+H182+H218</f>
        <v>33676.78</v>
      </c>
      <c r="I281" s="100">
        <f>I130+I182+I218</f>
        <v>13145.799999999997</v>
      </c>
      <c r="J281" s="100">
        <f>J130+J182+J218</f>
        <v>9900.3799999999992</v>
      </c>
      <c r="K281" s="100">
        <f>K130+K182+K218</f>
        <v>10630.599999999999</v>
      </c>
      <c r="L281" s="254"/>
      <c r="M281" s="254"/>
      <c r="N281" s="254"/>
      <c r="O281" s="254"/>
      <c r="P281" s="254"/>
      <c r="Q281" s="254"/>
      <c r="R281" s="227"/>
    </row>
    <row r="282" spans="1:18" ht="69.75" hidden="1">
      <c r="A282" s="389"/>
      <c r="B282" s="389"/>
      <c r="C282" s="389"/>
      <c r="D282" s="390"/>
      <c r="E282" s="399"/>
      <c r="F282" s="402"/>
      <c r="G282" s="232" t="s">
        <v>96</v>
      </c>
      <c r="H282" s="100">
        <f>H131</f>
        <v>8160.1</v>
      </c>
      <c r="I282" s="100">
        <f>I131</f>
        <v>8160.1</v>
      </c>
      <c r="J282" s="100">
        <f>J131</f>
        <v>0</v>
      </c>
      <c r="K282" s="100">
        <f>K131</f>
        <v>0</v>
      </c>
      <c r="L282" s="254"/>
      <c r="M282" s="254"/>
      <c r="N282" s="254"/>
      <c r="O282" s="254"/>
      <c r="P282" s="254"/>
      <c r="Q282" s="254"/>
      <c r="R282" s="188"/>
    </row>
    <row r="283" spans="1:18" ht="46.5" hidden="1">
      <c r="A283" s="389"/>
      <c r="B283" s="389"/>
      <c r="C283" s="389"/>
      <c r="D283" s="390"/>
      <c r="E283" s="400"/>
      <c r="F283" s="402"/>
      <c r="G283" s="229" t="s">
        <v>450</v>
      </c>
      <c r="H283" s="100">
        <f>H252</f>
        <v>5132</v>
      </c>
      <c r="I283" s="100">
        <f>I252</f>
        <v>601.13</v>
      </c>
      <c r="J283" s="100">
        <f>J252</f>
        <v>6200</v>
      </c>
      <c r="K283" s="100">
        <f>K252</f>
        <v>2500</v>
      </c>
      <c r="L283" s="254"/>
      <c r="M283" s="254"/>
      <c r="N283" s="254"/>
      <c r="O283" s="254"/>
      <c r="P283" s="254"/>
      <c r="Q283" s="254"/>
      <c r="R283" s="227"/>
    </row>
    <row r="284" spans="1:18" ht="27" hidden="1">
      <c r="A284" s="389"/>
      <c r="B284" s="389"/>
      <c r="C284" s="389"/>
      <c r="D284" s="390"/>
      <c r="E284" s="398" t="s">
        <v>77</v>
      </c>
      <c r="F284" s="402"/>
      <c r="G284" s="250" t="s">
        <v>90</v>
      </c>
      <c r="H284" s="99">
        <f>SUM(H285:H288)</f>
        <v>98071.41399999999</v>
      </c>
      <c r="I284" s="99">
        <f>SUM(I285:I288)</f>
        <v>56314.854000000007</v>
      </c>
      <c r="J284" s="99">
        <f>SUM(J285:J288)</f>
        <v>28846.57</v>
      </c>
      <c r="K284" s="99">
        <f>SUM(K285:K288)</f>
        <v>12909.99</v>
      </c>
      <c r="L284" s="255"/>
      <c r="M284" s="255"/>
      <c r="N284" s="255"/>
      <c r="O284" s="255"/>
      <c r="P284" s="255"/>
      <c r="Q284" s="255"/>
      <c r="R284" s="227"/>
    </row>
    <row r="285" spans="1:18" ht="46.5" hidden="1">
      <c r="A285" s="389"/>
      <c r="B285" s="389"/>
      <c r="C285" s="389"/>
      <c r="D285" s="390"/>
      <c r="E285" s="399"/>
      <c r="F285" s="402"/>
      <c r="G285" s="229" t="s">
        <v>446</v>
      </c>
      <c r="H285" s="100">
        <f>H133+H183+H219</f>
        <v>38301.259999999995</v>
      </c>
      <c r="I285" s="100">
        <f>I133+I183+I219</f>
        <v>23044.7</v>
      </c>
      <c r="J285" s="100">
        <f>J133+J183+J219</f>
        <v>7346.57</v>
      </c>
      <c r="K285" s="100">
        <f>K133+K183+K219</f>
        <v>7909.99</v>
      </c>
      <c r="L285" s="254"/>
      <c r="M285" s="254"/>
      <c r="N285" s="254"/>
      <c r="O285" s="254"/>
      <c r="P285" s="254"/>
      <c r="Q285" s="254"/>
      <c r="R285" s="227"/>
    </row>
    <row r="286" spans="1:18" ht="69.75" hidden="1">
      <c r="A286" s="389"/>
      <c r="B286" s="389"/>
      <c r="C286" s="389"/>
      <c r="D286" s="390"/>
      <c r="E286" s="399"/>
      <c r="F286" s="402"/>
      <c r="G286" s="232" t="s">
        <v>96</v>
      </c>
      <c r="H286" s="100">
        <f>H134</f>
        <v>12866.2</v>
      </c>
      <c r="I286" s="100">
        <f t="shared" ref="I286:K287" si="19">I134</f>
        <v>12866.2</v>
      </c>
      <c r="J286" s="100">
        <f t="shared" si="19"/>
        <v>0</v>
      </c>
      <c r="K286" s="100">
        <f t="shared" si="19"/>
        <v>0</v>
      </c>
      <c r="L286" s="254"/>
      <c r="M286" s="254"/>
      <c r="N286" s="254"/>
      <c r="O286" s="254"/>
      <c r="P286" s="254"/>
      <c r="Q286" s="254"/>
      <c r="R286" s="227"/>
    </row>
    <row r="287" spans="1:18" ht="139.5" hidden="1">
      <c r="A287" s="389"/>
      <c r="B287" s="389"/>
      <c r="C287" s="389"/>
      <c r="D287" s="390"/>
      <c r="E287" s="399"/>
      <c r="F287" s="402"/>
      <c r="G287" s="232" t="s">
        <v>99</v>
      </c>
      <c r="H287" s="100">
        <f>H135</f>
        <v>2680.3</v>
      </c>
      <c r="I287" s="100">
        <f t="shared" si="19"/>
        <v>2680.3</v>
      </c>
      <c r="J287" s="100">
        <f t="shared" si="19"/>
        <v>0</v>
      </c>
      <c r="K287" s="100">
        <f t="shared" si="19"/>
        <v>0</v>
      </c>
      <c r="L287" s="254"/>
      <c r="M287" s="254"/>
      <c r="N287" s="254"/>
      <c r="O287" s="254"/>
      <c r="P287" s="254"/>
      <c r="Q287" s="254"/>
      <c r="R287" s="227"/>
    </row>
    <row r="288" spans="1:18" ht="46.5" hidden="1">
      <c r="A288" s="389"/>
      <c r="B288" s="389"/>
      <c r="C288" s="389"/>
      <c r="D288" s="390"/>
      <c r="E288" s="400"/>
      <c r="F288" s="402"/>
      <c r="G288" s="229" t="s">
        <v>450</v>
      </c>
      <c r="H288" s="100">
        <f>H253</f>
        <v>44223.654000000002</v>
      </c>
      <c r="I288" s="100">
        <f>I253</f>
        <v>17723.654000000002</v>
      </c>
      <c r="J288" s="100">
        <f>J253</f>
        <v>21500</v>
      </c>
      <c r="K288" s="100">
        <f>K253</f>
        <v>5000</v>
      </c>
      <c r="L288" s="254"/>
      <c r="M288" s="254"/>
      <c r="N288" s="254"/>
      <c r="O288" s="254"/>
      <c r="P288" s="254"/>
      <c r="Q288" s="254"/>
      <c r="R288" s="227"/>
    </row>
    <row r="289" spans="1:18" ht="27" hidden="1">
      <c r="A289" s="389"/>
      <c r="B289" s="389"/>
      <c r="C289" s="389"/>
      <c r="D289" s="390"/>
      <c r="E289" s="398" t="s">
        <v>75</v>
      </c>
      <c r="F289" s="402"/>
      <c r="G289" s="250" t="s">
        <v>90</v>
      </c>
      <c r="H289" s="99">
        <f>SUM(H290:H293)</f>
        <v>106635.36</v>
      </c>
      <c r="I289" s="99">
        <f>SUM(I290:I293)</f>
        <v>63223.638000000006</v>
      </c>
      <c r="J289" s="99">
        <f>SUM(J290:J293)</f>
        <v>29189.53</v>
      </c>
      <c r="K289" s="99">
        <f>SUM(K290:K293)</f>
        <v>14222.192000000001</v>
      </c>
      <c r="L289" s="255"/>
      <c r="M289" s="255"/>
      <c r="N289" s="255"/>
      <c r="O289" s="255"/>
      <c r="P289" s="255"/>
      <c r="Q289" s="255"/>
      <c r="R289" s="227"/>
    </row>
    <row r="290" spans="1:18" ht="46.5" hidden="1">
      <c r="A290" s="389"/>
      <c r="B290" s="389"/>
      <c r="C290" s="389"/>
      <c r="D290" s="390"/>
      <c r="E290" s="399"/>
      <c r="F290" s="402"/>
      <c r="G290" s="246" t="s">
        <v>446</v>
      </c>
      <c r="H290" s="100">
        <f>H137+H184+H220</f>
        <v>42484.104999999996</v>
      </c>
      <c r="I290" s="100">
        <f>I137+I184+I220</f>
        <v>22972.383000000002</v>
      </c>
      <c r="J290" s="100">
        <f>J137+J184+J220</f>
        <v>10289.530000000001</v>
      </c>
      <c r="K290" s="100">
        <f>K137+K184+K220</f>
        <v>9222.1920000000009</v>
      </c>
      <c r="L290" s="254"/>
      <c r="M290" s="254"/>
      <c r="N290" s="254"/>
      <c r="O290" s="254"/>
      <c r="P290" s="254"/>
      <c r="Q290" s="254"/>
      <c r="R290" s="227"/>
    </row>
    <row r="291" spans="1:18" ht="69.75" hidden="1">
      <c r="A291" s="389"/>
      <c r="B291" s="389"/>
      <c r="C291" s="389"/>
      <c r="D291" s="390"/>
      <c r="E291" s="399"/>
      <c r="F291" s="402"/>
      <c r="G291" s="232" t="s">
        <v>96</v>
      </c>
      <c r="H291" s="100">
        <f>H138</f>
        <v>11848</v>
      </c>
      <c r="I291" s="100">
        <f>I138</f>
        <v>11848</v>
      </c>
      <c r="J291" s="100">
        <f>J138</f>
        <v>0</v>
      </c>
      <c r="K291" s="100">
        <f>K138</f>
        <v>0</v>
      </c>
      <c r="L291" s="254"/>
      <c r="M291" s="254"/>
      <c r="N291" s="254"/>
      <c r="O291" s="254"/>
      <c r="P291" s="254"/>
      <c r="Q291" s="254"/>
      <c r="R291" s="227"/>
    </row>
    <row r="292" spans="1:18" ht="139.5" hidden="1">
      <c r="A292" s="389"/>
      <c r="B292" s="389"/>
      <c r="C292" s="389"/>
      <c r="D292" s="390"/>
      <c r="E292" s="399"/>
      <c r="F292" s="402"/>
      <c r="G292" s="232" t="s">
        <v>207</v>
      </c>
      <c r="H292" s="100">
        <f>H256</f>
        <v>1412.0530000000003</v>
      </c>
      <c r="I292" s="100">
        <f>I256</f>
        <v>1412.0530000000003</v>
      </c>
      <c r="J292" s="100">
        <f>J256</f>
        <v>0</v>
      </c>
      <c r="K292" s="100">
        <f>K256</f>
        <v>0</v>
      </c>
      <c r="L292" s="254"/>
      <c r="M292" s="254"/>
      <c r="N292" s="254"/>
      <c r="O292" s="254"/>
      <c r="P292" s="254"/>
      <c r="Q292" s="254"/>
      <c r="R292" s="227"/>
    </row>
    <row r="293" spans="1:18" ht="46.5" hidden="1">
      <c r="A293" s="389"/>
      <c r="B293" s="389"/>
      <c r="C293" s="389"/>
      <c r="D293" s="390"/>
      <c r="E293" s="400"/>
      <c r="F293" s="402"/>
      <c r="G293" s="229" t="s">
        <v>450</v>
      </c>
      <c r="H293" s="100">
        <f>H255</f>
        <v>50891.202000000005</v>
      </c>
      <c r="I293" s="100">
        <f>I255</f>
        <v>26991.202000000001</v>
      </c>
      <c r="J293" s="100">
        <f>J255</f>
        <v>18900</v>
      </c>
      <c r="K293" s="100">
        <f>K255</f>
        <v>5000</v>
      </c>
      <c r="L293" s="254"/>
      <c r="M293" s="254"/>
      <c r="N293" s="254"/>
      <c r="O293" s="254"/>
      <c r="P293" s="254"/>
      <c r="Q293" s="254"/>
      <c r="R293" s="227"/>
    </row>
    <row r="294" spans="1:18" ht="27" hidden="1">
      <c r="A294" s="389"/>
      <c r="B294" s="389"/>
      <c r="C294" s="389"/>
      <c r="D294" s="390"/>
      <c r="E294" s="398" t="s">
        <v>79</v>
      </c>
      <c r="F294" s="402"/>
      <c r="G294" s="250" t="s">
        <v>90</v>
      </c>
      <c r="H294" s="99">
        <f>SUM(H295:H298)</f>
        <v>49833.29</v>
      </c>
      <c r="I294" s="99">
        <f>SUM(I295:I298)</f>
        <v>30960.57</v>
      </c>
      <c r="J294" s="99">
        <f>SUM(J295:J298)</f>
        <v>15358.8</v>
      </c>
      <c r="K294" s="99">
        <f>SUM(K295:K298)</f>
        <v>3513.92</v>
      </c>
      <c r="L294" s="255"/>
      <c r="M294" s="255"/>
      <c r="N294" s="255"/>
      <c r="O294" s="255"/>
      <c r="P294" s="255"/>
      <c r="Q294" s="255"/>
      <c r="R294" s="227"/>
    </row>
    <row r="295" spans="1:18" ht="46.5" hidden="1">
      <c r="A295" s="389"/>
      <c r="B295" s="389"/>
      <c r="C295" s="389"/>
      <c r="D295" s="390"/>
      <c r="E295" s="399"/>
      <c r="F295" s="402"/>
      <c r="G295" s="246" t="s">
        <v>446</v>
      </c>
      <c r="H295" s="100">
        <f>H140</f>
        <v>13036.12</v>
      </c>
      <c r="I295" s="100">
        <f t="shared" ref="I295:K296" si="20">I140</f>
        <v>6263.4000000000005</v>
      </c>
      <c r="J295" s="100">
        <f t="shared" si="20"/>
        <v>3258.8</v>
      </c>
      <c r="K295" s="100">
        <f t="shared" si="20"/>
        <v>3513.92</v>
      </c>
      <c r="L295" s="254"/>
      <c r="M295" s="254"/>
      <c r="N295" s="254"/>
      <c r="O295" s="254"/>
      <c r="P295" s="254"/>
      <c r="Q295" s="254"/>
      <c r="R295" s="227"/>
    </row>
    <row r="296" spans="1:18" ht="69.75" hidden="1">
      <c r="A296" s="389"/>
      <c r="B296" s="389"/>
      <c r="C296" s="389"/>
      <c r="D296" s="390"/>
      <c r="E296" s="399"/>
      <c r="F296" s="402"/>
      <c r="G296" s="232" t="s">
        <v>96</v>
      </c>
      <c r="H296" s="100">
        <f>H141</f>
        <v>6347.6</v>
      </c>
      <c r="I296" s="100">
        <f t="shared" si="20"/>
        <v>6347.6</v>
      </c>
      <c r="J296" s="100">
        <f t="shared" si="20"/>
        <v>0</v>
      </c>
      <c r="K296" s="100">
        <f t="shared" si="20"/>
        <v>0</v>
      </c>
      <c r="L296" s="254"/>
      <c r="M296" s="254"/>
      <c r="N296" s="254"/>
      <c r="O296" s="254"/>
      <c r="P296" s="254"/>
      <c r="Q296" s="254"/>
      <c r="R296" s="227"/>
    </row>
    <row r="297" spans="1:18" ht="139.5" hidden="1">
      <c r="A297" s="389"/>
      <c r="B297" s="389"/>
      <c r="C297" s="389"/>
      <c r="D297" s="390"/>
      <c r="E297" s="399"/>
      <c r="F297" s="402"/>
      <c r="G297" s="232" t="s">
        <v>207</v>
      </c>
      <c r="H297" s="100">
        <f>H259</f>
        <v>930</v>
      </c>
      <c r="I297" s="100">
        <f>I259</f>
        <v>930</v>
      </c>
      <c r="J297" s="100">
        <f>J259</f>
        <v>0</v>
      </c>
      <c r="K297" s="100">
        <f>K259</f>
        <v>0</v>
      </c>
      <c r="L297" s="254"/>
      <c r="M297" s="254"/>
      <c r="N297" s="254"/>
      <c r="O297" s="254"/>
      <c r="P297" s="254"/>
      <c r="Q297" s="254"/>
      <c r="R297" s="227"/>
    </row>
    <row r="298" spans="1:18" ht="46.5" hidden="1">
      <c r="A298" s="389"/>
      <c r="B298" s="389"/>
      <c r="C298" s="389"/>
      <c r="D298" s="390"/>
      <c r="E298" s="400"/>
      <c r="F298" s="402"/>
      <c r="G298" s="229" t="s">
        <v>450</v>
      </c>
      <c r="H298" s="100">
        <f>H258</f>
        <v>29519.57</v>
      </c>
      <c r="I298" s="100">
        <f>I258</f>
        <v>17419.57</v>
      </c>
      <c r="J298" s="100">
        <f>J258</f>
        <v>12100</v>
      </c>
      <c r="K298" s="100">
        <f>K258</f>
        <v>0</v>
      </c>
      <c r="L298" s="254"/>
      <c r="M298" s="254"/>
      <c r="N298" s="254"/>
      <c r="O298" s="254"/>
      <c r="P298" s="254"/>
      <c r="Q298" s="254"/>
      <c r="R298" s="227"/>
    </row>
    <row r="299" spans="1:18" ht="27" hidden="1">
      <c r="A299" s="389"/>
      <c r="B299" s="389"/>
      <c r="C299" s="389"/>
      <c r="D299" s="390"/>
      <c r="E299" s="398" t="s">
        <v>78</v>
      </c>
      <c r="F299" s="402"/>
      <c r="G299" s="250" t="s">
        <v>90</v>
      </c>
      <c r="H299" s="99">
        <f>SUM(H300:H302)</f>
        <v>27734.575000000001</v>
      </c>
      <c r="I299" s="99">
        <f>SUM(I300:I302)</f>
        <v>9335</v>
      </c>
      <c r="J299" s="99">
        <f>SUM(J300:J302)</f>
        <v>8904.6</v>
      </c>
      <c r="K299" s="99">
        <f>SUM(K300:K302)</f>
        <v>9494.9750000000004</v>
      </c>
      <c r="L299" s="255"/>
      <c r="M299" s="255"/>
      <c r="N299" s="255"/>
      <c r="O299" s="255"/>
      <c r="P299" s="255"/>
      <c r="Q299" s="255"/>
      <c r="R299" s="227"/>
    </row>
    <row r="300" spans="1:18" ht="46.5" hidden="1">
      <c r="A300" s="389"/>
      <c r="B300" s="389"/>
      <c r="C300" s="389"/>
      <c r="D300" s="390"/>
      <c r="E300" s="399"/>
      <c r="F300" s="402"/>
      <c r="G300" s="246" t="s">
        <v>446</v>
      </c>
      <c r="H300" s="100">
        <f>H143+H185</f>
        <v>25352.375</v>
      </c>
      <c r="I300" s="100">
        <f>I143+I185</f>
        <v>6952.8</v>
      </c>
      <c r="J300" s="100">
        <f>J143+J185</f>
        <v>8904.6</v>
      </c>
      <c r="K300" s="100">
        <f>K143+K185</f>
        <v>9494.9750000000004</v>
      </c>
      <c r="L300" s="254"/>
      <c r="M300" s="254"/>
      <c r="N300" s="254"/>
      <c r="O300" s="254"/>
      <c r="P300" s="254"/>
      <c r="Q300" s="254"/>
      <c r="R300" s="227"/>
    </row>
    <row r="301" spans="1:18" ht="69.75" hidden="1">
      <c r="A301" s="389"/>
      <c r="B301" s="389"/>
      <c r="C301" s="389"/>
      <c r="D301" s="390"/>
      <c r="E301" s="399"/>
      <c r="F301" s="402"/>
      <c r="G301" s="232" t="s">
        <v>96</v>
      </c>
      <c r="H301" s="100">
        <f>H144</f>
        <v>1132.2</v>
      </c>
      <c r="I301" s="100">
        <f>I144</f>
        <v>1132.2</v>
      </c>
      <c r="J301" s="100">
        <f>J144</f>
        <v>0</v>
      </c>
      <c r="K301" s="100">
        <f>K144</f>
        <v>0</v>
      </c>
      <c r="L301" s="254"/>
      <c r="M301" s="254"/>
      <c r="N301" s="254"/>
      <c r="O301" s="254"/>
      <c r="P301" s="254"/>
      <c r="Q301" s="254"/>
      <c r="R301" s="227"/>
    </row>
    <row r="302" spans="1:18" ht="46.5" hidden="1">
      <c r="A302" s="389"/>
      <c r="B302" s="389"/>
      <c r="C302" s="389"/>
      <c r="D302" s="390"/>
      <c r="E302" s="400"/>
      <c r="F302" s="402"/>
      <c r="G302" s="229" t="s">
        <v>450</v>
      </c>
      <c r="H302" s="100">
        <f>H260</f>
        <v>1250</v>
      </c>
      <c r="I302" s="100">
        <f>I260</f>
        <v>1250</v>
      </c>
      <c r="J302" s="100">
        <f>J260</f>
        <v>0</v>
      </c>
      <c r="K302" s="100">
        <f>K260</f>
        <v>0</v>
      </c>
      <c r="L302" s="254"/>
      <c r="M302" s="254"/>
      <c r="N302" s="254"/>
      <c r="O302" s="254"/>
      <c r="P302" s="254"/>
      <c r="Q302" s="254"/>
      <c r="R302" s="227"/>
    </row>
    <row r="303" spans="1:18" ht="27" hidden="1">
      <c r="A303" s="389"/>
      <c r="B303" s="389"/>
      <c r="C303" s="389"/>
      <c r="D303" s="390"/>
      <c r="E303" s="398" t="s">
        <v>80</v>
      </c>
      <c r="F303" s="402"/>
      <c r="G303" s="250" t="s">
        <v>90</v>
      </c>
      <c r="H303" s="99">
        <f>SUM(H304:H305)</f>
        <v>24648.81</v>
      </c>
      <c r="I303" s="99">
        <f>SUM(I304:I305)</f>
        <v>7607.41</v>
      </c>
      <c r="J303" s="99">
        <f>SUM(J304:J305)</f>
        <v>8235.5999999999985</v>
      </c>
      <c r="K303" s="99">
        <f>SUM(K304:K305)</f>
        <v>8805.7999999999993</v>
      </c>
      <c r="L303" s="255"/>
      <c r="M303" s="255"/>
      <c r="N303" s="255"/>
      <c r="O303" s="255"/>
      <c r="P303" s="255"/>
      <c r="Q303" s="255"/>
      <c r="R303" s="227"/>
    </row>
    <row r="304" spans="1:18" ht="46.5" hidden="1">
      <c r="A304" s="389"/>
      <c r="B304" s="389"/>
      <c r="C304" s="389"/>
      <c r="D304" s="390"/>
      <c r="E304" s="399"/>
      <c r="F304" s="402"/>
      <c r="G304" s="246" t="s">
        <v>446</v>
      </c>
      <c r="H304" s="100">
        <f>H145+H186+H215</f>
        <v>24646.31</v>
      </c>
      <c r="I304" s="100">
        <f>I145+I186+I215</f>
        <v>7604.91</v>
      </c>
      <c r="J304" s="100">
        <f>J145+J186+J215</f>
        <v>8235.5999999999985</v>
      </c>
      <c r="K304" s="100">
        <f>K145+K186+K215</f>
        <v>8805.7999999999993</v>
      </c>
      <c r="L304" s="254"/>
      <c r="M304" s="254"/>
      <c r="N304" s="254"/>
      <c r="O304" s="254"/>
      <c r="P304" s="254"/>
      <c r="Q304" s="254"/>
      <c r="R304" s="227"/>
    </row>
    <row r="305" spans="1:19" ht="186" hidden="1">
      <c r="A305" s="389"/>
      <c r="B305" s="389"/>
      <c r="C305" s="389"/>
      <c r="D305" s="390"/>
      <c r="E305" s="400"/>
      <c r="F305" s="402"/>
      <c r="G305" s="189" t="s">
        <v>100</v>
      </c>
      <c r="H305" s="100">
        <f>H214</f>
        <v>2.5</v>
      </c>
      <c r="I305" s="100">
        <f>I214</f>
        <v>2.5</v>
      </c>
      <c r="J305" s="100">
        <f>J214</f>
        <v>0</v>
      </c>
      <c r="K305" s="100">
        <f>K214</f>
        <v>0</v>
      </c>
      <c r="L305" s="254"/>
      <c r="M305" s="254"/>
      <c r="N305" s="254"/>
      <c r="O305" s="254"/>
      <c r="P305" s="254"/>
      <c r="Q305" s="254"/>
      <c r="R305" s="227"/>
    </row>
    <row r="306" spans="1:19" ht="27" hidden="1">
      <c r="A306" s="389"/>
      <c r="B306" s="389"/>
      <c r="C306" s="389"/>
      <c r="D306" s="390"/>
      <c r="E306" s="398" t="s">
        <v>81</v>
      </c>
      <c r="F306" s="402"/>
      <c r="G306" s="250" t="s">
        <v>90</v>
      </c>
      <c r="H306" s="99">
        <f>H307</f>
        <v>28054.842300000004</v>
      </c>
      <c r="I306" s="99">
        <f>I307</f>
        <v>8442.69</v>
      </c>
      <c r="J306" s="99">
        <f>J307</f>
        <v>9562.9000000000015</v>
      </c>
      <c r="K306" s="99">
        <f>K307</f>
        <v>10049.2523</v>
      </c>
      <c r="L306" s="255"/>
      <c r="M306" s="255"/>
      <c r="N306" s="255"/>
      <c r="O306" s="255"/>
      <c r="P306" s="255"/>
      <c r="Q306" s="255"/>
      <c r="R306" s="227"/>
    </row>
    <row r="307" spans="1:19" ht="46.5" hidden="1">
      <c r="A307" s="389"/>
      <c r="B307" s="389"/>
      <c r="C307" s="389"/>
      <c r="D307" s="390"/>
      <c r="E307" s="400"/>
      <c r="F307" s="402"/>
      <c r="G307" s="246" t="s">
        <v>446</v>
      </c>
      <c r="H307" s="100">
        <f>I307+J307+K307</f>
        <v>28054.842300000004</v>
      </c>
      <c r="I307" s="100">
        <f>I146+I187+I217</f>
        <v>8442.69</v>
      </c>
      <c r="J307" s="100">
        <f>J146+J187+J217</f>
        <v>9562.9000000000015</v>
      </c>
      <c r="K307" s="100">
        <f>K146+K187+K217</f>
        <v>10049.2523</v>
      </c>
      <c r="L307" s="254"/>
      <c r="M307" s="254"/>
      <c r="N307" s="254"/>
      <c r="O307" s="254"/>
      <c r="P307" s="254"/>
      <c r="Q307" s="254"/>
      <c r="R307" s="227"/>
    </row>
    <row r="308" spans="1:19" ht="54" hidden="1">
      <c r="A308" s="389"/>
      <c r="B308" s="389"/>
      <c r="C308" s="389"/>
      <c r="D308" s="390"/>
      <c r="E308" s="240" t="s">
        <v>425</v>
      </c>
      <c r="F308" s="402"/>
      <c r="G308" s="246" t="s">
        <v>446</v>
      </c>
      <c r="H308" s="99">
        <f>H147</f>
        <v>3000</v>
      </c>
      <c r="I308" s="99">
        <f>I147</f>
        <v>3000</v>
      </c>
      <c r="J308" s="99">
        <f>J147</f>
        <v>0</v>
      </c>
      <c r="K308" s="99">
        <f>K147</f>
        <v>0</v>
      </c>
      <c r="L308" s="255"/>
      <c r="M308" s="255"/>
      <c r="N308" s="255"/>
      <c r="O308" s="255"/>
      <c r="P308" s="255"/>
      <c r="Q308" s="255"/>
      <c r="R308" s="227"/>
    </row>
    <row r="309" spans="1:19" ht="27" hidden="1">
      <c r="A309" s="389"/>
      <c r="B309" s="389"/>
      <c r="C309" s="389"/>
      <c r="D309" s="390"/>
      <c r="E309" s="398" t="s">
        <v>54</v>
      </c>
      <c r="F309" s="402"/>
      <c r="G309" s="250" t="s">
        <v>90</v>
      </c>
      <c r="H309" s="99">
        <f>SUM(H310:H314)</f>
        <v>74179.418999999994</v>
      </c>
      <c r="I309" s="99">
        <f>SUM(I310:I314)</f>
        <v>45904.919000000002</v>
      </c>
      <c r="J309" s="99">
        <f>SUM(J310:J314)</f>
        <v>25286.799999999999</v>
      </c>
      <c r="K309" s="99">
        <f>SUM(K310:K314)</f>
        <v>2987.7</v>
      </c>
      <c r="L309" s="255"/>
      <c r="M309" s="255"/>
      <c r="N309" s="255"/>
      <c r="O309" s="255"/>
      <c r="P309" s="255"/>
      <c r="Q309" s="255"/>
      <c r="R309" s="227"/>
    </row>
    <row r="310" spans="1:19" ht="46.5" hidden="1">
      <c r="A310" s="389"/>
      <c r="B310" s="389"/>
      <c r="C310" s="389"/>
      <c r="D310" s="390"/>
      <c r="E310" s="399"/>
      <c r="F310" s="402"/>
      <c r="G310" s="246" t="s">
        <v>446</v>
      </c>
      <c r="H310" s="100">
        <f>H191+H216</f>
        <v>25819.200000000001</v>
      </c>
      <c r="I310" s="100">
        <f>I191+I216</f>
        <v>17282.2</v>
      </c>
      <c r="J310" s="100">
        <f>J191+J216</f>
        <v>5549.3</v>
      </c>
      <c r="K310" s="100">
        <f>K191+K216</f>
        <v>2987.7</v>
      </c>
      <c r="L310" s="254"/>
      <c r="M310" s="254"/>
      <c r="N310" s="254"/>
      <c r="O310" s="254"/>
      <c r="P310" s="254"/>
      <c r="Q310" s="254"/>
      <c r="R310" s="227"/>
    </row>
    <row r="311" spans="1:19" ht="186" hidden="1">
      <c r="A311" s="389"/>
      <c r="B311" s="389"/>
      <c r="C311" s="389"/>
      <c r="D311" s="390"/>
      <c r="E311" s="399"/>
      <c r="F311" s="402"/>
      <c r="G311" s="229" t="s">
        <v>100</v>
      </c>
      <c r="H311" s="100">
        <f>H190</f>
        <v>6609.6190000000006</v>
      </c>
      <c r="I311" s="100">
        <f>I190</f>
        <v>6609.6190000000006</v>
      </c>
      <c r="J311" s="100">
        <f>J190</f>
        <v>0</v>
      </c>
      <c r="K311" s="100">
        <f>K190</f>
        <v>0</v>
      </c>
      <c r="L311" s="254"/>
      <c r="M311" s="254"/>
      <c r="N311" s="254"/>
      <c r="O311" s="254"/>
      <c r="P311" s="254"/>
      <c r="Q311" s="254"/>
      <c r="R311" s="227"/>
    </row>
    <row r="312" spans="1:19" ht="139.5" hidden="1">
      <c r="A312" s="389"/>
      <c r="B312" s="389"/>
      <c r="C312" s="389"/>
      <c r="D312" s="390"/>
      <c r="E312" s="399"/>
      <c r="F312" s="402"/>
      <c r="G312" s="229" t="s">
        <v>99</v>
      </c>
      <c r="H312" s="100">
        <f>H189</f>
        <v>1490.1</v>
      </c>
      <c r="I312" s="100">
        <f>I189</f>
        <v>1490.1</v>
      </c>
      <c r="J312" s="100">
        <f>J189</f>
        <v>0</v>
      </c>
      <c r="K312" s="100">
        <f>K189</f>
        <v>0</v>
      </c>
      <c r="L312" s="254"/>
      <c r="M312" s="254"/>
      <c r="N312" s="254"/>
      <c r="O312" s="254"/>
      <c r="P312" s="254"/>
      <c r="Q312" s="254"/>
      <c r="R312" s="227"/>
    </row>
    <row r="313" spans="1:19" ht="69.75" hidden="1">
      <c r="A313" s="389"/>
      <c r="B313" s="389"/>
      <c r="C313" s="389"/>
      <c r="D313" s="390"/>
      <c r="E313" s="399"/>
      <c r="F313" s="402"/>
      <c r="G313" s="233" t="s">
        <v>413</v>
      </c>
      <c r="H313" s="100">
        <f>H271</f>
        <v>799.7</v>
      </c>
      <c r="I313" s="100">
        <f>I271</f>
        <v>799.7</v>
      </c>
      <c r="J313" s="100">
        <f>J271</f>
        <v>0</v>
      </c>
      <c r="K313" s="100">
        <f>K271</f>
        <v>0</v>
      </c>
      <c r="L313" s="254"/>
      <c r="M313" s="254"/>
      <c r="N313" s="254"/>
      <c r="O313" s="254"/>
      <c r="P313" s="254"/>
      <c r="Q313" s="254"/>
      <c r="R313" s="227"/>
    </row>
    <row r="314" spans="1:19" ht="46.5" hidden="1">
      <c r="A314" s="391"/>
      <c r="B314" s="391"/>
      <c r="C314" s="391"/>
      <c r="D314" s="392"/>
      <c r="E314" s="400"/>
      <c r="F314" s="403"/>
      <c r="G314" s="229" t="s">
        <v>450</v>
      </c>
      <c r="H314" s="100">
        <f>H263</f>
        <v>39460.800000000003</v>
      </c>
      <c r="I314" s="100">
        <f>I263</f>
        <v>19723.3</v>
      </c>
      <c r="J314" s="100">
        <f>J263</f>
        <v>19737.5</v>
      </c>
      <c r="K314" s="100">
        <f>K263</f>
        <v>0</v>
      </c>
      <c r="L314" s="106"/>
      <c r="M314" s="106"/>
      <c r="N314" s="106"/>
      <c r="O314" s="106"/>
      <c r="P314" s="106"/>
      <c r="Q314" s="106"/>
      <c r="R314" s="228"/>
    </row>
    <row r="315" spans="1:19" ht="30.75">
      <c r="A315" s="529" t="s">
        <v>262</v>
      </c>
      <c r="B315" s="529"/>
      <c r="C315" s="529"/>
      <c r="D315" s="529"/>
      <c r="E315" s="529"/>
      <c r="F315" s="529"/>
      <c r="G315" s="529"/>
      <c r="H315" s="529"/>
      <c r="I315" s="529"/>
      <c r="J315" s="529"/>
      <c r="K315" s="529"/>
      <c r="L315" s="529"/>
      <c r="M315" s="529"/>
      <c r="N315" s="529"/>
      <c r="O315" s="529"/>
      <c r="P315" s="529"/>
      <c r="Q315" s="529"/>
      <c r="R315" s="530"/>
    </row>
    <row r="316" spans="1:19" ht="30" hidden="1" customHeight="1">
      <c r="A316" s="236" t="s">
        <v>264</v>
      </c>
      <c r="B316" s="531" t="s">
        <v>263</v>
      </c>
      <c r="C316" s="532"/>
      <c r="D316" s="532"/>
      <c r="E316" s="532"/>
      <c r="F316" s="533"/>
      <c r="G316" s="190" t="s">
        <v>85</v>
      </c>
      <c r="H316" s="99">
        <f>SUM(H317:H321)</f>
        <v>2035.825</v>
      </c>
      <c r="I316" s="99">
        <f>SUM(I317:I321)</f>
        <v>729.5</v>
      </c>
      <c r="J316" s="99">
        <f>SUM(J317:J321)</f>
        <v>630.9</v>
      </c>
      <c r="K316" s="99">
        <f>SUM(K317:K321)</f>
        <v>675.42499999999995</v>
      </c>
      <c r="L316" s="101"/>
      <c r="M316" s="101"/>
      <c r="N316" s="101"/>
      <c r="O316" s="101"/>
      <c r="P316" s="101"/>
      <c r="Q316" s="101"/>
      <c r="R316" s="374" t="s">
        <v>265</v>
      </c>
      <c r="S316" s="191"/>
    </row>
    <row r="317" spans="1:19" ht="55.5" hidden="1">
      <c r="A317" s="558" t="s">
        <v>268</v>
      </c>
      <c r="B317" s="387"/>
      <c r="C317" s="387"/>
      <c r="D317" s="388"/>
      <c r="E317" s="230" t="s">
        <v>82</v>
      </c>
      <c r="F317" s="404"/>
      <c r="G317" s="445" t="s">
        <v>446</v>
      </c>
      <c r="H317" s="99">
        <f>I317+J317+K317</f>
        <v>76</v>
      </c>
      <c r="I317" s="100">
        <v>76</v>
      </c>
      <c r="J317" s="100">
        <v>0</v>
      </c>
      <c r="K317" s="100">
        <v>0</v>
      </c>
      <c r="L317" s="254"/>
      <c r="M317" s="254"/>
      <c r="N317" s="254"/>
      <c r="O317" s="254"/>
      <c r="P317" s="254"/>
      <c r="Q317" s="254"/>
      <c r="R317" s="393"/>
      <c r="S317" s="109"/>
    </row>
    <row r="318" spans="1:19" ht="27.75" hidden="1">
      <c r="A318" s="559"/>
      <c r="B318" s="389"/>
      <c r="C318" s="389"/>
      <c r="D318" s="390"/>
      <c r="E318" s="230" t="s">
        <v>76</v>
      </c>
      <c r="F318" s="405"/>
      <c r="G318" s="446"/>
      <c r="H318" s="99">
        <f>I318+J318+K318</f>
        <v>510.50000000000006</v>
      </c>
      <c r="I318" s="100">
        <f>24.3+148</f>
        <v>172.3</v>
      </c>
      <c r="J318" s="100">
        <v>163.4</v>
      </c>
      <c r="K318" s="100">
        <v>174.8</v>
      </c>
      <c r="L318" s="254"/>
      <c r="M318" s="254"/>
      <c r="N318" s="254"/>
      <c r="O318" s="254"/>
      <c r="P318" s="254"/>
      <c r="Q318" s="254"/>
      <c r="R318" s="393"/>
      <c r="S318" s="109"/>
    </row>
    <row r="319" spans="1:19" ht="27.75" hidden="1">
      <c r="A319" s="559"/>
      <c r="B319" s="389"/>
      <c r="C319" s="389"/>
      <c r="D319" s="390"/>
      <c r="E319" s="230" t="s">
        <v>77</v>
      </c>
      <c r="F319" s="405"/>
      <c r="G319" s="446"/>
      <c r="H319" s="99">
        <f>I319+J319+K319</f>
        <v>41.5</v>
      </c>
      <c r="I319" s="100">
        <v>41.5</v>
      </c>
      <c r="J319" s="100">
        <v>0</v>
      </c>
      <c r="K319" s="100">
        <v>0</v>
      </c>
      <c r="L319" s="254"/>
      <c r="M319" s="254"/>
      <c r="N319" s="254"/>
      <c r="O319" s="254"/>
      <c r="P319" s="254"/>
      <c r="Q319" s="254"/>
      <c r="R319" s="393"/>
      <c r="S319" s="109"/>
    </row>
    <row r="320" spans="1:19" ht="55.5" hidden="1" customHeight="1">
      <c r="A320" s="559"/>
      <c r="B320" s="389"/>
      <c r="C320" s="389"/>
      <c r="D320" s="390"/>
      <c r="E320" s="230" t="s">
        <v>79</v>
      </c>
      <c r="F320" s="405"/>
      <c r="G320" s="446"/>
      <c r="H320" s="99">
        <f>I320+J320+K320</f>
        <v>9.5</v>
      </c>
      <c r="I320" s="100">
        <v>9.5</v>
      </c>
      <c r="J320" s="100">
        <v>0</v>
      </c>
      <c r="K320" s="100">
        <v>0</v>
      </c>
      <c r="L320" s="254"/>
      <c r="M320" s="254"/>
      <c r="N320" s="254"/>
      <c r="O320" s="254"/>
      <c r="P320" s="254"/>
      <c r="Q320" s="254"/>
      <c r="R320" s="393"/>
      <c r="S320" s="109"/>
    </row>
    <row r="321" spans="1:19" ht="55.5" hidden="1">
      <c r="A321" s="560"/>
      <c r="B321" s="391"/>
      <c r="C321" s="391"/>
      <c r="D321" s="392"/>
      <c r="E321" s="224" t="s">
        <v>78</v>
      </c>
      <c r="F321" s="406"/>
      <c r="G321" s="447"/>
      <c r="H321" s="99">
        <f>I321+J321+K321</f>
        <v>1398.325</v>
      </c>
      <c r="I321" s="100">
        <v>430.2</v>
      </c>
      <c r="J321" s="100">
        <f>430+37.5</f>
        <v>467.5</v>
      </c>
      <c r="K321" s="100">
        <f>460+40.625</f>
        <v>500.625</v>
      </c>
      <c r="L321" s="106"/>
      <c r="M321" s="106"/>
      <c r="N321" s="106"/>
      <c r="O321" s="106"/>
      <c r="P321" s="106"/>
      <c r="Q321" s="106"/>
      <c r="R321" s="375"/>
      <c r="S321" s="109"/>
    </row>
    <row r="322" spans="1:19" ht="27">
      <c r="A322" s="192" t="s">
        <v>291</v>
      </c>
      <c r="B322" s="470" t="s">
        <v>266</v>
      </c>
      <c r="C322" s="471"/>
      <c r="D322" s="471"/>
      <c r="E322" s="471"/>
      <c r="F322" s="472"/>
      <c r="G322" s="190" t="s">
        <v>85</v>
      </c>
      <c r="H322" s="99">
        <f>H327+H328+H329+H330+H324+H323</f>
        <v>34185.597000000002</v>
      </c>
      <c r="I322" s="99">
        <f>I327+I328+I329+I330+I324+I323</f>
        <v>21897.487000000001</v>
      </c>
      <c r="J322" s="99">
        <f>J327+J328+J329+J330+J324+J323+J325+J326</f>
        <v>7458.47</v>
      </c>
      <c r="K322" s="99">
        <f>K327+K328+K329+K330+K324+K323</f>
        <v>10129.64</v>
      </c>
      <c r="L322" s="99"/>
      <c r="M322" s="99"/>
      <c r="N322" s="99"/>
      <c r="O322" s="99">
        <v>8558.5</v>
      </c>
      <c r="P322" s="99">
        <f>Q322-O322</f>
        <v>-1100</v>
      </c>
      <c r="Q322" s="99">
        <v>7458.5</v>
      </c>
      <c r="R322" s="193"/>
      <c r="S322" s="109"/>
    </row>
    <row r="323" spans="1:19" ht="55.5">
      <c r="A323" s="454" t="s">
        <v>268</v>
      </c>
      <c r="B323" s="455"/>
      <c r="C323" s="455"/>
      <c r="D323" s="456"/>
      <c r="E323" s="230" t="s">
        <v>82</v>
      </c>
      <c r="F323" s="226"/>
      <c r="G323" s="229" t="s">
        <v>446</v>
      </c>
      <c r="H323" s="99">
        <f t="shared" ref="H323:H330" si="21">I323+J323+K323</f>
        <v>117.64</v>
      </c>
      <c r="I323" s="99"/>
      <c r="J323" s="99"/>
      <c r="K323" s="99">
        <f>90.64+15+12</f>
        <v>117.64</v>
      </c>
      <c r="L323" s="101"/>
      <c r="M323" s="101"/>
      <c r="N323" s="101"/>
      <c r="O323" s="101"/>
      <c r="P323" s="101"/>
      <c r="Q323" s="101"/>
      <c r="R323" s="194"/>
      <c r="S323" s="109"/>
    </row>
    <row r="324" spans="1:19" ht="55.5">
      <c r="A324" s="457"/>
      <c r="B324" s="458"/>
      <c r="C324" s="458"/>
      <c r="D324" s="459"/>
      <c r="E324" s="230" t="s">
        <v>82</v>
      </c>
      <c r="F324" s="226"/>
      <c r="G324" s="229" t="s">
        <v>450</v>
      </c>
      <c r="H324" s="99">
        <f t="shared" si="21"/>
        <v>10049.6</v>
      </c>
      <c r="I324" s="99">
        <v>49.6</v>
      </c>
      <c r="J324" s="220"/>
      <c r="K324" s="99">
        <v>10000</v>
      </c>
      <c r="L324" s="101"/>
      <c r="M324" s="101"/>
      <c r="N324" s="101"/>
      <c r="O324" s="101">
        <v>1100</v>
      </c>
      <c r="P324" s="101">
        <v>-1100</v>
      </c>
      <c r="Q324" s="101">
        <v>0</v>
      </c>
      <c r="R324" s="194"/>
      <c r="S324" s="109"/>
    </row>
    <row r="325" spans="1:19" ht="55.5" hidden="1">
      <c r="A325" s="457"/>
      <c r="B325" s="458"/>
      <c r="C325" s="458"/>
      <c r="D325" s="459"/>
      <c r="E325" s="224" t="s">
        <v>79</v>
      </c>
      <c r="F325" s="239"/>
      <c r="G325" s="229" t="s">
        <v>446</v>
      </c>
      <c r="H325" s="99"/>
      <c r="I325" s="99"/>
      <c r="J325" s="100">
        <v>15</v>
      </c>
      <c r="K325" s="99"/>
      <c r="L325" s="101"/>
      <c r="M325" s="101"/>
      <c r="N325" s="101"/>
      <c r="O325" s="101"/>
      <c r="P325" s="101"/>
      <c r="Q325" s="101"/>
      <c r="R325" s="194"/>
      <c r="S325" s="109"/>
    </row>
    <row r="326" spans="1:19" ht="55.5" hidden="1">
      <c r="A326" s="457"/>
      <c r="B326" s="458"/>
      <c r="C326" s="458"/>
      <c r="D326" s="459"/>
      <c r="E326" s="224" t="s">
        <v>79</v>
      </c>
      <c r="F326" s="239"/>
      <c r="G326" s="229" t="s">
        <v>450</v>
      </c>
      <c r="H326" s="99"/>
      <c r="I326" s="99"/>
      <c r="J326" s="100">
        <v>5285</v>
      </c>
      <c r="K326" s="99"/>
      <c r="L326" s="101"/>
      <c r="M326" s="101"/>
      <c r="N326" s="101"/>
      <c r="O326" s="101"/>
      <c r="P326" s="101"/>
      <c r="Q326" s="101"/>
      <c r="R326" s="194"/>
      <c r="S326" s="109"/>
    </row>
    <row r="327" spans="1:19" ht="46.5" hidden="1" customHeight="1">
      <c r="A327" s="457"/>
      <c r="B327" s="458"/>
      <c r="C327" s="458"/>
      <c r="D327" s="459"/>
      <c r="E327" s="374" t="s">
        <v>75</v>
      </c>
      <c r="F327" s="404"/>
      <c r="G327" s="229" t="s">
        <v>446</v>
      </c>
      <c r="H327" s="99">
        <f t="shared" si="21"/>
        <v>347.5</v>
      </c>
      <c r="I327" s="100">
        <f>199+30</f>
        <v>229</v>
      </c>
      <c r="J327" s="100">
        <v>106.5</v>
      </c>
      <c r="K327" s="100">
        <v>12</v>
      </c>
      <c r="L327" s="102"/>
      <c r="M327" s="102"/>
      <c r="N327" s="102"/>
      <c r="O327" s="102"/>
      <c r="P327" s="102"/>
      <c r="Q327" s="102"/>
      <c r="R327" s="374" t="s">
        <v>267</v>
      </c>
      <c r="S327" s="109"/>
    </row>
    <row r="328" spans="1:19" ht="46.5" hidden="1">
      <c r="A328" s="457"/>
      <c r="B328" s="458"/>
      <c r="C328" s="458"/>
      <c r="D328" s="459"/>
      <c r="E328" s="393"/>
      <c r="F328" s="405"/>
      <c r="G328" s="229" t="s">
        <v>450</v>
      </c>
      <c r="H328" s="99">
        <f t="shared" si="21"/>
        <v>6599.6870000000008</v>
      </c>
      <c r="I328" s="100">
        <f>7269.3-500+49.587-799.7</f>
        <v>6019.1870000000008</v>
      </c>
      <c r="J328" s="100">
        <f>130+410+40.5</f>
        <v>580.5</v>
      </c>
      <c r="K328" s="106"/>
      <c r="L328" s="254"/>
      <c r="M328" s="254"/>
      <c r="N328" s="254"/>
      <c r="O328" s="254"/>
      <c r="P328" s="254"/>
      <c r="Q328" s="254"/>
      <c r="R328" s="393"/>
      <c r="S328" s="109"/>
    </row>
    <row r="329" spans="1:19" ht="46.5" hidden="1" customHeight="1">
      <c r="A329" s="457"/>
      <c r="B329" s="458"/>
      <c r="C329" s="458"/>
      <c r="D329" s="459"/>
      <c r="E329" s="393"/>
      <c r="F329" s="405"/>
      <c r="G329" s="232" t="s">
        <v>399</v>
      </c>
      <c r="H329" s="101">
        <f t="shared" si="21"/>
        <v>16186.17</v>
      </c>
      <c r="I329" s="102">
        <v>14714.7</v>
      </c>
      <c r="J329" s="102">
        <v>1471.47</v>
      </c>
      <c r="K329" s="101"/>
      <c r="L329" s="255"/>
      <c r="M329" s="255"/>
      <c r="N329" s="255"/>
      <c r="O329" s="255"/>
      <c r="P329" s="255"/>
      <c r="Q329" s="255"/>
      <c r="R329" s="393"/>
      <c r="S329" s="109"/>
    </row>
    <row r="330" spans="1:19" ht="46.5" hidden="1">
      <c r="A330" s="460"/>
      <c r="B330" s="461"/>
      <c r="C330" s="461"/>
      <c r="D330" s="462"/>
      <c r="E330" s="375"/>
      <c r="F330" s="247"/>
      <c r="G330" s="229" t="s">
        <v>84</v>
      </c>
      <c r="H330" s="99">
        <f t="shared" si="21"/>
        <v>885</v>
      </c>
      <c r="I330" s="100">
        <v>885</v>
      </c>
      <c r="J330" s="100">
        <v>0</v>
      </c>
      <c r="K330" s="100">
        <v>0</v>
      </c>
      <c r="L330" s="106"/>
      <c r="M330" s="106"/>
      <c r="N330" s="106"/>
      <c r="O330" s="106"/>
      <c r="P330" s="106"/>
      <c r="Q330" s="106"/>
      <c r="R330" s="375"/>
      <c r="S330" s="109"/>
    </row>
    <row r="331" spans="1:19" ht="27" hidden="1" customHeight="1">
      <c r="A331" s="192" t="s">
        <v>292</v>
      </c>
      <c r="B331" s="428" t="s">
        <v>195</v>
      </c>
      <c r="C331" s="428"/>
      <c r="D331" s="428"/>
      <c r="E331" s="428"/>
      <c r="F331" s="428"/>
      <c r="G331" s="247" t="s">
        <v>85</v>
      </c>
      <c r="H331" s="99">
        <f>H332</f>
        <v>6238.8</v>
      </c>
      <c r="I331" s="99">
        <f t="shared" ref="I331:K333" si="22">I332</f>
        <v>6238.8</v>
      </c>
      <c r="J331" s="99">
        <f t="shared" si="22"/>
        <v>0</v>
      </c>
      <c r="K331" s="99">
        <f t="shared" si="22"/>
        <v>0</v>
      </c>
      <c r="L331" s="101"/>
      <c r="M331" s="101"/>
      <c r="N331" s="101"/>
      <c r="O331" s="101"/>
      <c r="P331" s="101"/>
      <c r="Q331" s="101"/>
      <c r="R331" s="374" t="s">
        <v>61</v>
      </c>
      <c r="S331" s="109"/>
    </row>
    <row r="332" spans="1:19" ht="55.5" hidden="1">
      <c r="A332" s="376" t="s">
        <v>268</v>
      </c>
      <c r="B332" s="377"/>
      <c r="C332" s="377"/>
      <c r="D332" s="378"/>
      <c r="E332" s="230" t="s">
        <v>75</v>
      </c>
      <c r="F332" s="247"/>
      <c r="G332" s="229" t="s">
        <v>104</v>
      </c>
      <c r="H332" s="99">
        <f>I332+J332+K332</f>
        <v>6238.8</v>
      </c>
      <c r="I332" s="100">
        <v>6238.8</v>
      </c>
      <c r="J332" s="100">
        <v>0</v>
      </c>
      <c r="K332" s="100">
        <v>0</v>
      </c>
      <c r="L332" s="106"/>
      <c r="M332" s="106"/>
      <c r="N332" s="106"/>
      <c r="O332" s="106"/>
      <c r="P332" s="106"/>
      <c r="Q332" s="106"/>
      <c r="R332" s="375"/>
      <c r="S332" s="109"/>
    </row>
    <row r="333" spans="1:19" ht="27" hidden="1" customHeight="1">
      <c r="A333" s="192" t="s">
        <v>293</v>
      </c>
      <c r="B333" s="428" t="s">
        <v>417</v>
      </c>
      <c r="C333" s="428"/>
      <c r="D333" s="428"/>
      <c r="E333" s="428"/>
      <c r="F333" s="428"/>
      <c r="G333" s="247" t="s">
        <v>85</v>
      </c>
      <c r="H333" s="99">
        <f>H334</f>
        <v>6848</v>
      </c>
      <c r="I333" s="99">
        <f t="shared" si="22"/>
        <v>6848</v>
      </c>
      <c r="J333" s="99">
        <f t="shared" si="22"/>
        <v>0</v>
      </c>
      <c r="K333" s="99">
        <f t="shared" si="22"/>
        <v>0</v>
      </c>
      <c r="L333" s="101"/>
      <c r="M333" s="101"/>
      <c r="N333" s="101"/>
      <c r="O333" s="101"/>
      <c r="P333" s="101"/>
      <c r="Q333" s="101"/>
      <c r="R333" s="374" t="s">
        <v>418</v>
      </c>
      <c r="S333" s="109"/>
    </row>
    <row r="334" spans="1:19" ht="93" hidden="1">
      <c r="A334" s="376" t="s">
        <v>268</v>
      </c>
      <c r="B334" s="377"/>
      <c r="C334" s="377"/>
      <c r="D334" s="378"/>
      <c r="E334" s="230" t="s">
        <v>54</v>
      </c>
      <c r="F334" s="247"/>
      <c r="G334" s="229" t="s">
        <v>415</v>
      </c>
      <c r="H334" s="99">
        <f>I334+J334+K334</f>
        <v>6848</v>
      </c>
      <c r="I334" s="100">
        <v>6848</v>
      </c>
      <c r="J334" s="100">
        <v>0</v>
      </c>
      <c r="K334" s="100">
        <v>0</v>
      </c>
      <c r="L334" s="106"/>
      <c r="M334" s="106"/>
      <c r="N334" s="106"/>
      <c r="O334" s="106"/>
      <c r="P334" s="106"/>
      <c r="Q334" s="106"/>
      <c r="R334" s="375"/>
      <c r="S334" s="109"/>
    </row>
    <row r="335" spans="1:19" ht="27" hidden="1" customHeight="1">
      <c r="A335" s="236" t="s">
        <v>294</v>
      </c>
      <c r="B335" s="428" t="s">
        <v>269</v>
      </c>
      <c r="C335" s="428"/>
      <c r="D335" s="428"/>
      <c r="E335" s="428"/>
      <c r="F335" s="428"/>
      <c r="G335" s="247" t="s">
        <v>85</v>
      </c>
      <c r="H335" s="99">
        <f>H336</f>
        <v>12454.899999999998</v>
      </c>
      <c r="I335" s="99">
        <f>I336</f>
        <v>12454.899999999998</v>
      </c>
      <c r="J335" s="99">
        <f>J336</f>
        <v>0</v>
      </c>
      <c r="K335" s="99">
        <f>K336</f>
        <v>0</v>
      </c>
      <c r="L335" s="101"/>
      <c r="M335" s="101"/>
      <c r="N335" s="101"/>
      <c r="O335" s="101"/>
      <c r="P335" s="101"/>
      <c r="Q335" s="101"/>
      <c r="R335" s="374" t="s">
        <v>61</v>
      </c>
      <c r="S335" s="109"/>
    </row>
    <row r="336" spans="1:19" ht="83.25" hidden="1" customHeight="1">
      <c r="A336" s="557"/>
      <c r="B336" s="557"/>
      <c r="C336" s="557"/>
      <c r="D336" s="557"/>
      <c r="E336" s="230" t="s">
        <v>86</v>
      </c>
      <c r="F336" s="242"/>
      <c r="G336" s="445" t="s">
        <v>450</v>
      </c>
      <c r="H336" s="99">
        <f>H337+H338+H339+H340</f>
        <v>12454.899999999998</v>
      </c>
      <c r="I336" s="99">
        <f>I337+I338+I339+I340</f>
        <v>12454.899999999998</v>
      </c>
      <c r="J336" s="99">
        <f>J337+J338+J339+J340</f>
        <v>0</v>
      </c>
      <c r="K336" s="99">
        <f>K337+K338+K339+K340</f>
        <v>0</v>
      </c>
      <c r="L336" s="255"/>
      <c r="M336" s="255"/>
      <c r="N336" s="255"/>
      <c r="O336" s="255"/>
      <c r="P336" s="255"/>
      <c r="Q336" s="255"/>
      <c r="R336" s="393"/>
      <c r="S336" s="109"/>
    </row>
    <row r="337" spans="1:19" ht="27.75" hidden="1">
      <c r="A337" s="553" t="s">
        <v>268</v>
      </c>
      <c r="B337" s="554"/>
      <c r="C337" s="554"/>
      <c r="D337" s="554"/>
      <c r="E337" s="230" t="s">
        <v>76</v>
      </c>
      <c r="F337" s="242"/>
      <c r="G337" s="446"/>
      <c r="H337" s="99">
        <f>I337+J337+K337</f>
        <v>11713.3</v>
      </c>
      <c r="I337" s="249">
        <v>11713.3</v>
      </c>
      <c r="J337" s="100">
        <v>0</v>
      </c>
      <c r="K337" s="100">
        <v>0</v>
      </c>
      <c r="L337" s="254"/>
      <c r="M337" s="254"/>
      <c r="N337" s="254"/>
      <c r="O337" s="254"/>
      <c r="P337" s="254"/>
      <c r="Q337" s="254"/>
      <c r="R337" s="393"/>
      <c r="S337" s="109"/>
    </row>
    <row r="338" spans="1:19" ht="27.75" hidden="1">
      <c r="A338" s="555"/>
      <c r="B338" s="556"/>
      <c r="C338" s="556"/>
      <c r="D338" s="556"/>
      <c r="E338" s="230" t="s">
        <v>77</v>
      </c>
      <c r="F338" s="242"/>
      <c r="G338" s="446"/>
      <c r="H338" s="99">
        <f>I338+J338+K338</f>
        <v>204.3</v>
      </c>
      <c r="I338" s="100">
        <v>204.3</v>
      </c>
      <c r="J338" s="100">
        <v>0</v>
      </c>
      <c r="K338" s="100">
        <v>0</v>
      </c>
      <c r="L338" s="254"/>
      <c r="M338" s="254"/>
      <c r="N338" s="254"/>
      <c r="O338" s="254"/>
      <c r="P338" s="254"/>
      <c r="Q338" s="254"/>
      <c r="R338" s="393"/>
      <c r="S338" s="109"/>
    </row>
    <row r="339" spans="1:19" ht="55.5" hidden="1" customHeight="1">
      <c r="A339" s="555"/>
      <c r="B339" s="556"/>
      <c r="C339" s="556"/>
      <c r="D339" s="556"/>
      <c r="E339" s="224" t="s">
        <v>79</v>
      </c>
      <c r="F339" s="242"/>
      <c r="G339" s="446"/>
      <c r="H339" s="99">
        <f>I339+J339+K339</f>
        <v>537.29999999999995</v>
      </c>
      <c r="I339" s="249">
        <v>537.29999999999995</v>
      </c>
      <c r="J339" s="100">
        <v>0</v>
      </c>
      <c r="K339" s="100">
        <v>0</v>
      </c>
      <c r="L339" s="254"/>
      <c r="M339" s="254"/>
      <c r="N339" s="254"/>
      <c r="O339" s="254"/>
      <c r="P339" s="254"/>
      <c r="Q339" s="254"/>
      <c r="R339" s="393"/>
      <c r="S339" s="109"/>
    </row>
    <row r="340" spans="1:19" ht="55.5" hidden="1">
      <c r="A340" s="243"/>
      <c r="B340" s="244"/>
      <c r="C340" s="244"/>
      <c r="D340" s="244"/>
      <c r="E340" s="230" t="s">
        <v>75</v>
      </c>
      <c r="F340" s="195"/>
      <c r="G340" s="447"/>
      <c r="H340" s="99">
        <f>I340+J340+K340</f>
        <v>0</v>
      </c>
      <c r="I340" s="103"/>
      <c r="J340" s="103"/>
      <c r="K340" s="103"/>
      <c r="L340" s="268"/>
      <c r="M340" s="268"/>
      <c r="N340" s="268"/>
      <c r="O340" s="268"/>
      <c r="P340" s="268"/>
      <c r="Q340" s="268"/>
      <c r="R340" s="225"/>
      <c r="S340" s="109"/>
    </row>
    <row r="341" spans="1:19" ht="74.25" customHeight="1">
      <c r="A341" s="196" t="s">
        <v>295</v>
      </c>
      <c r="B341" s="422" t="s">
        <v>270</v>
      </c>
      <c r="C341" s="423"/>
      <c r="D341" s="423"/>
      <c r="E341" s="423"/>
      <c r="F341" s="197"/>
      <c r="G341" s="247" t="s">
        <v>85</v>
      </c>
      <c r="H341" s="124">
        <f>SUM(H342:H351)</f>
        <v>1521697.0328319001</v>
      </c>
      <c r="I341" s="124">
        <f>SUM(I342:I351)</f>
        <v>500635.6</v>
      </c>
      <c r="J341" s="124">
        <f>SUM(J342:J351)</f>
        <v>498936.08689999994</v>
      </c>
      <c r="K341" s="124">
        <f>SUM(K342:K351)</f>
        <v>522125.34593189997</v>
      </c>
      <c r="L341" s="124">
        <v>456518.1</v>
      </c>
      <c r="M341" s="124">
        <f>N341-L341</f>
        <v>44117.5</v>
      </c>
      <c r="N341" s="124">
        <v>500635.6</v>
      </c>
      <c r="O341" s="124">
        <v>492760.1</v>
      </c>
      <c r="P341" s="124">
        <f>Q341-O341</f>
        <v>154690.30000000005</v>
      </c>
      <c r="Q341" s="124">
        <v>647450.4</v>
      </c>
      <c r="R341" s="374" t="s">
        <v>88</v>
      </c>
      <c r="S341" s="221" t="s">
        <v>453</v>
      </c>
    </row>
    <row r="342" spans="1:19" ht="55.5">
      <c r="A342" s="544" t="s">
        <v>268</v>
      </c>
      <c r="B342" s="545"/>
      <c r="C342" s="545"/>
      <c r="D342" s="546"/>
      <c r="E342" s="230" t="s">
        <v>82</v>
      </c>
      <c r="F342" s="247"/>
      <c r="G342" s="445" t="s">
        <v>87</v>
      </c>
      <c r="H342" s="99">
        <f>I342+J342+K342</f>
        <v>308609.45589119999</v>
      </c>
      <c r="I342" s="100">
        <v>97670.399999999994</v>
      </c>
      <c r="J342" s="100">
        <f>I342*1.053</f>
        <v>102846.93119999999</v>
      </c>
      <c r="K342" s="100">
        <f>J342*1.051</f>
        <v>108092.12469119999</v>
      </c>
      <c r="L342" s="100"/>
      <c r="M342" s="100"/>
      <c r="N342" s="100"/>
      <c r="O342" s="100"/>
      <c r="P342" s="100"/>
      <c r="Q342" s="100"/>
      <c r="R342" s="393"/>
      <c r="S342" s="221">
        <v>90678.9</v>
      </c>
    </row>
    <row r="343" spans="1:19" ht="27.75" hidden="1" customHeight="1">
      <c r="A343" s="547"/>
      <c r="B343" s="548"/>
      <c r="C343" s="548"/>
      <c r="D343" s="549"/>
      <c r="E343" s="230" t="s">
        <v>76</v>
      </c>
      <c r="F343" s="247"/>
      <c r="G343" s="446"/>
      <c r="H343" s="99">
        <f t="shared" ref="H343:H351" si="23">I343+J343+K343</f>
        <v>126826.6</v>
      </c>
      <c r="I343" s="219">
        <v>37455.599999999999</v>
      </c>
      <c r="J343" s="100">
        <v>43574</v>
      </c>
      <c r="K343" s="100">
        <v>45797</v>
      </c>
      <c r="L343" s="100"/>
      <c r="M343" s="100"/>
      <c r="N343" s="100"/>
      <c r="O343" s="100"/>
      <c r="P343" s="100"/>
      <c r="Q343" s="100"/>
      <c r="R343" s="393"/>
      <c r="S343" s="221">
        <v>37455.599999999999</v>
      </c>
    </row>
    <row r="344" spans="1:19" ht="27.75" hidden="1" customHeight="1">
      <c r="A344" s="547"/>
      <c r="B344" s="548"/>
      <c r="C344" s="548"/>
      <c r="D344" s="549"/>
      <c r="E344" s="230" t="s">
        <v>77</v>
      </c>
      <c r="F344" s="247"/>
      <c r="G344" s="446"/>
      <c r="H344" s="99">
        <f t="shared" si="23"/>
        <v>307844.8</v>
      </c>
      <c r="I344" s="219">
        <v>117838.5</v>
      </c>
      <c r="J344" s="100">
        <v>92640.8</v>
      </c>
      <c r="K344" s="100">
        <v>97365.5</v>
      </c>
      <c r="L344" s="100"/>
      <c r="M344" s="100"/>
      <c r="N344" s="100"/>
      <c r="O344" s="100"/>
      <c r="P344" s="100"/>
      <c r="Q344" s="100"/>
      <c r="R344" s="393"/>
      <c r="S344" s="221">
        <v>117838.5</v>
      </c>
    </row>
    <row r="345" spans="1:19" ht="55.5" hidden="1" customHeight="1">
      <c r="A345" s="547"/>
      <c r="B345" s="548"/>
      <c r="C345" s="548"/>
      <c r="D345" s="549"/>
      <c r="E345" s="230" t="s">
        <v>75</v>
      </c>
      <c r="F345" s="247"/>
      <c r="G345" s="446"/>
      <c r="H345" s="99">
        <f t="shared" si="23"/>
        <v>241584.30000000002</v>
      </c>
      <c r="I345" s="100">
        <v>70008.100000000006</v>
      </c>
      <c r="J345" s="100">
        <v>83168.3</v>
      </c>
      <c r="K345" s="100">
        <v>88407.9</v>
      </c>
      <c r="L345" s="100"/>
      <c r="M345" s="100"/>
      <c r="N345" s="100"/>
      <c r="O345" s="100"/>
      <c r="P345" s="100"/>
      <c r="Q345" s="100"/>
      <c r="R345" s="393"/>
      <c r="S345" s="221">
        <v>65010.400000000001</v>
      </c>
    </row>
    <row r="346" spans="1:19" ht="55.5" hidden="1" customHeight="1">
      <c r="A346" s="547"/>
      <c r="B346" s="548"/>
      <c r="C346" s="548"/>
      <c r="D346" s="549"/>
      <c r="E346" s="224" t="s">
        <v>79</v>
      </c>
      <c r="F346" s="234"/>
      <c r="G346" s="446"/>
      <c r="H346" s="99">
        <f t="shared" si="23"/>
        <v>116199.34170620001</v>
      </c>
      <c r="I346" s="253">
        <v>36775.4</v>
      </c>
      <c r="J346" s="100">
        <f t="shared" ref="J346:J351" si="24">I346*1.053</f>
        <v>38724.496200000001</v>
      </c>
      <c r="K346" s="100">
        <f t="shared" ref="K346:K351" si="25">J346*1.051</f>
        <v>40699.445506199998</v>
      </c>
      <c r="L346" s="100"/>
      <c r="M346" s="100"/>
      <c r="N346" s="100"/>
      <c r="O346" s="100"/>
      <c r="P346" s="100"/>
      <c r="Q346" s="100"/>
      <c r="R346" s="393"/>
      <c r="S346" s="222">
        <v>36775.4</v>
      </c>
    </row>
    <row r="347" spans="1:19" ht="55.5" hidden="1" customHeight="1">
      <c r="A347" s="547"/>
      <c r="B347" s="548"/>
      <c r="C347" s="548"/>
      <c r="D347" s="549"/>
      <c r="E347" s="224" t="s">
        <v>78</v>
      </c>
      <c r="F347" s="247"/>
      <c r="G347" s="446"/>
      <c r="H347" s="99">
        <f t="shared" si="23"/>
        <v>3457.1846999999998</v>
      </c>
      <c r="I347" s="219">
        <v>1817</v>
      </c>
      <c r="J347" s="100">
        <v>799.7</v>
      </c>
      <c r="K347" s="100">
        <f t="shared" si="25"/>
        <v>840.48469999999998</v>
      </c>
      <c r="L347" s="100"/>
      <c r="M347" s="100"/>
      <c r="N347" s="100"/>
      <c r="O347" s="100"/>
      <c r="P347" s="100"/>
      <c r="Q347" s="100"/>
      <c r="R347" s="393"/>
      <c r="S347" s="222">
        <v>1817</v>
      </c>
    </row>
    <row r="348" spans="1:19" ht="55.5" hidden="1" customHeight="1">
      <c r="A348" s="547"/>
      <c r="B348" s="548"/>
      <c r="C348" s="548"/>
      <c r="D348" s="549"/>
      <c r="E348" s="230" t="s">
        <v>80</v>
      </c>
      <c r="F348" s="247"/>
      <c r="G348" s="446"/>
      <c r="H348" s="99">
        <f t="shared" si="23"/>
        <v>216311.68752849998</v>
      </c>
      <c r="I348" s="219">
        <v>68459.5</v>
      </c>
      <c r="J348" s="100">
        <f>I348*1.053</f>
        <v>72087.853499999997</v>
      </c>
      <c r="K348" s="100">
        <f t="shared" si="25"/>
        <v>75764.334028499987</v>
      </c>
      <c r="L348" s="100"/>
      <c r="M348" s="100"/>
      <c r="N348" s="100"/>
      <c r="O348" s="100"/>
      <c r="P348" s="100"/>
      <c r="Q348" s="100"/>
      <c r="R348" s="393"/>
      <c r="S348" s="222">
        <v>68459.5</v>
      </c>
    </row>
    <row r="349" spans="1:19" ht="55.5" hidden="1" customHeight="1">
      <c r="A349" s="547"/>
      <c r="B349" s="548"/>
      <c r="C349" s="548"/>
      <c r="D349" s="549"/>
      <c r="E349" s="230" t="s">
        <v>81</v>
      </c>
      <c r="F349" s="247"/>
      <c r="G349" s="446"/>
      <c r="H349" s="99">
        <f t="shared" si="23"/>
        <v>187499.38319720002</v>
      </c>
      <c r="I349" s="219">
        <v>66381.5</v>
      </c>
      <c r="J349" s="100">
        <f>63675.5+152.8-J351</f>
        <v>60640.237200000003</v>
      </c>
      <c r="K349" s="100">
        <f>63675.5+152.8-K351</f>
        <v>60477.645997200001</v>
      </c>
      <c r="L349" s="100"/>
      <c r="M349" s="100"/>
      <c r="N349" s="100"/>
      <c r="O349" s="100"/>
      <c r="P349" s="100"/>
      <c r="Q349" s="100"/>
      <c r="R349" s="393"/>
      <c r="S349" s="222">
        <v>66381.5</v>
      </c>
    </row>
    <row r="350" spans="1:19" ht="83.25" hidden="1" customHeight="1">
      <c r="A350" s="547"/>
      <c r="B350" s="548"/>
      <c r="C350" s="548"/>
      <c r="D350" s="549"/>
      <c r="E350" s="230" t="s">
        <v>351</v>
      </c>
      <c r="F350" s="247"/>
      <c r="G350" s="446"/>
      <c r="H350" s="99">
        <f t="shared" si="23"/>
        <v>3797.963006</v>
      </c>
      <c r="I350" s="100">
        <v>1202</v>
      </c>
      <c r="J350" s="100">
        <f t="shared" si="24"/>
        <v>1265.7059999999999</v>
      </c>
      <c r="K350" s="100">
        <f t="shared" si="25"/>
        <v>1330.2570059999998</v>
      </c>
      <c r="L350" s="100"/>
      <c r="M350" s="100"/>
      <c r="N350" s="100"/>
      <c r="O350" s="100"/>
      <c r="P350" s="100"/>
      <c r="Q350" s="100"/>
      <c r="R350" s="393"/>
      <c r="S350" s="109"/>
    </row>
    <row r="351" spans="1:19" ht="83.25" hidden="1" customHeight="1">
      <c r="A351" s="550"/>
      <c r="B351" s="551"/>
      <c r="C351" s="551"/>
      <c r="D351" s="552"/>
      <c r="E351" s="230" t="s">
        <v>352</v>
      </c>
      <c r="F351" s="247"/>
      <c r="G351" s="447"/>
      <c r="H351" s="99">
        <f t="shared" si="23"/>
        <v>9566.3168028</v>
      </c>
      <c r="I351" s="100">
        <v>3027.6</v>
      </c>
      <c r="J351" s="100">
        <f t="shared" si="24"/>
        <v>3188.0627999999997</v>
      </c>
      <c r="K351" s="100">
        <f t="shared" si="25"/>
        <v>3350.6540027999995</v>
      </c>
      <c r="L351" s="100"/>
      <c r="M351" s="100"/>
      <c r="N351" s="100"/>
      <c r="O351" s="100"/>
      <c r="P351" s="100"/>
      <c r="Q351" s="100"/>
      <c r="R351" s="375"/>
      <c r="S351" s="109"/>
    </row>
    <row r="352" spans="1:19" ht="67.5" customHeight="1">
      <c r="A352" s="196" t="s">
        <v>416</v>
      </c>
      <c r="B352" s="589" t="s">
        <v>271</v>
      </c>
      <c r="C352" s="590"/>
      <c r="D352" s="197"/>
      <c r="E352" s="199"/>
      <c r="F352" s="197"/>
      <c r="G352" s="247" t="s">
        <v>85</v>
      </c>
      <c r="H352" s="124">
        <f>SUM(H353:H357)</f>
        <v>71714.881940699997</v>
      </c>
      <c r="I352" s="124">
        <f>SUM(I353:I357)</f>
        <v>22375.3</v>
      </c>
      <c r="J352" s="124">
        <f>SUM(J353:J357)</f>
        <v>24055.955699999999</v>
      </c>
      <c r="K352" s="124">
        <f>SUM(K353:K357)</f>
        <v>25283.626240699999</v>
      </c>
      <c r="L352" s="269">
        <v>21063.200000000001</v>
      </c>
      <c r="M352" s="269">
        <f>N352-L352</f>
        <v>1312.0999999999985</v>
      </c>
      <c r="N352" s="269">
        <v>22375.3</v>
      </c>
      <c r="O352" s="269">
        <v>23301.9</v>
      </c>
      <c r="P352" s="269">
        <f>Q352-O352</f>
        <v>2429.8999999999978</v>
      </c>
      <c r="Q352" s="269">
        <v>25731.8</v>
      </c>
      <c r="R352" s="374" t="s">
        <v>105</v>
      </c>
      <c r="S352" s="222" t="s">
        <v>453</v>
      </c>
    </row>
    <row r="353" spans="1:19" ht="0.75" customHeight="1">
      <c r="A353" s="563" t="s">
        <v>268</v>
      </c>
      <c r="B353" s="564"/>
      <c r="C353" s="564"/>
      <c r="D353" s="565"/>
      <c r="E353" s="230" t="s">
        <v>82</v>
      </c>
      <c r="F353" s="561"/>
      <c r="G353" s="445" t="s">
        <v>93</v>
      </c>
      <c r="H353" s="99">
        <f>I353+J353+K353</f>
        <v>12901.699289600001</v>
      </c>
      <c r="I353" s="219">
        <v>4083.2</v>
      </c>
      <c r="J353" s="100">
        <f>I353*1.053</f>
        <v>4299.6095999999998</v>
      </c>
      <c r="K353" s="100">
        <f>J353*1.051</f>
        <v>4518.8896895999997</v>
      </c>
      <c r="L353" s="100"/>
      <c r="M353" s="100"/>
      <c r="N353" s="100"/>
      <c r="O353" s="100"/>
      <c r="P353" s="100"/>
      <c r="Q353" s="100"/>
      <c r="R353" s="393"/>
      <c r="S353" s="221">
        <v>4083.2</v>
      </c>
    </row>
    <row r="354" spans="1:19" ht="30" hidden="1">
      <c r="A354" s="566"/>
      <c r="B354" s="567"/>
      <c r="C354" s="567"/>
      <c r="D354" s="568"/>
      <c r="E354" s="230" t="s">
        <v>76</v>
      </c>
      <c r="F354" s="561"/>
      <c r="G354" s="446"/>
      <c r="H354" s="99">
        <f>I354+J354+K354</f>
        <v>29582.1</v>
      </c>
      <c r="I354" s="219">
        <v>9433.9</v>
      </c>
      <c r="J354" s="100">
        <v>9823.2000000000007</v>
      </c>
      <c r="K354" s="100">
        <v>10325</v>
      </c>
      <c r="L354" s="100"/>
      <c r="M354" s="100"/>
      <c r="N354" s="100"/>
      <c r="O354" s="100"/>
      <c r="P354" s="100"/>
      <c r="Q354" s="100"/>
      <c r="R354" s="393"/>
      <c r="S354" s="222">
        <v>9433.9</v>
      </c>
    </row>
    <row r="355" spans="1:19" ht="27.75" hidden="1">
      <c r="A355" s="566"/>
      <c r="B355" s="567"/>
      <c r="C355" s="567"/>
      <c r="D355" s="568"/>
      <c r="E355" s="230" t="s">
        <v>77</v>
      </c>
      <c r="F355" s="561"/>
      <c r="G355" s="446"/>
      <c r="H355" s="99">
        <f>I355+J355+K355</f>
        <v>3139.2442000000001</v>
      </c>
      <c r="I355" s="219">
        <v>1018.1</v>
      </c>
      <c r="J355" s="100">
        <v>1034.2</v>
      </c>
      <c r="K355" s="100">
        <f>J355*1.051</f>
        <v>1086.9441999999999</v>
      </c>
      <c r="L355" s="100"/>
      <c r="M355" s="100"/>
      <c r="N355" s="100"/>
      <c r="O355" s="100"/>
      <c r="P355" s="100"/>
      <c r="Q355" s="100"/>
      <c r="R355" s="393"/>
      <c r="S355" s="221">
        <v>1018.1</v>
      </c>
    </row>
    <row r="356" spans="1:19" ht="55.5" hidden="1" customHeight="1">
      <c r="A356" s="566"/>
      <c r="B356" s="567"/>
      <c r="C356" s="567"/>
      <c r="D356" s="568"/>
      <c r="E356" s="230" t="s">
        <v>79</v>
      </c>
      <c r="F356" s="561"/>
      <c r="G356" s="446"/>
      <c r="H356" s="99">
        <f>I356+J356+K356</f>
        <v>2697.4384510999998</v>
      </c>
      <c r="I356" s="253">
        <v>853.7</v>
      </c>
      <c r="J356" s="100">
        <f>I356*1.053</f>
        <v>898.9461</v>
      </c>
      <c r="K356" s="100">
        <f>J356*1.051</f>
        <v>944.79235109999991</v>
      </c>
      <c r="L356" s="100"/>
      <c r="M356" s="100"/>
      <c r="N356" s="100"/>
      <c r="O356" s="100"/>
      <c r="P356" s="100"/>
      <c r="Q356" s="100"/>
      <c r="R356" s="393"/>
      <c r="S356" s="223">
        <v>853.7</v>
      </c>
    </row>
    <row r="357" spans="1:19" ht="55.5" hidden="1">
      <c r="A357" s="569"/>
      <c r="B357" s="570"/>
      <c r="C357" s="570"/>
      <c r="D357" s="571"/>
      <c r="E357" s="230" t="s">
        <v>78</v>
      </c>
      <c r="F357" s="562"/>
      <c r="G357" s="446"/>
      <c r="H357" s="99">
        <f>I357+J357+K357</f>
        <v>23394.400000000001</v>
      </c>
      <c r="I357" s="100">
        <v>6986.4</v>
      </c>
      <c r="J357" s="100">
        <v>8000</v>
      </c>
      <c r="K357" s="100">
        <f>J357*1.051</f>
        <v>8408</v>
      </c>
      <c r="L357" s="100"/>
      <c r="M357" s="100"/>
      <c r="N357" s="100"/>
      <c r="O357" s="100"/>
      <c r="P357" s="100"/>
      <c r="Q357" s="100"/>
      <c r="R357" s="375"/>
      <c r="S357" s="36">
        <v>6986.4</v>
      </c>
    </row>
    <row r="358" spans="1:19" ht="45" customHeight="1">
      <c r="A358" s="531" t="s">
        <v>89</v>
      </c>
      <c r="B358" s="532"/>
      <c r="C358" s="532"/>
      <c r="D358" s="532"/>
      <c r="E358" s="532"/>
      <c r="F358" s="533"/>
      <c r="G358" s="186"/>
      <c r="H358" s="99">
        <f>H264+H316+H322+H331+H335+H341+H352+H333</f>
        <v>2199182.9670726</v>
      </c>
      <c r="I358" s="99">
        <f>I264+I316+I322+I331+I335+I341+I352+I333</f>
        <v>862454.7080000001</v>
      </c>
      <c r="J358" s="99">
        <f>J264+J316+J322+J331+J335+J341+J352+J333</f>
        <v>695793.29260000004</v>
      </c>
      <c r="K358" s="99">
        <f>K264+K316+K322+K331+K335+K341+K352+K333</f>
        <v>646234.9664726</v>
      </c>
      <c r="L358" s="99">
        <v>817024.7</v>
      </c>
      <c r="M358" s="99">
        <f>N358-L358</f>
        <v>45201.70000000007</v>
      </c>
      <c r="N358" s="99">
        <v>862226.4</v>
      </c>
      <c r="O358" s="99">
        <v>678563.3</v>
      </c>
      <c r="P358" s="99">
        <f>Q358-O358</f>
        <v>167420.09999999998</v>
      </c>
      <c r="Q358" s="99">
        <v>845983.4</v>
      </c>
      <c r="R358" s="537"/>
    </row>
    <row r="359" spans="1:19" ht="46.5" hidden="1">
      <c r="A359" s="572" t="s">
        <v>92</v>
      </c>
      <c r="B359" s="573"/>
      <c r="C359" s="573"/>
      <c r="D359" s="573"/>
      <c r="E359" s="573"/>
      <c r="F359" s="574"/>
      <c r="G359" s="229" t="s">
        <v>446</v>
      </c>
      <c r="H359" s="100">
        <f>H265+H316+H327</f>
        <v>263599.7573</v>
      </c>
      <c r="I359" s="100">
        <f>I265+I316+I327</f>
        <v>125779.62299999998</v>
      </c>
      <c r="J359" s="100">
        <f>J265+J316+J327</f>
        <v>70611.679999999993</v>
      </c>
      <c r="K359" s="100">
        <f>K265+K316+K327</f>
        <v>68708.354299999992</v>
      </c>
      <c r="L359" s="100"/>
      <c r="M359" s="100"/>
      <c r="N359" s="100"/>
      <c r="O359" s="100"/>
      <c r="P359" s="100"/>
      <c r="Q359" s="100"/>
      <c r="R359" s="537"/>
    </row>
    <row r="360" spans="1:19" ht="46.5" hidden="1">
      <c r="A360" s="575"/>
      <c r="B360" s="576"/>
      <c r="C360" s="576"/>
      <c r="D360" s="576"/>
      <c r="E360" s="576"/>
      <c r="F360" s="577"/>
      <c r="G360" s="229" t="s">
        <v>450</v>
      </c>
      <c r="H360" s="100">
        <f>H266+H328+H336</f>
        <v>230724.31300000002</v>
      </c>
      <c r="I360" s="100">
        <f>I266+I328+I336</f>
        <v>115306.31299999999</v>
      </c>
      <c r="J360" s="100">
        <f>J266+J328+J336</f>
        <v>95418</v>
      </c>
      <c r="K360" s="100">
        <f>K266+K328+K336</f>
        <v>20000</v>
      </c>
      <c r="L360" s="100"/>
      <c r="M360" s="100"/>
      <c r="N360" s="100"/>
      <c r="O360" s="100"/>
      <c r="P360" s="100"/>
      <c r="Q360" s="100"/>
      <c r="R360" s="537"/>
    </row>
    <row r="361" spans="1:19" ht="69.75" hidden="1">
      <c r="A361" s="575"/>
      <c r="B361" s="576"/>
      <c r="C361" s="576"/>
      <c r="D361" s="576"/>
      <c r="E361" s="576"/>
      <c r="F361" s="577"/>
      <c r="G361" s="232" t="s">
        <v>96</v>
      </c>
      <c r="H361" s="100">
        <f>H267</f>
        <v>52839.700000000004</v>
      </c>
      <c r="I361" s="100">
        <f>I267</f>
        <v>52839.700000000004</v>
      </c>
      <c r="J361" s="100">
        <f>J267</f>
        <v>0</v>
      </c>
      <c r="K361" s="100">
        <f>K267</f>
        <v>0</v>
      </c>
      <c r="L361" s="100"/>
      <c r="M361" s="100"/>
      <c r="N361" s="100"/>
      <c r="O361" s="100"/>
      <c r="P361" s="100"/>
      <c r="Q361" s="100"/>
      <c r="R361" s="537"/>
    </row>
    <row r="362" spans="1:19" ht="139.5" hidden="1" customHeight="1">
      <c r="A362" s="575"/>
      <c r="B362" s="576"/>
      <c r="C362" s="576"/>
      <c r="D362" s="576"/>
      <c r="E362" s="576"/>
      <c r="F362" s="577"/>
      <c r="G362" s="232" t="s">
        <v>99</v>
      </c>
      <c r="H362" s="100">
        <f>H269</f>
        <v>4318.2</v>
      </c>
      <c r="I362" s="100">
        <f>I269</f>
        <v>4318.2</v>
      </c>
      <c r="J362" s="100">
        <f>J269</f>
        <v>0</v>
      </c>
      <c r="K362" s="100">
        <f>K269</f>
        <v>0</v>
      </c>
      <c r="L362" s="100"/>
      <c r="M362" s="100"/>
      <c r="N362" s="100"/>
      <c r="O362" s="100"/>
      <c r="P362" s="100"/>
      <c r="Q362" s="100"/>
      <c r="R362" s="537"/>
    </row>
    <row r="363" spans="1:19" ht="186" hidden="1" customHeight="1">
      <c r="A363" s="575"/>
      <c r="B363" s="576"/>
      <c r="C363" s="576"/>
      <c r="D363" s="576"/>
      <c r="E363" s="576"/>
      <c r="F363" s="577"/>
      <c r="G363" s="189" t="s">
        <v>100</v>
      </c>
      <c r="H363" s="100">
        <f>H268</f>
        <v>6612.1190000000006</v>
      </c>
      <c r="I363" s="100">
        <f>I268</f>
        <v>6612.1190000000006</v>
      </c>
      <c r="J363" s="100">
        <f>J268</f>
        <v>0</v>
      </c>
      <c r="K363" s="100">
        <f>K268</f>
        <v>0</v>
      </c>
      <c r="L363" s="100"/>
      <c r="M363" s="100"/>
      <c r="N363" s="100"/>
      <c r="O363" s="100"/>
      <c r="P363" s="100"/>
      <c r="Q363" s="100"/>
      <c r="R363" s="537"/>
    </row>
    <row r="364" spans="1:19" ht="139.5" hidden="1">
      <c r="A364" s="575"/>
      <c r="B364" s="576"/>
      <c r="C364" s="576"/>
      <c r="D364" s="576"/>
      <c r="E364" s="576"/>
      <c r="F364" s="577"/>
      <c r="G364" s="232" t="s">
        <v>207</v>
      </c>
      <c r="H364" s="100">
        <f>H270</f>
        <v>2592.0530000000003</v>
      </c>
      <c r="I364" s="100">
        <f>I270</f>
        <v>2592.0530000000003</v>
      </c>
      <c r="J364" s="100">
        <f>J270</f>
        <v>0</v>
      </c>
      <c r="K364" s="100">
        <f>K270</f>
        <v>0</v>
      </c>
      <c r="L364" s="100"/>
      <c r="M364" s="100"/>
      <c r="N364" s="100"/>
      <c r="O364" s="100"/>
      <c r="P364" s="100"/>
      <c r="Q364" s="100"/>
      <c r="R364" s="537"/>
    </row>
    <row r="365" spans="1:19" ht="46.5" hidden="1" customHeight="1">
      <c r="A365" s="575"/>
      <c r="B365" s="576"/>
      <c r="C365" s="576"/>
      <c r="D365" s="576"/>
      <c r="E365" s="576"/>
      <c r="F365" s="577"/>
      <c r="G365" s="229" t="s">
        <v>344</v>
      </c>
      <c r="H365" s="100">
        <f>H272</f>
        <v>60</v>
      </c>
      <c r="I365" s="100">
        <f>I272</f>
        <v>60</v>
      </c>
      <c r="J365" s="100">
        <f>J272</f>
        <v>0</v>
      </c>
      <c r="K365" s="100">
        <f>K272</f>
        <v>0</v>
      </c>
      <c r="L365" s="100"/>
      <c r="M365" s="100"/>
      <c r="N365" s="100"/>
      <c r="O365" s="100"/>
      <c r="P365" s="100"/>
      <c r="Q365" s="100"/>
      <c r="R365" s="537"/>
    </row>
    <row r="366" spans="1:19" ht="69.75" hidden="1">
      <c r="A366" s="575"/>
      <c r="B366" s="576"/>
      <c r="C366" s="576"/>
      <c r="D366" s="576"/>
      <c r="E366" s="576"/>
      <c r="F366" s="577"/>
      <c r="G366" s="233" t="s">
        <v>413</v>
      </c>
      <c r="H366" s="100">
        <f>H271</f>
        <v>799.7</v>
      </c>
      <c r="I366" s="100">
        <f>I271</f>
        <v>799.7</v>
      </c>
      <c r="J366" s="100">
        <f>J271</f>
        <v>0</v>
      </c>
      <c r="K366" s="100">
        <f>K271</f>
        <v>0</v>
      </c>
      <c r="L366" s="100"/>
      <c r="M366" s="100"/>
      <c r="N366" s="100"/>
      <c r="O366" s="100"/>
      <c r="P366" s="100"/>
      <c r="Q366" s="100"/>
      <c r="R366" s="537"/>
    </row>
    <row r="367" spans="1:19" ht="93" hidden="1">
      <c r="A367" s="575"/>
      <c r="B367" s="576"/>
      <c r="C367" s="576"/>
      <c r="D367" s="576"/>
      <c r="E367" s="576"/>
      <c r="F367" s="577"/>
      <c r="G367" s="229" t="s">
        <v>415</v>
      </c>
      <c r="H367" s="100">
        <f>H334</f>
        <v>6848</v>
      </c>
      <c r="I367" s="100">
        <f>I334</f>
        <v>6848</v>
      </c>
      <c r="J367" s="100">
        <f>J334</f>
        <v>0</v>
      </c>
      <c r="K367" s="100">
        <f>K334</f>
        <v>0</v>
      </c>
      <c r="L367" s="100"/>
      <c r="M367" s="100"/>
      <c r="N367" s="100"/>
      <c r="O367" s="100"/>
      <c r="P367" s="100"/>
      <c r="Q367" s="100"/>
      <c r="R367" s="537"/>
    </row>
    <row r="368" spans="1:19" ht="46.5" hidden="1" customHeight="1">
      <c r="A368" s="575"/>
      <c r="B368" s="576"/>
      <c r="C368" s="576"/>
      <c r="D368" s="576"/>
      <c r="E368" s="576"/>
      <c r="F368" s="577"/>
      <c r="G368" s="246" t="s">
        <v>83</v>
      </c>
      <c r="H368" s="100">
        <f>H329</f>
        <v>16186.17</v>
      </c>
      <c r="I368" s="100">
        <f t="shared" ref="I368:K369" si="26">I329</f>
        <v>14714.7</v>
      </c>
      <c r="J368" s="100">
        <f t="shared" si="26"/>
        <v>1471.47</v>
      </c>
      <c r="K368" s="100">
        <f t="shared" si="26"/>
        <v>0</v>
      </c>
      <c r="L368" s="100"/>
      <c r="M368" s="100"/>
      <c r="N368" s="100"/>
      <c r="O368" s="100"/>
      <c r="P368" s="100"/>
      <c r="Q368" s="100"/>
      <c r="R368" s="537"/>
    </row>
    <row r="369" spans="1:18" ht="46.5" hidden="1">
      <c r="A369" s="575"/>
      <c r="B369" s="576"/>
      <c r="C369" s="576"/>
      <c r="D369" s="576"/>
      <c r="E369" s="576"/>
      <c r="F369" s="577"/>
      <c r="G369" s="246" t="s">
        <v>84</v>
      </c>
      <c r="H369" s="100">
        <f>H330</f>
        <v>885</v>
      </c>
      <c r="I369" s="100">
        <f t="shared" si="26"/>
        <v>885</v>
      </c>
      <c r="J369" s="100">
        <f t="shared" si="26"/>
        <v>0</v>
      </c>
      <c r="K369" s="100">
        <f t="shared" si="26"/>
        <v>0</v>
      </c>
      <c r="L369" s="100"/>
      <c r="M369" s="100"/>
      <c r="N369" s="100"/>
      <c r="O369" s="100"/>
      <c r="P369" s="100"/>
      <c r="Q369" s="100"/>
      <c r="R369" s="537"/>
    </row>
    <row r="370" spans="1:18" ht="46.5" hidden="1">
      <c r="A370" s="575"/>
      <c r="B370" s="576"/>
      <c r="C370" s="576"/>
      <c r="D370" s="576"/>
      <c r="E370" s="576"/>
      <c r="F370" s="577"/>
      <c r="G370" s="246" t="s">
        <v>104</v>
      </c>
      <c r="H370" s="100">
        <f>H332</f>
        <v>6238.8</v>
      </c>
      <c r="I370" s="100">
        <f>I332</f>
        <v>6238.8</v>
      </c>
      <c r="J370" s="100">
        <f>J332</f>
        <v>0</v>
      </c>
      <c r="K370" s="100">
        <f>K332</f>
        <v>0</v>
      </c>
      <c r="L370" s="100"/>
      <c r="M370" s="100"/>
      <c r="N370" s="100"/>
      <c r="O370" s="100"/>
      <c r="P370" s="100"/>
      <c r="Q370" s="100"/>
      <c r="R370" s="537"/>
    </row>
    <row r="371" spans="1:18" ht="27.75" hidden="1">
      <c r="A371" s="575"/>
      <c r="B371" s="576"/>
      <c r="C371" s="576"/>
      <c r="D371" s="576"/>
      <c r="E371" s="576"/>
      <c r="F371" s="577"/>
      <c r="G371" s="229" t="s">
        <v>87</v>
      </c>
      <c r="H371" s="100">
        <f>H341</f>
        <v>1521697.0328319001</v>
      </c>
      <c r="I371" s="100">
        <f>I341</f>
        <v>500635.6</v>
      </c>
      <c r="J371" s="100">
        <f>J341</f>
        <v>498936.08689999994</v>
      </c>
      <c r="K371" s="100">
        <f>K341</f>
        <v>522125.34593189997</v>
      </c>
      <c r="L371" s="100"/>
      <c r="M371" s="100"/>
      <c r="N371" s="100"/>
      <c r="O371" s="100"/>
      <c r="P371" s="100"/>
      <c r="Q371" s="100"/>
      <c r="R371" s="537"/>
    </row>
    <row r="372" spans="1:18" ht="46.5" hidden="1">
      <c r="A372" s="578"/>
      <c r="B372" s="579"/>
      <c r="C372" s="579"/>
      <c r="D372" s="579"/>
      <c r="E372" s="579"/>
      <c r="F372" s="580"/>
      <c r="G372" s="229" t="s">
        <v>91</v>
      </c>
      <c r="H372" s="100">
        <f>H352</f>
        <v>71714.881940699997</v>
      </c>
      <c r="I372" s="100">
        <f>I352</f>
        <v>22375.3</v>
      </c>
      <c r="J372" s="100">
        <f>J352</f>
        <v>24055.955699999999</v>
      </c>
      <c r="K372" s="100">
        <f>K352</f>
        <v>25283.626240699999</v>
      </c>
      <c r="L372" s="100"/>
      <c r="M372" s="100"/>
      <c r="N372" s="100"/>
      <c r="O372" s="100"/>
      <c r="P372" s="100"/>
      <c r="Q372" s="100"/>
      <c r="R372" s="537"/>
    </row>
    <row r="373" spans="1:18" ht="27" hidden="1">
      <c r="A373" s="572" t="s">
        <v>95</v>
      </c>
      <c r="B373" s="573"/>
      <c r="C373" s="573"/>
      <c r="D373" s="574"/>
      <c r="E373" s="428" t="s">
        <v>82</v>
      </c>
      <c r="F373" s="541"/>
      <c r="G373" s="242" t="s">
        <v>90</v>
      </c>
      <c r="H373" s="99">
        <f>SUM(H374:H381)</f>
        <v>396793.76518079999</v>
      </c>
      <c r="I373" s="99">
        <f>SUM(I374:I381)</f>
        <v>143801.81</v>
      </c>
      <c r="J373" s="99">
        <f>SUM(J374:J381)</f>
        <v>123903.24079999999</v>
      </c>
      <c r="K373" s="99">
        <f>SUM(K374:K381)</f>
        <v>123017.51438079998</v>
      </c>
      <c r="L373" s="99"/>
      <c r="M373" s="99"/>
      <c r="N373" s="99"/>
      <c r="O373" s="99"/>
      <c r="P373" s="99"/>
      <c r="Q373" s="99"/>
      <c r="R373" s="537"/>
    </row>
    <row r="374" spans="1:18" ht="46.5" hidden="1">
      <c r="A374" s="575"/>
      <c r="B374" s="576"/>
      <c r="C374" s="576"/>
      <c r="D374" s="577"/>
      <c r="E374" s="428"/>
      <c r="F374" s="541"/>
      <c r="G374" s="229" t="s">
        <v>446</v>
      </c>
      <c r="H374" s="100">
        <f>H274+H317</f>
        <v>27815.84</v>
      </c>
      <c r="I374" s="100">
        <f>I274+I317</f>
        <v>15981.439999999999</v>
      </c>
      <c r="J374" s="100">
        <f>J274+J317</f>
        <v>356.7</v>
      </c>
      <c r="K374" s="100">
        <f>K274+K317</f>
        <v>5406.5</v>
      </c>
      <c r="L374" s="100"/>
      <c r="M374" s="100"/>
      <c r="N374" s="100"/>
      <c r="O374" s="100"/>
      <c r="P374" s="100"/>
      <c r="Q374" s="100"/>
      <c r="R374" s="537"/>
    </row>
    <row r="375" spans="1:18" ht="69.75" hidden="1">
      <c r="A375" s="575"/>
      <c r="B375" s="576"/>
      <c r="C375" s="576"/>
      <c r="D375" s="577"/>
      <c r="E375" s="428"/>
      <c r="F375" s="541"/>
      <c r="G375" s="232" t="s">
        <v>96</v>
      </c>
      <c r="H375" s="100">
        <f>H275</f>
        <v>12485.6</v>
      </c>
      <c r="I375" s="100">
        <f t="shared" ref="I375:K378" si="27">I275</f>
        <v>12485.6</v>
      </c>
      <c r="J375" s="100">
        <f t="shared" si="27"/>
        <v>0</v>
      </c>
      <c r="K375" s="100">
        <f t="shared" si="27"/>
        <v>0</v>
      </c>
      <c r="L375" s="100"/>
      <c r="M375" s="100"/>
      <c r="N375" s="100"/>
      <c r="O375" s="100"/>
      <c r="P375" s="100"/>
      <c r="Q375" s="100"/>
      <c r="R375" s="537"/>
    </row>
    <row r="376" spans="1:18" ht="139.5" hidden="1" customHeight="1">
      <c r="A376" s="575"/>
      <c r="B376" s="576"/>
      <c r="C376" s="576"/>
      <c r="D376" s="577"/>
      <c r="E376" s="428"/>
      <c r="F376" s="541"/>
      <c r="G376" s="232" t="s">
        <v>99</v>
      </c>
      <c r="H376" s="100">
        <f>H276</f>
        <v>147.79999999999998</v>
      </c>
      <c r="I376" s="100">
        <f t="shared" si="27"/>
        <v>147.79999999999998</v>
      </c>
      <c r="J376" s="100">
        <f t="shared" si="27"/>
        <v>0</v>
      </c>
      <c r="K376" s="100">
        <f t="shared" si="27"/>
        <v>0</v>
      </c>
      <c r="L376" s="100"/>
      <c r="M376" s="100"/>
      <c r="N376" s="100"/>
      <c r="O376" s="100"/>
      <c r="P376" s="100"/>
      <c r="Q376" s="100"/>
      <c r="R376" s="537"/>
    </row>
    <row r="377" spans="1:18" ht="139.5" hidden="1">
      <c r="A377" s="575"/>
      <c r="B377" s="576"/>
      <c r="C377" s="576"/>
      <c r="D377" s="577"/>
      <c r="E377" s="428"/>
      <c r="F377" s="541"/>
      <c r="G377" s="232" t="s">
        <v>207</v>
      </c>
      <c r="H377" s="100">
        <f>H277</f>
        <v>250</v>
      </c>
      <c r="I377" s="100">
        <f t="shared" si="27"/>
        <v>250</v>
      </c>
      <c r="J377" s="100">
        <f t="shared" si="27"/>
        <v>0</v>
      </c>
      <c r="K377" s="100">
        <f t="shared" si="27"/>
        <v>0</v>
      </c>
      <c r="L377" s="100"/>
      <c r="M377" s="100"/>
      <c r="N377" s="100"/>
      <c r="O377" s="100"/>
      <c r="P377" s="100"/>
      <c r="Q377" s="100"/>
      <c r="R377" s="537"/>
    </row>
    <row r="378" spans="1:18" ht="46.5" hidden="1" customHeight="1">
      <c r="A378" s="575"/>
      <c r="B378" s="576"/>
      <c r="C378" s="576"/>
      <c r="D378" s="577"/>
      <c r="E378" s="428"/>
      <c r="F378" s="541"/>
      <c r="G378" s="229" t="s">
        <v>344</v>
      </c>
      <c r="H378" s="100">
        <f>H278</f>
        <v>60</v>
      </c>
      <c r="I378" s="100">
        <f t="shared" si="27"/>
        <v>60</v>
      </c>
      <c r="J378" s="100">
        <f t="shared" si="27"/>
        <v>0</v>
      </c>
      <c r="K378" s="100">
        <f t="shared" si="27"/>
        <v>0</v>
      </c>
      <c r="L378" s="100"/>
      <c r="M378" s="100"/>
      <c r="N378" s="100"/>
      <c r="O378" s="100"/>
      <c r="P378" s="100"/>
      <c r="Q378" s="100"/>
      <c r="R378" s="537"/>
    </row>
    <row r="379" spans="1:18" ht="27.75" hidden="1">
      <c r="A379" s="575"/>
      <c r="B379" s="576"/>
      <c r="C379" s="576"/>
      <c r="D379" s="577"/>
      <c r="E379" s="428"/>
      <c r="F379" s="541"/>
      <c r="G379" s="229" t="s">
        <v>87</v>
      </c>
      <c r="H379" s="100">
        <f>H342</f>
        <v>308609.45589119999</v>
      </c>
      <c r="I379" s="100">
        <f>I342</f>
        <v>97670.399999999994</v>
      </c>
      <c r="J379" s="100">
        <f>J342</f>
        <v>102846.93119999999</v>
      </c>
      <c r="K379" s="100">
        <f>K342</f>
        <v>108092.12469119999</v>
      </c>
      <c r="L379" s="100"/>
      <c r="M379" s="100"/>
      <c r="N379" s="100"/>
      <c r="O379" s="100"/>
      <c r="P379" s="100"/>
      <c r="Q379" s="100"/>
      <c r="R379" s="537"/>
    </row>
    <row r="380" spans="1:18" ht="46.5" hidden="1">
      <c r="A380" s="575"/>
      <c r="B380" s="576"/>
      <c r="C380" s="576"/>
      <c r="D380" s="577"/>
      <c r="E380" s="428"/>
      <c r="F380" s="541"/>
      <c r="G380" s="229" t="s">
        <v>450</v>
      </c>
      <c r="H380" s="100">
        <f>H279</f>
        <v>34523.369999999995</v>
      </c>
      <c r="I380" s="100">
        <f>I279</f>
        <v>13123.369999999999</v>
      </c>
      <c r="J380" s="100">
        <f>J279</f>
        <v>16400</v>
      </c>
      <c r="K380" s="100">
        <f>K279</f>
        <v>5000</v>
      </c>
      <c r="L380" s="100"/>
      <c r="M380" s="100"/>
      <c r="N380" s="100"/>
      <c r="O380" s="100"/>
      <c r="P380" s="100"/>
      <c r="Q380" s="100"/>
      <c r="R380" s="537"/>
    </row>
    <row r="381" spans="1:18" ht="46.5" hidden="1">
      <c r="A381" s="575"/>
      <c r="B381" s="576"/>
      <c r="C381" s="576"/>
      <c r="D381" s="577"/>
      <c r="E381" s="428"/>
      <c r="F381" s="541"/>
      <c r="G381" s="229" t="s">
        <v>91</v>
      </c>
      <c r="H381" s="100">
        <f>H353</f>
        <v>12901.699289600001</v>
      </c>
      <c r="I381" s="100">
        <f>I353</f>
        <v>4083.2</v>
      </c>
      <c r="J381" s="100">
        <f>J353</f>
        <v>4299.6095999999998</v>
      </c>
      <c r="K381" s="100">
        <f>K353</f>
        <v>4518.8896895999997</v>
      </c>
      <c r="L381" s="100"/>
      <c r="M381" s="100"/>
      <c r="N381" s="100"/>
      <c r="O381" s="100"/>
      <c r="P381" s="100"/>
      <c r="Q381" s="100"/>
      <c r="R381" s="537"/>
    </row>
    <row r="382" spans="1:18" ht="27" hidden="1">
      <c r="A382" s="575"/>
      <c r="B382" s="576"/>
      <c r="C382" s="576"/>
      <c r="D382" s="577"/>
      <c r="E382" s="428" t="s">
        <v>76</v>
      </c>
      <c r="F382" s="541"/>
      <c r="G382" s="242" t="s">
        <v>90</v>
      </c>
      <c r="H382" s="99">
        <f>SUM(H383:H387)</f>
        <v>215601.38</v>
      </c>
      <c r="I382" s="99">
        <f>SUM(I383:I387)</f>
        <v>80682.12999999999</v>
      </c>
      <c r="J382" s="99">
        <f>SUM(J383:J387)</f>
        <v>69660.98</v>
      </c>
      <c r="K382" s="99">
        <f>SUM(K383:K387)</f>
        <v>69427.399999999994</v>
      </c>
      <c r="L382" s="99"/>
      <c r="M382" s="99"/>
      <c r="N382" s="99"/>
      <c r="O382" s="99"/>
      <c r="P382" s="99"/>
      <c r="Q382" s="99"/>
      <c r="R382" s="537"/>
    </row>
    <row r="383" spans="1:18" ht="46.5" hidden="1">
      <c r="A383" s="575"/>
      <c r="B383" s="576"/>
      <c r="C383" s="576"/>
      <c r="D383" s="577"/>
      <c r="E383" s="428"/>
      <c r="F383" s="541"/>
      <c r="G383" s="229" t="s">
        <v>446</v>
      </c>
      <c r="H383" s="100">
        <f>H281+H318</f>
        <v>34187.279999999999</v>
      </c>
      <c r="I383" s="100">
        <f>I281+I318</f>
        <v>13318.099999999997</v>
      </c>
      <c r="J383" s="100">
        <f>J281+J318</f>
        <v>10063.779999999999</v>
      </c>
      <c r="K383" s="100">
        <f>K281+K318</f>
        <v>10805.399999999998</v>
      </c>
      <c r="L383" s="100"/>
      <c r="M383" s="100"/>
      <c r="N383" s="100"/>
      <c r="O383" s="100"/>
      <c r="P383" s="100"/>
      <c r="Q383" s="100"/>
      <c r="R383" s="537"/>
    </row>
    <row r="384" spans="1:18" ht="69.75" hidden="1">
      <c r="A384" s="575"/>
      <c r="B384" s="576"/>
      <c r="C384" s="576"/>
      <c r="D384" s="577"/>
      <c r="E384" s="428"/>
      <c r="F384" s="541"/>
      <c r="G384" s="232" t="s">
        <v>96</v>
      </c>
      <c r="H384" s="100">
        <f>H282</f>
        <v>8160.1</v>
      </c>
      <c r="I384" s="100">
        <f>I282</f>
        <v>8160.1</v>
      </c>
      <c r="J384" s="100">
        <f>J282</f>
        <v>0</v>
      </c>
      <c r="K384" s="100">
        <f>K282</f>
        <v>0</v>
      </c>
      <c r="L384" s="100"/>
      <c r="M384" s="100"/>
      <c r="N384" s="100"/>
      <c r="O384" s="100"/>
      <c r="P384" s="100"/>
      <c r="Q384" s="100"/>
      <c r="R384" s="537"/>
    </row>
    <row r="385" spans="1:18" ht="27.75" hidden="1">
      <c r="A385" s="575"/>
      <c r="B385" s="576"/>
      <c r="C385" s="576"/>
      <c r="D385" s="577"/>
      <c r="E385" s="428"/>
      <c r="F385" s="541"/>
      <c r="G385" s="246" t="s">
        <v>87</v>
      </c>
      <c r="H385" s="100">
        <f>H343</f>
        <v>126826.6</v>
      </c>
      <c r="I385" s="100">
        <f>I343</f>
        <v>37455.599999999999</v>
      </c>
      <c r="J385" s="100">
        <f>J343</f>
        <v>43574</v>
      </c>
      <c r="K385" s="100">
        <f>K343</f>
        <v>45797</v>
      </c>
      <c r="L385" s="100"/>
      <c r="M385" s="100"/>
      <c r="N385" s="100"/>
      <c r="O385" s="100"/>
      <c r="P385" s="100"/>
      <c r="Q385" s="100"/>
      <c r="R385" s="537"/>
    </row>
    <row r="386" spans="1:18" ht="46.5" hidden="1">
      <c r="A386" s="575"/>
      <c r="B386" s="576"/>
      <c r="C386" s="576"/>
      <c r="D386" s="577"/>
      <c r="E386" s="428"/>
      <c r="F386" s="541"/>
      <c r="G386" s="229" t="s">
        <v>450</v>
      </c>
      <c r="H386" s="100">
        <f>H283+H337</f>
        <v>16845.3</v>
      </c>
      <c r="I386" s="100">
        <f>I283+I337</f>
        <v>12314.429999999998</v>
      </c>
      <c r="J386" s="100">
        <f>J283+J337</f>
        <v>6200</v>
      </c>
      <c r="K386" s="100">
        <f>K283+K337</f>
        <v>2500</v>
      </c>
      <c r="L386" s="100"/>
      <c r="M386" s="100"/>
      <c r="N386" s="100"/>
      <c r="O386" s="100"/>
      <c r="P386" s="100"/>
      <c r="Q386" s="100"/>
      <c r="R386" s="537"/>
    </row>
    <row r="387" spans="1:18" ht="46.5" hidden="1">
      <c r="A387" s="575"/>
      <c r="B387" s="576"/>
      <c r="C387" s="576"/>
      <c r="D387" s="577"/>
      <c r="E387" s="428"/>
      <c r="F387" s="541"/>
      <c r="G387" s="229" t="s">
        <v>91</v>
      </c>
      <c r="H387" s="100">
        <f>H354</f>
        <v>29582.1</v>
      </c>
      <c r="I387" s="100">
        <f>I354</f>
        <v>9433.9</v>
      </c>
      <c r="J387" s="100">
        <f>J354</f>
        <v>9823.2000000000007</v>
      </c>
      <c r="K387" s="100">
        <f>K354</f>
        <v>10325</v>
      </c>
      <c r="L387" s="100"/>
      <c r="M387" s="100"/>
      <c r="N387" s="100"/>
      <c r="O387" s="100"/>
      <c r="P387" s="100"/>
      <c r="Q387" s="100"/>
      <c r="R387" s="537"/>
    </row>
    <row r="388" spans="1:18" ht="27" hidden="1">
      <c r="A388" s="575"/>
      <c r="B388" s="576"/>
      <c r="C388" s="576"/>
      <c r="D388" s="577"/>
      <c r="E388" s="428" t="s">
        <v>77</v>
      </c>
      <c r="F388" s="541"/>
      <c r="G388" s="242" t="s">
        <v>90</v>
      </c>
      <c r="H388" s="99">
        <f>SUM(H389:H394)</f>
        <v>409301.25820000004</v>
      </c>
      <c r="I388" s="99">
        <f>SUM(I389:I394)</f>
        <v>175417.25400000002</v>
      </c>
      <c r="J388" s="99">
        <f>SUM(J389:J394)</f>
        <v>122521.56999999999</v>
      </c>
      <c r="K388" s="99">
        <f>SUM(K389:K394)</f>
        <v>111362.4342</v>
      </c>
      <c r="L388" s="99"/>
      <c r="M388" s="99"/>
      <c r="N388" s="99"/>
      <c r="O388" s="99"/>
      <c r="P388" s="99"/>
      <c r="Q388" s="99"/>
      <c r="R388" s="537"/>
    </row>
    <row r="389" spans="1:18" ht="46.5" hidden="1">
      <c r="A389" s="575"/>
      <c r="B389" s="576"/>
      <c r="C389" s="576"/>
      <c r="D389" s="577"/>
      <c r="E389" s="428"/>
      <c r="F389" s="541"/>
      <c r="G389" s="229" t="s">
        <v>446</v>
      </c>
      <c r="H389" s="100">
        <f>H285+H319</f>
        <v>38342.759999999995</v>
      </c>
      <c r="I389" s="100">
        <f>I285+I319</f>
        <v>23086.2</v>
      </c>
      <c r="J389" s="100">
        <f>J285+J319</f>
        <v>7346.57</v>
      </c>
      <c r="K389" s="100">
        <f>K285+K319</f>
        <v>7909.99</v>
      </c>
      <c r="L389" s="100"/>
      <c r="M389" s="100"/>
      <c r="N389" s="100"/>
      <c r="O389" s="100"/>
      <c r="P389" s="100"/>
      <c r="Q389" s="100"/>
      <c r="R389" s="537"/>
    </row>
    <row r="390" spans="1:18" ht="69.75" hidden="1">
      <c r="A390" s="575"/>
      <c r="B390" s="576"/>
      <c r="C390" s="576"/>
      <c r="D390" s="577"/>
      <c r="E390" s="428"/>
      <c r="F390" s="541"/>
      <c r="G390" s="232" t="s">
        <v>96</v>
      </c>
      <c r="H390" s="100">
        <f>H286</f>
        <v>12866.2</v>
      </c>
      <c r="I390" s="100">
        <f t="shared" ref="I390:K391" si="28">I286</f>
        <v>12866.2</v>
      </c>
      <c r="J390" s="100">
        <f t="shared" si="28"/>
        <v>0</v>
      </c>
      <c r="K390" s="100">
        <f t="shared" si="28"/>
        <v>0</v>
      </c>
      <c r="L390" s="100"/>
      <c r="M390" s="100"/>
      <c r="N390" s="100"/>
      <c r="O390" s="100"/>
      <c r="P390" s="100"/>
      <c r="Q390" s="100"/>
      <c r="R390" s="537"/>
    </row>
    <row r="391" spans="1:18" ht="139.5" hidden="1" customHeight="1">
      <c r="A391" s="575"/>
      <c r="B391" s="576"/>
      <c r="C391" s="576"/>
      <c r="D391" s="577"/>
      <c r="E391" s="428"/>
      <c r="F391" s="541"/>
      <c r="G391" s="232" t="s">
        <v>99</v>
      </c>
      <c r="H391" s="100">
        <f>H287</f>
        <v>2680.3</v>
      </c>
      <c r="I391" s="100">
        <f t="shared" si="28"/>
        <v>2680.3</v>
      </c>
      <c r="J391" s="100">
        <f t="shared" si="28"/>
        <v>0</v>
      </c>
      <c r="K391" s="100">
        <f t="shared" si="28"/>
        <v>0</v>
      </c>
      <c r="L391" s="100"/>
      <c r="M391" s="100"/>
      <c r="N391" s="100"/>
      <c r="O391" s="100"/>
      <c r="P391" s="100"/>
      <c r="Q391" s="100"/>
      <c r="R391" s="537"/>
    </row>
    <row r="392" spans="1:18" ht="27.75" hidden="1">
      <c r="A392" s="575"/>
      <c r="B392" s="576"/>
      <c r="C392" s="576"/>
      <c r="D392" s="577"/>
      <c r="E392" s="428"/>
      <c r="F392" s="541"/>
      <c r="G392" s="246" t="s">
        <v>87</v>
      </c>
      <c r="H392" s="100">
        <f>H344</f>
        <v>307844.8</v>
      </c>
      <c r="I392" s="100">
        <f>I344</f>
        <v>117838.5</v>
      </c>
      <c r="J392" s="100">
        <f>J344</f>
        <v>92640.8</v>
      </c>
      <c r="K392" s="100">
        <f>K344</f>
        <v>97365.5</v>
      </c>
      <c r="L392" s="100"/>
      <c r="M392" s="100"/>
      <c r="N392" s="100"/>
      <c r="O392" s="100"/>
      <c r="P392" s="100"/>
      <c r="Q392" s="100"/>
      <c r="R392" s="537"/>
    </row>
    <row r="393" spans="1:18" ht="46.5" hidden="1">
      <c r="A393" s="575"/>
      <c r="B393" s="576"/>
      <c r="C393" s="576"/>
      <c r="D393" s="577"/>
      <c r="E393" s="428"/>
      <c r="F393" s="541"/>
      <c r="G393" s="229" t="s">
        <v>450</v>
      </c>
      <c r="H393" s="100">
        <f>H288+H338</f>
        <v>44427.954000000005</v>
      </c>
      <c r="I393" s="100">
        <f>I288+I338</f>
        <v>17927.954000000002</v>
      </c>
      <c r="J393" s="100">
        <f>J288+J338</f>
        <v>21500</v>
      </c>
      <c r="K393" s="100">
        <f>K288+K338</f>
        <v>5000</v>
      </c>
      <c r="L393" s="100"/>
      <c r="M393" s="100"/>
      <c r="N393" s="100"/>
      <c r="O393" s="100"/>
      <c r="P393" s="100"/>
      <c r="Q393" s="100"/>
      <c r="R393" s="537"/>
    </row>
    <row r="394" spans="1:18" ht="46.5" hidden="1">
      <c r="A394" s="575"/>
      <c r="B394" s="576"/>
      <c r="C394" s="576"/>
      <c r="D394" s="577"/>
      <c r="E394" s="428"/>
      <c r="F394" s="541"/>
      <c r="G394" s="229" t="s">
        <v>91</v>
      </c>
      <c r="H394" s="100">
        <f>H355</f>
        <v>3139.2442000000001</v>
      </c>
      <c r="I394" s="100">
        <f>I355</f>
        <v>1018.1</v>
      </c>
      <c r="J394" s="100">
        <f>J355</f>
        <v>1034.2</v>
      </c>
      <c r="K394" s="100">
        <f>K355</f>
        <v>1086.9441999999999</v>
      </c>
      <c r="L394" s="100"/>
      <c r="M394" s="100"/>
      <c r="N394" s="100"/>
      <c r="O394" s="100"/>
      <c r="P394" s="100"/>
      <c r="Q394" s="100"/>
      <c r="R394" s="537"/>
    </row>
    <row r="395" spans="1:18" ht="27" hidden="1">
      <c r="A395" s="575"/>
      <c r="B395" s="576"/>
      <c r="C395" s="576"/>
      <c r="D395" s="577"/>
      <c r="E395" s="398" t="s">
        <v>75</v>
      </c>
      <c r="F395" s="541"/>
      <c r="G395" s="242" t="s">
        <v>90</v>
      </c>
      <c r="H395" s="99">
        <f>SUM(H396:H403)</f>
        <v>378476.81699999998</v>
      </c>
      <c r="I395" s="99">
        <f>SUM(I396:I403)</f>
        <v>161318.42500000002</v>
      </c>
      <c r="J395" s="99">
        <f>SUM(J396:J403)</f>
        <v>114516.3</v>
      </c>
      <c r="K395" s="99">
        <f>SUM(K396:K403)</f>
        <v>102642.09199999999</v>
      </c>
      <c r="L395" s="99"/>
      <c r="M395" s="99"/>
      <c r="N395" s="99"/>
      <c r="O395" s="99"/>
      <c r="P395" s="99"/>
      <c r="Q395" s="99"/>
      <c r="R395" s="537"/>
    </row>
    <row r="396" spans="1:18" ht="46.5" hidden="1">
      <c r="A396" s="575"/>
      <c r="B396" s="576"/>
      <c r="C396" s="576"/>
      <c r="D396" s="577"/>
      <c r="E396" s="399"/>
      <c r="F396" s="541"/>
      <c r="G396" s="246" t="s">
        <v>446</v>
      </c>
      <c r="H396" s="100">
        <f>H290+H327</f>
        <v>42831.604999999996</v>
      </c>
      <c r="I396" s="100">
        <f>I290+I327</f>
        <v>23201.383000000002</v>
      </c>
      <c r="J396" s="100">
        <f>J290+J327</f>
        <v>10396.030000000001</v>
      </c>
      <c r="K396" s="100">
        <f>K290+K327</f>
        <v>9234.1920000000009</v>
      </c>
      <c r="L396" s="100"/>
      <c r="M396" s="100"/>
      <c r="N396" s="100"/>
      <c r="O396" s="100"/>
      <c r="P396" s="100"/>
      <c r="Q396" s="100"/>
      <c r="R396" s="537"/>
    </row>
    <row r="397" spans="1:18" ht="69.75" hidden="1">
      <c r="A397" s="575"/>
      <c r="B397" s="576"/>
      <c r="C397" s="576"/>
      <c r="D397" s="577"/>
      <c r="E397" s="399"/>
      <c r="F397" s="541"/>
      <c r="G397" s="232" t="s">
        <v>96</v>
      </c>
      <c r="H397" s="100">
        <f>H291</f>
        <v>11848</v>
      </c>
      <c r="I397" s="100">
        <f t="shared" ref="I397:K398" si="29">I291</f>
        <v>11848</v>
      </c>
      <c r="J397" s="100">
        <f t="shared" si="29"/>
        <v>0</v>
      </c>
      <c r="K397" s="100">
        <f t="shared" si="29"/>
        <v>0</v>
      </c>
      <c r="L397" s="100"/>
      <c r="M397" s="100"/>
      <c r="N397" s="100"/>
      <c r="O397" s="100"/>
      <c r="P397" s="100"/>
      <c r="Q397" s="100"/>
      <c r="R397" s="537"/>
    </row>
    <row r="398" spans="1:18" ht="139.5" hidden="1">
      <c r="A398" s="575"/>
      <c r="B398" s="576"/>
      <c r="C398" s="576"/>
      <c r="D398" s="577"/>
      <c r="E398" s="399"/>
      <c r="F398" s="541"/>
      <c r="G398" s="232" t="s">
        <v>207</v>
      </c>
      <c r="H398" s="100">
        <f>H292</f>
        <v>1412.0530000000003</v>
      </c>
      <c r="I398" s="100">
        <f t="shared" si="29"/>
        <v>1412.0530000000003</v>
      </c>
      <c r="J398" s="100">
        <f t="shared" si="29"/>
        <v>0</v>
      </c>
      <c r="K398" s="100">
        <f t="shared" si="29"/>
        <v>0</v>
      </c>
      <c r="L398" s="100"/>
      <c r="M398" s="100"/>
      <c r="N398" s="100"/>
      <c r="O398" s="100"/>
      <c r="P398" s="100"/>
      <c r="Q398" s="100"/>
      <c r="R398" s="537"/>
    </row>
    <row r="399" spans="1:18" ht="27.75" hidden="1">
      <c r="A399" s="575"/>
      <c r="B399" s="576"/>
      <c r="C399" s="576"/>
      <c r="D399" s="577"/>
      <c r="E399" s="399"/>
      <c r="F399" s="541"/>
      <c r="G399" s="246" t="s">
        <v>87</v>
      </c>
      <c r="H399" s="100">
        <f>H345</f>
        <v>241584.30000000002</v>
      </c>
      <c r="I399" s="100">
        <f>I345</f>
        <v>70008.100000000006</v>
      </c>
      <c r="J399" s="100">
        <f>J345</f>
        <v>83168.3</v>
      </c>
      <c r="K399" s="100">
        <f>K345</f>
        <v>88407.9</v>
      </c>
      <c r="L399" s="100"/>
      <c r="M399" s="100"/>
      <c r="N399" s="100"/>
      <c r="O399" s="100"/>
      <c r="P399" s="100"/>
      <c r="Q399" s="100"/>
      <c r="R399" s="537"/>
    </row>
    <row r="400" spans="1:18" ht="46.5" hidden="1">
      <c r="A400" s="575"/>
      <c r="B400" s="576"/>
      <c r="C400" s="576"/>
      <c r="D400" s="577"/>
      <c r="E400" s="399"/>
      <c r="F400" s="541"/>
      <c r="G400" s="229" t="s">
        <v>450</v>
      </c>
      <c r="H400" s="100">
        <f>H293+H328</f>
        <v>57490.889000000003</v>
      </c>
      <c r="I400" s="100">
        <f>I293+I328</f>
        <v>33010.389000000003</v>
      </c>
      <c r="J400" s="100">
        <f>J293+J328</f>
        <v>19480.5</v>
      </c>
      <c r="K400" s="100">
        <f>K293+K328</f>
        <v>5000</v>
      </c>
      <c r="L400" s="100"/>
      <c r="M400" s="100"/>
      <c r="N400" s="100"/>
      <c r="O400" s="100"/>
      <c r="P400" s="100"/>
      <c r="Q400" s="100"/>
      <c r="R400" s="537"/>
    </row>
    <row r="401" spans="1:18" ht="46.5" hidden="1" customHeight="1">
      <c r="A401" s="575"/>
      <c r="B401" s="576"/>
      <c r="C401" s="576"/>
      <c r="D401" s="577"/>
      <c r="E401" s="399"/>
      <c r="F401" s="541"/>
      <c r="G401" s="246" t="s">
        <v>399</v>
      </c>
      <c r="H401" s="100">
        <f>H329</f>
        <v>16186.17</v>
      </c>
      <c r="I401" s="100">
        <f t="shared" ref="I401:K402" si="30">I329</f>
        <v>14714.7</v>
      </c>
      <c r="J401" s="100">
        <f t="shared" si="30"/>
        <v>1471.47</v>
      </c>
      <c r="K401" s="100">
        <f t="shared" si="30"/>
        <v>0</v>
      </c>
      <c r="L401" s="100"/>
      <c r="M401" s="100"/>
      <c r="N401" s="100"/>
      <c r="O401" s="100"/>
      <c r="P401" s="100"/>
      <c r="Q401" s="100"/>
      <c r="R401" s="537"/>
    </row>
    <row r="402" spans="1:18" ht="46.5" hidden="1">
      <c r="A402" s="575"/>
      <c r="B402" s="576"/>
      <c r="C402" s="576"/>
      <c r="D402" s="577"/>
      <c r="E402" s="399"/>
      <c r="F402" s="541"/>
      <c r="G402" s="246" t="s">
        <v>84</v>
      </c>
      <c r="H402" s="100">
        <f>H330</f>
        <v>885</v>
      </c>
      <c r="I402" s="100">
        <f t="shared" si="30"/>
        <v>885</v>
      </c>
      <c r="J402" s="100">
        <f t="shared" si="30"/>
        <v>0</v>
      </c>
      <c r="K402" s="100">
        <f t="shared" si="30"/>
        <v>0</v>
      </c>
      <c r="L402" s="100"/>
      <c r="M402" s="100"/>
      <c r="N402" s="100"/>
      <c r="O402" s="100"/>
      <c r="P402" s="100"/>
      <c r="Q402" s="100"/>
      <c r="R402" s="537"/>
    </row>
    <row r="403" spans="1:18" ht="46.5" hidden="1">
      <c r="A403" s="575"/>
      <c r="B403" s="576"/>
      <c r="C403" s="576"/>
      <c r="D403" s="577"/>
      <c r="E403" s="400"/>
      <c r="F403" s="541"/>
      <c r="G403" s="246" t="s">
        <v>104</v>
      </c>
      <c r="H403" s="100">
        <f>H332</f>
        <v>6238.8</v>
      </c>
      <c r="I403" s="100">
        <f>I332</f>
        <v>6238.8</v>
      </c>
      <c r="J403" s="100">
        <f>J332</f>
        <v>0</v>
      </c>
      <c r="K403" s="100">
        <f>K332</f>
        <v>0</v>
      </c>
      <c r="L403" s="100"/>
      <c r="M403" s="100"/>
      <c r="N403" s="100"/>
      <c r="O403" s="100"/>
      <c r="P403" s="100"/>
      <c r="Q403" s="100"/>
      <c r="R403" s="537"/>
    </row>
    <row r="404" spans="1:18" ht="27" hidden="1">
      <c r="A404" s="575"/>
      <c r="B404" s="576"/>
      <c r="C404" s="576"/>
      <c r="D404" s="577"/>
      <c r="E404" s="428" t="s">
        <v>79</v>
      </c>
      <c r="F404" s="541"/>
      <c r="G404" s="242" t="s">
        <v>90</v>
      </c>
      <c r="H404" s="99">
        <f>SUM(H405:H410)</f>
        <v>169276.8701573</v>
      </c>
      <c r="I404" s="99">
        <f>SUM(I405:I410)</f>
        <v>69136.47</v>
      </c>
      <c r="J404" s="99">
        <f>SUM(J405:J410)</f>
        <v>54982.242300000005</v>
      </c>
      <c r="K404" s="99">
        <f>SUM(K405:K410)</f>
        <v>45158.157857299993</v>
      </c>
      <c r="L404" s="99"/>
      <c r="M404" s="99"/>
      <c r="N404" s="99"/>
      <c r="O404" s="99"/>
      <c r="P404" s="99"/>
      <c r="Q404" s="99"/>
      <c r="R404" s="537"/>
    </row>
    <row r="405" spans="1:18" ht="46.5" hidden="1">
      <c r="A405" s="575"/>
      <c r="B405" s="576"/>
      <c r="C405" s="576"/>
      <c r="D405" s="577"/>
      <c r="E405" s="428"/>
      <c r="F405" s="541"/>
      <c r="G405" s="246" t="s">
        <v>446</v>
      </c>
      <c r="H405" s="100">
        <f>H295+H320</f>
        <v>13045.62</v>
      </c>
      <c r="I405" s="100">
        <f>I295+I320</f>
        <v>6272.9000000000005</v>
      </c>
      <c r="J405" s="100">
        <f>J295+J320</f>
        <v>3258.8</v>
      </c>
      <c r="K405" s="100">
        <f>K295+K320</f>
        <v>3513.92</v>
      </c>
      <c r="L405" s="100"/>
      <c r="M405" s="100"/>
      <c r="N405" s="100"/>
      <c r="O405" s="100"/>
      <c r="P405" s="100"/>
      <c r="Q405" s="100"/>
      <c r="R405" s="537"/>
    </row>
    <row r="406" spans="1:18" ht="139.5" hidden="1">
      <c r="A406" s="575"/>
      <c r="B406" s="576"/>
      <c r="C406" s="576"/>
      <c r="D406" s="577"/>
      <c r="E406" s="428"/>
      <c r="F406" s="541"/>
      <c r="G406" s="232" t="s">
        <v>207</v>
      </c>
      <c r="H406" s="100">
        <f>H297</f>
        <v>930</v>
      </c>
      <c r="I406" s="100">
        <f>I297</f>
        <v>930</v>
      </c>
      <c r="J406" s="100">
        <f>J297</f>
        <v>0</v>
      </c>
      <c r="K406" s="100">
        <f>K297</f>
        <v>0</v>
      </c>
      <c r="L406" s="100"/>
      <c r="M406" s="100"/>
      <c r="N406" s="100"/>
      <c r="O406" s="100"/>
      <c r="P406" s="100"/>
      <c r="Q406" s="100"/>
      <c r="R406" s="537"/>
    </row>
    <row r="407" spans="1:18" ht="69.75" hidden="1">
      <c r="A407" s="575"/>
      <c r="B407" s="576"/>
      <c r="C407" s="576"/>
      <c r="D407" s="577"/>
      <c r="E407" s="428"/>
      <c r="F407" s="541"/>
      <c r="G407" s="232" t="s">
        <v>96</v>
      </c>
      <c r="H407" s="100">
        <f>H296</f>
        <v>6347.6</v>
      </c>
      <c r="I407" s="100">
        <f>I296</f>
        <v>6347.6</v>
      </c>
      <c r="J407" s="100">
        <f>J296</f>
        <v>0</v>
      </c>
      <c r="K407" s="100">
        <f>K296</f>
        <v>0</v>
      </c>
      <c r="L407" s="100"/>
      <c r="M407" s="100"/>
      <c r="N407" s="100"/>
      <c r="O407" s="100"/>
      <c r="P407" s="100"/>
      <c r="Q407" s="100"/>
      <c r="R407" s="537"/>
    </row>
    <row r="408" spans="1:18" ht="27.75" hidden="1">
      <c r="A408" s="575"/>
      <c r="B408" s="576"/>
      <c r="C408" s="576"/>
      <c r="D408" s="577"/>
      <c r="E408" s="428"/>
      <c r="F408" s="541"/>
      <c r="G408" s="246" t="s">
        <v>87</v>
      </c>
      <c r="H408" s="100">
        <f>H346</f>
        <v>116199.34170620001</v>
      </c>
      <c r="I408" s="100">
        <f>I346</f>
        <v>36775.4</v>
      </c>
      <c r="J408" s="100">
        <f>J346</f>
        <v>38724.496200000001</v>
      </c>
      <c r="K408" s="100">
        <f>K346</f>
        <v>40699.445506199998</v>
      </c>
      <c r="L408" s="100"/>
      <c r="M408" s="100"/>
      <c r="N408" s="100"/>
      <c r="O408" s="100"/>
      <c r="P408" s="100"/>
      <c r="Q408" s="100"/>
      <c r="R408" s="537"/>
    </row>
    <row r="409" spans="1:18" ht="46.5" hidden="1">
      <c r="A409" s="575"/>
      <c r="B409" s="576"/>
      <c r="C409" s="576"/>
      <c r="D409" s="577"/>
      <c r="E409" s="428"/>
      <c r="F409" s="541"/>
      <c r="G409" s="229" t="s">
        <v>450</v>
      </c>
      <c r="H409" s="100">
        <f>H298+H339</f>
        <v>30056.87</v>
      </c>
      <c r="I409" s="100">
        <f>I298+I339</f>
        <v>17956.87</v>
      </c>
      <c r="J409" s="100">
        <f>J298+J339</f>
        <v>12100</v>
      </c>
      <c r="K409" s="100">
        <f>K298+K339</f>
        <v>0</v>
      </c>
      <c r="L409" s="100"/>
      <c r="M409" s="100"/>
      <c r="N409" s="100"/>
      <c r="O409" s="100"/>
      <c r="P409" s="100"/>
      <c r="Q409" s="100"/>
      <c r="R409" s="537"/>
    </row>
    <row r="410" spans="1:18" ht="46.5" hidden="1">
      <c r="A410" s="575"/>
      <c r="B410" s="576"/>
      <c r="C410" s="576"/>
      <c r="D410" s="577"/>
      <c r="E410" s="428"/>
      <c r="F410" s="541"/>
      <c r="G410" s="229" t="s">
        <v>91</v>
      </c>
      <c r="H410" s="100">
        <f>H356</f>
        <v>2697.4384510999998</v>
      </c>
      <c r="I410" s="100">
        <f>I356</f>
        <v>853.7</v>
      </c>
      <c r="J410" s="100">
        <f>J356</f>
        <v>898.9461</v>
      </c>
      <c r="K410" s="100">
        <f>K356</f>
        <v>944.79235109999991</v>
      </c>
      <c r="L410" s="100"/>
      <c r="M410" s="100"/>
      <c r="N410" s="100"/>
      <c r="O410" s="100"/>
      <c r="P410" s="100"/>
      <c r="Q410" s="100"/>
      <c r="R410" s="537"/>
    </row>
    <row r="411" spans="1:18" ht="27" hidden="1">
      <c r="A411" s="575"/>
      <c r="B411" s="576"/>
      <c r="C411" s="576"/>
      <c r="D411" s="577"/>
      <c r="E411" s="428" t="s">
        <v>78</v>
      </c>
      <c r="F411" s="541"/>
      <c r="G411" s="242" t="s">
        <v>90</v>
      </c>
      <c r="H411" s="99">
        <f>SUM(H412:H416)</f>
        <v>55984.484700000001</v>
      </c>
      <c r="I411" s="99">
        <f>SUM(I412:I416)</f>
        <v>18568.599999999999</v>
      </c>
      <c r="J411" s="99">
        <f>SUM(J412:J416)</f>
        <v>18171.800000000003</v>
      </c>
      <c r="K411" s="99">
        <f>SUM(K412:K416)</f>
        <v>19244.084699999999</v>
      </c>
      <c r="L411" s="99"/>
      <c r="M411" s="99"/>
      <c r="N411" s="99"/>
      <c r="O411" s="99"/>
      <c r="P411" s="99"/>
      <c r="Q411" s="99"/>
      <c r="R411" s="537"/>
    </row>
    <row r="412" spans="1:18" ht="46.5" hidden="1">
      <c r="A412" s="575"/>
      <c r="B412" s="576"/>
      <c r="C412" s="576"/>
      <c r="D412" s="577"/>
      <c r="E412" s="428"/>
      <c r="F412" s="541"/>
      <c r="G412" s="246" t="s">
        <v>446</v>
      </c>
      <c r="H412" s="100">
        <f>H300+H321</f>
        <v>26750.7</v>
      </c>
      <c r="I412" s="100">
        <f>I300+I321</f>
        <v>7383</v>
      </c>
      <c r="J412" s="100">
        <f>J300+J321</f>
        <v>9372.1</v>
      </c>
      <c r="K412" s="100">
        <f>K300+K321</f>
        <v>9995.6</v>
      </c>
      <c r="L412" s="100"/>
      <c r="M412" s="100"/>
      <c r="N412" s="100"/>
      <c r="O412" s="100"/>
      <c r="P412" s="100"/>
      <c r="Q412" s="100"/>
      <c r="R412" s="537"/>
    </row>
    <row r="413" spans="1:18" ht="69.75" hidden="1">
      <c r="A413" s="575"/>
      <c r="B413" s="576"/>
      <c r="C413" s="576"/>
      <c r="D413" s="577"/>
      <c r="E413" s="428"/>
      <c r="F413" s="541"/>
      <c r="G413" s="232" t="s">
        <v>96</v>
      </c>
      <c r="H413" s="100">
        <f>H301</f>
        <v>1132.2</v>
      </c>
      <c r="I413" s="100">
        <f>I301</f>
        <v>1132.2</v>
      </c>
      <c r="J413" s="100">
        <f>J301</f>
        <v>0</v>
      </c>
      <c r="K413" s="100">
        <f>K301</f>
        <v>0</v>
      </c>
      <c r="L413" s="100"/>
      <c r="M413" s="100"/>
      <c r="N413" s="100"/>
      <c r="O413" s="100"/>
      <c r="P413" s="100"/>
      <c r="Q413" s="100"/>
      <c r="R413" s="537"/>
    </row>
    <row r="414" spans="1:18" ht="27.75" hidden="1">
      <c r="A414" s="575"/>
      <c r="B414" s="576"/>
      <c r="C414" s="576"/>
      <c r="D414" s="577"/>
      <c r="E414" s="428"/>
      <c r="F414" s="541"/>
      <c r="G414" s="246" t="s">
        <v>87</v>
      </c>
      <c r="H414" s="100">
        <f>H347</f>
        <v>3457.1846999999998</v>
      </c>
      <c r="I414" s="100">
        <f>I347</f>
        <v>1817</v>
      </c>
      <c r="J414" s="100">
        <f>J347</f>
        <v>799.7</v>
      </c>
      <c r="K414" s="100">
        <f>K347</f>
        <v>840.48469999999998</v>
      </c>
      <c r="L414" s="100"/>
      <c r="M414" s="100"/>
      <c r="N414" s="100"/>
      <c r="O414" s="100"/>
      <c r="P414" s="100"/>
      <c r="Q414" s="100"/>
      <c r="R414" s="537"/>
    </row>
    <row r="415" spans="1:18" ht="46.5" hidden="1">
      <c r="A415" s="575"/>
      <c r="B415" s="576"/>
      <c r="C415" s="576"/>
      <c r="D415" s="577"/>
      <c r="E415" s="428"/>
      <c r="F415" s="541"/>
      <c r="G415" s="229" t="s">
        <v>450</v>
      </c>
      <c r="H415" s="100">
        <f>H302</f>
        <v>1250</v>
      </c>
      <c r="I415" s="100">
        <f>I302</f>
        <v>1250</v>
      </c>
      <c r="J415" s="100">
        <f>J302</f>
        <v>0</v>
      </c>
      <c r="K415" s="100">
        <f>K302</f>
        <v>0</v>
      </c>
      <c r="L415" s="100"/>
      <c r="M415" s="100"/>
      <c r="N415" s="100"/>
      <c r="O415" s="100"/>
      <c r="P415" s="100"/>
      <c r="Q415" s="100"/>
      <c r="R415" s="537"/>
    </row>
    <row r="416" spans="1:18" ht="46.5" hidden="1">
      <c r="A416" s="575"/>
      <c r="B416" s="576"/>
      <c r="C416" s="576"/>
      <c r="D416" s="577"/>
      <c r="E416" s="428"/>
      <c r="F416" s="541"/>
      <c r="G416" s="229" t="s">
        <v>91</v>
      </c>
      <c r="H416" s="100">
        <f>H357</f>
        <v>23394.400000000001</v>
      </c>
      <c r="I416" s="100">
        <f>I357</f>
        <v>6986.4</v>
      </c>
      <c r="J416" s="100">
        <f>J357</f>
        <v>8000</v>
      </c>
      <c r="K416" s="100">
        <f>K357</f>
        <v>8408</v>
      </c>
      <c r="L416" s="100"/>
      <c r="M416" s="100"/>
      <c r="N416" s="100"/>
      <c r="O416" s="100"/>
      <c r="P416" s="100"/>
      <c r="Q416" s="100"/>
      <c r="R416" s="537"/>
    </row>
    <row r="417" spans="1:18" ht="27" hidden="1">
      <c r="A417" s="575"/>
      <c r="B417" s="576"/>
      <c r="C417" s="576"/>
      <c r="D417" s="577"/>
      <c r="E417" s="398" t="s">
        <v>80</v>
      </c>
      <c r="F417" s="541"/>
      <c r="G417" s="242" t="s">
        <v>90</v>
      </c>
      <c r="H417" s="99">
        <f>SUM(H418:H420)</f>
        <v>244758.46053449999</v>
      </c>
      <c r="I417" s="99">
        <f>SUM(I418:I420)</f>
        <v>77268.91</v>
      </c>
      <c r="J417" s="99">
        <f>SUM(J418:J420)</f>
        <v>81589.159500000009</v>
      </c>
      <c r="K417" s="99">
        <f>SUM(K418:K420)</f>
        <v>85900.391034499989</v>
      </c>
      <c r="L417" s="99"/>
      <c r="M417" s="99"/>
      <c r="N417" s="99"/>
      <c r="O417" s="99"/>
      <c r="P417" s="99"/>
      <c r="Q417" s="99"/>
      <c r="R417" s="537"/>
    </row>
    <row r="418" spans="1:18" ht="46.5" hidden="1">
      <c r="A418" s="575"/>
      <c r="B418" s="576"/>
      <c r="C418" s="576"/>
      <c r="D418" s="577"/>
      <c r="E418" s="399"/>
      <c r="F418" s="541"/>
      <c r="G418" s="246" t="s">
        <v>446</v>
      </c>
      <c r="H418" s="100">
        <f>H304</f>
        <v>24646.31</v>
      </c>
      <c r="I418" s="100">
        <f t="shared" ref="I418:K419" si="31">I304</f>
        <v>7604.91</v>
      </c>
      <c r="J418" s="100">
        <f t="shared" si="31"/>
        <v>8235.5999999999985</v>
      </c>
      <c r="K418" s="100">
        <f t="shared" si="31"/>
        <v>8805.7999999999993</v>
      </c>
      <c r="L418" s="100"/>
      <c r="M418" s="100"/>
      <c r="N418" s="100"/>
      <c r="O418" s="100"/>
      <c r="P418" s="100"/>
      <c r="Q418" s="100"/>
      <c r="R418" s="537"/>
    </row>
    <row r="419" spans="1:18" ht="186" hidden="1" customHeight="1">
      <c r="A419" s="575"/>
      <c r="B419" s="576"/>
      <c r="C419" s="576"/>
      <c r="D419" s="577"/>
      <c r="E419" s="399"/>
      <c r="F419" s="541"/>
      <c r="G419" s="189" t="s">
        <v>100</v>
      </c>
      <c r="H419" s="100">
        <f>H305</f>
        <v>2.5</v>
      </c>
      <c r="I419" s="100">
        <f t="shared" si="31"/>
        <v>2.5</v>
      </c>
      <c r="J419" s="100">
        <f t="shared" si="31"/>
        <v>0</v>
      </c>
      <c r="K419" s="100">
        <f t="shared" si="31"/>
        <v>0</v>
      </c>
      <c r="L419" s="100"/>
      <c r="M419" s="100"/>
      <c r="N419" s="100"/>
      <c r="O419" s="100"/>
      <c r="P419" s="100"/>
      <c r="Q419" s="100"/>
      <c r="R419" s="537"/>
    </row>
    <row r="420" spans="1:18" ht="27.75" hidden="1">
      <c r="A420" s="575"/>
      <c r="B420" s="576"/>
      <c r="C420" s="576"/>
      <c r="D420" s="577"/>
      <c r="E420" s="400"/>
      <c r="F420" s="541"/>
      <c r="G420" s="156" t="s">
        <v>87</v>
      </c>
      <c r="H420" s="100">
        <f>H348+H350</f>
        <v>220109.65053449999</v>
      </c>
      <c r="I420" s="100">
        <f>I348+I350</f>
        <v>69661.5</v>
      </c>
      <c r="J420" s="100">
        <f>J348+J350</f>
        <v>73353.559500000003</v>
      </c>
      <c r="K420" s="100">
        <f>K348+K350</f>
        <v>77094.591034499987</v>
      </c>
      <c r="L420" s="100"/>
      <c r="M420" s="100"/>
      <c r="N420" s="100"/>
      <c r="O420" s="100"/>
      <c r="P420" s="100"/>
      <c r="Q420" s="100"/>
      <c r="R420" s="537"/>
    </row>
    <row r="421" spans="1:18" ht="27" hidden="1">
      <c r="A421" s="575"/>
      <c r="B421" s="576"/>
      <c r="C421" s="576"/>
      <c r="D421" s="577"/>
      <c r="E421" s="428" t="s">
        <v>81</v>
      </c>
      <c r="F421" s="541"/>
      <c r="G421" s="242" t="s">
        <v>90</v>
      </c>
      <c r="H421" s="99">
        <f>SUM(H422:H423)</f>
        <v>225120.54230000003</v>
      </c>
      <c r="I421" s="99">
        <f>SUM(I422:I423)</f>
        <v>77851.790000000008</v>
      </c>
      <c r="J421" s="99">
        <f>SUM(J422:J423)</f>
        <v>73391.200000000012</v>
      </c>
      <c r="K421" s="99">
        <f>SUM(K422:K423)</f>
        <v>73877.55230000001</v>
      </c>
      <c r="L421" s="99"/>
      <c r="M421" s="99"/>
      <c r="N421" s="99"/>
      <c r="O421" s="99"/>
      <c r="P421" s="99"/>
      <c r="Q421" s="99"/>
      <c r="R421" s="537"/>
    </row>
    <row r="422" spans="1:18" ht="46.5" hidden="1">
      <c r="A422" s="575"/>
      <c r="B422" s="576"/>
      <c r="C422" s="576"/>
      <c r="D422" s="577"/>
      <c r="E422" s="428"/>
      <c r="F422" s="541"/>
      <c r="G422" s="246" t="s">
        <v>446</v>
      </c>
      <c r="H422" s="100">
        <f>H307</f>
        <v>28054.842300000004</v>
      </c>
      <c r="I422" s="100">
        <f>I307</f>
        <v>8442.69</v>
      </c>
      <c r="J422" s="100">
        <f>J307</f>
        <v>9562.9000000000015</v>
      </c>
      <c r="K422" s="100">
        <f>K307</f>
        <v>10049.2523</v>
      </c>
      <c r="L422" s="100"/>
      <c r="M422" s="100"/>
      <c r="N422" s="100"/>
      <c r="O422" s="100"/>
      <c r="P422" s="100"/>
      <c r="Q422" s="100"/>
      <c r="R422" s="537"/>
    </row>
    <row r="423" spans="1:18" ht="27.75" hidden="1">
      <c r="A423" s="575"/>
      <c r="B423" s="576"/>
      <c r="C423" s="576"/>
      <c r="D423" s="577"/>
      <c r="E423" s="428"/>
      <c r="F423" s="541"/>
      <c r="G423" s="156" t="s">
        <v>87</v>
      </c>
      <c r="H423" s="100">
        <f>H349+H351</f>
        <v>197065.7</v>
      </c>
      <c r="I423" s="100">
        <f>I349+I351</f>
        <v>69409.100000000006</v>
      </c>
      <c r="J423" s="100">
        <f>J349+J351</f>
        <v>63828.3</v>
      </c>
      <c r="K423" s="100">
        <f>K349+K351</f>
        <v>63828.3</v>
      </c>
      <c r="L423" s="100"/>
      <c r="M423" s="100"/>
      <c r="N423" s="100"/>
      <c r="O423" s="100"/>
      <c r="P423" s="100"/>
      <c r="Q423" s="100"/>
      <c r="R423" s="537"/>
    </row>
    <row r="424" spans="1:18" ht="54" hidden="1">
      <c r="A424" s="575"/>
      <c r="B424" s="576"/>
      <c r="C424" s="576"/>
      <c r="D424" s="577"/>
      <c r="E424" s="226" t="s">
        <v>425</v>
      </c>
      <c r="F424" s="541"/>
      <c r="G424" s="246" t="s">
        <v>446</v>
      </c>
      <c r="H424" s="99">
        <f>H308</f>
        <v>3000</v>
      </c>
      <c r="I424" s="99">
        <f>I308</f>
        <v>3000</v>
      </c>
      <c r="J424" s="99">
        <f>J308</f>
        <v>0</v>
      </c>
      <c r="K424" s="99">
        <f>K308</f>
        <v>0</v>
      </c>
      <c r="L424" s="99"/>
      <c r="M424" s="99"/>
      <c r="N424" s="99"/>
      <c r="O424" s="99"/>
      <c r="P424" s="99"/>
      <c r="Q424" s="99"/>
      <c r="R424" s="537"/>
    </row>
    <row r="425" spans="1:18" ht="27" hidden="1">
      <c r="A425" s="575"/>
      <c r="B425" s="576"/>
      <c r="C425" s="576"/>
      <c r="D425" s="577"/>
      <c r="E425" s="428" t="s">
        <v>54</v>
      </c>
      <c r="F425" s="541"/>
      <c r="G425" s="242" t="s">
        <v>90</v>
      </c>
      <c r="H425" s="99">
        <f>SUM(H426:H431)</f>
        <v>81027.418999999994</v>
      </c>
      <c r="I425" s="99">
        <f>SUM(I426:I431)</f>
        <v>52752.919000000009</v>
      </c>
      <c r="J425" s="99">
        <f>SUM(J426:J431)</f>
        <v>25286.799999999999</v>
      </c>
      <c r="K425" s="99">
        <f>SUM(K426:K431)</f>
        <v>2987.7</v>
      </c>
      <c r="L425" s="99"/>
      <c r="M425" s="99"/>
      <c r="N425" s="99"/>
      <c r="O425" s="99"/>
      <c r="P425" s="99"/>
      <c r="Q425" s="99"/>
      <c r="R425" s="537"/>
    </row>
    <row r="426" spans="1:18" ht="46.5" hidden="1">
      <c r="A426" s="575"/>
      <c r="B426" s="576"/>
      <c r="C426" s="576"/>
      <c r="D426" s="577"/>
      <c r="E426" s="428"/>
      <c r="F426" s="541"/>
      <c r="G426" s="246" t="s">
        <v>446</v>
      </c>
      <c r="H426" s="100">
        <f>H310</f>
        <v>25819.200000000001</v>
      </c>
      <c r="I426" s="100">
        <f>I310</f>
        <v>17282.2</v>
      </c>
      <c r="J426" s="100">
        <f>J310</f>
        <v>5549.3</v>
      </c>
      <c r="K426" s="100">
        <f>K310</f>
        <v>2987.7</v>
      </c>
      <c r="L426" s="100"/>
      <c r="M426" s="100"/>
      <c r="N426" s="100"/>
      <c r="O426" s="100"/>
      <c r="P426" s="100"/>
      <c r="Q426" s="100"/>
      <c r="R426" s="537"/>
    </row>
    <row r="427" spans="1:18" ht="139.5" hidden="1" customHeight="1">
      <c r="A427" s="575"/>
      <c r="B427" s="576"/>
      <c r="C427" s="576"/>
      <c r="D427" s="577"/>
      <c r="E427" s="428"/>
      <c r="F427" s="541"/>
      <c r="G427" s="232" t="s">
        <v>99</v>
      </c>
      <c r="H427" s="100">
        <f>H312</f>
        <v>1490.1</v>
      </c>
      <c r="I427" s="100">
        <f>I312</f>
        <v>1490.1</v>
      </c>
      <c r="J427" s="100">
        <f>J312</f>
        <v>0</v>
      </c>
      <c r="K427" s="100">
        <f>K312</f>
        <v>0</v>
      </c>
      <c r="L427" s="100"/>
      <c r="M427" s="100"/>
      <c r="N427" s="100"/>
      <c r="O427" s="100"/>
      <c r="P427" s="100"/>
      <c r="Q427" s="100"/>
      <c r="R427" s="537"/>
    </row>
    <row r="428" spans="1:18" ht="186" hidden="1" customHeight="1">
      <c r="A428" s="575"/>
      <c r="B428" s="576"/>
      <c r="C428" s="576"/>
      <c r="D428" s="577"/>
      <c r="E428" s="428"/>
      <c r="F428" s="541"/>
      <c r="G428" s="189" t="s">
        <v>100</v>
      </c>
      <c r="H428" s="100">
        <f>H311</f>
        <v>6609.6190000000006</v>
      </c>
      <c r="I428" s="100">
        <f>I311</f>
        <v>6609.6190000000006</v>
      </c>
      <c r="J428" s="100">
        <f>J311</f>
        <v>0</v>
      </c>
      <c r="K428" s="100">
        <f>K311</f>
        <v>0</v>
      </c>
      <c r="L428" s="100"/>
      <c r="M428" s="100"/>
      <c r="N428" s="100"/>
      <c r="O428" s="100"/>
      <c r="P428" s="100"/>
      <c r="Q428" s="100"/>
      <c r="R428" s="537"/>
    </row>
    <row r="429" spans="1:18" ht="69.75" hidden="1">
      <c r="A429" s="575"/>
      <c r="B429" s="576"/>
      <c r="C429" s="576"/>
      <c r="D429" s="577"/>
      <c r="E429" s="428"/>
      <c r="F429" s="541"/>
      <c r="G429" s="233" t="s">
        <v>413</v>
      </c>
      <c r="H429" s="100">
        <f>H262</f>
        <v>799.7</v>
      </c>
      <c r="I429" s="100">
        <f>I262</f>
        <v>799.7</v>
      </c>
      <c r="J429" s="100">
        <f>J262</f>
        <v>0</v>
      </c>
      <c r="K429" s="100">
        <f>K262</f>
        <v>0</v>
      </c>
      <c r="L429" s="100"/>
      <c r="M429" s="100"/>
      <c r="N429" s="100"/>
      <c r="O429" s="100"/>
      <c r="P429" s="100"/>
      <c r="Q429" s="100"/>
      <c r="R429" s="537"/>
    </row>
    <row r="430" spans="1:18" ht="93" hidden="1">
      <c r="A430" s="575"/>
      <c r="B430" s="576"/>
      <c r="C430" s="576"/>
      <c r="D430" s="577"/>
      <c r="E430" s="428"/>
      <c r="F430" s="541"/>
      <c r="G430" s="229" t="s">
        <v>415</v>
      </c>
      <c r="H430" s="100">
        <f>H334</f>
        <v>6848</v>
      </c>
      <c r="I430" s="100">
        <f>I334</f>
        <v>6848</v>
      </c>
      <c r="J430" s="100">
        <f>J334</f>
        <v>0</v>
      </c>
      <c r="K430" s="100">
        <f>K334</f>
        <v>0</v>
      </c>
      <c r="L430" s="100"/>
      <c r="M430" s="100"/>
      <c r="N430" s="100"/>
      <c r="O430" s="100"/>
      <c r="P430" s="100"/>
      <c r="Q430" s="100"/>
      <c r="R430" s="537"/>
    </row>
    <row r="431" spans="1:18" ht="46.5" hidden="1">
      <c r="A431" s="578"/>
      <c r="B431" s="579"/>
      <c r="C431" s="579"/>
      <c r="D431" s="580"/>
      <c r="E431" s="428"/>
      <c r="F431" s="541"/>
      <c r="G431" s="229" t="s">
        <v>450</v>
      </c>
      <c r="H431" s="100">
        <f>H314</f>
        <v>39460.800000000003</v>
      </c>
      <c r="I431" s="100">
        <f>I314</f>
        <v>19723.3</v>
      </c>
      <c r="J431" s="100">
        <f>J314</f>
        <v>19737.5</v>
      </c>
      <c r="K431" s="100">
        <f>K314</f>
        <v>0</v>
      </c>
      <c r="L431" s="100"/>
      <c r="M431" s="100"/>
      <c r="N431" s="100"/>
      <c r="O431" s="100"/>
      <c r="P431" s="100"/>
      <c r="Q431" s="100"/>
      <c r="R431" s="537"/>
    </row>
    <row r="432" spans="1:18" ht="75" customHeight="1">
      <c r="Q432" s="200"/>
    </row>
    <row r="433" spans="1:18" ht="35.25">
      <c r="A433" s="96"/>
      <c r="B433" s="92" t="s">
        <v>454</v>
      </c>
      <c r="C433" s="274"/>
      <c r="D433" s="94"/>
      <c r="E433" s="94"/>
      <c r="F433" s="96"/>
      <c r="G433" s="127"/>
      <c r="H433" s="127"/>
      <c r="I433" s="96" t="s">
        <v>455</v>
      </c>
      <c r="J433" s="127"/>
      <c r="K433" s="127"/>
      <c r="L433" s="127"/>
      <c r="M433" s="127"/>
      <c r="N433" s="127"/>
      <c r="O433" s="127"/>
      <c r="P433" s="127"/>
      <c r="Q433" s="127" t="s">
        <v>455</v>
      </c>
    </row>
    <row r="434" spans="1:18" ht="27.75">
      <c r="H434" s="200"/>
    </row>
    <row r="435" spans="1:18" ht="35.25">
      <c r="A435" s="275" t="s">
        <v>28</v>
      </c>
      <c r="B435" s="92"/>
      <c r="C435" s="274"/>
    </row>
    <row r="437" spans="1:18" s="92" customFormat="1" ht="35.25">
      <c r="C437" s="93"/>
      <c r="D437" s="94"/>
      <c r="F437" s="95"/>
      <c r="G437" s="95"/>
      <c r="H437" s="95"/>
      <c r="I437" s="96"/>
      <c r="J437" s="95"/>
      <c r="K437" s="127"/>
      <c r="L437" s="127"/>
      <c r="M437" s="127"/>
      <c r="N437" s="127"/>
      <c r="O437" s="127"/>
      <c r="P437" s="127"/>
      <c r="Q437" s="127"/>
      <c r="R437" s="201"/>
    </row>
    <row r="438" spans="1:18" ht="27.75">
      <c r="A438" s="29"/>
      <c r="B438" s="29"/>
      <c r="C438" s="35"/>
      <c r="D438" s="30"/>
      <c r="E438" s="36"/>
      <c r="F438" s="31"/>
      <c r="G438" s="28"/>
      <c r="H438" s="31"/>
      <c r="I438" s="32"/>
      <c r="J438" s="31"/>
    </row>
    <row r="439" spans="1:18" ht="27.75">
      <c r="A439" s="29"/>
      <c r="B439" s="29"/>
      <c r="C439" s="35"/>
      <c r="D439" s="30"/>
      <c r="E439" s="36"/>
      <c r="F439" s="31"/>
      <c r="G439" s="28"/>
      <c r="H439" s="31"/>
      <c r="I439" s="32"/>
      <c r="J439" s="31"/>
    </row>
    <row r="440" spans="1:18" ht="27.75">
      <c r="A440" s="29"/>
      <c r="B440" s="29"/>
      <c r="C440" s="35"/>
      <c r="D440" s="30"/>
      <c r="E440" s="36"/>
      <c r="F440" s="31"/>
      <c r="G440" s="28"/>
      <c r="H440" s="31"/>
      <c r="I440" s="32"/>
      <c r="J440" s="31"/>
    </row>
    <row r="441" spans="1:18" ht="27.75">
      <c r="A441" s="97"/>
      <c r="B441" s="29"/>
      <c r="D441" s="30"/>
      <c r="E441" s="36"/>
      <c r="F441" s="31"/>
      <c r="G441" s="28"/>
      <c r="H441" s="31"/>
      <c r="I441" s="31"/>
      <c r="J441" s="31"/>
    </row>
  </sheetData>
  <mergeCells count="286">
    <mergeCell ref="R53:R54"/>
    <mergeCell ref="R25:R37"/>
    <mergeCell ref="R22:R24"/>
    <mergeCell ref="R103:R108"/>
    <mergeCell ref="R81:R101"/>
    <mergeCell ref="R73:R80"/>
    <mergeCell ref="R68:R70"/>
    <mergeCell ref="R59:R63"/>
    <mergeCell ref="R55:R58"/>
    <mergeCell ref="R38:R42"/>
    <mergeCell ref="R155:R160"/>
    <mergeCell ref="R152:R154"/>
    <mergeCell ref="R119:R147"/>
    <mergeCell ref="R116:R118"/>
    <mergeCell ref="R112:R115"/>
    <mergeCell ref="R109:R111"/>
    <mergeCell ref="R245:R263"/>
    <mergeCell ref="R198:R206"/>
    <mergeCell ref="R175:R191"/>
    <mergeCell ref="R169:R174"/>
    <mergeCell ref="R165:R168"/>
    <mergeCell ref="R161:R163"/>
    <mergeCell ref="R207:R209"/>
    <mergeCell ref="A148:R148"/>
    <mergeCell ref="A149:A174"/>
    <mergeCell ref="B149:B174"/>
    <mergeCell ref="C149:C151"/>
    <mergeCell ref="D149:G149"/>
    <mergeCell ref="R149:R151"/>
    <mergeCell ref="F150:F151"/>
    <mergeCell ref="G150:G151"/>
    <mergeCell ref="C152:C154"/>
    <mergeCell ref="A245:G245"/>
    <mergeCell ref="A246:F248"/>
    <mergeCell ref="R264:R272"/>
    <mergeCell ref="E411:E416"/>
    <mergeCell ref="E417:E420"/>
    <mergeCell ref="E421:E423"/>
    <mergeCell ref="B341:E341"/>
    <mergeCell ref="A342:D351"/>
    <mergeCell ref="G342:G351"/>
    <mergeCell ref="B333:F333"/>
    <mergeCell ref="A334:D334"/>
    <mergeCell ref="B335:F335"/>
    <mergeCell ref="A336:D336"/>
    <mergeCell ref="G336:G340"/>
    <mergeCell ref="A337:D339"/>
    <mergeCell ref="B322:F322"/>
    <mergeCell ref="A323:D330"/>
    <mergeCell ref="E327:E330"/>
    <mergeCell ref="F327:F329"/>
    <mergeCell ref="B331:F331"/>
    <mergeCell ref="A332:D332"/>
    <mergeCell ref="A315:R315"/>
    <mergeCell ref="B316:F316"/>
    <mergeCell ref="R316:R321"/>
    <mergeCell ref="A317:D321"/>
    <mergeCell ref="F317:F321"/>
    <mergeCell ref="G317:G321"/>
    <mergeCell ref="E425:E431"/>
    <mergeCell ref="R358:R431"/>
    <mergeCell ref="R352:R357"/>
    <mergeCell ref="A358:F358"/>
    <mergeCell ref="A359:F372"/>
    <mergeCell ref="A373:D431"/>
    <mergeCell ref="E373:E381"/>
    <mergeCell ref="F373:F431"/>
    <mergeCell ref="E382:E387"/>
    <mergeCell ref="E388:E394"/>
    <mergeCell ref="E395:E403"/>
    <mergeCell ref="E404:E410"/>
    <mergeCell ref="A353:D357"/>
    <mergeCell ref="F353:F357"/>
    <mergeCell ref="G353:G357"/>
    <mergeCell ref="R341:R351"/>
    <mergeCell ref="R335:R339"/>
    <mergeCell ref="R333:R334"/>
    <mergeCell ref="R331:R332"/>
    <mergeCell ref="R327:R330"/>
    <mergeCell ref="B352:C352"/>
    <mergeCell ref="A264:F264"/>
    <mergeCell ref="A265:F272"/>
    <mergeCell ref="A273:D314"/>
    <mergeCell ref="E273:E279"/>
    <mergeCell ref="F273:F314"/>
    <mergeCell ref="E280:E283"/>
    <mergeCell ref="E284:E288"/>
    <mergeCell ref="E289:E293"/>
    <mergeCell ref="E294:E298"/>
    <mergeCell ref="E299:E302"/>
    <mergeCell ref="E303:E305"/>
    <mergeCell ref="E306:E307"/>
    <mergeCell ref="E309:E314"/>
    <mergeCell ref="A249:D263"/>
    <mergeCell ref="E249:E251"/>
    <mergeCell ref="F249:F263"/>
    <mergeCell ref="G252:G253"/>
    <mergeCell ref="E254:E256"/>
    <mergeCell ref="E257:E259"/>
    <mergeCell ref="E261:E263"/>
    <mergeCell ref="F232:F235"/>
    <mergeCell ref="G232:G235"/>
    <mergeCell ref="C236:C242"/>
    <mergeCell ref="D236:G236"/>
    <mergeCell ref="F237:F244"/>
    <mergeCell ref="G237:G243"/>
    <mergeCell ref="A221:R221"/>
    <mergeCell ref="A222:A244"/>
    <mergeCell ref="B222:B244"/>
    <mergeCell ref="C222:C234"/>
    <mergeCell ref="D222:G222"/>
    <mergeCell ref="R222:R243"/>
    <mergeCell ref="D223:G223"/>
    <mergeCell ref="F224:F230"/>
    <mergeCell ref="G224:G230"/>
    <mergeCell ref="D231:G231"/>
    <mergeCell ref="A208:F209"/>
    <mergeCell ref="A210:F210"/>
    <mergeCell ref="R210:R220"/>
    <mergeCell ref="A211:B211"/>
    <mergeCell ref="A213:D220"/>
    <mergeCell ref="E213:E215"/>
    <mergeCell ref="F213:F220"/>
    <mergeCell ref="G216:G220"/>
    <mergeCell ref="B195:D195"/>
    <mergeCell ref="A197:A207"/>
    <mergeCell ref="B197:B206"/>
    <mergeCell ref="C198:C206"/>
    <mergeCell ref="D198:G198"/>
    <mergeCell ref="D200:G200"/>
    <mergeCell ref="F201:F206"/>
    <mergeCell ref="G201:G206"/>
    <mergeCell ref="B207:D207"/>
    <mergeCell ref="E187:F187"/>
    <mergeCell ref="E188:F191"/>
    <mergeCell ref="A192:R192"/>
    <mergeCell ref="A193:A194"/>
    <mergeCell ref="B193:B194"/>
    <mergeCell ref="A175:F175"/>
    <mergeCell ref="A176:B176"/>
    <mergeCell ref="A179:D191"/>
    <mergeCell ref="E179:F181"/>
    <mergeCell ref="E182:F182"/>
    <mergeCell ref="G182:G187"/>
    <mergeCell ref="E183:F183"/>
    <mergeCell ref="E184:F184"/>
    <mergeCell ref="E185:F185"/>
    <mergeCell ref="E170:E171"/>
    <mergeCell ref="F170:F174"/>
    <mergeCell ref="G172:G174"/>
    <mergeCell ref="C165:C168"/>
    <mergeCell ref="D165:G165"/>
    <mergeCell ref="D166:D168"/>
    <mergeCell ref="E166:E168"/>
    <mergeCell ref="F166:F168"/>
    <mergeCell ref="E186:F186"/>
    <mergeCell ref="C169:C174"/>
    <mergeCell ref="D169:G169"/>
    <mergeCell ref="D170:D171"/>
    <mergeCell ref="C161:C163"/>
    <mergeCell ref="D161:G161"/>
    <mergeCell ref="D162:D163"/>
    <mergeCell ref="F162:F163"/>
    <mergeCell ref="G162:G163"/>
    <mergeCell ref="D152:G152"/>
    <mergeCell ref="F153:F154"/>
    <mergeCell ref="G153:G154"/>
    <mergeCell ref="C156:C159"/>
    <mergeCell ref="D156:G156"/>
    <mergeCell ref="F157:F160"/>
    <mergeCell ref="G157:G160"/>
    <mergeCell ref="A119:G119"/>
    <mergeCell ref="A120:F123"/>
    <mergeCell ref="A124:D147"/>
    <mergeCell ref="E124:E128"/>
    <mergeCell ref="F124:F147"/>
    <mergeCell ref="E129:E131"/>
    <mergeCell ref="E132:E135"/>
    <mergeCell ref="E136:E138"/>
    <mergeCell ref="E139:E141"/>
    <mergeCell ref="E142:E144"/>
    <mergeCell ref="E113:E114"/>
    <mergeCell ref="F113:F115"/>
    <mergeCell ref="A116:D118"/>
    <mergeCell ref="E116:E118"/>
    <mergeCell ref="F116:F118"/>
    <mergeCell ref="A109:D111"/>
    <mergeCell ref="E109:E111"/>
    <mergeCell ref="F109:F111"/>
    <mergeCell ref="A112:A115"/>
    <mergeCell ref="B112:B115"/>
    <mergeCell ref="C112:C114"/>
    <mergeCell ref="D112:G112"/>
    <mergeCell ref="D113:D114"/>
    <mergeCell ref="A103:A108"/>
    <mergeCell ref="B103:B108"/>
    <mergeCell ref="C103:C105"/>
    <mergeCell ref="D103:G103"/>
    <mergeCell ref="D104:D105"/>
    <mergeCell ref="E104:E105"/>
    <mergeCell ref="F104:F108"/>
    <mergeCell ref="A81:D102"/>
    <mergeCell ref="E81:F85"/>
    <mergeCell ref="E86:F86"/>
    <mergeCell ref="E87:F91"/>
    <mergeCell ref="E92:F94"/>
    <mergeCell ref="E95:F98"/>
    <mergeCell ref="E99:F101"/>
    <mergeCell ref="E102:F102"/>
    <mergeCell ref="D73:E73"/>
    <mergeCell ref="C55:C58"/>
    <mergeCell ref="D55:G55"/>
    <mergeCell ref="F56:F58"/>
    <mergeCell ref="G56:G58"/>
    <mergeCell ref="C59:C63"/>
    <mergeCell ref="D59:G59"/>
    <mergeCell ref="F60:F63"/>
    <mergeCell ref="G60:G63"/>
    <mergeCell ref="F39:F42"/>
    <mergeCell ref="G39:G42"/>
    <mergeCell ref="C43:C48"/>
    <mergeCell ref="D43:G43"/>
    <mergeCell ref="R43:R48"/>
    <mergeCell ref="D44:D45"/>
    <mergeCell ref="E44:E45"/>
    <mergeCell ref="F44:F48"/>
    <mergeCell ref="G46:G48"/>
    <mergeCell ref="F27:F37"/>
    <mergeCell ref="G27:G30"/>
    <mergeCell ref="D33:E33"/>
    <mergeCell ref="G33:G37"/>
    <mergeCell ref="C38:C42"/>
    <mergeCell ref="D38:G38"/>
    <mergeCell ref="A22:D24"/>
    <mergeCell ref="E22:G22"/>
    <mergeCell ref="F23:F24"/>
    <mergeCell ref="G23:G24"/>
    <mergeCell ref="A25:A70"/>
    <mergeCell ref="B25:B70"/>
    <mergeCell ref="C25:C37"/>
    <mergeCell ref="D25:G25"/>
    <mergeCell ref="C52:C54"/>
    <mergeCell ref="D52:G52"/>
    <mergeCell ref="D53:D54"/>
    <mergeCell ref="E53:E54"/>
    <mergeCell ref="F53:F54"/>
    <mergeCell ref="C68:C70"/>
    <mergeCell ref="D68:G68"/>
    <mergeCell ref="F69:F80"/>
    <mergeCell ref="G69:G80"/>
    <mergeCell ref="C73:C74"/>
    <mergeCell ref="A9:R9"/>
    <mergeCell ref="A10:A21"/>
    <mergeCell ref="B10:B21"/>
    <mergeCell ref="C10:C12"/>
    <mergeCell ref="D10:G10"/>
    <mergeCell ref="R10:R15"/>
    <mergeCell ref="F11:F12"/>
    <mergeCell ref="G11:G12"/>
    <mergeCell ref="F17:F18"/>
    <mergeCell ref="G17:G18"/>
    <mergeCell ref="C19:C21"/>
    <mergeCell ref="D19:G19"/>
    <mergeCell ref="F20:F21"/>
    <mergeCell ref="G20:G21"/>
    <mergeCell ref="C13:C15"/>
    <mergeCell ref="D13:G13"/>
    <mergeCell ref="F14:F15"/>
    <mergeCell ref="G14:G15"/>
    <mergeCell ref="C16:C18"/>
    <mergeCell ref="D16:G16"/>
    <mergeCell ref="R16:R18"/>
    <mergeCell ref="A3:R3"/>
    <mergeCell ref="A5:A7"/>
    <mergeCell ref="B5:B7"/>
    <mergeCell ref="C5:C7"/>
    <mergeCell ref="D5:D7"/>
    <mergeCell ref="E5:E7"/>
    <mergeCell ref="F5:F7"/>
    <mergeCell ref="G5:G7"/>
    <mergeCell ref="H5:K5"/>
    <mergeCell ref="R5:R7"/>
    <mergeCell ref="H6:H7"/>
    <mergeCell ref="I6:K6"/>
    <mergeCell ref="L5:N6"/>
    <mergeCell ref="O5:Q6"/>
  </mergeCells>
  <pageMargins left="0.70866141732283472" right="0.31496062992125984" top="0.35433070866141736" bottom="0.19685039370078741" header="0.31496062992125984" footer="0.31496062992125984"/>
  <pageSetup paperSize="9" scale="3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 2</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2021-02-08T07:51:23Z</cp:lastPrinted>
  <dcterms:created xsi:type="dcterms:W3CDTF">1996-10-08T23:32:33Z</dcterms:created>
  <dcterms:modified xsi:type="dcterms:W3CDTF">2021-02-08T14:43:54Z</dcterms:modified>
</cp:coreProperties>
</file>