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0" yWindow="0" windowWidth="19440" windowHeight="11760" firstSheet="1" activeTab="1"/>
  </bookViews>
  <sheets>
    <sheet name="Додаток 1" sheetId="10" state="hidden" r:id="rId1"/>
    <sheet name="Додаток 2" sheetId="24" r:id="rId2"/>
    <sheet name="Додаток 3" sheetId="25" r:id="rId3"/>
    <sheet name="Додаток 4" sheetId="14" r:id="rId4"/>
    <sheet name="порівняльна" sheetId="27" r:id="rId5"/>
  </sheets>
  <externalReferences>
    <externalReference r:id="rId6"/>
  </externalReferences>
  <definedNames>
    <definedName name="_xlnm._FilterDatabase" localSheetId="2" hidden="1">'Додаток 3'!$A$7:$L$442</definedName>
    <definedName name="_xlnm.Print_Titles" localSheetId="2">'Додаток 3'!$7:$10</definedName>
    <definedName name="_xlnm.Print_Titles" localSheetId="3">'Додаток 4'!$7:$11</definedName>
    <definedName name="_xlnm.Print_Area" localSheetId="0">'Додаток 1'!$A$1:$C$28</definedName>
    <definedName name="_xlnm.Print_Area" localSheetId="1">'Додаток 2'!$A$1:$I$28</definedName>
    <definedName name="_xlnm.Print_Area" localSheetId="2">'Додаток 3'!$A$2:$L$445</definedName>
    <definedName name="_xlnm.Print_Area" localSheetId="3">'Додаток 4'!$A$1:$K$366</definedName>
    <definedName name="_xlnm.Print_Area" localSheetId="4">порівняльна!$A$1:$I$24</definedName>
  </definedNames>
  <calcPr calcId="125725"/>
</workbook>
</file>

<file path=xl/calcChain.xml><?xml version="1.0" encoding="utf-8"?>
<calcChain xmlns="http://schemas.openxmlformats.org/spreadsheetml/2006/main">
  <c r="F18" i="27"/>
  <c r="K18"/>
  <c r="F17"/>
  <c r="F14"/>
  <c r="F13"/>
  <c r="F12"/>
  <c r="F16"/>
  <c r="F15"/>
  <c r="F11"/>
  <c r="F10"/>
  <c r="F9"/>
  <c r="J31" i="25"/>
  <c r="F8" i="27"/>
  <c r="F21" i="14"/>
  <c r="G21"/>
  <c r="D21"/>
  <c r="G19"/>
  <c r="J35" i="25"/>
  <c r="J249"/>
  <c r="J252"/>
  <c r="J14"/>
  <c r="J233"/>
  <c r="J206"/>
  <c r="J247"/>
  <c r="J235"/>
  <c r="J253"/>
  <c r="H347" i="14"/>
  <c r="I108" i="25"/>
  <c r="I147" s="1"/>
  <c r="I107"/>
  <c r="I146" s="1"/>
  <c r="I90"/>
  <c r="I130" s="1"/>
  <c r="I43"/>
  <c r="H37"/>
  <c r="H108" s="1"/>
  <c r="H147" s="1"/>
  <c r="J234" l="1"/>
  <c r="J32"/>
  <c r="J248" l="1"/>
  <c r="J246"/>
  <c r="I340"/>
  <c r="J381"/>
  <c r="J240"/>
  <c r="E347" i="14"/>
  <c r="D76"/>
  <c r="C76"/>
  <c r="G280" l="1"/>
  <c r="E349" l="1"/>
  <c r="I33" i="25" l="1"/>
  <c r="I214" l="1"/>
  <c r="I34"/>
  <c r="I47"/>
  <c r="I202" i="14"/>
  <c r="F202"/>
  <c r="D150"/>
  <c r="D149"/>
  <c r="F211"/>
  <c r="F347"/>
  <c r="F349"/>
  <c r="C349"/>
  <c r="C347"/>
  <c r="F348"/>
  <c r="J302"/>
  <c r="G302"/>
  <c r="D302"/>
  <c r="J274"/>
  <c r="I274" s="1"/>
  <c r="I271"/>
  <c r="I263"/>
  <c r="F271"/>
  <c r="F263"/>
  <c r="D274"/>
  <c r="D270"/>
  <c r="G274"/>
  <c r="F274" s="1"/>
  <c r="G265"/>
  <c r="J265" s="1"/>
  <c r="D227"/>
  <c r="D226"/>
  <c r="D225"/>
  <c r="J225"/>
  <c r="J219"/>
  <c r="J227" s="1"/>
  <c r="J218"/>
  <c r="J226" s="1"/>
  <c r="G227"/>
  <c r="G226"/>
  <c r="G225"/>
  <c r="F175"/>
  <c r="F174"/>
  <c r="G177"/>
  <c r="F177" s="1"/>
  <c r="I166"/>
  <c r="F166"/>
  <c r="J160"/>
  <c r="G160"/>
  <c r="D160"/>
  <c r="G124"/>
  <c r="F124"/>
  <c r="D118"/>
  <c r="D100"/>
  <c r="G100"/>
  <c r="D91"/>
  <c r="D90"/>
  <c r="D89"/>
  <c r="D88"/>
  <c r="J76"/>
  <c r="G76"/>
  <c r="J62"/>
  <c r="G62"/>
  <c r="C35"/>
  <c r="J35"/>
  <c r="J34"/>
  <c r="G35"/>
  <c r="D35"/>
  <c r="F195"/>
  <c r="F196"/>
  <c r="F182"/>
  <c r="F183"/>
  <c r="F49"/>
  <c r="F50"/>
  <c r="I193" l="1"/>
  <c r="C193"/>
  <c r="G193"/>
  <c r="G180"/>
  <c r="I47"/>
  <c r="C47"/>
  <c r="F193" l="1"/>
  <c r="B193" s="1"/>
  <c r="G198"/>
  <c r="F198" s="1"/>
  <c r="F180"/>
  <c r="G185"/>
  <c r="F185" s="1"/>
  <c r="H116" i="25"/>
  <c r="J79"/>
  <c r="J110"/>
  <c r="J117" s="1"/>
  <c r="J94"/>
  <c r="J133" s="1"/>
  <c r="J102"/>
  <c r="J99"/>
  <c r="J138" s="1"/>
  <c r="I79"/>
  <c r="K79"/>
  <c r="K29"/>
  <c r="K28"/>
  <c r="J29"/>
  <c r="J28"/>
  <c r="J24"/>
  <c r="G47" i="14" s="1"/>
  <c r="F47" s="1"/>
  <c r="B47" s="1"/>
  <c r="K24" i="25"/>
  <c r="I24"/>
  <c r="J21"/>
  <c r="H26"/>
  <c r="H25"/>
  <c r="J73"/>
  <c r="H24" l="1"/>
  <c r="G52" i="14"/>
  <c r="F52" s="1"/>
  <c r="J118" i="25"/>
  <c r="J149" s="1"/>
  <c r="I219" i="14"/>
  <c r="I227" s="1"/>
  <c r="G38" l="1"/>
  <c r="B180" l="1"/>
  <c r="F171"/>
  <c r="B171" s="1"/>
  <c r="I65" i="25" l="1"/>
  <c r="F38" i="14"/>
  <c r="C38"/>
  <c r="G79" l="1"/>
  <c r="J319"/>
  <c r="I319" s="1"/>
  <c r="G319"/>
  <c r="G323" s="1"/>
  <c r="F319" l="1"/>
  <c r="F323" s="1"/>
  <c r="I243" i="25"/>
  <c r="I242"/>
  <c r="I241"/>
  <c r="I255" s="1"/>
  <c r="I279" s="1"/>
  <c r="I240" l="1"/>
  <c r="J250" l="1"/>
  <c r="J245"/>
  <c r="H345" i="14" s="1"/>
  <c r="J238" i="25"/>
  <c r="J237"/>
  <c r="J236"/>
  <c r="I171"/>
  <c r="I390"/>
  <c r="J232" l="1"/>
  <c r="J231" s="1"/>
  <c r="J254" s="1"/>
  <c r="J106"/>
  <c r="K332"/>
  <c r="J337"/>
  <c r="J331" s="1"/>
  <c r="K205" l="1"/>
  <c r="K121"/>
  <c r="J121"/>
  <c r="J309" s="1"/>
  <c r="K330"/>
  <c r="J330"/>
  <c r="J170"/>
  <c r="I246"/>
  <c r="I247"/>
  <c r="I237"/>
  <c r="I236"/>
  <c r="I179"/>
  <c r="I182"/>
  <c r="I181"/>
  <c r="I113"/>
  <c r="I111"/>
  <c r="I110" s="1"/>
  <c r="I32"/>
  <c r="I31" s="1"/>
  <c r="I70"/>
  <c r="J423" l="1"/>
  <c r="I17"/>
  <c r="J90" l="1"/>
  <c r="K90"/>
  <c r="J91"/>
  <c r="K91"/>
  <c r="K21"/>
  <c r="J38" i="14" s="1"/>
  <c r="I38" s="1"/>
  <c r="B38" s="1"/>
  <c r="I21" i="25"/>
  <c r="H21" s="1"/>
  <c r="H22"/>
  <c r="J18"/>
  <c r="G29" i="14" s="1"/>
  <c r="H23" i="25"/>
  <c r="G188" i="14"/>
  <c r="G190" s="1"/>
  <c r="J65" i="25" l="1"/>
  <c r="J49"/>
  <c r="J44"/>
  <c r="G60" i="14" s="1"/>
  <c r="F62" s="1"/>
  <c r="J39" i="25"/>
  <c r="J15"/>
  <c r="G24" i="14" s="1"/>
  <c r="G26" s="1"/>
  <c r="J12" i="25"/>
  <c r="J190"/>
  <c r="J283" s="1"/>
  <c r="J325"/>
  <c r="J195"/>
  <c r="I195"/>
  <c r="I118"/>
  <c r="I74"/>
  <c r="J74"/>
  <c r="K74"/>
  <c r="H77"/>
  <c r="J120"/>
  <c r="K120"/>
  <c r="J165"/>
  <c r="J158"/>
  <c r="H85"/>
  <c r="H86"/>
  <c r="H81"/>
  <c r="H82"/>
  <c r="H83"/>
  <c r="H244"/>
  <c r="J89" l="1"/>
  <c r="J30"/>
  <c r="G55" i="14" s="1"/>
  <c r="G57" s="1"/>
  <c r="J27" i="25"/>
  <c r="I238"/>
  <c r="I206"/>
  <c r="K331" l="1"/>
  <c r="H332"/>
  <c r="H333"/>
  <c r="I234"/>
  <c r="H212"/>
  <c r="H80"/>
  <c r="H79" s="1"/>
  <c r="H78"/>
  <c r="I248" l="1"/>
  <c r="I44" l="1"/>
  <c r="I102" l="1"/>
  <c r="K366" l="1"/>
  <c r="K356"/>
  <c r="I121"/>
  <c r="I120" s="1"/>
  <c r="H121"/>
  <c r="I337" l="1"/>
  <c r="I345"/>
  <c r="J345"/>
  <c r="K345"/>
  <c r="H349"/>
  <c r="I166"/>
  <c r="I54"/>
  <c r="J261"/>
  <c r="I262"/>
  <c r="H247"/>
  <c r="I213"/>
  <c r="I211" l="1"/>
  <c r="I210"/>
  <c r="I125"/>
  <c r="H20" l="1"/>
  <c r="I209"/>
  <c r="I99"/>
  <c r="I176"/>
  <c r="I177"/>
  <c r="I252" l="1"/>
  <c r="I264" s="1"/>
  <c r="I336" l="1"/>
  <c r="I331" s="1"/>
  <c r="I235"/>
  <c r="I261" s="1"/>
  <c r="I233"/>
  <c r="E15" i="14"/>
  <c r="H15"/>
  <c r="K15"/>
  <c r="D136"/>
  <c r="I136"/>
  <c r="F136"/>
  <c r="I109" i="25"/>
  <c r="I156" s="1"/>
  <c r="I317" s="1"/>
  <c r="I435" s="1"/>
  <c r="J109"/>
  <c r="J156" s="1"/>
  <c r="J317" s="1"/>
  <c r="J435" s="1"/>
  <c r="K109"/>
  <c r="K156" s="1"/>
  <c r="K317" s="1"/>
  <c r="K435" s="1"/>
  <c r="H71"/>
  <c r="H109" s="1"/>
  <c r="H156" s="1"/>
  <c r="H317" s="1"/>
  <c r="H435" s="1"/>
  <c r="I239"/>
  <c r="C91" i="14"/>
  <c r="C90"/>
  <c r="C89"/>
  <c r="C88"/>
  <c r="I232" i="25" l="1"/>
  <c r="I231" s="1"/>
  <c r="C136" i="14"/>
  <c r="C138" s="1"/>
  <c r="D138"/>
  <c r="I217" i="25"/>
  <c r="F100" i="14"/>
  <c r="C100"/>
  <c r="I378" i="25"/>
  <c r="J378"/>
  <c r="K378"/>
  <c r="I441"/>
  <c r="J441"/>
  <c r="K441"/>
  <c r="J264"/>
  <c r="K264"/>
  <c r="I271"/>
  <c r="I440" s="1"/>
  <c r="J271"/>
  <c r="J440" s="1"/>
  <c r="K271"/>
  <c r="K440" s="1"/>
  <c r="H343"/>
  <c r="H441" s="1"/>
  <c r="K342"/>
  <c r="J342"/>
  <c r="I342"/>
  <c r="H342"/>
  <c r="I256"/>
  <c r="I280" s="1"/>
  <c r="I322" s="1"/>
  <c r="J256"/>
  <c r="J280" s="1"/>
  <c r="J322" s="1"/>
  <c r="K256"/>
  <c r="K280" s="1"/>
  <c r="K322" s="1"/>
  <c r="H252"/>
  <c r="I14"/>
  <c r="I29" s="1"/>
  <c r="C150" i="14"/>
  <c r="C160"/>
  <c r="J305"/>
  <c r="J309" s="1"/>
  <c r="G305"/>
  <c r="G309" s="1"/>
  <c r="D305"/>
  <c r="C305" s="1"/>
  <c r="C227"/>
  <c r="C226"/>
  <c r="B136" l="1"/>
  <c r="H378" i="25"/>
  <c r="K377"/>
  <c r="J377"/>
  <c r="I377"/>
  <c r="C118" i="14"/>
  <c r="J255" i="25"/>
  <c r="K255"/>
  <c r="K232"/>
  <c r="K345" i="14" s="1"/>
  <c r="K240" i="25"/>
  <c r="I225"/>
  <c r="J225"/>
  <c r="K225"/>
  <c r="H203"/>
  <c r="I218"/>
  <c r="J218"/>
  <c r="K218"/>
  <c r="I204"/>
  <c r="J204"/>
  <c r="K204"/>
  <c r="H206"/>
  <c r="I198"/>
  <c r="I174"/>
  <c r="I170"/>
  <c r="I165"/>
  <c r="I161"/>
  <c r="I158"/>
  <c r="D122" i="14"/>
  <c r="D126" s="1"/>
  <c r="K231" i="25" l="1"/>
  <c r="K344" i="14" s="1"/>
  <c r="K333" s="1"/>
  <c r="E344"/>
  <c r="H36" i="25"/>
  <c r="E351" i="14" l="1"/>
  <c r="C351" s="1"/>
  <c r="H344"/>
  <c r="H333" s="1"/>
  <c r="C344"/>
  <c r="D188"/>
  <c r="D190" s="1"/>
  <c r="I305"/>
  <c r="I309" s="1"/>
  <c r="F305"/>
  <c r="H351" l="1"/>
  <c r="F344"/>
  <c r="F351" s="1"/>
  <c r="F309"/>
  <c r="B305"/>
  <c r="E291" l="1"/>
  <c r="H291"/>
  <c r="K291"/>
  <c r="D319" l="1"/>
  <c r="D323" s="1"/>
  <c r="J312"/>
  <c r="J316" s="1"/>
  <c r="G312"/>
  <c r="G316" s="1"/>
  <c r="D312"/>
  <c r="D316" s="1"/>
  <c r="C302"/>
  <c r="J295"/>
  <c r="J300" s="1"/>
  <c r="G295"/>
  <c r="G300" s="1"/>
  <c r="D295"/>
  <c r="D300" s="1"/>
  <c r="E205"/>
  <c r="H205"/>
  <c r="K205"/>
  <c r="C274"/>
  <c r="J291" l="1"/>
  <c r="J261"/>
  <c r="J273" s="1"/>
  <c r="I273" s="1"/>
  <c r="G261"/>
  <c r="G273" s="1"/>
  <c r="F273" s="1"/>
  <c r="D261"/>
  <c r="C258"/>
  <c r="J245"/>
  <c r="I245" s="1"/>
  <c r="G245"/>
  <c r="F245" s="1"/>
  <c r="D245"/>
  <c r="D238"/>
  <c r="D242" s="1"/>
  <c r="J230"/>
  <c r="G230"/>
  <c r="D230"/>
  <c r="D234" s="1"/>
  <c r="C225"/>
  <c r="F227"/>
  <c r="F226"/>
  <c r="F225"/>
  <c r="I160"/>
  <c r="F160"/>
  <c r="D154"/>
  <c r="C149"/>
  <c r="C245" l="1"/>
  <c r="C249" s="1"/>
  <c r="D249"/>
  <c r="D273"/>
  <c r="D268"/>
  <c r="C154"/>
  <c r="C161" s="1"/>
  <c r="D161"/>
  <c r="B245"/>
  <c r="I225"/>
  <c r="I218"/>
  <c r="I226" s="1"/>
  <c r="D142" l="1"/>
  <c r="J129"/>
  <c r="G129"/>
  <c r="D129"/>
  <c r="C142" l="1"/>
  <c r="C151" s="1"/>
  <c r="D151"/>
  <c r="C129"/>
  <c r="C133" s="1"/>
  <c r="D133"/>
  <c r="F129"/>
  <c r="F133" s="1"/>
  <c r="G133"/>
  <c r="I129"/>
  <c r="I133" s="1"/>
  <c r="J133"/>
  <c r="D94"/>
  <c r="D79"/>
  <c r="C79" s="1"/>
  <c r="F76"/>
  <c r="I76"/>
  <c r="D70"/>
  <c r="D75" s="1"/>
  <c r="F60"/>
  <c r="F35"/>
  <c r="I35"/>
  <c r="B129" l="1"/>
  <c r="C94"/>
  <c r="C99" s="1"/>
  <c r="D99"/>
  <c r="C70"/>
  <c r="C75" s="1"/>
  <c r="F55"/>
  <c r="F57" s="1"/>
  <c r="I19"/>
  <c r="F19"/>
  <c r="I194" i="25"/>
  <c r="F24" i="14" l="1"/>
  <c r="I427" i="25"/>
  <c r="I425"/>
  <c r="I421"/>
  <c r="I419"/>
  <c r="I414"/>
  <c r="J414"/>
  <c r="K414"/>
  <c r="I413"/>
  <c r="J413"/>
  <c r="K413"/>
  <c r="I412"/>
  <c r="J412"/>
  <c r="K412"/>
  <c r="I410"/>
  <c r="I405"/>
  <c r="I403"/>
  <c r="I398"/>
  <c r="I396"/>
  <c r="I431"/>
  <c r="I434"/>
  <c r="I392"/>
  <c r="I379"/>
  <c r="J379"/>
  <c r="K379"/>
  <c r="I380"/>
  <c r="J380"/>
  <c r="K380"/>
  <c r="I381"/>
  <c r="K381"/>
  <c r="K325"/>
  <c r="H328"/>
  <c r="H329"/>
  <c r="H330"/>
  <c r="H326"/>
  <c r="F26" i="14" l="1"/>
  <c r="I327" i="25"/>
  <c r="H347"/>
  <c r="H348"/>
  <c r="H346"/>
  <c r="I302"/>
  <c r="I411" s="1"/>
  <c r="J302"/>
  <c r="J411" s="1"/>
  <c r="K302"/>
  <c r="K411" s="1"/>
  <c r="I259"/>
  <c r="J259"/>
  <c r="K259"/>
  <c r="I375"/>
  <c r="J279"/>
  <c r="J375" s="1"/>
  <c r="K279"/>
  <c r="K375" s="1"/>
  <c r="I245"/>
  <c r="K245"/>
  <c r="H233"/>
  <c r="I223"/>
  <c r="I314" s="1"/>
  <c r="I430" s="1"/>
  <c r="J223"/>
  <c r="K223"/>
  <c r="K314" s="1"/>
  <c r="K430" s="1"/>
  <c r="I224"/>
  <c r="J224"/>
  <c r="K224"/>
  <c r="I229"/>
  <c r="J229"/>
  <c r="K229"/>
  <c r="I228"/>
  <c r="J228"/>
  <c r="K228"/>
  <c r="I227"/>
  <c r="J227"/>
  <c r="K227"/>
  <c r="I226"/>
  <c r="J226"/>
  <c r="K226"/>
  <c r="I221"/>
  <c r="J221"/>
  <c r="K221"/>
  <c r="H343" i="14" l="1"/>
  <c r="E345"/>
  <c r="E333" s="1"/>
  <c r="I254" i="25"/>
  <c r="E343" i="14" s="1"/>
  <c r="C343" s="1"/>
  <c r="H345" i="25"/>
  <c r="H344" s="1"/>
  <c r="H272"/>
  <c r="H323" s="1"/>
  <c r="J257"/>
  <c r="J275" s="1"/>
  <c r="J371" s="1"/>
  <c r="K257"/>
  <c r="K275" s="1"/>
  <c r="K371" s="1"/>
  <c r="K254"/>
  <c r="K343" i="14" s="1"/>
  <c r="I343" s="1"/>
  <c r="I257" i="25"/>
  <c r="I275" s="1"/>
  <c r="I371" s="1"/>
  <c r="J288"/>
  <c r="J391" s="1"/>
  <c r="K288"/>
  <c r="K391" s="1"/>
  <c r="I288"/>
  <c r="I391" s="1"/>
  <c r="I325"/>
  <c r="H327"/>
  <c r="H325" s="1"/>
  <c r="J222"/>
  <c r="K222"/>
  <c r="I222"/>
  <c r="J314"/>
  <c r="J430" s="1"/>
  <c r="J194"/>
  <c r="K194"/>
  <c r="I200"/>
  <c r="J200"/>
  <c r="K200"/>
  <c r="K319" s="1"/>
  <c r="K437" s="1"/>
  <c r="I199"/>
  <c r="I320" s="1"/>
  <c r="I439" s="1"/>
  <c r="J199"/>
  <c r="J320" s="1"/>
  <c r="J439" s="1"/>
  <c r="K199"/>
  <c r="K320" s="1"/>
  <c r="K439" s="1"/>
  <c r="I321"/>
  <c r="I438" s="1"/>
  <c r="J198"/>
  <c r="J321" s="1"/>
  <c r="J438" s="1"/>
  <c r="K198"/>
  <c r="K321" s="1"/>
  <c r="K438" s="1"/>
  <c r="I196"/>
  <c r="I193"/>
  <c r="I192"/>
  <c r="I191"/>
  <c r="I190"/>
  <c r="I189"/>
  <c r="J189"/>
  <c r="K189"/>
  <c r="I185"/>
  <c r="I178"/>
  <c r="D285" i="14" s="1"/>
  <c r="D289" s="1"/>
  <c r="D277"/>
  <c r="D282" s="1"/>
  <c r="J174" i="25"/>
  <c r="G277" i="14" s="1"/>
  <c r="K174" i="25"/>
  <c r="J277" i="14" s="1"/>
  <c r="H173" i="25"/>
  <c r="D252" i="14"/>
  <c r="G252"/>
  <c r="G257" s="1"/>
  <c r="K170" i="25"/>
  <c r="J252" i="14" s="1"/>
  <c r="G238"/>
  <c r="G242" s="1"/>
  <c r="K165" i="25"/>
  <c r="J238" i="14" s="1"/>
  <c r="J242" s="1"/>
  <c r="D216"/>
  <c r="C216" s="1"/>
  <c r="D209"/>
  <c r="D213" s="1"/>
  <c r="G209"/>
  <c r="G213" s="1"/>
  <c r="F213" s="1"/>
  <c r="K158" i="25"/>
  <c r="J209" i="14" s="1"/>
  <c r="J213" s="1"/>
  <c r="I186" i="25"/>
  <c r="J186"/>
  <c r="K186"/>
  <c r="I187"/>
  <c r="I277" s="1"/>
  <c r="I374" s="1"/>
  <c r="J187"/>
  <c r="J277" s="1"/>
  <c r="J374" s="1"/>
  <c r="K187"/>
  <c r="K277" s="1"/>
  <c r="K374" s="1"/>
  <c r="I300"/>
  <c r="I408" s="1"/>
  <c r="J107"/>
  <c r="K107"/>
  <c r="K146" s="1"/>
  <c r="K300" s="1"/>
  <c r="K408" s="1"/>
  <c r="I104"/>
  <c r="I143" s="1"/>
  <c r="I296" s="1"/>
  <c r="I402" s="1"/>
  <c r="J104"/>
  <c r="J143" s="1"/>
  <c r="J296" s="1"/>
  <c r="J402" s="1"/>
  <c r="I103"/>
  <c r="I142" s="1"/>
  <c r="I295" s="1"/>
  <c r="I401" s="1"/>
  <c r="J103"/>
  <c r="J142" s="1"/>
  <c r="J295" s="1"/>
  <c r="J401" s="1"/>
  <c r="K103"/>
  <c r="K142" s="1"/>
  <c r="K295" s="1"/>
  <c r="K401" s="1"/>
  <c r="I100"/>
  <c r="I139" s="1"/>
  <c r="I291" s="1"/>
  <c r="I395" s="1"/>
  <c r="J100"/>
  <c r="J139" s="1"/>
  <c r="K100"/>
  <c r="K139" s="1"/>
  <c r="K291" s="1"/>
  <c r="K395" s="1"/>
  <c r="I97"/>
  <c r="I135" s="1"/>
  <c r="I287" s="1"/>
  <c r="I389" s="1"/>
  <c r="J97"/>
  <c r="J135" s="1"/>
  <c r="J287" s="1"/>
  <c r="J389" s="1"/>
  <c r="K97"/>
  <c r="K135" s="1"/>
  <c r="K287" s="1"/>
  <c r="K389" s="1"/>
  <c r="I96"/>
  <c r="I134" s="1"/>
  <c r="J96"/>
  <c r="J134" s="1"/>
  <c r="K96"/>
  <c r="K134" s="1"/>
  <c r="I95"/>
  <c r="I136" s="1"/>
  <c r="I284" s="1"/>
  <c r="I386" s="1"/>
  <c r="J95"/>
  <c r="J136" s="1"/>
  <c r="J284" s="1"/>
  <c r="K95"/>
  <c r="K136" s="1"/>
  <c r="K284" s="1"/>
  <c r="K386" s="1"/>
  <c r="I91"/>
  <c r="I131" s="1"/>
  <c r="I281" s="1"/>
  <c r="I376" s="1"/>
  <c r="J131"/>
  <c r="J281" s="1"/>
  <c r="J376" s="1"/>
  <c r="K131"/>
  <c r="K281" s="1"/>
  <c r="K376" s="1"/>
  <c r="J130"/>
  <c r="D60" i="14"/>
  <c r="K44" i="25"/>
  <c r="J60" i="14" s="1"/>
  <c r="K31" i="25"/>
  <c r="I39"/>
  <c r="I30" s="1"/>
  <c r="K39"/>
  <c r="K89" s="1"/>
  <c r="I126"/>
  <c r="I153" s="1"/>
  <c r="I310" s="1"/>
  <c r="I424" s="1"/>
  <c r="J126"/>
  <c r="J153" s="1"/>
  <c r="J310" s="1"/>
  <c r="J424" s="1"/>
  <c r="K126"/>
  <c r="K153" s="1"/>
  <c r="K310" s="1"/>
  <c r="K424" s="1"/>
  <c r="J125"/>
  <c r="J152" s="1"/>
  <c r="K125"/>
  <c r="K152" s="1"/>
  <c r="I119"/>
  <c r="I150" s="1"/>
  <c r="I305" s="1"/>
  <c r="I418" s="1"/>
  <c r="J119"/>
  <c r="J150" s="1"/>
  <c r="J305" s="1"/>
  <c r="J418" s="1"/>
  <c r="K119"/>
  <c r="K150" s="1"/>
  <c r="K305" s="1"/>
  <c r="K418" s="1"/>
  <c r="J124"/>
  <c r="G201" i="14" s="1"/>
  <c r="K124" i="25"/>
  <c r="J201" i="14" s="1"/>
  <c r="I155" i="25"/>
  <c r="D164" i="14"/>
  <c r="I61" i="25"/>
  <c r="D111" i="14" s="1"/>
  <c r="D116" s="1"/>
  <c r="C122"/>
  <c r="F343" l="1"/>
  <c r="B343" s="1"/>
  <c r="F277"/>
  <c r="G282"/>
  <c r="J203"/>
  <c r="I203" s="1"/>
  <c r="I201"/>
  <c r="J319" i="25"/>
  <c r="F201" i="14"/>
  <c r="G203"/>
  <c r="F203" s="1"/>
  <c r="I62"/>
  <c r="I60"/>
  <c r="J386" i="25"/>
  <c r="J146"/>
  <c r="J300" s="1"/>
  <c r="J408" s="1"/>
  <c r="J105"/>
  <c r="F345" i="14"/>
  <c r="C164"/>
  <c r="C168" s="1"/>
  <c r="D168"/>
  <c r="C60"/>
  <c r="D62"/>
  <c r="J291" i="25"/>
  <c r="J137"/>
  <c r="I89"/>
  <c r="C126" i="14"/>
  <c r="I316" i="25"/>
  <c r="I319"/>
  <c r="I437" s="1"/>
  <c r="D205" i="14"/>
  <c r="K151" i="25"/>
  <c r="K309"/>
  <c r="K423" s="1"/>
  <c r="I278"/>
  <c r="I373" s="1"/>
  <c r="J285"/>
  <c r="J387" s="1"/>
  <c r="J151"/>
  <c r="J278"/>
  <c r="J373" s="1"/>
  <c r="K285"/>
  <c r="K387" s="1"/>
  <c r="I285"/>
  <c r="I387" s="1"/>
  <c r="K197"/>
  <c r="I197"/>
  <c r="I188"/>
  <c r="J197"/>
  <c r="I184"/>
  <c r="J129"/>
  <c r="J276" s="1"/>
  <c r="J372" s="1"/>
  <c r="K129"/>
  <c r="K276" s="1"/>
  <c r="K372" s="1"/>
  <c r="I129"/>
  <c r="I276" s="1"/>
  <c r="I372" s="1"/>
  <c r="K30"/>
  <c r="H113"/>
  <c r="H51"/>
  <c r="I50"/>
  <c r="B60" i="14" l="1"/>
  <c r="C62"/>
  <c r="J437" i="25"/>
  <c r="I94"/>
  <c r="I49"/>
  <c r="J395"/>
  <c r="I315"/>
  <c r="I433"/>
  <c r="I432" s="1"/>
  <c r="D65" i="14"/>
  <c r="I361" i="25"/>
  <c r="J344"/>
  <c r="K344"/>
  <c r="I344"/>
  <c r="J340"/>
  <c r="K340"/>
  <c r="I220"/>
  <c r="J209"/>
  <c r="J217" s="1"/>
  <c r="J220" s="1"/>
  <c r="K209"/>
  <c r="K217" s="1"/>
  <c r="K220" s="1"/>
  <c r="H215"/>
  <c r="H229" s="1"/>
  <c r="H214"/>
  <c r="H228" s="1"/>
  <c r="H213"/>
  <c r="H227" s="1"/>
  <c r="H211"/>
  <c r="H226" s="1"/>
  <c r="H210"/>
  <c r="H208"/>
  <c r="H177"/>
  <c r="H200" s="1"/>
  <c r="H176"/>
  <c r="H175"/>
  <c r="H198" s="1"/>
  <c r="H172"/>
  <c r="H194" s="1"/>
  <c r="H171"/>
  <c r="H169"/>
  <c r="H168"/>
  <c r="H167"/>
  <c r="H166"/>
  <c r="H164"/>
  <c r="H160"/>
  <c r="H159"/>
  <c r="H123"/>
  <c r="H125" s="1"/>
  <c r="I383" l="1"/>
  <c r="C65" i="14"/>
  <c r="C67" s="1"/>
  <c r="D67"/>
  <c r="H224" i="25"/>
  <c r="H209"/>
  <c r="H207" s="1"/>
  <c r="H216" s="1"/>
  <c r="H321"/>
  <c r="H438" s="1"/>
  <c r="H221"/>
  <c r="H218"/>
  <c r="H165"/>
  <c r="H223"/>
  <c r="H314" s="1"/>
  <c r="K207"/>
  <c r="K216" s="1"/>
  <c r="K219" s="1"/>
  <c r="I207"/>
  <c r="D327" i="14" s="1"/>
  <c r="D331" s="1"/>
  <c r="J207" i="25"/>
  <c r="H187"/>
  <c r="H277" s="1"/>
  <c r="H199"/>
  <c r="H320" s="1"/>
  <c r="K163"/>
  <c r="J196"/>
  <c r="H158"/>
  <c r="J161"/>
  <c r="H170"/>
  <c r="H174"/>
  <c r="H54"/>
  <c r="H53"/>
  <c r="H52"/>
  <c r="K195"/>
  <c r="H46"/>
  <c r="H47"/>
  <c r="H48"/>
  <c r="H45"/>
  <c r="H43"/>
  <c r="I15"/>
  <c r="D24" i="14" s="1"/>
  <c r="K15" i="25"/>
  <c r="J24" i="14" s="1"/>
  <c r="H16" i="25"/>
  <c r="H17"/>
  <c r="I13"/>
  <c r="I28" s="1"/>
  <c r="J155"/>
  <c r="J316" s="1"/>
  <c r="J154"/>
  <c r="J313" s="1"/>
  <c r="I18"/>
  <c r="D29" i="14" s="1"/>
  <c r="C29" s="1"/>
  <c r="I117" i="25"/>
  <c r="C188" i="14" s="1"/>
  <c r="H75" i="25"/>
  <c r="G154" i="14"/>
  <c r="G142"/>
  <c r="F142" s="1"/>
  <c r="H70" i="25"/>
  <c r="K110"/>
  <c r="J188" i="14" s="1"/>
  <c r="J190" s="1"/>
  <c r="H67" i="25"/>
  <c r="G70" i="14"/>
  <c r="G75" s="1"/>
  <c r="J421" i="25"/>
  <c r="J405"/>
  <c r="J398"/>
  <c r="J392"/>
  <c r="J434"/>
  <c r="I350"/>
  <c r="I382" s="1"/>
  <c r="J425"/>
  <c r="J410"/>
  <c r="J403"/>
  <c r="J396"/>
  <c r="J351"/>
  <c r="J390" s="1"/>
  <c r="H341"/>
  <c r="H340" s="1"/>
  <c r="H339"/>
  <c r="H338"/>
  <c r="H337"/>
  <c r="H336"/>
  <c r="K272"/>
  <c r="J272"/>
  <c r="I272"/>
  <c r="K269"/>
  <c r="K311" s="1"/>
  <c r="J269"/>
  <c r="J311" s="1"/>
  <c r="I269"/>
  <c r="I311" s="1"/>
  <c r="I426" s="1"/>
  <c r="K268"/>
  <c r="K306" s="1"/>
  <c r="K417" s="1"/>
  <c r="J268"/>
  <c r="J306" s="1"/>
  <c r="J417" s="1"/>
  <c r="I268"/>
  <c r="I306" s="1"/>
  <c r="I417" s="1"/>
  <c r="K267"/>
  <c r="K307" s="1"/>
  <c r="K420" s="1"/>
  <c r="J267"/>
  <c r="J307" s="1"/>
  <c r="J420" s="1"/>
  <c r="I267"/>
  <c r="I307" s="1"/>
  <c r="I420" s="1"/>
  <c r="K265"/>
  <c r="K301" s="1"/>
  <c r="K409" s="1"/>
  <c r="J265"/>
  <c r="J301" s="1"/>
  <c r="J409" s="1"/>
  <c r="I265"/>
  <c r="I301" s="1"/>
  <c r="I409" s="1"/>
  <c r="K262"/>
  <c r="K297" s="1"/>
  <c r="K404" s="1"/>
  <c r="J262"/>
  <c r="J297" s="1"/>
  <c r="J404" s="1"/>
  <c r="I297"/>
  <c r="I404" s="1"/>
  <c r="K261"/>
  <c r="K292" s="1"/>
  <c r="K397" s="1"/>
  <c r="J292"/>
  <c r="J397" s="1"/>
  <c r="I292"/>
  <c r="I397" s="1"/>
  <c r="K260"/>
  <c r="J260"/>
  <c r="I260"/>
  <c r="H253"/>
  <c r="H271" s="1"/>
  <c r="H251"/>
  <c r="H250"/>
  <c r="H249"/>
  <c r="H248"/>
  <c r="H246"/>
  <c r="H243"/>
  <c r="H242"/>
  <c r="H241"/>
  <c r="H239"/>
  <c r="H269" s="1"/>
  <c r="H311" s="1"/>
  <c r="H238"/>
  <c r="H237"/>
  <c r="H236"/>
  <c r="H235"/>
  <c r="H234"/>
  <c r="H442"/>
  <c r="H205"/>
  <c r="H202"/>
  <c r="J193"/>
  <c r="H180"/>
  <c r="G134"/>
  <c r="G285" s="1"/>
  <c r="H14"/>
  <c r="H29" s="1"/>
  <c r="K12"/>
  <c r="H122"/>
  <c r="H112"/>
  <c r="H42"/>
  <c r="H41"/>
  <c r="H40"/>
  <c r="H95" s="1"/>
  <c r="H38"/>
  <c r="I6"/>
  <c r="H255" l="1"/>
  <c r="J216"/>
  <c r="J219" s="1"/>
  <c r="G327" i="14"/>
  <c r="J26"/>
  <c r="I24"/>
  <c r="I26" s="1"/>
  <c r="C24"/>
  <c r="C26" s="1"/>
  <c r="D26"/>
  <c r="F154"/>
  <c r="F161" s="1"/>
  <c r="G161"/>
  <c r="F70"/>
  <c r="F75" s="1"/>
  <c r="H262" i="25"/>
  <c r="H297" s="1"/>
  <c r="H267"/>
  <c r="H307" s="1"/>
  <c r="H420" s="1"/>
  <c r="H264"/>
  <c r="H302" s="1"/>
  <c r="I154"/>
  <c r="I313" s="1"/>
  <c r="I12"/>
  <c r="I27" s="1"/>
  <c r="G216" i="14"/>
  <c r="H120" i="25"/>
  <c r="H124" s="1"/>
  <c r="H232"/>
  <c r="H260"/>
  <c r="H286" s="1"/>
  <c r="H240"/>
  <c r="H331"/>
  <c r="I216"/>
  <c r="I219" s="1"/>
  <c r="H245"/>
  <c r="H259"/>
  <c r="G65" i="14"/>
  <c r="G67" s="1"/>
  <c r="H50" i="25"/>
  <c r="H49" s="1"/>
  <c r="H270"/>
  <c r="H440"/>
  <c r="H268"/>
  <c r="H306" s="1"/>
  <c r="H417" s="1"/>
  <c r="I323"/>
  <c r="I318" s="1"/>
  <c r="I270"/>
  <c r="K323"/>
  <c r="K442" s="1"/>
  <c r="K436" s="1"/>
  <c r="K270"/>
  <c r="H261"/>
  <c r="H292" s="1"/>
  <c r="H397" s="1"/>
  <c r="H265"/>
  <c r="H301" s="1"/>
  <c r="H409" s="1"/>
  <c r="J323"/>
  <c r="J318" s="1"/>
  <c r="J270"/>
  <c r="H225"/>
  <c r="H319" s="1"/>
  <c r="H437" s="1"/>
  <c r="H204"/>
  <c r="H219" s="1"/>
  <c r="I286"/>
  <c r="I388" s="1"/>
  <c r="I258"/>
  <c r="K286"/>
  <c r="K388" s="1"/>
  <c r="K258"/>
  <c r="H279"/>
  <c r="H375" s="1"/>
  <c r="H256"/>
  <c r="H280" s="1"/>
  <c r="J286"/>
  <c r="J258"/>
  <c r="H217"/>
  <c r="H404"/>
  <c r="H15"/>
  <c r="H374"/>
  <c r="J308"/>
  <c r="J426"/>
  <c r="H380"/>
  <c r="H413"/>
  <c r="K308"/>
  <c r="K426"/>
  <c r="H379"/>
  <c r="H412"/>
  <c r="H381"/>
  <c r="H414"/>
  <c r="K56"/>
  <c r="F79" i="14"/>
  <c r="I312" i="25"/>
  <c r="I429"/>
  <c r="I428" s="1"/>
  <c r="J94" i="14"/>
  <c r="I94" s="1"/>
  <c r="G94"/>
  <c r="C190"/>
  <c r="J315" i="25"/>
  <c r="J433"/>
  <c r="J432" s="1"/>
  <c r="J312"/>
  <c r="J429"/>
  <c r="K355"/>
  <c r="K419" s="1"/>
  <c r="J419"/>
  <c r="K427"/>
  <c r="J427"/>
  <c r="H197"/>
  <c r="H222"/>
  <c r="H430"/>
  <c r="I263"/>
  <c r="K263"/>
  <c r="J266"/>
  <c r="J263"/>
  <c r="I266"/>
  <c r="K266"/>
  <c r="H163"/>
  <c r="H196" s="1"/>
  <c r="K196"/>
  <c r="J185"/>
  <c r="H189"/>
  <c r="H186"/>
  <c r="K182"/>
  <c r="K192" s="1"/>
  <c r="J192"/>
  <c r="K161"/>
  <c r="J216" i="14" s="1"/>
  <c r="J188" i="25"/>
  <c r="J178"/>
  <c r="J184" s="1"/>
  <c r="K191"/>
  <c r="J191"/>
  <c r="J290" s="1"/>
  <c r="F188" i="14"/>
  <c r="H136" i="25"/>
  <c r="H284" s="1"/>
  <c r="H35"/>
  <c r="I106"/>
  <c r="H107"/>
  <c r="H146" s="1"/>
  <c r="K49"/>
  <c r="H96"/>
  <c r="H134" s="1"/>
  <c r="H103"/>
  <c r="H142" s="1"/>
  <c r="H97"/>
  <c r="H135" s="1"/>
  <c r="H91"/>
  <c r="H131" s="1"/>
  <c r="H100"/>
  <c r="H139" s="1"/>
  <c r="I88"/>
  <c r="H34"/>
  <c r="I101"/>
  <c r="K104"/>
  <c r="K143" s="1"/>
  <c r="K296" s="1"/>
  <c r="K402" s="1"/>
  <c r="K130"/>
  <c r="K278" s="1"/>
  <c r="K373" s="1"/>
  <c r="H119"/>
  <c r="H150" s="1"/>
  <c r="I152"/>
  <c r="I124"/>
  <c r="D201" i="14" s="1"/>
  <c r="H39" i="25"/>
  <c r="H89" s="1"/>
  <c r="I149"/>
  <c r="I304" s="1"/>
  <c r="H44"/>
  <c r="H126"/>
  <c r="K362"/>
  <c r="J361"/>
  <c r="H162"/>
  <c r="H195" s="1"/>
  <c r="H115"/>
  <c r="H13"/>
  <c r="H426"/>
  <c r="H32"/>
  <c r="H33"/>
  <c r="H111"/>
  <c r="H110" s="1"/>
  <c r="J142" i="14"/>
  <c r="I142" s="1"/>
  <c r="I151" s="1"/>
  <c r="G164"/>
  <c r="K154" i="25"/>
  <c r="K313" s="1"/>
  <c r="K155"/>
  <c r="J154" i="14"/>
  <c r="J164"/>
  <c r="H76" i="25"/>
  <c r="H74" s="1"/>
  <c r="H66"/>
  <c r="H68"/>
  <c r="K360"/>
  <c r="K358" s="1"/>
  <c r="K434" s="1"/>
  <c r="H355"/>
  <c r="H419" s="1"/>
  <c r="H59"/>
  <c r="H90" s="1"/>
  <c r="J70" i="14"/>
  <c r="I58" i="25"/>
  <c r="D103" i="14" s="1"/>
  <c r="J101" i="25"/>
  <c r="J61"/>
  <c r="H64"/>
  <c r="K410"/>
  <c r="K365"/>
  <c r="K421" s="1"/>
  <c r="K425"/>
  <c r="K359"/>
  <c r="H359" s="1"/>
  <c r="H366"/>
  <c r="H427" s="1"/>
  <c r="J357"/>
  <c r="K396"/>
  <c r="K364"/>
  <c r="K405" s="1"/>
  <c r="K403"/>
  <c r="K398"/>
  <c r="K351"/>
  <c r="K390" s="1"/>
  <c r="J383" l="1"/>
  <c r="B24" i="14"/>
  <c r="G111"/>
  <c r="J88" i="25"/>
  <c r="J128" s="1"/>
  <c r="J274" s="1"/>
  <c r="J394"/>
  <c r="J289"/>
  <c r="J388"/>
  <c r="J282"/>
  <c r="C201" i="14"/>
  <c r="C203" s="1"/>
  <c r="D203"/>
  <c r="C103"/>
  <c r="C108" s="1"/>
  <c r="D108"/>
  <c r="F327"/>
  <c r="G291"/>
  <c r="I164"/>
  <c r="I168" s="1"/>
  <c r="J168"/>
  <c r="F164"/>
  <c r="F168" s="1"/>
  <c r="G168"/>
  <c r="I154"/>
  <c r="I161" s="1"/>
  <c r="J161"/>
  <c r="I70"/>
  <c r="I75" s="1"/>
  <c r="J75"/>
  <c r="F94"/>
  <c r="F99" s="1"/>
  <c r="G99"/>
  <c r="B70"/>
  <c r="F216"/>
  <c r="F65"/>
  <c r="H12" i="25"/>
  <c r="J304"/>
  <c r="J79" i="14"/>
  <c r="I79" s="1"/>
  <c r="B79" s="1"/>
  <c r="K94" i="25"/>
  <c r="J422"/>
  <c r="K318"/>
  <c r="H258"/>
  <c r="J442"/>
  <c r="J436" s="1"/>
  <c r="H288"/>
  <c r="H391" s="1"/>
  <c r="H220"/>
  <c r="H56"/>
  <c r="J65" i="14"/>
  <c r="J67" s="1"/>
  <c r="I442" i="25"/>
  <c r="I436" s="1"/>
  <c r="H322"/>
  <c r="H318" s="1"/>
  <c r="H377"/>
  <c r="F190" i="14"/>
  <c r="H305" i="25"/>
  <c r="H418" s="1"/>
  <c r="H291"/>
  <c r="H395" s="1"/>
  <c r="H287"/>
  <c r="H389" s="1"/>
  <c r="H285"/>
  <c r="H387" s="1"/>
  <c r="H231"/>
  <c r="H254" s="1"/>
  <c r="H257"/>
  <c r="H275" s="1"/>
  <c r="H371" s="1"/>
  <c r="H263"/>
  <c r="H266"/>
  <c r="H281"/>
  <c r="H376" s="1"/>
  <c r="H295"/>
  <c r="H401" s="1"/>
  <c r="H300"/>
  <c r="H408" s="1"/>
  <c r="K316"/>
  <c r="H316" s="1"/>
  <c r="K117"/>
  <c r="G122" i="14"/>
  <c r="H31" i="25"/>
  <c r="H30" s="1"/>
  <c r="I303"/>
  <c r="I416"/>
  <c r="I415" s="1"/>
  <c r="B201" i="14"/>
  <c r="H439" i="25"/>
  <c r="H436" s="1"/>
  <c r="B164" i="14"/>
  <c r="D19"/>
  <c r="G285"/>
  <c r="I216"/>
  <c r="C327"/>
  <c r="D291"/>
  <c r="B94"/>
  <c r="H181" i="25"/>
  <c r="H191" s="1"/>
  <c r="H57"/>
  <c r="K422"/>
  <c r="B142" i="14"/>
  <c r="J350" i="25"/>
  <c r="J382" s="1"/>
  <c r="J431"/>
  <c r="J428" s="1"/>
  <c r="H362"/>
  <c r="H392" s="1"/>
  <c r="K392"/>
  <c r="K312"/>
  <c r="K429"/>
  <c r="H388"/>
  <c r="J148"/>
  <c r="H182"/>
  <c r="H192" s="1"/>
  <c r="I151"/>
  <c r="I309"/>
  <c r="H411"/>
  <c r="H386"/>
  <c r="H183"/>
  <c r="H193" s="1"/>
  <c r="K193"/>
  <c r="K190"/>
  <c r="K188" s="1"/>
  <c r="K178"/>
  <c r="H161"/>
  <c r="K185"/>
  <c r="I148"/>
  <c r="K61"/>
  <c r="J141"/>
  <c r="H153"/>
  <c r="H129"/>
  <c r="J93"/>
  <c r="I105"/>
  <c r="I145"/>
  <c r="I299" s="1"/>
  <c r="I98"/>
  <c r="I138"/>
  <c r="I290" s="1"/>
  <c r="I141"/>
  <c r="I93"/>
  <c r="I133"/>
  <c r="I283" s="1"/>
  <c r="J98"/>
  <c r="J145"/>
  <c r="J299" s="1"/>
  <c r="J407" s="1"/>
  <c r="I87"/>
  <c r="H63"/>
  <c r="H99" s="1"/>
  <c r="K99"/>
  <c r="H69"/>
  <c r="H65" s="1"/>
  <c r="K106"/>
  <c r="H104"/>
  <c r="H143" s="1"/>
  <c r="H130"/>
  <c r="H114"/>
  <c r="H118" s="1"/>
  <c r="H149" s="1"/>
  <c r="H304" s="1"/>
  <c r="K118"/>
  <c r="K149" s="1"/>
  <c r="K304" s="1"/>
  <c r="H152"/>
  <c r="H309" s="1"/>
  <c r="H155"/>
  <c r="H19"/>
  <c r="H28" s="1"/>
  <c r="K361"/>
  <c r="H72"/>
  <c r="K18"/>
  <c r="H73"/>
  <c r="K65"/>
  <c r="H365"/>
  <c r="H421" s="1"/>
  <c r="H360"/>
  <c r="H354"/>
  <c r="H352"/>
  <c r="H396" s="1"/>
  <c r="H358"/>
  <c r="H62"/>
  <c r="K60"/>
  <c r="J58"/>
  <c r="J87" s="1"/>
  <c r="J127" s="1"/>
  <c r="J273" s="1"/>
  <c r="J369" s="1"/>
  <c r="H55"/>
  <c r="H356"/>
  <c r="H425" s="1"/>
  <c r="H351"/>
  <c r="H390" s="1"/>
  <c r="H353"/>
  <c r="H403" s="1"/>
  <c r="H364"/>
  <c r="H405" s="1"/>
  <c r="H363"/>
  <c r="H398" s="1"/>
  <c r="K357"/>
  <c r="H179"/>
  <c r="B154" i="14" l="1"/>
  <c r="K383" i="25"/>
  <c r="J29" i="14"/>
  <c r="K27" i="25"/>
  <c r="J294"/>
  <c r="G205" i="14"/>
  <c r="G289"/>
  <c r="B216"/>
  <c r="F122"/>
  <c r="F126" s="1"/>
  <c r="G126"/>
  <c r="F67"/>
  <c r="J370" i="25"/>
  <c r="K315"/>
  <c r="J144"/>
  <c r="I65" i="14"/>
  <c r="I67" s="1"/>
  <c r="K88" i="25"/>
  <c r="H315"/>
  <c r="H94"/>
  <c r="H93" s="1"/>
  <c r="H303"/>
  <c r="H410"/>
  <c r="K433"/>
  <c r="K432" s="1"/>
  <c r="H278"/>
  <c r="H373" s="1"/>
  <c r="H310"/>
  <c r="H308" s="1"/>
  <c r="H296"/>
  <c r="H402" s="1"/>
  <c r="H276"/>
  <c r="H372" s="1"/>
  <c r="J122" i="14"/>
  <c r="I188"/>
  <c r="H178" i="25"/>
  <c r="H184" s="1"/>
  <c r="I128"/>
  <c r="I274" s="1"/>
  <c r="I370" s="1"/>
  <c r="H154"/>
  <c r="H313" s="1"/>
  <c r="H312" s="1"/>
  <c r="H18"/>
  <c r="H27" s="1"/>
  <c r="H61"/>
  <c r="H117"/>
  <c r="G103" i="14"/>
  <c r="G15" s="1"/>
  <c r="K303" i="25"/>
  <c r="K416"/>
  <c r="K415" s="1"/>
  <c r="I127"/>
  <c r="D55" i="14"/>
  <c r="D57" s="1"/>
  <c r="I308" i="25"/>
  <c r="I423"/>
  <c r="I422" s="1"/>
  <c r="C19" i="14"/>
  <c r="F29"/>
  <c r="H423" i="25"/>
  <c r="J298"/>
  <c r="J393"/>
  <c r="I289"/>
  <c r="I394"/>
  <c r="I393" s="1"/>
  <c r="I298"/>
  <c r="I407"/>
  <c r="I406" s="1"/>
  <c r="J400"/>
  <c r="K184"/>
  <c r="J285" i="14"/>
  <c r="J303" i="25"/>
  <c r="J416"/>
  <c r="J415" s="1"/>
  <c r="B327" i="14"/>
  <c r="C331"/>
  <c r="K350" i="25"/>
  <c r="K382" s="1"/>
  <c r="K431"/>
  <c r="K428" s="1"/>
  <c r="H433"/>
  <c r="H434"/>
  <c r="H148"/>
  <c r="I140"/>
  <c r="I294"/>
  <c r="J132"/>
  <c r="H151"/>
  <c r="H190"/>
  <c r="H188" s="1"/>
  <c r="H185"/>
  <c r="I132"/>
  <c r="I137"/>
  <c r="I144"/>
  <c r="J140"/>
  <c r="K148"/>
  <c r="K105"/>
  <c r="K145"/>
  <c r="K98"/>
  <c r="K138"/>
  <c r="H98"/>
  <c r="H138"/>
  <c r="H290" s="1"/>
  <c r="H289" s="1"/>
  <c r="K93"/>
  <c r="K133"/>
  <c r="K283" s="1"/>
  <c r="H106"/>
  <c r="H145" s="1"/>
  <c r="H299" s="1"/>
  <c r="H298" s="1"/>
  <c r="K58"/>
  <c r="K87" s="1"/>
  <c r="K102"/>
  <c r="K101" s="1"/>
  <c r="H361"/>
  <c r="H383" s="1"/>
  <c r="H60"/>
  <c r="H102" s="1"/>
  <c r="H357"/>
  <c r="H350" s="1"/>
  <c r="J205" i="14" l="1"/>
  <c r="J289"/>
  <c r="I122"/>
  <c r="B122" s="1"/>
  <c r="J126"/>
  <c r="B65"/>
  <c r="J406" i="25"/>
  <c r="J399"/>
  <c r="J293"/>
  <c r="F103" i="14"/>
  <c r="F15" s="1"/>
  <c r="B19"/>
  <c r="C21"/>
  <c r="I273" i="25"/>
  <c r="I369" s="1"/>
  <c r="I29" i="14"/>
  <c r="B29" s="1"/>
  <c r="I34"/>
  <c r="K128" i="25"/>
  <c r="K274" s="1"/>
  <c r="K370" s="1"/>
  <c r="H429"/>
  <c r="H88"/>
  <c r="H128" s="1"/>
  <c r="C55" i="14"/>
  <c r="B55" s="1"/>
  <c r="D15"/>
  <c r="I385" i="25"/>
  <c r="I384" s="1"/>
  <c r="I282"/>
  <c r="H424"/>
  <c r="H422" s="1"/>
  <c r="I126" i="14"/>
  <c r="I190"/>
  <c r="B188"/>
  <c r="K127" i="25"/>
  <c r="K273" s="1"/>
  <c r="K369" s="1"/>
  <c r="J103" i="14"/>
  <c r="J15" s="1"/>
  <c r="H407" i="25"/>
  <c r="H406" s="1"/>
  <c r="H394"/>
  <c r="H393" s="1"/>
  <c r="J385"/>
  <c r="I293"/>
  <c r="I400"/>
  <c r="H416"/>
  <c r="H415" s="1"/>
  <c r="H382"/>
  <c r="H431"/>
  <c r="H428" s="1"/>
  <c r="H432"/>
  <c r="K137"/>
  <c r="K290"/>
  <c r="K144"/>
  <c r="K299"/>
  <c r="K132"/>
  <c r="K282"/>
  <c r="H137"/>
  <c r="H105"/>
  <c r="H144"/>
  <c r="H133"/>
  <c r="H283" s="1"/>
  <c r="H282" s="1"/>
  <c r="K141"/>
  <c r="K294" s="1"/>
  <c r="H58"/>
  <c r="H87" s="1"/>
  <c r="H101"/>
  <c r="I399" l="1"/>
  <c r="J384"/>
  <c r="C57" i="14"/>
  <c r="H274" i="25"/>
  <c r="H370" s="1"/>
  <c r="K293"/>
  <c r="K400"/>
  <c r="K399" s="1"/>
  <c r="K385"/>
  <c r="K384" s="1"/>
  <c r="K298"/>
  <c r="K407"/>
  <c r="K406" s="1"/>
  <c r="K289"/>
  <c r="K394"/>
  <c r="K393" s="1"/>
  <c r="I103" i="14"/>
  <c r="I15" s="1"/>
  <c r="H132" i="25"/>
  <c r="K140"/>
  <c r="H141"/>
  <c r="H294" s="1"/>
  <c r="H293" s="1"/>
  <c r="G333" i="14"/>
  <c r="H12"/>
  <c r="J333"/>
  <c r="I333" s="1"/>
  <c r="K12"/>
  <c r="D333"/>
  <c r="D12" s="1"/>
  <c r="G12" l="1"/>
  <c r="F333"/>
  <c r="H127" i="25"/>
  <c r="C333" i="14"/>
  <c r="B333" s="1"/>
  <c r="J12"/>
  <c r="H400" i="25"/>
  <c r="H399" s="1"/>
  <c r="B103" i="14"/>
  <c r="H385" i="25"/>
  <c r="H384" s="1"/>
  <c r="H140"/>
  <c r="H273" l="1"/>
  <c r="H369" s="1"/>
  <c r="F302" i="14"/>
  <c r="I302"/>
  <c r="F238" l="1"/>
  <c r="F242" s="1"/>
  <c r="I238"/>
  <c r="I242" s="1"/>
  <c r="F261" l="1"/>
  <c r="I261"/>
  <c r="C353" l="1"/>
  <c r="B344" l="1"/>
  <c r="C345"/>
  <c r="E12"/>
  <c r="B345" l="1"/>
  <c r="C270"/>
  <c r="C261"/>
  <c r="C273" s="1"/>
  <c r="F265"/>
  <c r="I265" s="1"/>
  <c r="F254"/>
  <c r="F258" s="1"/>
  <c r="C238"/>
  <c r="C230"/>
  <c r="C234" s="1"/>
  <c r="I254" l="1"/>
  <c r="I258" s="1"/>
  <c r="B238"/>
  <c r="C242"/>
  <c r="C268"/>
  <c r="B261"/>
  <c r="D360" l="1"/>
  <c r="D359" s="1"/>
  <c r="A360"/>
  <c r="E359"/>
  <c r="B358"/>
  <c r="A357"/>
  <c r="E356"/>
  <c r="E355" s="1"/>
  <c r="D355"/>
  <c r="C355" l="1"/>
  <c r="B355" s="1"/>
  <c r="C359"/>
  <c r="B359" s="1"/>
  <c r="F312" l="1"/>
  <c r="F316" s="1"/>
  <c r="I312"/>
  <c r="I316" s="1"/>
  <c r="F295"/>
  <c r="I295"/>
  <c r="I300" l="1"/>
  <c r="I291"/>
  <c r="F300"/>
  <c r="F291"/>
  <c r="C295"/>
  <c r="C277"/>
  <c r="B277" s="1"/>
  <c r="C319"/>
  <c r="C312"/>
  <c r="C300" l="1"/>
  <c r="C291"/>
  <c r="B312"/>
  <c r="C316"/>
  <c r="C282"/>
  <c r="C323"/>
  <c r="B319"/>
  <c r="B295"/>
  <c r="F252"/>
  <c r="F257" s="1"/>
  <c r="I252"/>
  <c r="I257" s="1"/>
  <c r="F230"/>
  <c r="I230"/>
  <c r="B291" l="1"/>
  <c r="B230"/>
  <c r="C285"/>
  <c r="C289" s="1"/>
  <c r="C252"/>
  <c r="C257" s="1"/>
  <c r="C209"/>
  <c r="C213" l="1"/>
  <c r="C205"/>
  <c r="B252"/>
  <c r="C111"/>
  <c r="C15" s="1"/>
  <c r="I285"/>
  <c r="I289" s="1"/>
  <c r="F285"/>
  <c r="F289" s="1"/>
  <c r="C116" l="1"/>
  <c r="C12"/>
  <c r="B285"/>
  <c r="B111" l="1"/>
  <c r="B15" s="1"/>
  <c r="F209"/>
  <c r="F205" s="1"/>
  <c r="F12" s="1"/>
  <c r="I209" l="1"/>
  <c r="I213" s="1"/>
  <c r="I205" l="1"/>
  <c r="I12" s="1"/>
  <c r="B209"/>
  <c r="B205" s="1"/>
  <c r="B12" l="1"/>
</calcChain>
</file>

<file path=xl/sharedStrings.xml><?xml version="1.0" encoding="utf-8"?>
<sst xmlns="http://schemas.openxmlformats.org/spreadsheetml/2006/main" count="1406" uniqueCount="501">
  <si>
    <t>Додаток 1</t>
  </si>
  <si>
    <t>№ з/п</t>
  </si>
  <si>
    <t>Назва напряму діяльності (пріоритетні завдання)</t>
  </si>
  <si>
    <t>Перелік заходів програми</t>
  </si>
  <si>
    <t>Джерела фінансування</t>
  </si>
  <si>
    <t>Очікуваний результат</t>
  </si>
  <si>
    <t>Код програмної класифікації видатків та кредитування місцевих бюджетів (КПКВК)</t>
  </si>
  <si>
    <t>Перелік</t>
  </si>
  <si>
    <t xml:space="preserve">Назва головного розпорядника бюджетних коштів                            </t>
  </si>
  <si>
    <t>Найменування бюджетної програми</t>
  </si>
  <si>
    <t>Відділ охорони здоров'я Сумської міської ради                                                              Багатопрофільна стаціонарна медична допомога населенню</t>
  </si>
  <si>
    <t>Відділ охорони здоров'я Сумської міської ради                                                          Стоматологічна допомога населенню</t>
  </si>
  <si>
    <t>Відділ охорони здоров'я Сумської міської ради                                                            Первинна медична допомога населенню, що надається центрами первинної медичної (медико-санітарної) допомоги.</t>
  </si>
  <si>
    <t>Відділ охорони здоров'я Сумської міської ради                                                                                 Лікарсько-акушерська допомога вагітним, породіллям та новонародженим</t>
  </si>
  <si>
    <t xml:space="preserve"> "Охорона здоров'я м. Суми на 2019-2021 роки"</t>
  </si>
  <si>
    <t>Орієнтовні обсяги фінансування, тис.грн.</t>
  </si>
  <si>
    <t>у т.ч. по роках</t>
  </si>
  <si>
    <t>у тому числі</t>
  </si>
  <si>
    <t>бюджетних програм до комплексної міської Програми</t>
  </si>
  <si>
    <t>АТО</t>
  </si>
  <si>
    <t>Відділ охорони здоров'я Сумської міської ради                                                           Інші програми та  заходи у сфері охорони здоров'я.</t>
  </si>
  <si>
    <t>Відділ охорони здоров'я Сумської міської ради                                                          Забезпечення діяльності інших закладів у сфері охорони здоров’я</t>
  </si>
  <si>
    <t>Відділ охорони здоров'я Сумської міської ради                                                            Виконання інвестаційних проектів в рамках здійснення заходів щодо соціально-економічного розвитку окремих територій</t>
  </si>
  <si>
    <t>Відділ охорони здоров'я Сумської міської ради                                                          Заходи з енергозбереження</t>
  </si>
  <si>
    <t>Відділ охорони здоров'я Сумської міської ради                                                            Реалізація програм допомоги і грантів Європейського Союзу, урядів іноземних держав, міжнародних організацій, донорських установ</t>
  </si>
  <si>
    <t xml:space="preserve">Сумський міський голова </t>
  </si>
  <si>
    <t>О.М. Лисенко</t>
  </si>
  <si>
    <t>Виконавець: Чумаченко О.Ю.</t>
  </si>
  <si>
    <t>0712010</t>
  </si>
  <si>
    <t>0712030</t>
  </si>
  <si>
    <t>0712100</t>
  </si>
  <si>
    <t>0712151</t>
  </si>
  <si>
    <t>0712152</t>
  </si>
  <si>
    <t>0712144</t>
  </si>
  <si>
    <t>0712146</t>
  </si>
  <si>
    <t>0712111</t>
  </si>
  <si>
    <t>0717363</t>
  </si>
  <si>
    <t>0717640</t>
  </si>
  <si>
    <t>0717700</t>
  </si>
  <si>
    <t>до рішення Сумської міської ради "Про внесення змін до рішення Сумської міської ради від 19 грудня 2018 року № 4333 - МР "Про затвердження комплексної міської Програми «Охорона здоров’я м. Суми на 2019-2021 роки» (зі змінами)</t>
  </si>
  <si>
    <t>Відділ охорони здоров'я Сумської міської ради                                                        Відшкодування вартості лікарських засобів для лікування окремих захворювань</t>
  </si>
  <si>
    <t>Відділ охорони здоров'я Сумської міської ради                                                        Централізовані заходи з лікування хворих на цукровий та нецукровий діабет</t>
  </si>
  <si>
    <t>від 18 грудня 2019 року № 6188 - МР</t>
  </si>
  <si>
    <t>2020 (план)</t>
  </si>
  <si>
    <t>Контроль за виконанням</t>
  </si>
  <si>
    <t xml:space="preserve">Покращення догляду за тяжкохворими у домашніх умовах та адаптування їх до самообслуговування. </t>
  </si>
  <si>
    <t>Раннє виявлення туберкульозу у дітей та підлітків</t>
  </si>
  <si>
    <t>Одержувач коштів/Виконавець</t>
  </si>
  <si>
    <t>2022 (прогноз)</t>
  </si>
  <si>
    <t>КПКВК</t>
  </si>
  <si>
    <t>Забезпечення гарантованих виплат медичним працівникам, що передбачені чинним законодавством</t>
  </si>
  <si>
    <t>Забезпечення надання антирабічної допомоги</t>
  </si>
  <si>
    <t>Забезпечення надання медичної допомоги хворим на інфаркт міокарда</t>
  </si>
  <si>
    <t>Відділ охорони здоров'я Сумської міської ради</t>
  </si>
  <si>
    <t>Кошти  бюджету ОТГ (загальний фонд)</t>
  </si>
  <si>
    <t>Забезпечення проведення обстеження пацієнтів методами КТ, МРТ</t>
  </si>
  <si>
    <t>Забезпечення надання громадянам послуг по зубопротезуванню на пільгових умовах</t>
  </si>
  <si>
    <t>Оновлення матеріально-технічної бази закладів охорони здоров'я</t>
  </si>
  <si>
    <t>Запобігання виникнення захворювання у людини у разі контакту із хворою або ж підозрілою на сказ твариною</t>
  </si>
  <si>
    <t>Застосування сучасних методів лікування серцево-судинних захворювань</t>
  </si>
  <si>
    <t>Покращення умов перебування пацієнтів та працівників у закладі охорони здоров'я</t>
  </si>
  <si>
    <t xml:space="preserve">Дотримання клінічних протоколів лікування та зменшення тяжких негативних наслідків від  інсульту </t>
  </si>
  <si>
    <t xml:space="preserve">Забезпечення навчання та підготовки нових спеціалістів </t>
  </si>
  <si>
    <t>УСЬОГО по підпрограмі 1</t>
  </si>
  <si>
    <t>Додаткова доплата працівникам, які задіяні безпосередньо до надання медичної допомоги хворим на гостру респіраторну хворобу COVID-19, спричинену коронавірусом SARS-CoV-2, відповідно до Порядку, затвердженого рішенням виконавчого комітету Сумської міської ради від 28.04.2020 № 220 (за змінами, внесеними рішенням виконавчого комітету Сумської міської ради від 07.05.2020 № 230)</t>
  </si>
  <si>
    <t>УСЬОГО по підпрограмі 2</t>
  </si>
  <si>
    <t>Покращення діагностики захворювань у ургентних хворих методами КТ та МРТ</t>
  </si>
  <si>
    <t>0717361</t>
  </si>
  <si>
    <t>Попередження розвитку ускладнень у хворих на цукровий та нецукровий діабет</t>
  </si>
  <si>
    <t>Забезпечення закладів охорони здоров'я міста інформаційно-аналітичними матеріалами та стабільним фінансуванням, контроль за складанням звітності комунальних некомерційних підприємств</t>
  </si>
  <si>
    <t>УСЬОГО по підпрограмі 3</t>
  </si>
  <si>
    <t>Поліпшення стану здоров’я хворих, які підлягають безкоштовному та пільговому забезпеченню лікарськими засобами, продуктами харчування у разі амбулаторного лікування, покращення їх якості життя та суспільної адаптації</t>
  </si>
  <si>
    <t>УСЬОГО по підпрограмі 4</t>
  </si>
  <si>
    <t>Проведення медичних оглядів військовозобов’язаних громадян, які підлягають призову на військову службу до Збройних Сил України протягом року</t>
  </si>
  <si>
    <t>КНП "Дитяча клінічна лікарня Святої Зінаїди" СМР</t>
  </si>
  <si>
    <t>КНП "Клінічна лікарня № 4" СМР</t>
  </si>
  <si>
    <t>КНП "Клінічна лікарня № 5" СМР</t>
  </si>
  <si>
    <t xml:space="preserve">КНП "Клінічна стоматологічна поліклініка" СМР </t>
  </si>
  <si>
    <t>КНП "Клінічний пологовий будинок Пресвятої Діви Марії" СМР</t>
  </si>
  <si>
    <t>КНП "Центр первинної медико-санітарної допомоги № 1" СМР</t>
  </si>
  <si>
    <t>КНП "Центр первинної медико-санітарної допомоги № 2" СМР</t>
  </si>
  <si>
    <t>КНП "Центральна міська клінічна лікарня" СМР</t>
  </si>
  <si>
    <t>Інші джерела коштів (кредитні кошти НЕФКО )</t>
  </si>
  <si>
    <t>Інші джерела коштів (Грант GIZ)</t>
  </si>
  <si>
    <t>Всього</t>
  </si>
  <si>
    <t>Управління капітального будівництва та дорожнього господарства Сумської міської ради</t>
  </si>
  <si>
    <t>Кошти НСЗУ</t>
  </si>
  <si>
    <t>Забезпечення гарантованого рівня медичної допомоги населенню Сумської міської ОТГ</t>
  </si>
  <si>
    <t>РАЗОМ по сфері охорона здоров'я</t>
  </si>
  <si>
    <t>ВСЬОГО</t>
  </si>
  <si>
    <t>Кошти, отримані від платних послуг</t>
  </si>
  <si>
    <t xml:space="preserve">у тому числі по </t>
  </si>
  <si>
    <t>Власні надходження КНП</t>
  </si>
  <si>
    <t>Запобігання занесенню і поширенню інфекційних захворювань</t>
  </si>
  <si>
    <t xml:space="preserve">з них по </t>
  </si>
  <si>
    <t xml:space="preserve">Медична субвенція з державного бюджету (загальний  фонд) </t>
  </si>
  <si>
    <t>РАЗОМ</t>
  </si>
  <si>
    <t>Разом</t>
  </si>
  <si>
    <t>Субвенція з місцевого бюджету на здійснення переданих видатків у сфері охорони здоров'я за рахунок коштів медичної субвенції (загальний фонд)</t>
  </si>
  <si>
    <t>Субвенції з місцевого бюджету на здійснення підтримки окремих закладів та заходів у системі охорони здоров’я за рахунок відповідної субвенції з державного бюджету (загальний фонд)</t>
  </si>
  <si>
    <t>Створення комфортних умов у закладах охорони здоров'я, оновлення лікувально-діагностичної бази підприємств з метою проведення обстежень на сучасному обладнанні, що значно підвищить якість надання медичних послуг та забезпечить отримання точніших результатів</t>
  </si>
  <si>
    <t>РАЗОМ ПО ПРОГРАМІ</t>
  </si>
  <si>
    <t xml:space="preserve">у тому числі </t>
  </si>
  <si>
    <t>Кошти ДФРР (спеціальний фонд)</t>
  </si>
  <si>
    <t>Збільшення переліку послуг, що надають заклади охорони здоров'я</t>
  </si>
  <si>
    <t>Забезпечення надання медичної допомоги підліткам (віком 14-18 років)  та молоді  (віком до 24 років)  за їх особистим зверненням або за направленням центрів соціальних служб для сім’ї, дітей та молоді, інших  закладів охорони здоров'я на засадах дружнього підходу до молоді</t>
  </si>
  <si>
    <t>Забезпечення пільгової категорії громадян гарантованим згідно з чинним законодавством медичними послугами</t>
  </si>
  <si>
    <t>Забезпечення компенсації функцій ушкоджених органів, з метою медичної та соціальної реабілітації осіб з інвалідністю з вираженими вадами слуху</t>
  </si>
  <si>
    <t>Впровадження та підтримка ІТ-послуг, сервісів, систем відеоспостереження в закладах охорони здоров'я</t>
  </si>
  <si>
    <t>Мета, КПКВК, завдання та результативні показники Програми</t>
  </si>
  <si>
    <t>2020 рік (план)</t>
  </si>
  <si>
    <t>2022 рік (прогноз)</t>
  </si>
  <si>
    <t>в тому числі</t>
  </si>
  <si>
    <t>Загальний фонд</t>
  </si>
  <si>
    <t>Спеціальний фонд</t>
  </si>
  <si>
    <t xml:space="preserve">Мета: </t>
  </si>
  <si>
    <t>Всього на виконання підпрограми, грн.</t>
  </si>
  <si>
    <t>В тому числі по КПКВК:</t>
  </si>
  <si>
    <t>КПКВК 0712010</t>
  </si>
  <si>
    <t xml:space="preserve">  Багатопрофільна стаціонарна медична допомога населенню</t>
  </si>
  <si>
    <t>Показник затрат:</t>
  </si>
  <si>
    <t>кількість  установ, од.</t>
  </si>
  <si>
    <t>Показник продукту:</t>
  </si>
  <si>
    <t>Показник ефективності:</t>
  </si>
  <si>
    <t>Показник якості:</t>
  </si>
  <si>
    <t>КПКВК 0712030</t>
  </si>
  <si>
    <t xml:space="preserve"> Лікарсько-акушерська допомога вагітним, породіллям та новонародженим</t>
  </si>
  <si>
    <t>КПКВК 0712100</t>
  </si>
  <si>
    <t>Стоматологічна допомога населенню</t>
  </si>
  <si>
    <t>чисельність осіб, яким сплачуються пільгові пенсії</t>
  </si>
  <si>
    <t>кількість штатних посад лікарів-інтернів</t>
  </si>
  <si>
    <t>витрати на придбання тромболітичних препаратів</t>
  </si>
  <si>
    <t>витрати на придбання медикаментів, витратних матеріалів для стентування коронарних судин</t>
  </si>
  <si>
    <t>чисельність осіб, які потребують введення тромболітичних препаратів</t>
  </si>
  <si>
    <t>чисельність осіб, які потребують стентування коронарних судин</t>
  </si>
  <si>
    <t>чисельність осіб, яким проведений тромболізис</t>
  </si>
  <si>
    <t>чисельність осіб, яким проведено стентування коронарних судин</t>
  </si>
  <si>
    <t xml:space="preserve">середня вартість проведеного тромболізису </t>
  </si>
  <si>
    <t>середня вартість проведеного стентування коронарних судин</t>
  </si>
  <si>
    <t>відсоток осіб, яким проведений тромболізис від потребуючих</t>
  </si>
  <si>
    <t>відсоток осіб, яким проведене стентування коронарних судин</t>
  </si>
  <si>
    <t>чисельність осіб, яким встановлено діагноз гострий інсульт головного мозку</t>
  </si>
  <si>
    <t>чисельність осіб, яким проведено тромболізис</t>
  </si>
  <si>
    <t>відсоток осіб, яким проведений тромболізис від загального числа хворих на інсульт</t>
  </si>
  <si>
    <t>чисельність осіб, які потребують проведення гемодіалізу</t>
  </si>
  <si>
    <t>середня вартість медикаментів та витратного матеріалу на проведення гемодіалізу з розрахунку на одного хворого</t>
  </si>
  <si>
    <t>Всього на виконання підпрограми, грн</t>
  </si>
  <si>
    <t>КПКВК 0712152</t>
  </si>
  <si>
    <t>Будівництво та реконструкція медичних установ та закладів</t>
  </si>
  <si>
    <t xml:space="preserve">Забезпечення надання спеціалізованої медичної допомоги вагітним, роділлям, породіллям та новонародженим відповідно до галузевих стандартів та виплата винагороди працівникам за виконану ними роботу, відсутність заборгованості по оплаті праці. Придбання обладнання, інвентарю, господарських засобів, меблів, медикаментів, оплата послуг (крім комунальних) тощо для стабільної роботи закладів охорони здоров'я.   </t>
  </si>
  <si>
    <t>Забезпечення надання стоматологічної допомоги відповідно до галузевих стандартів та виплата винагороди працівникам за виконану ними роботу, відсутність заборгованості по оплаті праці.</t>
  </si>
  <si>
    <t>Мета програми: поліпшення фінансового забезпечення закладів охорони  для забезпечення збереження і відновлення здоров’я населення шляхом надання медичних послуг та лікарських засобів належної якості</t>
  </si>
  <si>
    <t>Безоплатне харчування дітей перших 2 років життя</t>
  </si>
  <si>
    <t>кількість дітей перших 2-х років життя, осіб</t>
  </si>
  <si>
    <t xml:space="preserve">середньорічна (планова) кількість зайнятих </t>
  </si>
  <si>
    <t>у т.ч. лікарів</t>
  </si>
  <si>
    <t>кількість відвідувань</t>
  </si>
  <si>
    <t>кількість лікарських відвідувань на одну лікарську посаду</t>
  </si>
  <si>
    <t>кількість призовників</t>
  </si>
  <si>
    <t>середні витрати на обстеження одного призовника</t>
  </si>
  <si>
    <t>КПКВК 0712111</t>
  </si>
  <si>
    <t>Первинна медична допомога населенню, що надається центрами первинної медичної (медико-санітарної) допомоги</t>
  </si>
  <si>
    <t>Багатопрофільна стаціонарна медична допомога населенню</t>
  </si>
  <si>
    <t>Лікарсько-акушерська допомога вагітним, породіллям та новонародженим</t>
  </si>
  <si>
    <t>кількість пільгової категорії  населення</t>
  </si>
  <si>
    <t xml:space="preserve"> Інші програми та заходи у сфері охорони здоров'я</t>
  </si>
  <si>
    <t xml:space="preserve">Кількість підгузків </t>
  </si>
  <si>
    <t>Кількість калоприймачів, катетерів,уропрезервативи</t>
  </si>
  <si>
    <t xml:space="preserve">Кількість прокладок урологічних </t>
  </si>
  <si>
    <t>середня вартість придбання 1 підгузка, грн.</t>
  </si>
  <si>
    <t>чисельність осіб, які потребують пільгового забезпечення</t>
  </si>
  <si>
    <t>чисельність осіб, хворих на орфанні захворювання, які потребують пільгових медикаментів</t>
  </si>
  <si>
    <t>середні витрати на 1 дитину, хвору на орфанні захворювання, яка потребує забезпечення пільговими медикаментами, грн.</t>
  </si>
  <si>
    <t>середні витрати на 1 дитину, хвору на орфанні захворювання, яка потребує спеціального харчування, грн.</t>
  </si>
  <si>
    <t>черга громадян, які мають отримувати  пільгове зубне протезування</t>
  </si>
  <si>
    <t>кількість осіб, яким надані/будуть надані до кінця року послуги по зубному протезуванню на пільгових умовах</t>
  </si>
  <si>
    <t>середня вартість зубопротезування на одного пацієнта</t>
  </si>
  <si>
    <t>питома вага осіб, що отримали пільгове зубопротезування, до загальної кількості осіб,  що перебують пільгового зубопротезування, %</t>
  </si>
  <si>
    <t>кількість осіб, яким встановлені/будуть встановлені до кінця року слухові апарати</t>
  </si>
  <si>
    <t>середня вартість протезування на одного пацієнта</t>
  </si>
  <si>
    <t>питома вага осіб, яким встановлені слухові апарати, до загальної кількості осіб, які перебувають у черзі, %</t>
  </si>
  <si>
    <t>рівень охоплення населення туберкулінодіагностикою, %</t>
  </si>
  <si>
    <t>0717322</t>
  </si>
  <si>
    <t>Кількість заходів у місті Суми, що потребують супроводу медичних працівників</t>
  </si>
  <si>
    <t>Планова кількість заходів м.Суми з супровідом медичних працівників під  доведений обсяг видатків</t>
  </si>
  <si>
    <t>Середні видатки на обслуговування одного заходу м.Суми</t>
  </si>
  <si>
    <t>Питома вага планової кількості заходів  до  загальної кількості заходів , що потребують медичного супроводу, %</t>
  </si>
  <si>
    <t>КПКВК 0712144</t>
  </si>
  <si>
    <t>Централізовані заходи з лікування хворих на цукровий та нецукровий діабет</t>
  </si>
  <si>
    <t>кількість хворих на цукровий діабет, які забезпечуються препаратами інсуліна</t>
  </si>
  <si>
    <t>Середні видатки на проведення відшкодування вартості  препаратів інсуліну  на 1 хворого на цукровий діабет, грн.</t>
  </si>
  <si>
    <t>кількість закладів</t>
  </si>
  <si>
    <t>середні витрати на забезпечення системами відеоспостереження 1 приміщення, грн.</t>
  </si>
  <si>
    <t>КПКВК 0717361</t>
  </si>
  <si>
    <t xml:space="preserve">Співфінансування інвестиційних проєктів, що реалізуються за рахунок коштів державного фонду регіонального розвитку </t>
  </si>
  <si>
    <t>КПКВК 0717322</t>
  </si>
  <si>
    <t>Будівництво медичних установ та закладів</t>
  </si>
  <si>
    <t>витрати на проведення капітальних ремонтів</t>
  </si>
  <si>
    <t xml:space="preserve">витрати на придбання довгострокового обладнання </t>
  </si>
  <si>
    <t>кількість площі, що потребують капітального ремонту</t>
  </si>
  <si>
    <t>питома вага відремонтованої площо до загальної потреби</t>
  </si>
  <si>
    <t>питома вага обладнання, що планується придбати до загальної кількості необхідного обладнання</t>
  </si>
  <si>
    <t>Субвенція з державного бюджету на здійснення заходів щодо соціально-економічного розвитку окремих територій (спеціальний фонд)</t>
  </si>
  <si>
    <t xml:space="preserve">Субвенція з державного бюджету на здійснення заходів щодо соціально-економічного розвитку окремих територій (спеціальний фонд)
</t>
  </si>
  <si>
    <t>чисельність осіб, яким проведено КТ</t>
  </si>
  <si>
    <t>0712150</t>
  </si>
  <si>
    <t>0712140</t>
  </si>
  <si>
    <t>Розвиток первинної медико-санітарної допомоги</t>
  </si>
  <si>
    <t>Розвиток вторинної (спеціалізованої) медичної допомоги</t>
  </si>
  <si>
    <t>ПІДПРОГРАМА 2.  Забезпечення соціальних стандартів у сфері охорони здоров'я</t>
  </si>
  <si>
    <t xml:space="preserve"> Виконання соціальних гарантій пільгових категорій громадян</t>
  </si>
  <si>
    <t>Інші заходи</t>
  </si>
  <si>
    <t>Інші заклади</t>
  </si>
  <si>
    <t>1.1.</t>
  </si>
  <si>
    <t xml:space="preserve">1.1.1. Сприяння в утриманні закладів первинного рівня  </t>
  </si>
  <si>
    <t>1.1.2. Співфінансування покриття вартості комунальних послуг та енергоносіїв</t>
  </si>
  <si>
    <t>1.1.3. Забезпечення проведення туберкулінодіагностики (придбання туберкуліну)</t>
  </si>
  <si>
    <t xml:space="preserve">1.2.1. Забезпечення надання вторинної медичної допомоги </t>
  </si>
  <si>
    <t>2.1.</t>
  </si>
  <si>
    <t>1.2.</t>
  </si>
  <si>
    <t>1.2.2. Покриття вартості комунальних послуг та енергоносіїв</t>
  </si>
  <si>
    <t>1.2.9. Забезпечення  первинного підвищення кваліфікації випускників вищих медичних закладів (інтернатура)</t>
  </si>
  <si>
    <t>1.2.10. Забезпечення проведення обов'язкових профілактичних медичних оглядів працівників бюджетної сфери</t>
  </si>
  <si>
    <t>1.3.</t>
  </si>
  <si>
    <t xml:space="preserve"> Розвиток лікарсько-акушерської допомоги </t>
  </si>
  <si>
    <t>1.3.1. Забезпечення надання лікарсько-акушерської допомоги вагітним, роділлям, породіллям та новонародженим</t>
  </si>
  <si>
    <t>1.4.</t>
  </si>
  <si>
    <t xml:space="preserve">1.4.1. Забезпечення надання стоматологічної допомоги  дорослому населенню          </t>
  </si>
  <si>
    <t>1.4.2. Покриття вартості комунальних послуг та енергоносіїв</t>
  </si>
  <si>
    <t xml:space="preserve">2.1.1. Забезпечення пільгової категорії населення лікарськими засобами за безкоштовними рецептами (забезпечення відповідних категорій хворих лікуванням на пільгових умовах згідно постанови КМУ від 17.08.1998 № 1303 "Про впорядкування безоплатного та пільгового відпуску лікарських засобів за рецептами лікарів  у разі амбулаторного лікування окремих груп населення та за певними категоріями захворювань")              </t>
  </si>
  <si>
    <t xml:space="preserve">2.1.2. Забезпечення осіб з інвалідністю, дітей з інвалідністю технічними та іншими засобами для догляду у домашніх умовах </t>
  </si>
  <si>
    <t xml:space="preserve">2.1.3.Забезпечення дітей лікарськими засобами з окремими видами захворювань      </t>
  </si>
  <si>
    <t xml:space="preserve">2.1.4. Забезпечення дітей, які страждають на рідкісні (орфанні) захворювання лікарськими засобами </t>
  </si>
  <si>
    <t xml:space="preserve">2.1.5. Забезпечення дітей, які страждають на рідкісні (орфанні) захворювання відповідними харчовими продуктами </t>
  </si>
  <si>
    <t>2.1.6. Забезпечення надання громадянам послуг по зубопротезуванню на пільгових умовах</t>
  </si>
  <si>
    <t>2.1.7. Забезпечення слуховими апаратами дорослого населення з інвалідністю по слуху</t>
  </si>
  <si>
    <t>3.1.</t>
  </si>
  <si>
    <t>3.1.1.Супровід медичними працівниками заходів у Сумській міській об'єднаній територіальній громаді</t>
  </si>
  <si>
    <t>3.2.</t>
  </si>
  <si>
    <t>3.3.</t>
  </si>
  <si>
    <t xml:space="preserve">3.2.1.Забезпечення діяльності централізованої бухгалтерії  та інформаційно-аналітичного центру медичної статистики відділу охорони здоров'я СМР                   </t>
  </si>
  <si>
    <t>3.3.1. Закупівля лікарських засобів, медичних виробів, засобів індивідуального захисту, антисептиків</t>
  </si>
  <si>
    <t>3.3.2. 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</si>
  <si>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ПІДПРОГРАМА 4. Приведення закладів охорони здоров'я у відповідність до сучасних потреб</t>
  </si>
  <si>
    <t>4.1.</t>
  </si>
  <si>
    <t>Зміцнення та оновлення матеріально-технічної бази закладів охорони здоров'я</t>
  </si>
  <si>
    <t xml:space="preserve">4.1.1. Придбання обладнання довгострокового користування                          </t>
  </si>
  <si>
    <t xml:space="preserve">4.1.2. Проведення капітальних ремонтів                                           </t>
  </si>
  <si>
    <t xml:space="preserve">Видатки галузі, які враховані в інших цільових програмах та інші джерела фінансування </t>
  </si>
  <si>
    <t xml:space="preserve"> Програма Сумської міської об’єднаної територіальної громади «Cоціальна підтримка захисників України та членів їх сімей» на 2020-2022 роки»</t>
  </si>
  <si>
    <t>1.</t>
  </si>
  <si>
    <t xml:space="preserve">Медичне забезпечення учасників антитерористичної операції та членів сімей загиблих (померлих) учасників антитерористичної операції </t>
  </si>
  <si>
    <t>Програма підвищення енергоефективності в бюджетній сфері Сумської міської об’єднаної територіальної громади на 2020-2022 роки</t>
  </si>
  <si>
    <t xml:space="preserve">Підвищення енергоефективності в закладах охорони здоров'я міста </t>
  </si>
  <si>
    <t>з них по закладах:</t>
  </si>
  <si>
    <t xml:space="preserve">Будівництво та реконструкція комунальних некомерційних підприємств </t>
  </si>
  <si>
    <t xml:space="preserve">Медичне обслуговування населення за програмою медичних гарантій </t>
  </si>
  <si>
    <t>Надання медичної допомоги на платній основі</t>
  </si>
  <si>
    <t xml:space="preserve">Забезпечення комфортних умов у закладах охорони здоров'я </t>
  </si>
  <si>
    <t xml:space="preserve">Сприяння при наданні медичної допомоги  у закладах охорони здоров'я </t>
  </si>
  <si>
    <t>1.2.4. Забезпечення надання антирабічної допомоги</t>
  </si>
  <si>
    <t>1.3.2. Покриття вартості комунальних послуг та енергоносіїв</t>
  </si>
  <si>
    <t>1.3.3. Забезпечення харчуванням пацієнтів у відділеннях стаціонару</t>
  </si>
  <si>
    <t>1.3.4. Забезпечення  первинного підвищення кваліфікації випускників вищих медичних закладів (інтернатура)</t>
  </si>
  <si>
    <t>ПІДПРОГРАМА 1.  Покращення надання медичної допомоги населенню</t>
  </si>
  <si>
    <t>Всього по напряму 1.1. , у тому числі:</t>
  </si>
  <si>
    <t>1.2.3. Забезпечення пацієнтів харчуванням у відділеннях стаціонару</t>
  </si>
  <si>
    <t>Забезпечення харчування дітей перших двох років життя та дітей від ВІЛ -інфікованих  матерів</t>
  </si>
  <si>
    <t xml:space="preserve">Збереження стоматологічного здоров'я населення </t>
  </si>
  <si>
    <t xml:space="preserve">Всього по напряму 1.3, у тому числі </t>
  </si>
  <si>
    <t>Всього по напряму 1.4, у тому числі</t>
  </si>
  <si>
    <t>Всього по напряму 1.2, у тому числі</t>
  </si>
  <si>
    <t>В розрізі КНП</t>
  </si>
  <si>
    <t xml:space="preserve">Попередження розвитку ускладнень та продовження тривалості і якості життя населення                        </t>
  </si>
  <si>
    <t xml:space="preserve">2.1.8. Забезпечення лікарськими засобами хворих на цукровий та нецукровий діабет                         </t>
  </si>
  <si>
    <t>2.1.9. 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</si>
  <si>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з них по</t>
  </si>
  <si>
    <t>2.</t>
  </si>
  <si>
    <t>3.</t>
  </si>
  <si>
    <t>4.</t>
  </si>
  <si>
    <t>5.</t>
  </si>
  <si>
    <t>6.</t>
  </si>
  <si>
    <t xml:space="preserve">Сприяння в утриманні закладів первинного рівня  </t>
  </si>
  <si>
    <t>Співфінансування покриття вартості комунальних послуг та енергоносіїв</t>
  </si>
  <si>
    <t xml:space="preserve">Показник ефективності: </t>
  </si>
  <si>
    <t xml:space="preserve">Показник продукту: </t>
  </si>
  <si>
    <t>кількість осіб, які потребують туберкулінодіагностики</t>
  </si>
  <si>
    <t>кількість доз туберкуліну, що планується придбати</t>
  </si>
  <si>
    <t>середня вартість 1 дози туберкуліну, грн.</t>
  </si>
  <si>
    <t xml:space="preserve">Забезпечення надання вторинної медичної допомоги </t>
  </si>
  <si>
    <t>Покриття вартості комунальних послуг та енергоносіїв</t>
  </si>
  <si>
    <t>Забезпечення пацієнтів харчуванням у відділеннях стаціонару</t>
  </si>
  <si>
    <t>середня вартість надання антирабічної допомоги на 1 особу, грн.</t>
  </si>
  <si>
    <t>рівень охоплення вакцинованих осіб від потребуючих, %</t>
  </si>
  <si>
    <t>Забезпечення первинного підвищення кваліфікації випускників вищих медичних закладів (інтернатура)</t>
  </si>
  <si>
    <t>Забезпечення проведення обов'язкових профілактичних медичних оглядів працівників бюджетної сфери</t>
  </si>
  <si>
    <t>Забезпечення функціонування відділення медико-соціальної допомоги дітям та молоді "Клініка, дружня до молоді"</t>
  </si>
  <si>
    <t>середньмісячні витрати на утримання молочної кухні, грн.</t>
  </si>
  <si>
    <t>середньмісячні витрати на утримання "Клініка, дружня до молоді", грн.</t>
  </si>
  <si>
    <t>Сприяння організації призову громадян на військову службу</t>
  </si>
  <si>
    <t>Всього на виконання підпрограми 1, грн.</t>
  </si>
  <si>
    <t>Всього на виконання підпрограми 2, грн.</t>
  </si>
  <si>
    <t xml:space="preserve">Забезпечення пільгової категорії населення лікарськими засобами за безкоштовними рецептами </t>
  </si>
  <si>
    <t>середня вартість одного пільгового рецепта, грн.</t>
  </si>
  <si>
    <t xml:space="preserve">Забезпечення осіб з інвалідністю, дітей з інвалідністю технічними та іншими засобами для догляду у домашніх умовах </t>
  </si>
  <si>
    <t xml:space="preserve">Забезпечення дітей лікарськими засобами з окремими видами захворювань      </t>
  </si>
  <si>
    <t xml:space="preserve">Забезпечення дітей, які страждають на рідкісні (орфанні) захворювання лікарськими засобами </t>
  </si>
  <si>
    <t xml:space="preserve">Забезпечення дітей, які страждають на рідкісні (орфанні) захворювання відповідними харчовими продуктами </t>
  </si>
  <si>
    <t>чисельність осіб, хворих на орфанні захворювання, які потребують спеціальних продуктів харчцвання</t>
  </si>
  <si>
    <t>Забезпечення слуховими апаратами дорослого населення з інвалідністю по слуху</t>
  </si>
  <si>
    <t>кількість осіб, які потребують встановлення слухових апаратів</t>
  </si>
  <si>
    <t>середня вартість слухопротезування протезування на одного пацієнта, грн.</t>
  </si>
  <si>
    <t xml:space="preserve">Забезпечення лікарськими засобами хворих на цукровий та нецукровий діабет                  </t>
  </si>
  <si>
    <t xml:space="preserve">Забезпечення діяльності централізованої бухгалтерії  та інформаційно-аналітичного центру медичної статистики відділу охорони здоров'я СМР                   </t>
  </si>
  <si>
    <t>середньомісячні витрати на утримання відділів, грн.</t>
  </si>
  <si>
    <t>Закупівля лікарських засобів, медичних виробів, засобів індивідуального захисту, антисептиків</t>
  </si>
  <si>
    <t>Середні видатки витрати на 1 заклад охорони здоров'я, грн.</t>
  </si>
  <si>
    <t>Виплата додаткової доплати працівникам, які задіяні безпосередньо до надання медичної допомоги хворим на гостру респіраторну хворобу COVID-19, спричинену коронавірусом SARS-CoV-2</t>
  </si>
  <si>
    <t>Середньомісячні витрати на 1 заклад охорони здоров'я, грн.</t>
  </si>
  <si>
    <t>КПКВК 0717363</t>
  </si>
  <si>
    <t>Виконання інвестиційних проєктів в рамках здійснення заходів щодо соціально-економічного розвитку окремих територій</t>
  </si>
  <si>
    <t>3.4.1.Впровадження та підтримка ІТ-послуг, сервісів, систем відеоспостереження в закладах охорони здоров'я</t>
  </si>
  <si>
    <t>Забезпечення приєднання закладів охорони здоров'я до загальноміської системи відеоспостереження</t>
  </si>
  <si>
    <t>кількість приміщень, які планується забезпечити системами відеоспостереження</t>
  </si>
  <si>
    <t>Всього на виконання програми (без коштів на виконання інших цільових програм), грн.</t>
  </si>
  <si>
    <t>Забезпечити безпеку присутніх на масштабних заходах під час великого скупчення людей</t>
  </si>
  <si>
    <t>Інша субвенція з місцевого бюджету (загальний фонд)</t>
  </si>
  <si>
    <t>Разом по заходу 1.1.1</t>
  </si>
  <si>
    <t>Разом по заходу 1.2.1</t>
  </si>
  <si>
    <t>Забезпечення надання вторинної (амбулаторної та стаціонарної) медичної допомоги відповідно до галузевих стандартів</t>
  </si>
  <si>
    <t xml:space="preserve">Потреба у видатках на відшкодування вартості препаратів інсуліну хворим на цукровий діабет </t>
  </si>
  <si>
    <r>
      <t xml:space="preserve">1.2.5. Забезпечення надання медичної допомоги хворим на інфаркт міокарда </t>
    </r>
    <r>
      <rPr>
        <i/>
        <sz val="22"/>
        <rFont val="Times New Roman"/>
        <family val="1"/>
        <charset val="204"/>
      </rPr>
      <t>(придбання тромболітичних препаратів,                                                 медикаментів, витратних матеріалів для стентування коронарних судин)</t>
    </r>
  </si>
  <si>
    <r>
      <t>1.2.6. Забезпечення надання медичної допомоги хворим на інсульт</t>
    </r>
    <r>
      <rPr>
        <i/>
        <sz val="22"/>
        <rFont val="Times New Roman"/>
        <family val="1"/>
        <charset val="204"/>
      </rPr>
      <t xml:space="preserve"> (придбання препарату Актилізе)</t>
    </r>
  </si>
  <si>
    <r>
      <t>КНП "Центр первинної медико-санітарної допомоги № 1" СМР</t>
    </r>
    <r>
      <rPr>
        <i/>
        <sz val="22"/>
        <rFont val="Times New Roman"/>
        <family val="1"/>
        <charset val="204"/>
      </rPr>
      <t xml:space="preserve"> (капітальні)</t>
    </r>
  </si>
  <si>
    <r>
      <t xml:space="preserve">КНП "Центр первинної медико-санітарної допомоги № 2" СМР </t>
    </r>
    <r>
      <rPr>
        <i/>
        <sz val="22"/>
        <rFont val="Times New Roman"/>
        <family val="1"/>
        <charset val="204"/>
      </rPr>
      <t>(капітальні)</t>
    </r>
  </si>
  <si>
    <t>Разом по заходу 1.1.2</t>
  </si>
  <si>
    <t>Разом по заходу 1.1.3</t>
  </si>
  <si>
    <t>Разом по заходу 1.2.2</t>
  </si>
  <si>
    <t>Разом по заходу 1.2.3</t>
  </si>
  <si>
    <r>
      <t xml:space="preserve">1.2.7. Забезпечення лікування хворих на хронічну ниркову недостатність методом гемодіалізу до 01.04.2020 </t>
    </r>
    <r>
      <rPr>
        <i/>
        <sz val="22"/>
        <rFont val="Times New Roman"/>
        <family val="1"/>
        <charset val="204"/>
      </rPr>
      <t>(придбання медикаментів та витратних матеріалів)</t>
    </r>
    <r>
      <rPr>
        <sz val="22"/>
        <rFont val="Times New Roman"/>
        <family val="1"/>
        <charset val="204"/>
      </rPr>
      <t xml:space="preserve"> </t>
    </r>
  </si>
  <si>
    <t>Разом по заходу 1.2.7</t>
  </si>
  <si>
    <r>
      <t>1.2.8. Забезпечення проведення обстеження пацієнтів методами КТ, МРТ</t>
    </r>
    <r>
      <rPr>
        <i/>
        <sz val="22"/>
        <rFont val="Times New Roman"/>
        <family val="1"/>
        <charset val="204"/>
      </rPr>
      <t xml:space="preserve"> (оплата послуг обстеження пацієнтів методами КТ, МРТ)</t>
    </r>
  </si>
  <si>
    <t>Разом по заходу 1.2.8</t>
  </si>
  <si>
    <t>Разом по заходу 1.2.9</t>
  </si>
  <si>
    <t>Визначення стану здоров’я працівників навчальних закладів, що знаходяться у комунальній власності Сумської міської ради, закладів та установ соціального захисту міського підпорядкування, зокрема можливості виконання ним певних трудових обов’язків, а також попередження виникненню та розповсюдженню інфекційних хвороб</t>
  </si>
  <si>
    <t>Забезпечення безперервного проведення процедури гемодіалізу особам, які хворі на хронічну ниркову недостатність, до 01.04.2020</t>
  </si>
  <si>
    <t>Разом по заходу 1.3.1</t>
  </si>
  <si>
    <t>Разом по заходу 1.4.1</t>
  </si>
  <si>
    <t>Разом по заходу 2.1.1</t>
  </si>
  <si>
    <t>Разом по заходу 2.1.2</t>
  </si>
  <si>
    <t>Разом по заходу 2.1.4</t>
  </si>
  <si>
    <t>Разом по заходу 2.1.6</t>
  </si>
  <si>
    <t>Разом по заходу 2.1.8</t>
  </si>
  <si>
    <t>Разом по заходу 2.1.9</t>
  </si>
  <si>
    <t>Разом по заходу 3.3.2.</t>
  </si>
  <si>
    <t>Запобігти поширенню інфекційних захворювань на території Сумської міської ОТГ, забезпечення належного рівня надання медичної допомоги хворим на інфекційні захворювання</t>
  </si>
  <si>
    <t>Всього по напряму 3.1.</t>
  </si>
  <si>
    <t>Всього по напряму 3.3., у тому числі</t>
  </si>
  <si>
    <t>Разом по заходу 4.1.1.</t>
  </si>
  <si>
    <t>Разом по заходу 4.1.2.</t>
  </si>
  <si>
    <t xml:space="preserve">4.1.3. Участь у інвестиційних проєктах, що реалізуються за рахунок коштів державного фонду регіонального розвитку    </t>
  </si>
  <si>
    <t>чисельність осіб, яким проведено процедуру гемодіалізу</t>
  </si>
  <si>
    <r>
      <t xml:space="preserve">Показник продукту: </t>
    </r>
    <r>
      <rPr>
        <sz val="18"/>
        <rFont val="Times New Roman"/>
        <family val="1"/>
        <charset val="204"/>
      </rPr>
      <t>кількість установ, од.</t>
    </r>
  </si>
  <si>
    <r>
      <t xml:space="preserve">Показник ефективності: </t>
    </r>
    <r>
      <rPr>
        <sz val="18"/>
        <rFont val="Times New Roman"/>
        <family val="1"/>
        <charset val="204"/>
      </rPr>
      <t>середні витрати на 1 заклад охорони здоров'я, грн.</t>
    </r>
  </si>
  <si>
    <r>
      <t>Надання медичної допомоги хворим на інсульт (</t>
    </r>
    <r>
      <rPr>
        <i/>
        <sz val="18"/>
        <rFont val="Times New Roman"/>
        <family val="1"/>
        <charset val="204"/>
      </rPr>
      <t>придбання препарату Актилізе</t>
    </r>
    <r>
      <rPr>
        <sz val="18"/>
        <rFont val="Times New Roman"/>
        <family val="1"/>
        <charset val="204"/>
      </rPr>
      <t xml:space="preserve">) </t>
    </r>
  </si>
  <si>
    <t>чисельність осіб, які потребують проведення обстеження</t>
  </si>
  <si>
    <t>відсоток обстежених від потребуючих</t>
  </si>
  <si>
    <r>
      <t xml:space="preserve">Показник ефективності: </t>
    </r>
    <r>
      <rPr>
        <sz val="18"/>
        <rFont val="Times New Roman"/>
        <family val="1"/>
        <charset val="204"/>
      </rPr>
      <t>середньомісячні витрати на заклад охорони здоров'я, грн.</t>
    </r>
  </si>
  <si>
    <t>середньомісячні витрати на утримання 1 посади інтерна, грн.</t>
  </si>
  <si>
    <t>середня вартість проведеного медичного огляду однієї особи, грн.</t>
  </si>
  <si>
    <r>
      <t xml:space="preserve">Показник ефективності: </t>
    </r>
    <r>
      <rPr>
        <sz val="18"/>
        <rFont val="Times New Roman"/>
        <family val="1"/>
        <charset val="204"/>
      </rPr>
      <t>середньомісячні витрати на утримання закладу охорони здоров'я, грн.</t>
    </r>
  </si>
  <si>
    <t>середня вартість придбання 1 калоприймачів, катетерів, уропрезервативи, грн.</t>
  </si>
  <si>
    <t>середня вартість придбання 1 прокладки урологічної, грн.</t>
  </si>
  <si>
    <t>Обсяг видатків для придбання підгузків, грн.</t>
  </si>
  <si>
    <t>Обсяг видатків для придбання калоприймачів, катетерів, уропрезервативи, грн.</t>
  </si>
  <si>
    <t>Обсяг видатків для придбання прокладок урологічних, грн.</t>
  </si>
  <si>
    <t>середні витрати на одну дитину, яка потребує пільгового забезпечення за пільговими рецептами, грн.</t>
  </si>
  <si>
    <t>середньомісячні витрати на відшкодування пільгових пенсій на 1 особу, грн.</t>
  </si>
  <si>
    <t>Інші джерела коштів (кредитні кошти НЕФКО)</t>
  </si>
  <si>
    <r>
      <t>Забезпечення проведення туберкулінодіагностики (</t>
    </r>
    <r>
      <rPr>
        <i/>
        <sz val="18"/>
        <rFont val="Times New Roman"/>
        <family val="1"/>
        <charset val="204"/>
      </rPr>
      <t>придбання туберкуліну</t>
    </r>
    <r>
      <rPr>
        <sz val="18"/>
        <rFont val="Times New Roman"/>
        <family val="1"/>
        <charset val="204"/>
      </rPr>
      <t>)</t>
    </r>
  </si>
  <si>
    <t>середні видатки на придбання одиниці обладнання</t>
  </si>
  <si>
    <t>кількість відділів</t>
  </si>
  <si>
    <t>Забезпечення виплати медичним працівникам пенсій за віком на пільгових умовах відповідно до Закону України "Про загальнообов'язкове державне пенсійне страхування"</t>
  </si>
  <si>
    <t>кількість дітей, народжених від ВІЛ-інфікованих матерів,  які отримують безоплатне харчування (ВІЛ), осіб</t>
  </si>
  <si>
    <t>Безоплатне харчування дітей, народжених від ВІЛ-інфікованих матерів</t>
  </si>
  <si>
    <t>середньомісячні витрати на безоплатне харчування 1 дитини до 2-х років життя, грн.</t>
  </si>
  <si>
    <t>середньомісячні витрати на безоплатне харчування 1 дитини, народженої від ВІЛ-інфікованої матері, грн.</t>
  </si>
  <si>
    <t>середня вартість 1 обстеження, грн.</t>
  </si>
  <si>
    <t>Забезпечення лікування хворих на хронічну ниркову недостатність методом гемодіалізу до 01.04.2020</t>
  </si>
  <si>
    <r>
      <t xml:space="preserve">Показник ефективності: </t>
    </r>
    <r>
      <rPr>
        <sz val="18"/>
        <rFont val="Times New Roman"/>
        <family val="1"/>
        <charset val="204"/>
      </rPr>
      <t>середні витрати на харчування у розрахунку на 1 ліжко-день, грн.</t>
    </r>
  </si>
  <si>
    <t>ПІДПРОГРАМА 3. Інші заходи та заклади у сфері охорони здоров'я</t>
  </si>
  <si>
    <t>ПІДПРОГРАМА 3.  Інші заходи та заклади у сфері охорони здоров'я</t>
  </si>
  <si>
    <t>Інша субвенція з місцевого бюджету (спеціальний фонд)</t>
  </si>
  <si>
    <t>4.1.4. Участь у проєктах,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</si>
  <si>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Субвенція з державного бюджету місцевим бюджетам (спеціальний фонд)</t>
  </si>
  <si>
    <t>7.</t>
  </si>
  <si>
    <t>Проведення капітального ремонту приміщення для розміщення відділення невідкладної допомоги у КНП "Центральна міська клінічна лікарня" СМР</t>
  </si>
  <si>
    <t>0719770</t>
  </si>
  <si>
    <t xml:space="preserve">Розвиток лікарсько-акушерської допомоги </t>
  </si>
  <si>
    <t>0712020</t>
  </si>
  <si>
    <t xml:space="preserve">1.2.11. Забезпечення надання психіатричної медичної допомоги </t>
  </si>
  <si>
    <t>КНП СОР "Обласна клінічна спеціалізована лікарня"</t>
  </si>
  <si>
    <t>1.2.12. Забезпечення функціонування молочної кухні</t>
  </si>
  <si>
    <t>1.2.13. Забезпечення функціонування відділення медико-соціальної допомоги дітям та молоді "Клініка, дружня до молоді"</t>
  </si>
  <si>
    <t>1.2.14. Сприяння організації призову громадян на військову службу</t>
  </si>
  <si>
    <t>Разом по заходу 1.2.14</t>
  </si>
  <si>
    <t>Забезпечення надання медичної допомоги мешканцям Сумської міської ОТГ з психіатричними розладами</t>
  </si>
  <si>
    <t>КПКВК 0712020</t>
  </si>
  <si>
    <t>Спеціалізована стаціонарна медична допомога населенню</t>
  </si>
  <si>
    <t>бюджетних програм до комплексної Програми Cумської міської територіальної громади «Охорона здоров'я» на 2020-2022 роки»</t>
  </si>
  <si>
    <t>Напрями діяльності (пріоритетні завдання) та заходи комплексної Програми Cумської міської територіальної  громади "Охорона здоров'я" на 2020-2022 роки"</t>
  </si>
  <si>
    <t xml:space="preserve">Результативні показники виконання завдань комплексної  Програми Cумської міської територіальної  громади "Охорона здоров'я" на 2020-2022 роки"
</t>
  </si>
  <si>
    <t>Інші програми та заходи у сфері охорони здоров'я</t>
  </si>
  <si>
    <t>Супровід медичними працівниками заходів у Сумській міській територіальній громаді</t>
  </si>
  <si>
    <t>1.2.16. Закупівля реактивів для проведення ІФА обстежень  медичним працівникам</t>
  </si>
  <si>
    <t>1.2.15. Проведення ендопротезування великих суглобів</t>
  </si>
  <si>
    <t>Надання ортопедичної допомоги хворим на артроз шляхом ендопротезування великих суглобів</t>
  </si>
  <si>
    <t>Проведення обстеження медичних працівників на коронавірус методом ІФА</t>
  </si>
  <si>
    <t>Разом по заходу 1.2.16</t>
  </si>
  <si>
    <t>Разом по заходу 1.1.4</t>
  </si>
  <si>
    <t>1.1.4. Забезпечення дітей, які страждають на рідкісні (орфанні) захворювання відповідними харчовими продуктами, спеціалізоване харчування дітей до 2- років</t>
  </si>
  <si>
    <t>Кошти бюджету ОТГ/ТГ (загальний фонд)</t>
  </si>
  <si>
    <t xml:space="preserve">Кошти бюджету ОТГ/ТГ (загальний фонд) </t>
  </si>
  <si>
    <t>Кошти  бюджету ОТГ/ТГ (загальний фонд)</t>
  </si>
  <si>
    <t>Кошти бюджету ОТГ /ТГ(загальний фонд)</t>
  </si>
  <si>
    <t>Кошти бюджету ОТГ/ТГ (спеціальний фонд)</t>
  </si>
  <si>
    <t>Забезпечення надання психіатричної медичної допомоги мешканцям ТГ</t>
  </si>
  <si>
    <t xml:space="preserve">Додаток 4   </t>
  </si>
  <si>
    <t xml:space="preserve">Додаток 3                                                                     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</si>
  <si>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 xml:space="preserve">до рішення "Про внесення змін до рішення Сумської міської ради від 21 жовтня                   2020 року № 7548 - МР "Про затвердження комплексної Програми Сумської територіальної громади "Охорона здоров'я" на 2020-2022 роки" (зі змінами)                                                                                                            </t>
  </si>
  <si>
    <t>2021 рік (план)</t>
  </si>
  <si>
    <t>Мета:</t>
  </si>
  <si>
    <t>Забезпечення дітей хворих  на орфанні захворювання спеціалізованим харчуванням,Забезпечення дітей  віком від 0-2 років з малозабезпечених  сімей безкоштовним харчуванням</t>
  </si>
  <si>
    <t>Кількість дітей  з орфанними захворюваннями, які потребують специфічного харчування</t>
  </si>
  <si>
    <t>Кількість дітей   віком від 0-2 років з малозабезпечених  сімей, які потребують безкоштовного харчування</t>
  </si>
  <si>
    <t>Середні витрати  на одну дитину з орфанними захворюваннями</t>
  </si>
  <si>
    <t>Середні витрати  на одну дитину від 0-2 років з малозабезпечених  сімей</t>
  </si>
  <si>
    <t>Чисельність осіб , яким проведене  ендопротезування суглобів</t>
  </si>
  <si>
    <t>середні витрати на проведення одного ендопротезвуння</t>
  </si>
  <si>
    <t>Проведення ендопротезування</t>
  </si>
  <si>
    <t>Придбання реактивів  для проведення ІФА обстежень медичних працівників ( для проведення  двох  аналізів на імуноглобулін М та G)</t>
  </si>
  <si>
    <t>Кількість проведених обстежень</t>
  </si>
  <si>
    <t>Середня вартість    проведеного  обстеження на один імуноглабулін</t>
  </si>
  <si>
    <t>Кількість придбаного обладнання</t>
  </si>
  <si>
    <t>Разом по заходу 1.1.5</t>
  </si>
  <si>
    <t>1.1.5. Закупівля реактивів для проведення ІФА обстежень  медичним працівникам</t>
  </si>
  <si>
    <t>2021 (план)</t>
  </si>
  <si>
    <t>Управління охорони здоров’я СМР</t>
  </si>
  <si>
    <t>Управління охорони здоров’я Сумської міської ради</t>
  </si>
  <si>
    <t>Управління охорони здоров'я Сумської міської ради</t>
  </si>
  <si>
    <t>Управління охорони здоров'я Сумської міської ради                                                              Багатопрофільна стаціонарна медична допомога населенню</t>
  </si>
  <si>
    <t>Управління охорони здоров'я Сумської міської ради                                                              Спеціалізована стаціонарна медична допомога населенню</t>
  </si>
  <si>
    <t>Управління охорони здоров'я Сумської міської ради                                                                                 Лікарсько-акушерська допомога вагітним, породіллям та новонародженим</t>
  </si>
  <si>
    <t>Управління охорони здоров'я Сумської міської ради                                                          Стоматологічна допомога населенню</t>
  </si>
  <si>
    <t>Управління охорони здоров'я Сумської міської ради                                                                         Інші програми, заклади та заходи у сфері охорони здоров'я</t>
  </si>
  <si>
    <t>Управління охорони здоров'я Сумської міської ради                                                          Забезпечення діяльності інших закладів у сфері охорони здоров’я</t>
  </si>
  <si>
    <t>Управління охорони здоров'я Сумської міської ради                                                           Інші програми та  заходи у сфері охорони здоров'я</t>
  </si>
  <si>
    <t>Управління охорони здоров'я Сумської міської ради                                                                   Програми і централізовані заходи у галузі охорони здоров'я</t>
  </si>
  <si>
    <t>Управління охорони здоров'я Сумської міської ради                                            Централізовані заходи з лікування хворих на цукровий та нецукровий діабет</t>
  </si>
  <si>
    <t>Управління охорони здоров'я Сумської міської ради                                                            Первинна медична допомога населенню, що надається центрами первинної медичної (медико-санітарної) допомоги</t>
  </si>
  <si>
    <t>Управління охорони здоров'я Сумської міської ради                                                           Будівництво медичних установ та закладів</t>
  </si>
  <si>
    <t xml:space="preserve">Управління охорони здоров'я Сумської міської ради                                                           Співфінансування інвестиційних проєктів, що реалізуються за рахунок коштів державного фонду регіонального розвитку </t>
  </si>
  <si>
    <t>Управління охорони здоров'я Сумської міської ради                                                         Виконання інвестиційних проєктів в рамках здійснення заходів щодо соціально-економічного розвитку окремих територій</t>
  </si>
  <si>
    <t>Управління охорони здоров'я Сумської міської ради                                                         Інші субвенції з місцевого бюджету</t>
  </si>
  <si>
    <t>1.3.5. Закупівля реактивів для проведення ІФА обстежень  медичним працівникам</t>
  </si>
  <si>
    <t>Закупівля реактивів для проведення ІФА обстежень  медичним працівникам</t>
  </si>
  <si>
    <t xml:space="preserve">Придбання реактивів  для проведення ІФА обстежень медичних працівників </t>
  </si>
  <si>
    <t>Кількість обстежень неохідних провести медични працівникам</t>
  </si>
  <si>
    <t>Кількість ІФА  обстежень, які необхідно  провести медичним працівникам</t>
  </si>
  <si>
    <r>
      <t xml:space="preserve">Показник продукту: </t>
    </r>
    <r>
      <rPr>
        <sz val="18"/>
        <rFont val="Times New Roman"/>
        <family val="1"/>
        <charset val="204"/>
      </rPr>
      <t>кількість ліжко-днів у  звичайних стаціонарах</t>
    </r>
  </si>
  <si>
    <t>чисельність осіб, яким проведена вакцинація</t>
  </si>
  <si>
    <t>чисельність осіб, які потребують вакцинації ( по медичним висновкам)</t>
  </si>
  <si>
    <t xml:space="preserve">кількість працівників бюджетної сфери,  яким планується проведення обов'язкових  профілактичних оглядів  з видачею  особистих медичних книжок </t>
  </si>
  <si>
    <t xml:space="preserve">  Багатопрофільна стаціонарна медична допомога населенню (2020рік)</t>
  </si>
  <si>
    <t xml:space="preserve"> Інші програми та заходи у сфері охорони здоров'я (2021 рік)</t>
  </si>
  <si>
    <t>Чисельність осіб,які потребують ендопротезування</t>
  </si>
  <si>
    <t>Кількість одиниць необхідного обладнання</t>
  </si>
  <si>
    <t>Забезпечення функціонування молочної кухні, забезпечення дітей  віком від 0-2 років з малозабезпечених  сімей безкоштовним харчуванням</t>
  </si>
  <si>
    <t>Реалізація проєктів, що фінансуються за рахунок субвенції з державного бюджету місцевим бюджетам на реалізацію проєктів з реконтсрукції, капітального ремонту приймальних відділень в опорних закладах охорони здоров'я у госпітальних округах</t>
  </si>
  <si>
    <t xml:space="preserve"> Інвестиційні проєкти, що реалізуються за рахунок коштів державного фонду регіонального розвитку </t>
  </si>
  <si>
    <t>Сумський міський голова</t>
  </si>
  <si>
    <t>О.М.Лисенко</t>
  </si>
  <si>
    <t>Додаткові обсяги коштів або зменшення по програмі, тис.грн</t>
  </si>
  <si>
    <t>Пропонується затвердити____2021,тис. грн</t>
  </si>
  <si>
    <t xml:space="preserve">4.1.1. Придбання обладнання довгострокового користування               </t>
  </si>
  <si>
    <t xml:space="preserve">4.1.2. Проведення капітальних ремонтів       </t>
  </si>
  <si>
    <t>Разом по програмі</t>
  </si>
  <si>
    <t>Порівняльна таблиця до комплексної  Програми Cумської міської територіальної  громади "Охорона здоров'я" на 2020-2022 роки</t>
  </si>
  <si>
    <t>Обгрунтування</t>
  </si>
  <si>
    <t>Кошти бюджету ТГ (загальний фонд)</t>
  </si>
  <si>
    <t>20 тис.грн. -депутатські кошти на проведення поточного ремонту КНП "Центр первинної медико-санітарної допомоги №2"</t>
  </si>
  <si>
    <t>370 тис.грн - медикаменти та перев'язувальні матеріали КНП"Клінічна лікарня №5",               400 тис.грн. - на поточний ремонт даху та приміщень за адресою вул.Сірка, 3 КНП " Дитяча клінічна лікарня Святої  Зінаїди".                                           200 тис.грн - на проведення поточних робіт кабінету лікаря-невролога за адресою вул. Сірка,3 КНП "Дитяча клінічна лікарня Святої Зінаїди".</t>
  </si>
  <si>
    <t>Зменшення видатків по Управлінню охорони здоров'я СМР (-500тис.грн.)</t>
  </si>
  <si>
    <t>1024,7 тис.грн. - збільшення видатків по КНП "Клінічна лікарня №4"СМР</t>
  </si>
  <si>
    <t>2000 тис.грн.- капітальний ремонт будівлі КНП " Дитяча клінічна лікарня Святої Зінаїди" за адресою вул.Троїцька, 28 (стаціонар,2-х поверхова будівля)</t>
  </si>
  <si>
    <t>1000,1 тис.грн - на завершення будівництва  приймального відділення по об'єкту "Капітальний ремон приміщень для розміщення відділення невідкладної допомоги комунального некомерційного підприємства "Центральна міська клінічна лікарня" СМР</t>
  </si>
  <si>
    <t>Видатки передбачені діючою програмою від 24.03.21 року№520МР</t>
  </si>
  <si>
    <t xml:space="preserve">Додаток 2
до рішення «Про внесення змін до рішення Сумської міської ради від 21 жовтня                   2020 року № 7548 – МР «Про затвердження комплексної Програми територіальної громади «Охорона здоров’я» на 2020-2022 роки» (зі змінами)
від                       року № 
</t>
  </si>
  <si>
    <t>500 тис. грн. - збільшення видатків по Управління охорони здоров'я СМР на обладнання (гольмієвий лазер для ендоурологічної).                             793,8 тис.грн - для закупівлі гольмієвого лазеру  для ендоурології (контактної літотрипсії) Управління охорони здоров'я СМР. (- 1024,7 тис.грн) - зменшення видатків по КНП "Клінічна лікарня №4" СМР</t>
  </si>
  <si>
    <t>від                      року №</t>
  </si>
  <si>
    <t>від                    року №</t>
  </si>
</sst>
</file>

<file path=xl/styles.xml><?xml version="1.0" encoding="utf-8"?>
<styleSheet xmlns="http://schemas.openxmlformats.org/spreadsheetml/2006/main">
  <numFmts count="3">
    <numFmt numFmtId="164" formatCode="0.0"/>
    <numFmt numFmtId="165" formatCode="0.000"/>
    <numFmt numFmtId="166" formatCode="#,##0.0"/>
  </numFmts>
  <fonts count="53">
    <font>
      <sz val="10"/>
      <name val="Arial"/>
    </font>
    <font>
      <b/>
      <sz val="14"/>
      <name val="Times New Roman"/>
      <family val="1"/>
      <charset val="204"/>
    </font>
    <font>
      <sz val="12"/>
      <name val="Times New Roman"/>
      <family val="1"/>
      <charset val="204"/>
    </font>
    <font>
      <sz val="14"/>
      <name val="Times New Roman"/>
      <family val="1"/>
      <charset val="204"/>
    </font>
    <font>
      <sz val="12"/>
      <name val="Times New Roman"/>
      <family val="1"/>
      <charset val="204"/>
    </font>
    <font>
      <sz val="10"/>
      <name val="Arial"/>
      <family val="2"/>
      <charset val="204"/>
    </font>
    <font>
      <sz val="8"/>
      <color indexed="8"/>
      <name val="Arial"/>
      <family val="2"/>
      <charset val="204"/>
    </font>
    <font>
      <sz val="12"/>
      <name val="Times New Roman"/>
      <family val="1"/>
    </font>
    <font>
      <sz val="14"/>
      <color indexed="8"/>
      <name val="Times New Roman"/>
      <family val="1"/>
      <charset val="204"/>
    </font>
    <font>
      <sz val="16"/>
      <name val="Times New Roman"/>
      <family val="1"/>
      <charset val="204"/>
    </font>
    <font>
      <b/>
      <sz val="18"/>
      <name val="Times New Roman"/>
      <family val="1"/>
      <charset val="204"/>
    </font>
    <font>
      <b/>
      <sz val="16"/>
      <name val="Times New Roman"/>
      <family val="1"/>
      <charset val="204"/>
    </font>
    <font>
      <sz val="14"/>
      <name val="Arial"/>
      <family val="2"/>
      <charset val="204"/>
    </font>
    <font>
      <sz val="18"/>
      <name val="Times New Roman"/>
      <family val="1"/>
      <charset val="204"/>
    </font>
    <font>
      <b/>
      <sz val="20"/>
      <name val="Times New Roman"/>
      <family val="1"/>
      <charset val="204"/>
    </font>
    <font>
      <sz val="8"/>
      <name val="Arial"/>
      <family val="2"/>
      <charset val="204"/>
    </font>
    <font>
      <b/>
      <i/>
      <sz val="18"/>
      <name val="Times New Roman"/>
      <family val="1"/>
      <charset val="204"/>
    </font>
    <font>
      <sz val="20"/>
      <name val="Times New Roman"/>
      <family val="1"/>
      <charset val="204"/>
    </font>
    <font>
      <b/>
      <sz val="25"/>
      <name val="Times New Roman"/>
      <family val="1"/>
      <charset val="204"/>
    </font>
    <font>
      <b/>
      <sz val="22"/>
      <name val="Times New Roman"/>
      <family val="1"/>
      <charset val="204"/>
    </font>
    <font>
      <b/>
      <sz val="24"/>
      <name val="Times New Roman"/>
      <family val="1"/>
      <charset val="204"/>
    </font>
    <font>
      <b/>
      <sz val="26"/>
      <name val="Times New Roman"/>
      <family val="1"/>
      <charset val="204"/>
    </font>
    <font>
      <sz val="22"/>
      <name val="Times New Roman"/>
      <family val="1"/>
      <charset val="204"/>
    </font>
    <font>
      <sz val="22"/>
      <name val="Arial"/>
      <family val="2"/>
      <charset val="204"/>
    </font>
    <font>
      <i/>
      <sz val="22"/>
      <name val="Times New Roman"/>
      <family val="1"/>
      <charset val="204"/>
    </font>
    <font>
      <sz val="20"/>
      <color theme="0"/>
      <name val="Times New Roman"/>
      <family val="1"/>
      <charset val="204"/>
    </font>
    <font>
      <sz val="18"/>
      <name val="Arial"/>
      <family val="2"/>
      <charset val="204"/>
    </font>
    <font>
      <b/>
      <i/>
      <sz val="22"/>
      <name val="Times New Roman"/>
      <family val="1"/>
      <charset val="204"/>
    </font>
    <font>
      <sz val="24"/>
      <name val="Times New Roman"/>
      <family val="1"/>
      <charset val="204"/>
    </font>
    <font>
      <i/>
      <sz val="18"/>
      <name val="Times New Roman"/>
      <family val="1"/>
      <charset val="204"/>
    </font>
    <font>
      <sz val="18"/>
      <color indexed="8"/>
      <name val="Times New Roman"/>
      <family val="1"/>
      <charset val="204"/>
    </font>
    <font>
      <sz val="16"/>
      <name val="Arial"/>
      <family val="2"/>
      <charset val="204"/>
    </font>
    <font>
      <b/>
      <sz val="28"/>
      <name val="Times New Roman"/>
      <family val="1"/>
      <charset val="204"/>
    </font>
    <font>
      <sz val="20"/>
      <name val="Arial"/>
      <family val="2"/>
      <charset val="204"/>
    </font>
    <font>
      <sz val="28"/>
      <name val="Times New Roman"/>
      <family val="1"/>
      <charset val="204"/>
    </font>
    <font>
      <sz val="10"/>
      <name val="Arial Cyr"/>
      <charset val="204"/>
    </font>
    <font>
      <sz val="18"/>
      <color theme="1"/>
      <name val="Times New Roman"/>
      <family val="1"/>
      <charset val="204"/>
    </font>
    <font>
      <u/>
      <sz val="22"/>
      <name val="Times New Roman"/>
      <family val="1"/>
      <charset val="204"/>
    </font>
    <font>
      <b/>
      <u/>
      <sz val="14"/>
      <name val="Times New Roman"/>
      <family val="1"/>
      <charset val="204"/>
    </font>
    <font>
      <u/>
      <sz val="14"/>
      <name val="Times New Roman"/>
      <family val="1"/>
      <charset val="204"/>
    </font>
    <font>
      <u/>
      <sz val="18"/>
      <name val="Times New Roman"/>
      <family val="1"/>
      <charset val="204"/>
    </font>
    <font>
      <u/>
      <sz val="20"/>
      <name val="Times New Roman"/>
      <family val="1"/>
      <charset val="204"/>
    </font>
    <font>
      <sz val="10"/>
      <name val="Times New Roman"/>
      <family val="1"/>
      <charset val="204"/>
    </font>
    <font>
      <b/>
      <sz val="10"/>
      <name val="Arial"/>
      <family val="2"/>
      <charset val="204"/>
    </font>
    <font>
      <sz val="36"/>
      <name val="Times New Roman"/>
      <family val="1"/>
      <charset val="204"/>
    </font>
    <font>
      <sz val="48"/>
      <name val="Times New Roman"/>
      <family val="1"/>
      <charset val="204"/>
    </font>
    <font>
      <sz val="11"/>
      <name val="Times New Roman"/>
      <family val="1"/>
      <charset val="204"/>
    </font>
    <font>
      <sz val="14"/>
      <color rgb="FFFFFF00"/>
      <name val="Times New Roman"/>
      <family val="1"/>
      <charset val="204"/>
    </font>
    <font>
      <sz val="22"/>
      <color rgb="FFFFFF00"/>
      <name val="Times New Roman"/>
      <family val="1"/>
      <charset val="204"/>
    </font>
    <font>
      <sz val="24"/>
      <color rgb="FFFFFF00"/>
      <name val="Times New Roman"/>
      <family val="1"/>
      <charset val="204"/>
    </font>
    <font>
      <sz val="26"/>
      <color rgb="FFFFFF00"/>
      <name val="Times New Roman"/>
      <family val="1"/>
      <charset val="204"/>
    </font>
    <font>
      <sz val="28"/>
      <color rgb="FFFFFF00"/>
      <name val="Times New Roman"/>
      <family val="1"/>
      <charset val="204"/>
    </font>
    <font>
      <b/>
      <sz val="10"/>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7030A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right/>
      <top style="thin">
        <color indexed="64"/>
      </top>
      <bottom/>
      <diagonal/>
    </border>
    <border>
      <left/>
      <right/>
      <top/>
      <bottom style="thin">
        <color indexed="64"/>
      </bottom>
      <diagonal/>
    </border>
  </borders>
  <cellStyleXfs count="11">
    <xf numFmtId="0" fontId="0" fillId="0" borderId="0"/>
    <xf numFmtId="0" fontId="6" fillId="0" borderId="0"/>
    <xf numFmtId="0" fontId="5" fillId="0" borderId="0"/>
    <xf numFmtId="0" fontId="4" fillId="0" borderId="0"/>
    <xf numFmtId="9" fontId="5" fillId="0" borderId="0" applyFont="0" applyFill="0" applyBorder="0" applyAlignment="0" applyProtection="0"/>
    <xf numFmtId="0" fontId="7" fillId="0" borderId="0"/>
    <xf numFmtId="0" fontId="15" fillId="0" borderId="0">
      <alignment horizontal="left"/>
    </xf>
    <xf numFmtId="0" fontId="2" fillId="0" borderId="0"/>
    <xf numFmtId="0" fontId="15" fillId="0" borderId="0">
      <alignment horizontal="left"/>
    </xf>
    <xf numFmtId="0" fontId="35" fillId="0" borderId="0"/>
    <xf numFmtId="0" fontId="5" fillId="0" borderId="0"/>
  </cellStyleXfs>
  <cellXfs count="639">
    <xf numFmtId="0" fontId="0" fillId="0" borderId="0" xfId="0"/>
    <xf numFmtId="0" fontId="3" fillId="0" borderId="0" xfId="0" applyFont="1"/>
    <xf numFmtId="0" fontId="3" fillId="0" borderId="0" xfId="0" applyFont="1" applyAlignment="1">
      <alignment horizontal="center"/>
    </xf>
    <xf numFmtId="0" fontId="3" fillId="0" borderId="0" xfId="0" applyFont="1" applyAlignment="1">
      <alignment horizontal="center" vertical="center"/>
    </xf>
    <xf numFmtId="0" fontId="3" fillId="0" borderId="0" xfId="0" applyFont="1" applyAlignment="1">
      <alignment wrapText="1"/>
    </xf>
    <xf numFmtId="0" fontId="3" fillId="0" borderId="0" xfId="0" applyFont="1" applyAlignment="1">
      <alignment vertical="top"/>
    </xf>
    <xf numFmtId="0" fontId="3" fillId="0" borderId="0" xfId="0" applyFont="1" applyAlignment="1">
      <alignment vertical="top" wrapText="1"/>
    </xf>
    <xf numFmtId="0" fontId="1" fillId="0" borderId="1" xfId="0" applyFont="1" applyBorder="1" applyAlignment="1">
      <alignment horizontal="center"/>
    </xf>
    <xf numFmtId="0" fontId="3" fillId="2" borderId="0" xfId="0" applyFont="1" applyFill="1"/>
    <xf numFmtId="0" fontId="3" fillId="2" borderId="0" xfId="0" applyFont="1" applyFill="1" applyAlignment="1">
      <alignment horizontal="right"/>
    </xf>
    <xf numFmtId="0" fontId="9" fillId="2" borderId="0" xfId="0" applyFont="1" applyFill="1"/>
    <xf numFmtId="0" fontId="3" fillId="2" borderId="0" xfId="0" applyFont="1" applyFill="1" applyBorder="1" applyAlignment="1">
      <alignment horizontal="left" vertical="top" wrapText="1"/>
    </xf>
    <xf numFmtId="0" fontId="9" fillId="2" borderId="0" xfId="0" applyFont="1" applyFill="1" applyAlignment="1">
      <alignment horizontal="center" vertical="center"/>
    </xf>
    <xf numFmtId="0" fontId="9" fillId="2" borderId="0" xfId="0" applyFont="1" applyFill="1" applyAlignment="1">
      <alignment wrapText="1"/>
    </xf>
    <xf numFmtId="0" fontId="9" fillId="2" borderId="0" xfId="0" applyFont="1" applyFill="1" applyAlignment="1">
      <alignment horizontal="center"/>
    </xf>
    <xf numFmtId="0" fontId="12" fillId="0" borderId="0" xfId="0" applyFont="1"/>
    <xf numFmtId="0" fontId="3" fillId="0" borderId="0" xfId="0" applyFont="1" applyAlignment="1">
      <alignment horizontal="left" wrapText="1"/>
    </xf>
    <xf numFmtId="0" fontId="3" fillId="0" borderId="0" xfId="0" applyFont="1" applyAlignment="1">
      <alignment horizontal="justify"/>
    </xf>
    <xf numFmtId="0" fontId="3" fillId="0" borderId="0" xfId="0" applyFont="1" applyAlignment="1">
      <alignment horizontal="left"/>
    </xf>
    <xf numFmtId="0" fontId="3" fillId="2" borderId="0" xfId="0" applyFont="1" applyFill="1" applyBorder="1" applyAlignment="1">
      <alignment horizontal="center" vertical="top" wrapText="1"/>
    </xf>
    <xf numFmtId="49" fontId="8" fillId="0" borderId="1" xfId="0" applyNumberFormat="1" applyFont="1" applyBorder="1" applyAlignment="1">
      <alignment horizontal="center" vertical="center" wrapText="1"/>
    </xf>
    <xf numFmtId="49" fontId="8" fillId="0" borderId="1" xfId="0" applyNumberFormat="1" applyFont="1" applyBorder="1" applyAlignment="1">
      <alignment horizontal="center" vertical="top" wrapText="1"/>
    </xf>
    <xf numFmtId="49" fontId="3" fillId="0" borderId="1" xfId="0" applyNumberFormat="1" applyFont="1" applyBorder="1" applyAlignment="1">
      <alignment horizontal="center" vertical="top" wrapText="1"/>
    </xf>
    <xf numFmtId="0" fontId="3" fillId="0" borderId="0" xfId="0" applyFont="1" applyAlignment="1">
      <alignment horizontal="right"/>
    </xf>
    <xf numFmtId="49" fontId="13" fillId="2" borderId="1" xfId="0" applyNumberFormat="1" applyFont="1" applyFill="1" applyBorder="1" applyAlignment="1">
      <alignment vertical="center" wrapText="1"/>
    </xf>
    <xf numFmtId="0" fontId="1" fillId="2" borderId="1" xfId="0" applyFont="1" applyFill="1" applyBorder="1" applyAlignment="1">
      <alignment horizontal="center" vertical="center" wrapText="1"/>
    </xf>
    <xf numFmtId="0" fontId="14" fillId="2" borderId="0" xfId="0" applyFont="1" applyFill="1" applyBorder="1" applyAlignment="1">
      <alignment horizontal="left" vertical="center" wrapText="1"/>
    </xf>
    <xf numFmtId="0" fontId="13" fillId="2" borderId="0" xfId="0" applyFont="1" applyFill="1" applyAlignment="1">
      <alignment wrapText="1"/>
    </xf>
    <xf numFmtId="0" fontId="17" fillId="2" borderId="0" xfId="0" applyFont="1" applyFill="1"/>
    <xf numFmtId="0" fontId="17" fillId="2" borderId="0" xfId="0" applyFont="1" applyFill="1" applyAlignment="1">
      <alignment horizontal="center" vertical="center"/>
    </xf>
    <xf numFmtId="0" fontId="17" fillId="2" borderId="0" xfId="0" applyFont="1" applyFill="1" applyAlignment="1">
      <alignment wrapText="1"/>
    </xf>
    <xf numFmtId="0" fontId="17" fillId="2" borderId="0" xfId="0" applyFont="1" applyFill="1" applyAlignment="1">
      <alignment horizontal="center"/>
    </xf>
    <xf numFmtId="0" fontId="22" fillId="2" borderId="0" xfId="0" applyFont="1" applyFill="1" applyAlignment="1">
      <alignment vertical="top"/>
    </xf>
    <xf numFmtId="0" fontId="22" fillId="2" borderId="1" xfId="0" applyNumberFormat="1" applyFont="1" applyFill="1" applyBorder="1" applyAlignment="1">
      <alignment horizontal="left" vertical="top" wrapText="1"/>
    </xf>
    <xf numFmtId="0" fontId="22" fillId="2" borderId="0" xfId="0" applyFont="1" applyFill="1" applyAlignment="1">
      <alignment horizontal="right"/>
    </xf>
    <xf numFmtId="0" fontId="22" fillId="2" borderId="0" xfId="0" applyFont="1" applyFill="1"/>
    <xf numFmtId="166" fontId="14" fillId="2" borderId="9" xfId="0" applyNumberFormat="1" applyFont="1" applyFill="1" applyBorder="1" applyAlignment="1">
      <alignment horizontal="center" vertical="top" wrapText="1"/>
    </xf>
    <xf numFmtId="166"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top" wrapText="1"/>
    </xf>
    <xf numFmtId="49" fontId="19" fillId="2" borderId="6" xfId="0" applyNumberFormat="1" applyFont="1" applyFill="1" applyBorder="1" applyAlignment="1">
      <alignment vertical="top" wrapText="1"/>
    </xf>
    <xf numFmtId="0" fontId="22" fillId="2" borderId="6" xfId="0" applyFont="1" applyFill="1" applyBorder="1" applyAlignment="1">
      <alignment vertical="top" wrapText="1"/>
    </xf>
    <xf numFmtId="166" fontId="14"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justify" vertical="top" wrapText="1"/>
    </xf>
    <xf numFmtId="3" fontId="10" fillId="2" borderId="1" xfId="0" applyNumberFormat="1" applyFont="1" applyFill="1" applyBorder="1" applyAlignment="1">
      <alignment horizontal="center" vertical="top" wrapText="1"/>
    </xf>
    <xf numFmtId="3" fontId="13" fillId="2" borderId="1" xfId="0" applyNumberFormat="1" applyFont="1" applyFill="1" applyBorder="1" applyAlignment="1">
      <alignment horizontal="center" vertical="top" wrapText="1"/>
    </xf>
    <xf numFmtId="3" fontId="13" fillId="2" borderId="1" xfId="0" applyNumberFormat="1" applyFont="1" applyFill="1" applyBorder="1"/>
    <xf numFmtId="3" fontId="13" fillId="2" borderId="1" xfId="0" applyNumberFormat="1" applyFont="1" applyFill="1" applyBorder="1" applyAlignment="1">
      <alignment horizontal="justify" vertical="top" wrapText="1"/>
    </xf>
    <xf numFmtId="3" fontId="9" fillId="2" borderId="0" xfId="0" applyNumberFormat="1" applyFont="1" applyFill="1"/>
    <xf numFmtId="3" fontId="9" fillId="2" borderId="0" xfId="0" applyNumberFormat="1" applyFont="1" applyFill="1" applyBorder="1"/>
    <xf numFmtId="3" fontId="9" fillId="2" borderId="0" xfId="0" applyNumberFormat="1" applyFont="1" applyFill="1" applyAlignment="1">
      <alignment horizontal="center"/>
    </xf>
    <xf numFmtId="3" fontId="11" fillId="2" borderId="1" xfId="0" applyNumberFormat="1" applyFont="1" applyFill="1" applyBorder="1" applyAlignment="1">
      <alignment horizontal="center" vertical="top" wrapText="1"/>
    </xf>
    <xf numFmtId="3" fontId="16" fillId="2" borderId="1" xfId="0" applyNumberFormat="1" applyFont="1" applyFill="1" applyBorder="1" applyAlignment="1">
      <alignment horizontal="justify" vertical="top" wrapText="1"/>
    </xf>
    <xf numFmtId="3" fontId="10" fillId="2" borderId="1" xfId="6" applyNumberFormat="1" applyFont="1" applyFill="1" applyBorder="1" applyAlignment="1">
      <alignment horizontal="left" vertical="top" wrapText="1"/>
    </xf>
    <xf numFmtId="3" fontId="13" fillId="2" borderId="1" xfId="0" applyNumberFormat="1" applyFont="1" applyFill="1" applyBorder="1" applyAlignment="1">
      <alignment horizontal="right" vertical="center" wrapText="1"/>
    </xf>
    <xf numFmtId="3" fontId="13" fillId="2" borderId="1" xfId="0" applyNumberFormat="1" applyFont="1" applyFill="1" applyBorder="1" applyAlignment="1">
      <alignment horizontal="left" vertical="top" wrapText="1"/>
    </xf>
    <xf numFmtId="3" fontId="13" fillId="2" borderId="1" xfId="7" applyNumberFormat="1" applyFont="1" applyFill="1" applyBorder="1" applyAlignment="1">
      <alignment vertical="center" wrapText="1"/>
    </xf>
    <xf numFmtId="3" fontId="13" fillId="2" borderId="1" xfId="0" applyNumberFormat="1" applyFont="1" applyFill="1" applyBorder="1" applyAlignment="1">
      <alignment horizontal="right" wrapText="1"/>
    </xf>
    <xf numFmtId="3" fontId="13" fillId="2" borderId="1" xfId="0" applyNumberFormat="1" applyFont="1" applyFill="1" applyBorder="1" applyAlignment="1">
      <alignment vertical="top" wrapText="1"/>
    </xf>
    <xf numFmtId="3" fontId="13" fillId="2" borderId="1" xfId="7" applyNumberFormat="1" applyFont="1" applyFill="1" applyBorder="1" applyAlignment="1">
      <alignment vertical="top" wrapText="1"/>
    </xf>
    <xf numFmtId="3" fontId="13" fillId="2" borderId="1" xfId="0" applyNumberFormat="1" applyFont="1" applyFill="1" applyBorder="1" applyAlignment="1">
      <alignment horizontal="left" vertical="center" wrapText="1"/>
    </xf>
    <xf numFmtId="3" fontId="10" fillId="2" borderId="1" xfId="0" applyNumberFormat="1" applyFont="1" applyFill="1" applyBorder="1"/>
    <xf numFmtId="3" fontId="13" fillId="2" borderId="1" xfId="0" applyNumberFormat="1" applyFont="1" applyFill="1" applyBorder="1" applyAlignment="1">
      <alignment wrapText="1"/>
    </xf>
    <xf numFmtId="3" fontId="13" fillId="2" borderId="1" xfId="0" applyNumberFormat="1" applyFont="1" applyFill="1" applyBorder="1" applyAlignment="1">
      <alignment horizontal="center"/>
    </xf>
    <xf numFmtId="3" fontId="10" fillId="2" borderId="1" xfId="0" applyNumberFormat="1" applyFont="1" applyFill="1" applyBorder="1" applyAlignment="1">
      <alignment vertical="top" wrapText="1" shrinkToFit="1"/>
    </xf>
    <xf numFmtId="3" fontId="3" fillId="2" borderId="0" xfId="0" applyNumberFormat="1" applyFont="1" applyFill="1"/>
    <xf numFmtId="3" fontId="13" fillId="2" borderId="0" xfId="0" applyNumberFormat="1" applyFont="1" applyFill="1" applyBorder="1" applyAlignment="1">
      <alignment wrapText="1"/>
    </xf>
    <xf numFmtId="3" fontId="10" fillId="2" borderId="0" xfId="0" applyNumberFormat="1" applyFont="1" applyFill="1" applyBorder="1"/>
    <xf numFmtId="3" fontId="13" fillId="2" borderId="0" xfId="0" applyNumberFormat="1" applyFont="1" applyFill="1" applyBorder="1"/>
    <xf numFmtId="3" fontId="13" fillId="2" borderId="0" xfId="0" applyNumberFormat="1" applyFont="1" applyFill="1"/>
    <xf numFmtId="3" fontId="13" fillId="2" borderId="0" xfId="0" applyNumberFormat="1" applyFont="1" applyFill="1" applyAlignment="1">
      <alignment horizontal="right"/>
    </xf>
    <xf numFmtId="3" fontId="13" fillId="2" borderId="0" xfId="0" applyNumberFormat="1" applyFont="1" applyFill="1" applyAlignment="1">
      <alignment horizontal="center" vertical="center"/>
    </xf>
    <xf numFmtId="3" fontId="13" fillId="2" borderId="0" xfId="0" applyNumberFormat="1" applyFont="1" applyFill="1" applyAlignment="1">
      <alignment wrapText="1"/>
    </xf>
    <xf numFmtId="3" fontId="13" fillId="2" borderId="0" xfId="0" applyNumberFormat="1" applyFont="1" applyFill="1" applyAlignment="1">
      <alignment horizontal="center"/>
    </xf>
    <xf numFmtId="3" fontId="3" fillId="2" borderId="0" xfId="0" applyNumberFormat="1" applyFont="1" applyFill="1" applyAlignment="1">
      <alignment vertical="top" wrapText="1"/>
    </xf>
    <xf numFmtId="3" fontId="9" fillId="2" borderId="0" xfId="0" applyNumberFormat="1" applyFont="1" applyFill="1" applyAlignment="1">
      <alignment vertical="top" wrapText="1"/>
    </xf>
    <xf numFmtId="3" fontId="13" fillId="2" borderId="0" xfId="0" applyNumberFormat="1" applyFont="1" applyFill="1" applyAlignment="1">
      <alignment horizontal="left"/>
    </xf>
    <xf numFmtId="3" fontId="13" fillId="2" borderId="0" xfId="0" applyNumberFormat="1" applyFont="1" applyFill="1" applyAlignment="1">
      <alignment vertical="top"/>
    </xf>
    <xf numFmtId="3" fontId="17" fillId="2" borderId="0" xfId="0" applyNumberFormat="1" applyFont="1" applyFill="1"/>
    <xf numFmtId="3" fontId="17" fillId="2" borderId="0" xfId="0" applyNumberFormat="1" applyFont="1" applyFill="1" applyAlignment="1">
      <alignment horizontal="right"/>
    </xf>
    <xf numFmtId="3" fontId="17" fillId="2" borderId="0" xfId="0" applyNumberFormat="1" applyFont="1" applyFill="1" applyAlignment="1">
      <alignment horizontal="center" vertical="center"/>
    </xf>
    <xf numFmtId="3" fontId="17" fillId="2" borderId="0" xfId="0" applyNumberFormat="1" applyFont="1" applyFill="1" applyAlignment="1">
      <alignment wrapText="1"/>
    </xf>
    <xf numFmtId="3" fontId="17" fillId="2" borderId="0" xfId="0" applyNumberFormat="1" applyFont="1" applyFill="1" applyAlignment="1">
      <alignment horizontal="center"/>
    </xf>
    <xf numFmtId="0" fontId="9" fillId="0" borderId="0" xfId="0" applyFont="1"/>
    <xf numFmtId="0" fontId="31" fillId="0" borderId="0" xfId="0" applyFont="1"/>
    <xf numFmtId="3" fontId="22" fillId="2" borderId="0" xfId="0" applyNumberFormat="1" applyFont="1" applyFill="1" applyAlignment="1">
      <alignment horizontal="left"/>
    </xf>
    <xf numFmtId="3" fontId="22" fillId="2" borderId="0" xfId="0" applyNumberFormat="1" applyFont="1" applyFill="1"/>
    <xf numFmtId="0" fontId="17" fillId="0" borderId="0" xfId="0" applyFont="1"/>
    <xf numFmtId="0" fontId="33" fillId="0" borderId="0" xfId="0" applyFont="1"/>
    <xf numFmtId="0" fontId="17" fillId="0" borderId="0" xfId="0" applyFont="1" applyAlignment="1">
      <alignment horizontal="right"/>
    </xf>
    <xf numFmtId="0" fontId="9" fillId="0" borderId="0" xfId="0" applyFont="1" applyAlignment="1">
      <alignment horizontal="left"/>
    </xf>
    <xf numFmtId="49" fontId="3" fillId="0" borderId="1" xfId="0" applyNumberFormat="1" applyFont="1" applyFill="1" applyBorder="1" applyAlignment="1">
      <alignment horizontal="center" vertical="top" wrapText="1"/>
    </xf>
    <xf numFmtId="0" fontId="34" fillId="2" borderId="0" xfId="0" applyFont="1" applyFill="1"/>
    <xf numFmtId="0" fontId="34" fillId="2" borderId="0" xfId="0" applyFont="1" applyFill="1" applyAlignment="1">
      <alignment horizontal="right"/>
    </xf>
    <xf numFmtId="0" fontId="34" fillId="2" borderId="0" xfId="0" applyFont="1" applyFill="1" applyAlignment="1">
      <alignment horizontal="center" vertical="center"/>
    </xf>
    <xf numFmtId="0" fontId="34" fillId="2" borderId="0" xfId="0" applyFont="1" applyFill="1" applyAlignment="1">
      <alignment wrapText="1"/>
    </xf>
    <xf numFmtId="0" fontId="34" fillId="2" borderId="0" xfId="0" applyFont="1" applyFill="1" applyAlignment="1">
      <alignment horizontal="center"/>
    </xf>
    <xf numFmtId="0" fontId="22" fillId="2" borderId="0" xfId="0" applyFont="1" applyFill="1" applyAlignment="1">
      <alignment horizontal="left"/>
    </xf>
    <xf numFmtId="166" fontId="19" fillId="2" borderId="1" xfId="0" applyNumberFormat="1" applyFont="1" applyFill="1" applyBorder="1" applyAlignment="1">
      <alignment horizontal="center" vertical="top" wrapText="1"/>
    </xf>
    <xf numFmtId="166" fontId="22" fillId="2" borderId="1" xfId="0" applyNumberFormat="1" applyFont="1" applyFill="1" applyBorder="1" applyAlignment="1">
      <alignment horizontal="center" vertical="top" wrapText="1"/>
    </xf>
    <xf numFmtId="166" fontId="19" fillId="2" borderId="6" xfId="0" applyNumberFormat="1" applyFont="1" applyFill="1" applyBorder="1" applyAlignment="1">
      <alignment horizontal="center" vertical="top" wrapText="1"/>
    </xf>
    <xf numFmtId="166" fontId="22" fillId="2" borderId="6" xfId="0" applyNumberFormat="1" applyFont="1" applyFill="1" applyBorder="1" applyAlignment="1">
      <alignment horizontal="center" vertical="top" wrapText="1"/>
    </xf>
    <xf numFmtId="164" fontId="22"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top"/>
    </xf>
    <xf numFmtId="166" fontId="22" fillId="2" borderId="9" xfId="0" applyNumberFormat="1"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166" fontId="19" fillId="2" borderId="9" xfId="0" applyNumberFormat="1" applyFont="1" applyFill="1" applyBorder="1" applyAlignment="1">
      <alignment horizontal="center" vertical="center" wrapText="1"/>
    </xf>
    <xf numFmtId="0" fontId="17" fillId="2" borderId="0" xfId="3" applyFont="1" applyFill="1" applyAlignment="1">
      <alignment horizontal="center" wrapText="1"/>
    </xf>
    <xf numFmtId="0" fontId="17" fillId="2" borderId="0" xfId="0" applyFont="1" applyFill="1" applyAlignment="1">
      <alignment horizontal="center" wrapText="1"/>
    </xf>
    <xf numFmtId="0" fontId="14" fillId="2" borderId="1" xfId="0" applyFont="1" applyFill="1" applyBorder="1" applyAlignment="1">
      <alignment horizontal="center" vertical="center" wrapText="1"/>
    </xf>
    <xf numFmtId="166" fontId="27" fillId="2" borderId="1" xfId="0" applyNumberFormat="1" applyFont="1" applyFill="1" applyBorder="1" applyAlignment="1">
      <alignment horizontal="center" vertical="center" wrapText="1"/>
    </xf>
    <xf numFmtId="166" fontId="22" fillId="2" borderId="1" xfId="0" applyNumberFormat="1" applyFont="1" applyFill="1" applyBorder="1" applyAlignment="1">
      <alignment horizontal="center" vertical="center" wrapText="1"/>
    </xf>
    <xf numFmtId="166" fontId="27" fillId="2" borderId="6" xfId="0" applyNumberFormat="1" applyFont="1" applyFill="1" applyBorder="1" applyAlignment="1">
      <alignment horizontal="center" vertical="center" wrapText="1"/>
    </xf>
    <xf numFmtId="166" fontId="17" fillId="2" borderId="9" xfId="0" applyNumberFormat="1" applyFont="1" applyFill="1" applyBorder="1" applyAlignment="1">
      <alignment horizontal="center" vertical="top" wrapText="1"/>
    </xf>
    <xf numFmtId="4" fontId="17" fillId="2" borderId="1" xfId="0" applyNumberFormat="1" applyFont="1" applyFill="1" applyBorder="1" applyAlignment="1">
      <alignment horizontal="center" vertical="top" wrapText="1"/>
    </xf>
    <xf numFmtId="2" fontId="17" fillId="2" borderId="1" xfId="0" applyNumberFormat="1" applyFont="1" applyFill="1" applyBorder="1" applyAlignment="1">
      <alignment horizontal="center" vertical="top" wrapText="1"/>
    </xf>
    <xf numFmtId="166" fontId="14" fillId="2" borderId="1" xfId="0" applyNumberFormat="1" applyFont="1" applyFill="1" applyBorder="1" applyAlignment="1">
      <alignment horizontal="center" vertical="center" wrapText="1"/>
    </xf>
    <xf numFmtId="166" fontId="27" fillId="2" borderId="1" xfId="0" applyNumberFormat="1" applyFont="1" applyFill="1" applyBorder="1" applyAlignment="1">
      <alignment horizontal="center" vertical="top" wrapText="1"/>
    </xf>
    <xf numFmtId="166" fontId="19" fillId="2" borderId="1" xfId="0" applyNumberFormat="1" applyFont="1" applyFill="1" applyBorder="1" applyAlignment="1">
      <alignment horizontal="center" wrapText="1"/>
    </xf>
    <xf numFmtId="166" fontId="19" fillId="2" borderId="1" xfId="0" applyNumberFormat="1" applyFont="1" applyFill="1" applyBorder="1" applyAlignment="1">
      <alignment horizontal="center" vertical="top"/>
    </xf>
    <xf numFmtId="166" fontId="19" fillId="2" borderId="9" xfId="0" applyNumberFormat="1" applyFont="1" applyFill="1" applyBorder="1" applyAlignment="1">
      <alignment horizontal="center" vertical="top" wrapText="1"/>
    </xf>
    <xf numFmtId="166" fontId="22" fillId="2" borderId="3" xfId="0" applyNumberFormat="1" applyFont="1" applyFill="1" applyBorder="1" applyAlignment="1">
      <alignment horizontal="center" vertical="top" wrapText="1"/>
    </xf>
    <xf numFmtId="0" fontId="34" fillId="2" borderId="0" xfId="0" applyFont="1" applyFill="1" applyAlignment="1">
      <alignment horizontal="center" wrapText="1"/>
    </xf>
    <xf numFmtId="0" fontId="3" fillId="2" borderId="0" xfId="0" applyFont="1" applyFill="1" applyAlignment="1">
      <alignment horizontal="center"/>
    </xf>
    <xf numFmtId="0" fontId="13" fillId="2" borderId="0" xfId="0" applyFont="1" applyFill="1" applyAlignment="1">
      <alignment horizontal="center" vertical="center"/>
    </xf>
    <xf numFmtId="0" fontId="22" fillId="2" borderId="0" xfId="0" applyFont="1" applyFill="1" applyAlignment="1">
      <alignment horizontal="center" vertical="center"/>
    </xf>
    <xf numFmtId="0" fontId="13" fillId="2" borderId="0" xfId="0" applyFont="1" applyFill="1" applyAlignment="1">
      <alignment horizontal="center"/>
    </xf>
    <xf numFmtId="0" fontId="13" fillId="2" borderId="0" xfId="3" applyFont="1" applyFill="1" applyAlignment="1">
      <alignment horizontal="center" wrapText="1"/>
    </xf>
    <xf numFmtId="0" fontId="13" fillId="2" borderId="0" xfId="0" applyFont="1" applyFill="1" applyAlignment="1">
      <alignment horizontal="center" wrapText="1"/>
    </xf>
    <xf numFmtId="0" fontId="22" fillId="2" borderId="0" xfId="0" applyFont="1" applyFill="1" applyAlignment="1">
      <alignment wrapText="1"/>
    </xf>
    <xf numFmtId="0" fontId="1" fillId="2" borderId="0" xfId="0" applyFont="1" applyFill="1" applyAlignment="1">
      <alignment horizontal="center"/>
    </xf>
    <xf numFmtId="0" fontId="22" fillId="2" borderId="0" xfId="0" applyFont="1" applyFill="1" applyAlignment="1">
      <alignment horizontal="left" wrapText="1"/>
    </xf>
    <xf numFmtId="0" fontId="17" fillId="2" borderId="0" xfId="0" applyFont="1" applyFill="1" applyAlignment="1">
      <alignment vertical="top" wrapText="1"/>
    </xf>
    <xf numFmtId="0" fontId="25" fillId="2" borderId="0" xfId="0" applyFont="1" applyFill="1" applyAlignment="1">
      <alignment horizontal="center" wrapText="1"/>
    </xf>
    <xf numFmtId="165" fontId="25" fillId="2" borderId="0" xfId="0" applyNumberFormat="1" applyFont="1" applyFill="1" applyAlignment="1">
      <alignment horizontal="center" wrapText="1"/>
    </xf>
    <xf numFmtId="0" fontId="3" fillId="2" borderId="0" xfId="0" applyFont="1" applyFill="1" applyAlignment="1">
      <alignment horizontal="center" vertical="center"/>
    </xf>
    <xf numFmtId="0" fontId="19" fillId="2" borderId="3" xfId="0" applyFont="1" applyFill="1" applyBorder="1" applyAlignment="1">
      <alignment vertical="top" wrapText="1"/>
    </xf>
    <xf numFmtId="0" fontId="19" fillId="2" borderId="4" xfId="0" applyFont="1" applyFill="1" applyBorder="1" applyAlignment="1">
      <alignment vertical="top" wrapText="1"/>
    </xf>
    <xf numFmtId="0" fontId="19" fillId="2" borderId="2" xfId="0" applyFont="1" applyFill="1" applyBorder="1" applyAlignment="1">
      <alignment vertical="top" wrapText="1"/>
    </xf>
    <xf numFmtId="0" fontId="1" fillId="2" borderId="0" xfId="0" applyFont="1" applyFill="1" applyAlignment="1">
      <alignment horizontal="center" vertical="center"/>
    </xf>
    <xf numFmtId="0" fontId="22" fillId="2" borderId="6" xfId="3" applyFont="1" applyFill="1" applyBorder="1" applyAlignment="1">
      <alignment vertical="top" wrapText="1"/>
    </xf>
    <xf numFmtId="0" fontId="14" fillId="2" borderId="1" xfId="0" applyFont="1" applyFill="1" applyBorder="1" applyAlignment="1">
      <alignment horizontal="center" vertical="top"/>
    </xf>
    <xf numFmtId="0" fontId="23" fillId="2" borderId="0" xfId="0" applyFont="1" applyFill="1" applyBorder="1" applyAlignment="1">
      <alignment horizontal="left"/>
    </xf>
    <xf numFmtId="0" fontId="22" fillId="2" borderId="1" xfId="3" applyFont="1" applyFill="1" applyBorder="1" applyAlignment="1">
      <alignment vertical="top" wrapText="1"/>
    </xf>
    <xf numFmtId="49" fontId="13" fillId="2" borderId="6" xfId="0" applyNumberFormat="1" applyFont="1" applyFill="1" applyBorder="1" applyAlignment="1">
      <alignment vertical="top" wrapText="1"/>
    </xf>
    <xf numFmtId="166" fontId="13" fillId="2" borderId="1" xfId="0" applyNumberFormat="1" applyFont="1" applyFill="1" applyBorder="1" applyAlignment="1">
      <alignment horizontal="center" vertical="top" wrapText="1"/>
    </xf>
    <xf numFmtId="0" fontId="13" fillId="2" borderId="1" xfId="0" applyFont="1" applyFill="1" applyBorder="1" applyAlignment="1">
      <alignment horizontal="center" wrapText="1"/>
    </xf>
    <xf numFmtId="0" fontId="16" fillId="2" borderId="1" xfId="0" applyFont="1" applyFill="1" applyBorder="1" applyAlignment="1">
      <alignment horizontal="center" vertical="center" wrapText="1"/>
    </xf>
    <xf numFmtId="0" fontId="16" fillId="2" borderId="6" xfId="0" applyFont="1" applyFill="1" applyBorder="1" applyAlignment="1">
      <alignment horizontal="center" vertical="top" wrapText="1"/>
    </xf>
    <xf numFmtId="0" fontId="16" fillId="2" borderId="1" xfId="0" applyFont="1" applyFill="1" applyBorder="1" applyAlignment="1">
      <alignment horizontal="center" vertical="top" wrapText="1"/>
    </xf>
    <xf numFmtId="0" fontId="28" fillId="2" borderId="1" xfId="0" applyFont="1" applyFill="1" applyBorder="1" applyAlignment="1">
      <alignment horizontal="left" vertical="top" wrapText="1"/>
    </xf>
    <xf numFmtId="49" fontId="13" fillId="2" borderId="1" xfId="0" applyNumberFormat="1" applyFont="1" applyFill="1" applyBorder="1" applyAlignment="1">
      <alignment vertical="top" wrapText="1"/>
    </xf>
    <xf numFmtId="49" fontId="13" fillId="2" borderId="2" xfId="0" applyNumberFormat="1" applyFont="1" applyFill="1" applyBorder="1" applyAlignment="1">
      <alignment vertical="center" wrapText="1"/>
    </xf>
    <xf numFmtId="0" fontId="10" fillId="2" borderId="0" xfId="0" applyFont="1" applyFill="1" applyBorder="1" applyAlignment="1">
      <alignment horizontal="left" vertical="center" wrapText="1"/>
    </xf>
    <xf numFmtId="0" fontId="19" fillId="2" borderId="0" xfId="0" applyFont="1" applyFill="1" applyBorder="1" applyAlignment="1">
      <alignment horizontal="left" vertical="center" wrapText="1"/>
    </xf>
    <xf numFmtId="166" fontId="10" fillId="2" borderId="0" xfId="0" applyNumberFormat="1" applyFont="1" applyFill="1" applyBorder="1" applyAlignment="1">
      <alignment horizontal="center" vertical="center" wrapText="1"/>
    </xf>
    <xf numFmtId="0" fontId="14"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0" fillId="2" borderId="1" xfId="0" applyFont="1" applyFill="1" applyBorder="1" applyAlignment="1">
      <alignment horizontal="center" vertical="center"/>
    </xf>
    <xf numFmtId="0" fontId="11" fillId="2" borderId="12" xfId="0" applyFont="1" applyFill="1" applyBorder="1" applyAlignment="1">
      <alignment vertical="top"/>
    </xf>
    <xf numFmtId="0" fontId="13" fillId="2" borderId="0" xfId="3" applyFont="1" applyFill="1" applyBorder="1" applyAlignment="1">
      <alignment horizontal="center" vertical="top" wrapText="1"/>
    </xf>
    <xf numFmtId="166" fontId="14" fillId="2" borderId="8" xfId="0" applyNumberFormat="1" applyFont="1" applyFill="1" applyBorder="1" applyAlignment="1">
      <alignment horizontal="center" vertical="top" wrapText="1"/>
    </xf>
    <xf numFmtId="49" fontId="19"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166" fontId="13" fillId="2" borderId="6" xfId="0" applyNumberFormat="1" applyFont="1" applyFill="1" applyBorder="1" applyAlignment="1">
      <alignment horizontal="center" vertical="top" wrapText="1"/>
    </xf>
    <xf numFmtId="0" fontId="14" fillId="2" borderId="0" xfId="0" applyFont="1" applyFill="1" applyBorder="1" applyAlignment="1">
      <alignment horizontal="center" vertical="top" wrapText="1"/>
    </xf>
    <xf numFmtId="49" fontId="13" fillId="2" borderId="8" xfId="0" applyNumberFormat="1" applyFont="1" applyFill="1" applyBorder="1" applyAlignment="1">
      <alignment horizontal="left" vertical="top" wrapText="1"/>
    </xf>
    <xf numFmtId="49" fontId="22" fillId="2" borderId="1" xfId="0" applyNumberFormat="1" applyFont="1" applyFill="1" applyBorder="1" applyAlignment="1">
      <alignment vertical="top" wrapText="1"/>
    </xf>
    <xf numFmtId="0" fontId="13" fillId="2" borderId="9" xfId="0" applyFont="1" applyFill="1" applyBorder="1" applyAlignment="1">
      <alignment vertical="top" wrapText="1"/>
    </xf>
    <xf numFmtId="0" fontId="16" fillId="2" borderId="9" xfId="0" applyFont="1" applyFill="1" applyBorder="1" applyAlignment="1">
      <alignment horizontal="center" vertical="top" wrapText="1"/>
    </xf>
    <xf numFmtId="0" fontId="10" fillId="2" borderId="1" xfId="0" applyFont="1" applyFill="1" applyBorder="1" applyAlignment="1">
      <alignment horizontal="center" wrapText="1"/>
    </xf>
    <xf numFmtId="0" fontId="10" fillId="2" borderId="6" xfId="0" applyFont="1" applyFill="1" applyBorder="1" applyAlignment="1">
      <alignment vertical="top" wrapText="1"/>
    </xf>
    <xf numFmtId="166" fontId="10" fillId="2" borderId="1" xfId="0" applyNumberFormat="1" applyFont="1" applyFill="1" applyBorder="1" applyAlignment="1">
      <alignment horizontal="center" vertical="top" wrapText="1"/>
    </xf>
    <xf numFmtId="166" fontId="17" fillId="2" borderId="6" xfId="0" applyNumberFormat="1" applyFont="1" applyFill="1" applyBorder="1" applyAlignment="1">
      <alignment horizontal="center" vertical="top" wrapText="1"/>
    </xf>
    <xf numFmtId="166" fontId="17" fillId="2" borderId="12" xfId="0" applyNumberFormat="1" applyFont="1" applyFill="1" applyBorder="1" applyAlignment="1">
      <alignment horizontal="center" vertical="top" wrapText="1"/>
    </xf>
    <xf numFmtId="0" fontId="13" fillId="2" borderId="3" xfId="0" applyFont="1" applyFill="1" applyBorder="1" applyAlignment="1">
      <alignment horizontal="center" vertical="top" wrapText="1"/>
    </xf>
    <xf numFmtId="0" fontId="14" fillId="2" borderId="6" xfId="0" applyFont="1" applyFill="1" applyBorder="1" applyAlignment="1">
      <alignment horizontal="center" vertical="center" wrapText="1"/>
    </xf>
    <xf numFmtId="0" fontId="14" fillId="2" borderId="3" xfId="0" applyFont="1" applyFill="1" applyBorder="1" applyAlignment="1">
      <alignment horizontal="center" vertical="top" wrapText="1"/>
    </xf>
    <xf numFmtId="0" fontId="14" fillId="2" borderId="1" xfId="0" applyFont="1" applyFill="1" applyBorder="1" applyAlignment="1">
      <alignment vertical="top" wrapText="1"/>
    </xf>
    <xf numFmtId="0" fontId="14" fillId="2" borderId="6" xfId="0" applyFont="1" applyFill="1" applyBorder="1" applyAlignment="1">
      <alignment vertical="top" wrapText="1"/>
    </xf>
    <xf numFmtId="0" fontId="10" fillId="2" borderId="4" xfId="0" applyFont="1" applyFill="1" applyBorder="1" applyAlignment="1">
      <alignment horizontal="center" vertical="top" wrapText="1"/>
    </xf>
    <xf numFmtId="0" fontId="14" fillId="2" borderId="3" xfId="0" applyFont="1" applyFill="1" applyBorder="1" applyAlignment="1">
      <alignment horizontal="center" vertical="center"/>
    </xf>
    <xf numFmtId="0" fontId="14" fillId="2" borderId="4" xfId="0" applyFont="1" applyFill="1" applyBorder="1" applyAlignment="1">
      <alignment vertical="center"/>
    </xf>
    <xf numFmtId="0" fontId="20" fillId="2" borderId="3" xfId="0" applyFont="1" applyFill="1" applyBorder="1" applyAlignment="1">
      <alignment vertical="center"/>
    </xf>
    <xf numFmtId="0" fontId="19" fillId="2" borderId="4" xfId="0" applyFont="1" applyFill="1" applyBorder="1" applyAlignment="1">
      <alignment vertical="center"/>
    </xf>
    <xf numFmtId="0" fontId="34" fillId="2" borderId="0" xfId="0" applyFont="1" applyFill="1" applyAlignment="1">
      <alignment vertical="top" wrapText="1"/>
    </xf>
    <xf numFmtId="3" fontId="10" fillId="2" borderId="1" xfId="0" applyNumberFormat="1" applyFont="1" applyFill="1" applyBorder="1" applyAlignment="1">
      <alignment horizontal="right"/>
    </xf>
    <xf numFmtId="3" fontId="13" fillId="2" borderId="1" xfId="0" applyNumberFormat="1" applyFont="1" applyFill="1" applyBorder="1" applyAlignment="1">
      <alignment horizontal="center" wrapText="1"/>
    </xf>
    <xf numFmtId="3" fontId="10" fillId="2" borderId="1" xfId="0" applyNumberFormat="1" applyFont="1" applyFill="1" applyBorder="1" applyAlignment="1">
      <alignment horizontal="right" vertical="top" wrapText="1"/>
    </xf>
    <xf numFmtId="3" fontId="13" fillId="2" borderId="1" xfId="7" applyNumberFormat="1" applyFont="1" applyFill="1" applyBorder="1" applyAlignment="1">
      <alignment wrapText="1"/>
    </xf>
    <xf numFmtId="3" fontId="10" fillId="2" borderId="1" xfId="0" applyNumberFormat="1" applyFont="1" applyFill="1" applyBorder="1" applyAlignment="1">
      <alignment horizontal="right" wrapText="1"/>
    </xf>
    <xf numFmtId="3" fontId="30" fillId="2" borderId="1" xfId="8" applyNumberFormat="1" applyFont="1" applyFill="1" applyBorder="1" applyAlignment="1">
      <alignment vertical="center" wrapText="1"/>
    </xf>
    <xf numFmtId="3" fontId="30" fillId="2" borderId="1" xfId="7" applyNumberFormat="1" applyFont="1" applyFill="1" applyBorder="1" applyAlignment="1">
      <alignment vertical="center" wrapText="1"/>
    </xf>
    <xf numFmtId="3" fontId="30" fillId="2" borderId="1" xfId="7" applyNumberFormat="1" applyFont="1" applyFill="1" applyBorder="1" applyAlignment="1">
      <alignment horizontal="left" vertical="center" wrapText="1"/>
    </xf>
    <xf numFmtId="3" fontId="13" fillId="2" borderId="1" xfId="0" applyNumberFormat="1" applyFont="1" applyFill="1" applyBorder="1" applyAlignment="1">
      <alignment horizontal="right" vertical="top" wrapText="1"/>
    </xf>
    <xf numFmtId="3" fontId="30" fillId="2" borderId="1" xfId="7" applyNumberFormat="1" applyFont="1" applyFill="1" applyBorder="1" applyAlignment="1">
      <alignment wrapText="1"/>
    </xf>
    <xf numFmtId="3" fontId="30" fillId="2" borderId="1" xfId="0" applyNumberFormat="1" applyFont="1" applyFill="1" applyBorder="1" applyAlignment="1">
      <alignment horizontal="justify" vertical="center" wrapText="1"/>
    </xf>
    <xf numFmtId="3" fontId="10" fillId="2" borderId="1" xfId="0" applyNumberFormat="1" applyFont="1" applyFill="1" applyBorder="1" applyAlignment="1">
      <alignment horizontal="center" wrapText="1"/>
    </xf>
    <xf numFmtId="3" fontId="10" fillId="2" borderId="1" xfId="0" applyNumberFormat="1" applyFont="1" applyFill="1" applyBorder="1" applyAlignment="1">
      <alignment wrapText="1"/>
    </xf>
    <xf numFmtId="3" fontId="13" fillId="2" borderId="1" xfId="0" applyNumberFormat="1" applyFont="1" applyFill="1" applyBorder="1" applyAlignment="1"/>
    <xf numFmtId="3" fontId="10" fillId="2" borderId="5" xfId="6" applyNumberFormat="1" applyFont="1" applyFill="1" applyBorder="1" applyAlignment="1">
      <alignment horizontal="left" vertical="top" wrapText="1"/>
    </xf>
    <xf numFmtId="3" fontId="10" fillId="2" borderId="6" xfId="0" applyNumberFormat="1" applyFont="1" applyFill="1" applyBorder="1"/>
    <xf numFmtId="3" fontId="10" fillId="2" borderId="6" xfId="7" applyNumberFormat="1" applyFont="1" applyFill="1" applyBorder="1" applyAlignment="1">
      <alignment horizontal="center" wrapText="1"/>
    </xf>
    <xf numFmtId="3" fontId="9" fillId="2" borderId="1" xfId="0" applyNumberFormat="1" applyFont="1" applyFill="1" applyBorder="1"/>
    <xf numFmtId="0" fontId="36" fillId="2" borderId="1" xfId="0" applyFont="1" applyFill="1" applyBorder="1" applyAlignment="1">
      <alignment wrapText="1"/>
    </xf>
    <xf numFmtId="1" fontId="36" fillId="2" borderId="1" xfId="9" applyNumberFormat="1" applyFont="1" applyFill="1" applyBorder="1" applyAlignment="1">
      <alignment horizontal="center" wrapText="1"/>
    </xf>
    <xf numFmtId="3" fontId="10" fillId="2" borderId="1" xfId="0" applyNumberFormat="1" applyFont="1" applyFill="1" applyBorder="1" applyAlignment="1">
      <alignment vertical="top" wrapText="1"/>
    </xf>
    <xf numFmtId="0" fontId="13" fillId="2" borderId="3" xfId="0" applyFont="1" applyFill="1" applyBorder="1" applyAlignment="1">
      <alignment wrapText="1"/>
    </xf>
    <xf numFmtId="0" fontId="30" fillId="2" borderId="1" xfId="0" applyFont="1" applyFill="1" applyBorder="1" applyAlignment="1">
      <alignment vertical="center" wrapText="1"/>
    </xf>
    <xf numFmtId="0" fontId="36" fillId="2" borderId="1" xfId="7" applyFont="1" applyFill="1" applyBorder="1" applyAlignment="1">
      <alignment wrapText="1"/>
    </xf>
    <xf numFmtId="0" fontId="22" fillId="3" borderId="1" xfId="0" applyFont="1" applyFill="1" applyBorder="1" applyAlignment="1">
      <alignment horizontal="left" vertical="top" wrapText="1"/>
    </xf>
    <xf numFmtId="0" fontId="22" fillId="3" borderId="1" xfId="0" applyFont="1" applyFill="1" applyBorder="1" applyAlignment="1">
      <alignment horizontal="left" vertical="center" wrapText="1"/>
    </xf>
    <xf numFmtId="0" fontId="17" fillId="2" borderId="1" xfId="10" applyFont="1" applyFill="1" applyBorder="1" applyAlignment="1">
      <alignment horizontal="center"/>
    </xf>
    <xf numFmtId="0" fontId="13" fillId="2" borderId="1" xfId="7" applyFont="1" applyFill="1" applyBorder="1" applyAlignment="1">
      <alignment wrapText="1"/>
    </xf>
    <xf numFmtId="4" fontId="13" fillId="2" borderId="1" xfId="0" applyNumberFormat="1" applyFont="1" applyFill="1" applyBorder="1" applyAlignment="1">
      <alignment horizontal="right" vertical="top" wrapText="1"/>
    </xf>
    <xf numFmtId="0" fontId="13" fillId="2" borderId="3" xfId="0" applyFont="1" applyFill="1" applyBorder="1" applyAlignment="1">
      <alignment horizontal="left" wrapText="1"/>
    </xf>
    <xf numFmtId="3" fontId="17" fillId="2" borderId="1" xfId="0" applyNumberFormat="1" applyFont="1" applyFill="1" applyBorder="1" applyAlignment="1">
      <alignment horizontal="center"/>
    </xf>
    <xf numFmtId="0" fontId="13" fillId="2" borderId="1" xfId="7" applyFont="1" applyFill="1" applyBorder="1" applyAlignment="1">
      <alignment vertical="top"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0" fillId="2" borderId="1" xfId="0" applyNumberFormat="1" applyFont="1" applyFill="1" applyBorder="1" applyAlignment="1">
      <alignment horizontal="left"/>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0" fontId="13"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0" fillId="2" borderId="1" xfId="0" applyFont="1" applyFill="1" applyBorder="1" applyAlignment="1">
      <alignment horizontal="center" vertical="center" wrapText="1"/>
    </xf>
    <xf numFmtId="0" fontId="38" fillId="2" borderId="0" xfId="0" applyFont="1" applyFill="1" applyAlignment="1">
      <alignment horizontal="center"/>
    </xf>
    <xf numFmtId="0" fontId="39" fillId="2" borderId="0" xfId="0" applyFont="1" applyFill="1"/>
    <xf numFmtId="0" fontId="37" fillId="2" borderId="0" xfId="0" applyFont="1" applyFill="1" applyAlignment="1">
      <alignment vertical="top"/>
    </xf>
    <xf numFmtId="0" fontId="40" fillId="2" borderId="0" xfId="0" applyFont="1" applyFill="1" applyAlignment="1">
      <alignment horizontal="center" vertical="center"/>
    </xf>
    <xf numFmtId="0" fontId="37" fillId="2" borderId="0" xfId="0" applyFont="1" applyFill="1" applyAlignment="1">
      <alignment horizontal="center" vertical="center"/>
    </xf>
    <xf numFmtId="0" fontId="40" fillId="2" borderId="0" xfId="0" applyFont="1" applyFill="1" applyAlignment="1">
      <alignment horizontal="center"/>
    </xf>
    <xf numFmtId="0" fontId="40" fillId="2" borderId="0" xfId="0" applyFont="1" applyFill="1" applyAlignment="1">
      <alignment horizontal="center" wrapText="1"/>
    </xf>
    <xf numFmtId="0" fontId="41" fillId="2" borderId="0" xfId="0" applyFont="1" applyFill="1" applyAlignment="1">
      <alignment horizontal="center" wrapText="1"/>
    </xf>
    <xf numFmtId="0" fontId="22" fillId="2" borderId="3" xfId="0" applyFont="1" applyFill="1" applyBorder="1" applyAlignment="1">
      <alignment horizontal="left" vertical="top" wrapText="1"/>
    </xf>
    <xf numFmtId="0" fontId="22" fillId="2" borderId="1" xfId="0" applyFont="1" applyFill="1" applyBorder="1" applyAlignment="1">
      <alignment horizontal="left" vertical="center" wrapText="1"/>
    </xf>
    <xf numFmtId="0" fontId="22" fillId="2" borderId="6" xfId="0" applyFont="1" applyFill="1" applyBorder="1" applyAlignment="1">
      <alignment horizontal="left" vertical="center" wrapText="1"/>
    </xf>
    <xf numFmtId="0" fontId="22" fillId="2" borderId="8" xfId="0" applyFont="1" applyFill="1" applyBorder="1" applyAlignment="1">
      <alignment horizontal="left" vertical="top" wrapText="1"/>
    </xf>
    <xf numFmtId="0" fontId="44" fillId="2" borderId="0" xfId="0" applyFont="1" applyFill="1" applyAlignment="1">
      <alignment horizontal="center"/>
    </xf>
    <xf numFmtId="0" fontId="44" fillId="2" borderId="0" xfId="0" applyFont="1" applyFill="1"/>
    <xf numFmtId="0" fontId="44" fillId="2" borderId="0" xfId="0" applyFont="1" applyFill="1" applyAlignment="1">
      <alignment vertical="top"/>
    </xf>
    <xf numFmtId="0" fontId="44" fillId="2" borderId="0" xfId="0" applyFont="1" applyFill="1" applyAlignment="1">
      <alignment horizontal="center" vertical="center"/>
    </xf>
    <xf numFmtId="0" fontId="44" fillId="2" borderId="0" xfId="0" applyFont="1" applyFill="1" applyAlignment="1">
      <alignment horizontal="center" wrapText="1"/>
    </xf>
    <xf numFmtId="0" fontId="44" fillId="2" borderId="0" xfId="0" applyFont="1" applyFill="1" applyAlignment="1">
      <alignment vertical="top" wrapText="1"/>
    </xf>
    <xf numFmtId="0" fontId="45" fillId="2" borderId="0" xfId="0" applyFont="1" applyFill="1"/>
    <xf numFmtId="0" fontId="34" fillId="2" borderId="0" xfId="0" applyFont="1" applyFill="1" applyAlignment="1">
      <alignment horizontal="left"/>
    </xf>
    <xf numFmtId="3" fontId="46" fillId="2" borderId="0" xfId="0" applyNumberFormat="1" applyFont="1" applyFill="1"/>
    <xf numFmtId="3" fontId="46" fillId="2" borderId="0" xfId="0" applyNumberFormat="1" applyFont="1" applyFill="1" applyAlignment="1">
      <alignment horizontal="right"/>
    </xf>
    <xf numFmtId="3" fontId="46" fillId="2" borderId="0" xfId="0" applyNumberFormat="1" applyFont="1" applyFill="1" applyAlignment="1">
      <alignment horizontal="center" vertical="center"/>
    </xf>
    <xf numFmtId="3" fontId="46" fillId="2" borderId="0" xfId="0" applyNumberFormat="1" applyFont="1" applyFill="1" applyAlignment="1">
      <alignment wrapText="1"/>
    </xf>
    <xf numFmtId="3" fontId="46" fillId="2" borderId="0" xfId="0" applyNumberFormat="1" applyFont="1" applyFill="1" applyAlignment="1">
      <alignment horizontal="center"/>
    </xf>
    <xf numFmtId="3" fontId="46" fillId="2" borderId="0" xfId="0" applyNumberFormat="1" applyFont="1" applyFill="1" applyAlignment="1">
      <alignment horizontal="left"/>
    </xf>
    <xf numFmtId="3" fontId="46" fillId="2" borderId="0" xfId="0" applyNumberFormat="1" applyFont="1" applyFill="1" applyAlignment="1">
      <alignment vertical="top"/>
    </xf>
    <xf numFmtId="0" fontId="42" fillId="2" borderId="1" xfId="0" applyFont="1" applyFill="1" applyBorder="1" applyAlignment="1">
      <alignment horizontal="center" vertical="center" wrapText="1"/>
    </xf>
    <xf numFmtId="0" fontId="43" fillId="2" borderId="0" xfId="0" applyFont="1" applyFill="1"/>
    <xf numFmtId="0" fontId="0" fillId="2" borderId="0" xfId="0" applyFill="1"/>
    <xf numFmtId="0" fontId="5" fillId="2" borderId="1" xfId="0" applyFont="1" applyFill="1" applyBorder="1" applyAlignment="1">
      <alignment horizontal="center"/>
    </xf>
    <xf numFmtId="164" fontId="0" fillId="2" borderId="0" xfId="0" applyNumberFormat="1" applyFill="1"/>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10" fillId="2" borderId="9"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0" fontId="22" fillId="2" borderId="1" xfId="0" applyFont="1" applyFill="1" applyBorder="1" applyAlignment="1">
      <alignment horizontal="left" vertical="top" wrapText="1"/>
    </xf>
    <xf numFmtId="0" fontId="13" fillId="2" borderId="1" xfId="3" applyFont="1" applyFill="1" applyBorder="1" applyAlignment="1">
      <alignment horizontal="center" vertical="top" wrapText="1"/>
    </xf>
    <xf numFmtId="0" fontId="13" fillId="2" borderId="1" xfId="0" applyFont="1" applyFill="1" applyBorder="1" applyAlignment="1">
      <alignment horizontal="center"/>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3" fillId="2" borderId="6"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12" xfId="0" applyFont="1" applyFill="1" applyBorder="1" applyAlignment="1">
      <alignment horizontal="center" vertical="top" wrapText="1"/>
    </xf>
    <xf numFmtId="0" fontId="10" fillId="2" borderId="6"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12" xfId="0" applyNumberFormat="1" applyFont="1" applyFill="1" applyBorder="1" applyAlignment="1">
      <alignment horizontal="left" vertical="top" wrapText="1"/>
    </xf>
    <xf numFmtId="0" fontId="13" fillId="2" borderId="6" xfId="0" applyFont="1" applyFill="1" applyBorder="1" applyAlignment="1">
      <alignment horizontal="center" vertical="top" wrapText="1"/>
    </xf>
    <xf numFmtId="0" fontId="13" fillId="2" borderId="9" xfId="0" applyFont="1" applyFill="1" applyBorder="1" applyAlignment="1">
      <alignment horizontal="center"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22" fillId="2" borderId="6"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4" fillId="2" borderId="1" xfId="0" applyFont="1" applyFill="1" applyBorder="1" applyAlignment="1">
      <alignment horizontal="center" vertical="top"/>
    </xf>
    <xf numFmtId="0" fontId="22" fillId="2" borderId="1" xfId="0" applyFont="1" applyFill="1" applyBorder="1" applyAlignment="1">
      <alignment horizontal="center" vertical="top" wrapText="1"/>
    </xf>
    <xf numFmtId="0" fontId="23" fillId="2" borderId="1" xfId="0" applyFont="1" applyFill="1" applyBorder="1"/>
    <xf numFmtId="0" fontId="14" fillId="2" borderId="12" xfId="0" applyFont="1" applyFill="1" applyBorder="1" applyAlignment="1">
      <alignment horizontal="center" vertical="top"/>
    </xf>
    <xf numFmtId="0" fontId="22" fillId="2" borderId="1" xfId="0" applyFont="1" applyFill="1" applyBorder="1" applyAlignment="1">
      <alignment vertical="top"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9" xfId="3" applyFont="1" applyFill="1" applyBorder="1" applyAlignment="1">
      <alignment horizontal="center" vertical="top" wrapText="1"/>
    </xf>
    <xf numFmtId="0" fontId="14" fillId="2" borderId="0" xfId="0" applyFont="1" applyFill="1" applyBorder="1" applyAlignment="1">
      <alignment horizontal="left" vertical="top" wrapText="1"/>
    </xf>
    <xf numFmtId="0" fontId="10" fillId="2" borderId="1" xfId="0" applyFont="1" applyFill="1" applyBorder="1" applyAlignment="1">
      <alignment horizontal="center" vertical="top" wrapText="1"/>
    </xf>
    <xf numFmtId="0" fontId="17" fillId="2" borderId="6"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0" fontId="47" fillId="2" borderId="0" xfId="0" applyFont="1" applyFill="1"/>
    <xf numFmtId="0" fontId="48" fillId="2" borderId="0" xfId="0" applyFont="1" applyFill="1" applyAlignment="1">
      <alignment horizontal="center" vertical="center"/>
    </xf>
    <xf numFmtId="0" fontId="48" fillId="2" borderId="0" xfId="0" applyFont="1" applyFill="1"/>
    <xf numFmtId="0" fontId="49" fillId="2" borderId="0" xfId="0" applyFont="1" applyFill="1"/>
    <xf numFmtId="164" fontId="49" fillId="2" borderId="0" xfId="0" applyNumberFormat="1" applyFont="1" applyFill="1"/>
    <xf numFmtId="0" fontId="50" fillId="2" borderId="0" xfId="0" applyFont="1" applyFill="1"/>
    <xf numFmtId="164" fontId="48" fillId="2" borderId="0" xfId="0" applyNumberFormat="1" applyFont="1" applyFill="1"/>
    <xf numFmtId="0" fontId="51" fillId="2" borderId="0" xfId="0" applyFont="1" applyFill="1"/>
    <xf numFmtId="0" fontId="42" fillId="2" borderId="1" xfId="0" applyFont="1" applyFill="1" applyBorder="1" applyAlignment="1">
      <alignment horizontal="left" vertical="center" wrapText="1"/>
    </xf>
    <xf numFmtId="0" fontId="42" fillId="2" borderId="1" xfId="0" applyFont="1" applyFill="1" applyBorder="1" applyAlignment="1">
      <alignment horizontal="center"/>
    </xf>
    <xf numFmtId="0" fontId="42" fillId="2" borderId="1" xfId="0" applyFont="1" applyFill="1" applyBorder="1" applyAlignment="1">
      <alignment horizontal="left" vertical="top"/>
    </xf>
    <xf numFmtId="0" fontId="42" fillId="2" borderId="4" xfId="0" applyFont="1" applyFill="1" applyBorder="1" applyAlignment="1">
      <alignment horizontal="left" vertical="top" wrapText="1"/>
    </xf>
    <xf numFmtId="0" fontId="42" fillId="2" borderId="1" xfId="0" applyNumberFormat="1" applyFont="1" applyFill="1" applyBorder="1" applyAlignment="1">
      <alignment horizontal="left" vertical="top"/>
    </xf>
    <xf numFmtId="0" fontId="42" fillId="2" borderId="1" xfId="0" applyFont="1" applyFill="1" applyBorder="1" applyAlignment="1">
      <alignment horizontal="left" vertical="top" wrapText="1"/>
    </xf>
    <xf numFmtId="0" fontId="52" fillId="2" borderId="1" xfId="0" applyFont="1" applyFill="1" applyBorder="1" applyAlignment="1">
      <alignment horizontal="left" vertical="top"/>
    </xf>
    <xf numFmtId="0" fontId="42" fillId="2" borderId="1" xfId="0" applyFont="1" applyFill="1" applyBorder="1" applyAlignment="1">
      <alignment horizontal="center" vertical="top"/>
    </xf>
    <xf numFmtId="164" fontId="42" fillId="2" borderId="1" xfId="0" applyNumberFormat="1" applyFont="1" applyFill="1" applyBorder="1" applyAlignment="1">
      <alignment horizontal="center" vertical="top"/>
    </xf>
    <xf numFmtId="0" fontId="1" fillId="0" borderId="0" xfId="0" applyFont="1" applyAlignment="1">
      <alignment horizontal="center"/>
    </xf>
    <xf numFmtId="0" fontId="3" fillId="0" borderId="1" xfId="0" applyFont="1" applyBorder="1" applyAlignment="1">
      <alignment horizontal="left" vertical="top" wrapText="1"/>
    </xf>
    <xf numFmtId="0" fontId="1" fillId="0" borderId="6" xfId="0" applyFont="1" applyBorder="1" applyAlignment="1">
      <alignment horizontal="center" vertical="center" wrapText="1"/>
    </xf>
    <xf numFmtId="0" fontId="1" fillId="0" borderId="9" xfId="0" applyFont="1" applyBorder="1" applyAlignment="1">
      <alignment horizontal="center" vertical="center" wrapText="1"/>
    </xf>
    <xf numFmtId="0" fontId="3" fillId="0" borderId="0" xfId="3" applyFont="1" applyFill="1" applyAlignment="1">
      <alignment horizontal="left"/>
    </xf>
    <xf numFmtId="0" fontId="3" fillId="0" borderId="0" xfId="0" applyFont="1" applyAlignment="1">
      <alignment horizontal="left" wrapText="1"/>
    </xf>
    <xf numFmtId="0" fontId="3" fillId="0" borderId="0" xfId="0" applyFont="1" applyAlignment="1">
      <alignment horizontal="left"/>
    </xf>
    <xf numFmtId="0" fontId="1" fillId="0" borderId="3" xfId="0" applyFont="1" applyBorder="1" applyAlignment="1">
      <alignment horizontal="center"/>
    </xf>
    <xf numFmtId="0" fontId="1" fillId="0" borderId="2" xfId="0" applyFont="1" applyBorder="1" applyAlignment="1">
      <alignment horizontal="center"/>
    </xf>
    <xf numFmtId="0" fontId="1" fillId="0" borderId="5" xfId="0" applyFont="1" applyBorder="1" applyAlignment="1">
      <alignment horizontal="center" wrapText="1"/>
    </xf>
    <xf numFmtId="0" fontId="1" fillId="0" borderId="13" xfId="0" applyFont="1" applyBorder="1" applyAlignment="1">
      <alignment horizontal="center" wrapText="1"/>
    </xf>
    <xf numFmtId="0" fontId="3" fillId="2" borderId="1" xfId="0" applyFont="1" applyFill="1" applyBorder="1" applyAlignment="1">
      <alignment horizontal="left" vertical="top" wrapText="1"/>
    </xf>
    <xf numFmtId="0" fontId="1" fillId="0" borderId="7" xfId="0" applyFont="1" applyBorder="1" applyAlignment="1">
      <alignment horizontal="center" vertical="top" wrapText="1"/>
    </xf>
    <xf numFmtId="0" fontId="1" fillId="0" borderId="8" xfId="0" applyFont="1" applyBorder="1" applyAlignment="1">
      <alignment horizontal="center" vertical="top" wrapText="1"/>
    </xf>
    <xf numFmtId="0" fontId="22" fillId="0" borderId="0" xfId="0" applyFont="1" applyFill="1" applyAlignment="1">
      <alignment horizontal="justify" wrapText="1"/>
    </xf>
    <xf numFmtId="0" fontId="14" fillId="0" borderId="0" xfId="0" applyFont="1" applyAlignment="1">
      <alignment horizontal="center"/>
    </xf>
    <xf numFmtId="0" fontId="14" fillId="0" borderId="0" xfId="0" applyFont="1" applyAlignment="1">
      <alignment horizontal="center" wrapText="1"/>
    </xf>
    <xf numFmtId="0" fontId="11" fillId="0" borderId="1" xfId="0" applyFont="1" applyBorder="1" applyAlignment="1">
      <alignment horizontal="center" vertical="center" wrapText="1"/>
    </xf>
    <xf numFmtId="0" fontId="11" fillId="0" borderId="5" xfId="0" applyFont="1" applyBorder="1" applyAlignment="1">
      <alignment horizontal="center" wrapText="1"/>
    </xf>
    <xf numFmtId="0" fontId="11" fillId="0" borderId="13" xfId="0" applyFont="1" applyBorder="1" applyAlignment="1">
      <alignment horizontal="center" wrapText="1"/>
    </xf>
    <xf numFmtId="0" fontId="11" fillId="0" borderId="7" xfId="0" applyFont="1" applyBorder="1" applyAlignment="1">
      <alignment horizontal="center" vertical="top" wrapText="1"/>
    </xf>
    <xf numFmtId="0" fontId="11" fillId="0" borderId="8" xfId="0" applyFont="1" applyBorder="1" applyAlignment="1">
      <alignment horizontal="center" vertical="top" wrapText="1"/>
    </xf>
    <xf numFmtId="0" fontId="1" fillId="0" borderId="9" xfId="0" applyFont="1" applyBorder="1" applyAlignment="1">
      <alignment horizontal="center"/>
    </xf>
    <xf numFmtId="0" fontId="19" fillId="2" borderId="6" xfId="0" applyFont="1" applyFill="1" applyBorder="1" applyAlignment="1">
      <alignment horizontal="left" vertical="top" wrapText="1"/>
    </xf>
    <xf numFmtId="0" fontId="19" fillId="2" borderId="12" xfId="0" applyFont="1" applyFill="1" applyBorder="1" applyAlignment="1">
      <alignment horizontal="left" vertical="top" wrapText="1"/>
    </xf>
    <xf numFmtId="0" fontId="19" fillId="2" borderId="9" xfId="0" applyFont="1" applyFill="1" applyBorder="1" applyAlignment="1">
      <alignment horizontal="left" vertical="top" wrapText="1"/>
    </xf>
    <xf numFmtId="0" fontId="22" fillId="2" borderId="6" xfId="0" applyFont="1" applyFill="1" applyBorder="1" applyAlignment="1">
      <alignment horizontal="left" vertical="top" wrapText="1"/>
    </xf>
    <xf numFmtId="0" fontId="22" fillId="2" borderId="12" xfId="0" applyFont="1" applyFill="1" applyBorder="1" applyAlignment="1">
      <alignment horizontal="left" vertical="top" wrapText="1"/>
    </xf>
    <xf numFmtId="0" fontId="22" fillId="2" borderId="9" xfId="0" applyFont="1" applyFill="1" applyBorder="1" applyAlignment="1">
      <alignment horizontal="left" vertical="top" wrapText="1"/>
    </xf>
    <xf numFmtId="0" fontId="10" fillId="2" borderId="6" xfId="0" applyFont="1" applyFill="1" applyBorder="1" applyAlignment="1">
      <alignment horizontal="center" vertical="center" wrapText="1"/>
    </xf>
    <xf numFmtId="0" fontId="10" fillId="2" borderId="12" xfId="0" applyFont="1" applyFill="1" applyBorder="1" applyAlignment="1">
      <alignment horizontal="center" vertical="center" wrapText="1"/>
    </xf>
    <xf numFmtId="0" fontId="10" fillId="2" borderId="9" xfId="0" applyFont="1" applyFill="1" applyBorder="1" applyAlignment="1">
      <alignment horizontal="center" vertical="center" wrapText="1"/>
    </xf>
    <xf numFmtId="0" fontId="19" fillId="2" borderId="1" xfId="0" applyFont="1" applyFill="1" applyBorder="1" applyAlignment="1">
      <alignment horizontal="left" vertical="top" wrapText="1"/>
    </xf>
    <xf numFmtId="0" fontId="14" fillId="2" borderId="1" xfId="0" applyFont="1" applyFill="1" applyBorder="1" applyAlignment="1">
      <alignment horizontal="center" vertical="top" wrapText="1"/>
    </xf>
    <xf numFmtId="49" fontId="19" fillId="2" borderId="6" xfId="0" applyNumberFormat="1" applyFont="1" applyFill="1" applyBorder="1" applyAlignment="1">
      <alignment horizontal="left" vertical="top" wrapText="1"/>
    </xf>
    <xf numFmtId="49" fontId="19" fillId="2" borderId="12" xfId="0" applyNumberFormat="1" applyFont="1" applyFill="1" applyBorder="1" applyAlignment="1">
      <alignment horizontal="left" vertical="top" wrapText="1"/>
    </xf>
    <xf numFmtId="49" fontId="19" fillId="2" borderId="9" xfId="0" applyNumberFormat="1" applyFont="1" applyFill="1" applyBorder="1" applyAlignment="1">
      <alignment horizontal="left" vertical="top" wrapText="1"/>
    </xf>
    <xf numFmtId="49" fontId="13" fillId="2" borderId="6" xfId="0" applyNumberFormat="1" applyFont="1" applyFill="1" applyBorder="1" applyAlignment="1">
      <alignment horizontal="left" vertical="center" wrapText="1"/>
    </xf>
    <xf numFmtId="49" fontId="13" fillId="2" borderId="9" xfId="0" applyNumberFormat="1" applyFont="1" applyFill="1" applyBorder="1" applyAlignment="1">
      <alignment horizontal="left" vertical="center" wrapText="1"/>
    </xf>
    <xf numFmtId="0" fontId="11" fillId="2" borderId="1" xfId="0" applyFont="1" applyFill="1" applyBorder="1" applyAlignment="1">
      <alignment horizontal="center" vertical="top"/>
    </xf>
    <xf numFmtId="0" fontId="22" fillId="2" borderId="1" xfId="0" applyFont="1" applyFill="1" applyBorder="1" applyAlignment="1">
      <alignment horizontal="left" vertical="top" wrapText="1"/>
    </xf>
    <xf numFmtId="0" fontId="13" fillId="2" borderId="1" xfId="3" applyFont="1" applyFill="1" applyBorder="1" applyAlignment="1">
      <alignment horizontal="center" vertical="top" wrapText="1"/>
    </xf>
    <xf numFmtId="0" fontId="19" fillId="2" borderId="14" xfId="0" applyFont="1" applyFill="1" applyBorder="1" applyAlignment="1">
      <alignment horizontal="left" vertical="top" wrapText="1"/>
    </xf>
    <xf numFmtId="0" fontId="13" fillId="2" borderId="1" xfId="0" applyFont="1" applyFill="1" applyBorder="1" applyAlignment="1">
      <alignment horizontal="center"/>
    </xf>
    <xf numFmtId="0" fontId="22" fillId="2" borderId="1" xfId="3" applyFont="1" applyFill="1" applyBorder="1" applyAlignment="1">
      <alignment horizontal="left" vertical="top" wrapText="1"/>
    </xf>
    <xf numFmtId="0" fontId="13" fillId="2" borderId="1" xfId="0" applyFont="1" applyFill="1" applyBorder="1" applyAlignment="1">
      <alignment horizontal="center" vertical="top" wrapText="1"/>
    </xf>
    <xf numFmtId="0" fontId="10" fillId="2" borderId="3" xfId="0" applyFont="1" applyFill="1" applyBorder="1" applyAlignment="1">
      <alignment horizontal="left" vertical="top" wrapText="1"/>
    </xf>
    <xf numFmtId="0" fontId="10" fillId="2" borderId="4" xfId="0" applyFont="1" applyFill="1" applyBorder="1" applyAlignment="1">
      <alignment horizontal="left" vertical="top" wrapText="1"/>
    </xf>
    <xf numFmtId="0" fontId="10" fillId="2" borderId="2" xfId="0" applyFont="1" applyFill="1" applyBorder="1" applyAlignment="1">
      <alignment horizontal="left" vertical="top" wrapText="1"/>
    </xf>
    <xf numFmtId="49" fontId="19" fillId="2" borderId="3" xfId="0" applyNumberFormat="1" applyFont="1" applyFill="1" applyBorder="1" applyAlignment="1">
      <alignment vertical="top" wrapText="1"/>
    </xf>
    <xf numFmtId="49" fontId="19" fillId="2" borderId="4" xfId="0" applyNumberFormat="1" applyFont="1" applyFill="1" applyBorder="1" applyAlignment="1">
      <alignment vertical="top" wrapText="1"/>
    </xf>
    <xf numFmtId="49" fontId="19" fillId="2" borderId="2" xfId="0" applyNumberFormat="1" applyFont="1" applyFill="1" applyBorder="1" applyAlignment="1">
      <alignment vertical="top" wrapText="1"/>
    </xf>
    <xf numFmtId="0" fontId="13" fillId="2" borderId="6" xfId="3" applyFont="1" applyFill="1" applyBorder="1" applyAlignment="1">
      <alignment horizontal="center" vertical="top" wrapText="1"/>
    </xf>
    <xf numFmtId="0" fontId="13" fillId="2" borderId="12" xfId="3" applyFont="1" applyFill="1" applyBorder="1" applyAlignment="1">
      <alignment horizontal="center" vertical="top" wrapText="1"/>
    </xf>
    <xf numFmtId="0" fontId="13" fillId="2" borderId="9" xfId="3" applyFont="1" applyFill="1" applyBorder="1" applyAlignment="1">
      <alignment horizontal="center" vertical="top" wrapText="1"/>
    </xf>
    <xf numFmtId="0" fontId="17" fillId="2" borderId="6" xfId="0" applyFont="1" applyFill="1" applyBorder="1" applyAlignment="1">
      <alignment horizontal="center" vertical="top" wrapText="1"/>
    </xf>
    <xf numFmtId="0" fontId="17" fillId="2" borderId="12" xfId="0" applyFont="1" applyFill="1" applyBorder="1" applyAlignment="1">
      <alignment horizontal="center" vertical="top" wrapText="1"/>
    </xf>
    <xf numFmtId="0" fontId="19" fillId="2" borderId="14" xfId="0" applyFont="1" applyFill="1" applyBorder="1" applyAlignment="1">
      <alignment horizontal="left" vertical="top"/>
    </xf>
    <xf numFmtId="0" fontId="19" fillId="2" borderId="13" xfId="0" applyFont="1" applyFill="1" applyBorder="1" applyAlignment="1">
      <alignment horizontal="left" vertical="top"/>
    </xf>
    <xf numFmtId="0" fontId="19" fillId="2" borderId="0" xfId="0" applyFont="1" applyFill="1" applyBorder="1" applyAlignment="1">
      <alignment horizontal="left" vertical="top"/>
    </xf>
    <xf numFmtId="0" fontId="19" fillId="2" borderId="11" xfId="0" applyFont="1" applyFill="1" applyBorder="1" applyAlignment="1">
      <alignment horizontal="left" vertical="top"/>
    </xf>
    <xf numFmtId="0" fontId="19" fillId="2" borderId="15" xfId="0" applyFont="1" applyFill="1" applyBorder="1" applyAlignment="1">
      <alignment horizontal="left" vertical="top"/>
    </xf>
    <xf numFmtId="0" fontId="19" fillId="2" borderId="8" xfId="0" applyFont="1" applyFill="1" applyBorder="1" applyAlignment="1">
      <alignment horizontal="left" vertical="top"/>
    </xf>
    <xf numFmtId="0" fontId="10" fillId="2" borderId="6" xfId="0" applyFont="1" applyFill="1" applyBorder="1" applyAlignment="1">
      <alignment horizontal="center" vertical="top" wrapText="1"/>
    </xf>
    <xf numFmtId="0" fontId="10" fillId="2" borderId="12" xfId="0" applyFont="1" applyFill="1" applyBorder="1" applyAlignment="1">
      <alignment horizontal="center" vertical="top" wrapText="1"/>
    </xf>
    <xf numFmtId="0" fontId="10" fillId="2" borderId="9" xfId="0" applyFont="1" applyFill="1" applyBorder="1" applyAlignment="1">
      <alignment horizontal="center" vertical="top" wrapText="1"/>
    </xf>
    <xf numFmtId="49" fontId="22" fillId="2" borderId="6" xfId="0" applyNumberFormat="1" applyFont="1" applyFill="1" applyBorder="1" applyAlignment="1">
      <alignment horizontal="left" vertical="top" wrapText="1"/>
    </xf>
    <xf numFmtId="49" fontId="22" fillId="2" borderId="12" xfId="0" applyNumberFormat="1" applyFont="1" applyFill="1" applyBorder="1" applyAlignment="1">
      <alignment horizontal="left" vertical="top" wrapText="1"/>
    </xf>
    <xf numFmtId="49" fontId="22" fillId="2" borderId="9" xfId="0" applyNumberFormat="1" applyFont="1" applyFill="1" applyBorder="1" applyAlignment="1">
      <alignment horizontal="left" vertical="top" wrapText="1"/>
    </xf>
    <xf numFmtId="0" fontId="19" fillId="2" borderId="3" xfId="0" applyFont="1" applyFill="1" applyBorder="1" applyAlignment="1">
      <alignment horizontal="left" vertical="center" wrapText="1"/>
    </xf>
    <xf numFmtId="0" fontId="19" fillId="2" borderId="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3" fillId="2" borderId="6" xfId="0" applyFont="1" applyFill="1" applyBorder="1" applyAlignment="1">
      <alignment horizontal="center" vertical="top" wrapText="1"/>
    </xf>
    <xf numFmtId="0" fontId="13" fillId="2" borderId="12" xfId="0" applyFont="1" applyFill="1" applyBorder="1" applyAlignment="1">
      <alignment horizontal="center" vertical="top" wrapText="1"/>
    </xf>
    <xf numFmtId="0" fontId="13" fillId="2" borderId="9" xfId="0" applyFont="1" applyFill="1" applyBorder="1" applyAlignment="1">
      <alignment horizontal="center" vertical="top" wrapText="1"/>
    </xf>
    <xf numFmtId="0" fontId="19" fillId="2" borderId="13" xfId="0" applyFont="1" applyFill="1" applyBorder="1" applyAlignment="1">
      <alignment horizontal="left" vertical="top" wrapText="1"/>
    </xf>
    <xf numFmtId="0" fontId="19" fillId="2" borderId="0" xfId="0" applyFont="1" applyFill="1" applyBorder="1" applyAlignment="1">
      <alignment horizontal="left" vertical="top" wrapText="1"/>
    </xf>
    <xf numFmtId="0" fontId="19" fillId="2" borderId="11" xfId="0" applyFont="1" applyFill="1" applyBorder="1" applyAlignment="1">
      <alignment horizontal="left" vertical="top" wrapText="1"/>
    </xf>
    <xf numFmtId="0" fontId="19" fillId="2" borderId="15" xfId="0" applyFont="1" applyFill="1" applyBorder="1" applyAlignment="1">
      <alignment horizontal="left" vertical="top" wrapText="1"/>
    </xf>
    <xf numFmtId="0" fontId="19" fillId="2" borderId="8" xfId="0" applyFont="1" applyFill="1" applyBorder="1" applyAlignment="1">
      <alignment horizontal="left" vertical="top" wrapText="1"/>
    </xf>
    <xf numFmtId="0" fontId="10" fillId="2" borderId="6" xfId="0" applyFont="1" applyFill="1" applyBorder="1" applyAlignment="1">
      <alignment horizontal="center" vertical="top"/>
    </xf>
    <xf numFmtId="0" fontId="10" fillId="2" borderId="12" xfId="0" applyFont="1" applyFill="1" applyBorder="1" applyAlignment="1">
      <alignment horizontal="center" vertical="top"/>
    </xf>
    <xf numFmtId="0" fontId="10" fillId="2" borderId="9" xfId="0" applyFont="1" applyFill="1" applyBorder="1" applyAlignment="1">
      <alignment horizontal="center" vertical="top"/>
    </xf>
    <xf numFmtId="0" fontId="19" fillId="2" borderId="3" xfId="0" applyFont="1" applyFill="1" applyBorder="1" applyAlignment="1">
      <alignment horizontal="center" vertical="top" wrapText="1"/>
    </xf>
    <xf numFmtId="0" fontId="19" fillId="2" borderId="4" xfId="0" applyFont="1" applyFill="1" applyBorder="1" applyAlignment="1">
      <alignment horizontal="center" vertical="top" wrapText="1"/>
    </xf>
    <xf numFmtId="0" fontId="19" fillId="2" borderId="2" xfId="0" applyFont="1" applyFill="1" applyBorder="1" applyAlignment="1">
      <alignment horizontal="center" vertical="top" wrapText="1"/>
    </xf>
    <xf numFmtId="0" fontId="17" fillId="2" borderId="1" xfId="0" applyFont="1" applyFill="1" applyBorder="1" applyAlignment="1">
      <alignment horizontal="left" vertical="top" wrapText="1"/>
    </xf>
    <xf numFmtId="0" fontId="17" fillId="2" borderId="3"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9" xfId="0" applyFont="1" applyFill="1" applyBorder="1" applyAlignment="1">
      <alignment horizontal="center" vertical="top" wrapText="1"/>
    </xf>
    <xf numFmtId="0" fontId="11" fillId="2" borderId="6" xfId="0" applyFont="1" applyFill="1" applyBorder="1" applyAlignment="1">
      <alignment vertical="top"/>
    </xf>
    <xf numFmtId="0" fontId="11" fillId="2" borderId="9" xfId="0" applyFont="1" applyFill="1" applyBorder="1" applyAlignment="1">
      <alignment vertical="top"/>
    </xf>
    <xf numFmtId="0" fontId="11" fillId="2" borderId="5" xfId="0" applyFont="1" applyFill="1" applyBorder="1" applyAlignment="1">
      <alignment horizontal="center" vertical="top"/>
    </xf>
    <xf numFmtId="0" fontId="11" fillId="2" borderId="14" xfId="0" applyFont="1" applyFill="1" applyBorder="1" applyAlignment="1">
      <alignment horizontal="center" vertical="top"/>
    </xf>
    <xf numFmtId="0" fontId="11" fillId="2" borderId="13" xfId="0" applyFont="1" applyFill="1" applyBorder="1" applyAlignment="1">
      <alignment horizontal="center" vertical="top"/>
    </xf>
    <xf numFmtId="0" fontId="11" fillId="2" borderId="7" xfId="0" applyFont="1" applyFill="1" applyBorder="1" applyAlignment="1">
      <alignment horizontal="center" vertical="top"/>
    </xf>
    <xf numFmtId="0" fontId="11" fillId="2" borderId="15" xfId="0" applyFont="1" applyFill="1" applyBorder="1" applyAlignment="1">
      <alignment horizontal="center" vertical="top"/>
    </xf>
    <xf numFmtId="0" fontId="11" fillId="2" borderId="8" xfId="0" applyFont="1" applyFill="1" applyBorder="1" applyAlignment="1">
      <alignment horizontal="center" vertical="top"/>
    </xf>
    <xf numFmtId="49" fontId="19" fillId="2" borderId="1" xfId="0" applyNumberFormat="1" applyFont="1" applyFill="1" applyBorder="1" applyAlignment="1">
      <alignment horizontal="left" vertical="center" wrapText="1"/>
    </xf>
    <xf numFmtId="0" fontId="19" fillId="2" borderId="5" xfId="0" applyFont="1" applyFill="1" applyBorder="1" applyAlignment="1">
      <alignment horizontal="center" vertical="top" wrapText="1"/>
    </xf>
    <xf numFmtId="0" fontId="19" fillId="2" borderId="14" xfId="0" applyFont="1" applyFill="1" applyBorder="1" applyAlignment="1">
      <alignment horizontal="center" vertical="top" wrapText="1"/>
    </xf>
    <xf numFmtId="0" fontId="19" fillId="2" borderId="13" xfId="0" applyFont="1" applyFill="1" applyBorder="1" applyAlignment="1">
      <alignment horizontal="center" vertical="top" wrapText="1"/>
    </xf>
    <xf numFmtId="0" fontId="19" fillId="2" borderId="10" xfId="0" applyFont="1" applyFill="1" applyBorder="1" applyAlignment="1">
      <alignment horizontal="center" vertical="top" wrapText="1"/>
    </xf>
    <xf numFmtId="0" fontId="19" fillId="2" borderId="0" xfId="0" applyFont="1" applyFill="1" applyBorder="1" applyAlignment="1">
      <alignment horizontal="center" vertical="top" wrapText="1"/>
    </xf>
    <xf numFmtId="0" fontId="19" fillId="2" borderId="11" xfId="0" applyFont="1" applyFill="1" applyBorder="1" applyAlignment="1">
      <alignment horizontal="center" vertical="top" wrapText="1"/>
    </xf>
    <xf numFmtId="0" fontId="19" fillId="2" borderId="7" xfId="0" applyFont="1" applyFill="1" applyBorder="1" applyAlignment="1">
      <alignment horizontal="center" vertical="top" wrapText="1"/>
    </xf>
    <xf numFmtId="0" fontId="19" fillId="2" borderId="15" xfId="0" applyFont="1" applyFill="1" applyBorder="1" applyAlignment="1">
      <alignment horizontal="center" vertical="top" wrapText="1"/>
    </xf>
    <xf numFmtId="0" fontId="19" fillId="2" borderId="8" xfId="0" applyFont="1" applyFill="1" applyBorder="1" applyAlignment="1">
      <alignment horizontal="center" vertical="top" wrapText="1"/>
    </xf>
    <xf numFmtId="49" fontId="22" fillId="2" borderId="1" xfId="0" applyNumberFormat="1" applyFont="1" applyFill="1" applyBorder="1" applyAlignment="1">
      <alignment horizontal="left" vertical="top" wrapText="1"/>
    </xf>
    <xf numFmtId="0" fontId="22" fillId="2" borderId="6" xfId="3" applyFont="1" applyFill="1" applyBorder="1" applyAlignment="1">
      <alignment horizontal="left" vertical="top" wrapText="1"/>
    </xf>
    <xf numFmtId="0" fontId="22" fillId="2" borderId="12" xfId="3" applyFont="1" applyFill="1" applyBorder="1" applyAlignment="1">
      <alignment horizontal="left" vertical="top" wrapText="1"/>
    </xf>
    <xf numFmtId="0" fontId="22" fillId="2" borderId="9" xfId="3" applyFont="1" applyFill="1" applyBorder="1" applyAlignment="1">
      <alignment horizontal="left" vertical="top" wrapText="1"/>
    </xf>
    <xf numFmtId="49" fontId="13" fillId="2" borderId="2" xfId="0" applyNumberFormat="1" applyFont="1" applyFill="1" applyBorder="1" applyAlignment="1">
      <alignment horizontal="left" vertical="top" wrapText="1"/>
    </xf>
    <xf numFmtId="0" fontId="14" fillId="2" borderId="1" xfId="0" applyFont="1" applyFill="1" applyBorder="1" applyAlignment="1">
      <alignment horizontal="center" vertical="top"/>
    </xf>
    <xf numFmtId="0" fontId="19" fillId="2" borderId="1" xfId="0" applyFont="1" applyFill="1" applyBorder="1" applyAlignment="1">
      <alignment horizontal="left" vertical="center" wrapText="1"/>
    </xf>
    <xf numFmtId="0" fontId="22" fillId="2" borderId="5" xfId="0" applyFont="1" applyFill="1" applyBorder="1" applyAlignment="1">
      <alignment horizontal="left" vertical="top" wrapText="1"/>
    </xf>
    <xf numFmtId="0" fontId="22" fillId="2" borderId="10" xfId="0" applyFont="1" applyFill="1" applyBorder="1" applyAlignment="1">
      <alignment horizontal="left" vertical="top" wrapText="1"/>
    </xf>
    <xf numFmtId="0" fontId="22" fillId="2" borderId="7" xfId="0" applyFont="1" applyFill="1" applyBorder="1" applyAlignment="1">
      <alignment horizontal="left" vertical="top" wrapText="1"/>
    </xf>
    <xf numFmtId="0" fontId="19" fillId="2" borderId="3" xfId="0" applyFont="1" applyFill="1" applyBorder="1" applyAlignment="1">
      <alignment horizontal="left" vertical="top" wrapText="1"/>
    </xf>
    <xf numFmtId="0" fontId="19" fillId="2" borderId="4" xfId="0" applyFont="1" applyFill="1" applyBorder="1" applyAlignment="1">
      <alignment horizontal="left" vertical="top" wrapText="1"/>
    </xf>
    <xf numFmtId="0" fontId="19" fillId="2" borderId="2" xfId="0" applyFont="1" applyFill="1" applyBorder="1" applyAlignment="1">
      <alignment horizontal="left" vertical="top" wrapText="1"/>
    </xf>
    <xf numFmtId="0" fontId="23" fillId="2" borderId="1" xfId="0" applyFont="1" applyFill="1" applyBorder="1" applyAlignment="1">
      <alignment horizontal="left"/>
    </xf>
    <xf numFmtId="0" fontId="26" fillId="2" borderId="1" xfId="0" applyFont="1" applyFill="1" applyBorder="1"/>
    <xf numFmtId="0" fontId="22" fillId="2" borderId="1" xfId="0" applyFont="1" applyFill="1" applyBorder="1" applyAlignment="1">
      <alignment horizontal="center" vertical="top" wrapText="1"/>
    </xf>
    <xf numFmtId="0" fontId="22" fillId="2" borderId="6" xfId="0" applyFont="1" applyFill="1" applyBorder="1" applyAlignment="1">
      <alignment horizontal="center" vertical="center"/>
    </xf>
    <xf numFmtId="0" fontId="22" fillId="2" borderId="12" xfId="0" applyFont="1" applyFill="1" applyBorder="1" applyAlignment="1">
      <alignment horizontal="center" vertical="center"/>
    </xf>
    <xf numFmtId="0" fontId="0" fillId="2" borderId="1" xfId="0" applyFill="1" applyBorder="1"/>
    <xf numFmtId="0" fontId="23" fillId="2" borderId="1" xfId="0" applyFont="1" applyFill="1" applyBorder="1"/>
    <xf numFmtId="0" fontId="14" fillId="2" borderId="6" xfId="0" applyFont="1" applyFill="1" applyBorder="1" applyAlignment="1">
      <alignment horizontal="center" vertical="top"/>
    </xf>
    <xf numFmtId="0" fontId="14" fillId="2" borderId="12" xfId="0" applyFont="1" applyFill="1" applyBorder="1" applyAlignment="1">
      <alignment horizontal="center" vertical="top"/>
    </xf>
    <xf numFmtId="0" fontId="23" fillId="2" borderId="12" xfId="0" applyFont="1" applyFill="1" applyBorder="1" applyAlignment="1">
      <alignment horizontal="left"/>
    </xf>
    <xf numFmtId="0" fontId="23" fillId="2" borderId="9" xfId="0" applyFont="1" applyFill="1" applyBorder="1" applyAlignment="1">
      <alignment horizontal="left"/>
    </xf>
    <xf numFmtId="0" fontId="19" fillId="2" borderId="6" xfId="0" applyFont="1" applyFill="1" applyBorder="1" applyAlignment="1">
      <alignment horizontal="center" vertical="top" wrapText="1"/>
    </xf>
    <xf numFmtId="0" fontId="19" fillId="2" borderId="12" xfId="0" applyFont="1" applyFill="1" applyBorder="1" applyAlignment="1">
      <alignment horizontal="center" vertical="top" wrapText="1"/>
    </xf>
    <xf numFmtId="0" fontId="19" fillId="2" borderId="9" xfId="0" applyFont="1" applyFill="1" applyBorder="1" applyAlignment="1">
      <alignment horizontal="center" vertical="top" wrapText="1"/>
    </xf>
    <xf numFmtId="49" fontId="13" fillId="2" borderId="6" xfId="0" applyNumberFormat="1" applyFont="1" applyFill="1" applyBorder="1" applyAlignment="1">
      <alignment horizontal="left" vertical="top" wrapText="1"/>
    </xf>
    <xf numFmtId="49" fontId="13" fillId="2" borderId="9" xfId="0" applyNumberFormat="1" applyFont="1" applyFill="1" applyBorder="1" applyAlignment="1">
      <alignment horizontal="left" vertical="top" wrapText="1"/>
    </xf>
    <xf numFmtId="0" fontId="13" fillId="2" borderId="3" xfId="0" applyFont="1" applyFill="1" applyBorder="1" applyAlignment="1">
      <alignment horizontal="left" vertical="top" wrapText="1"/>
    </xf>
    <xf numFmtId="0" fontId="13" fillId="2" borderId="2" xfId="0" applyFont="1" applyFill="1" applyBorder="1" applyAlignment="1">
      <alignment horizontal="left" vertical="top" wrapText="1"/>
    </xf>
    <xf numFmtId="0" fontId="14" fillId="2" borderId="5" xfId="0" applyFont="1" applyFill="1" applyBorder="1" applyAlignment="1">
      <alignment horizontal="center" vertical="top"/>
    </xf>
    <xf numFmtId="0" fontId="14" fillId="2" borderId="14" xfId="0" applyFont="1" applyFill="1" applyBorder="1" applyAlignment="1">
      <alignment horizontal="center" vertical="top"/>
    </xf>
    <xf numFmtId="0" fontId="14" fillId="2" borderId="13" xfId="0" applyFont="1" applyFill="1" applyBorder="1" applyAlignment="1">
      <alignment horizontal="center" vertical="top"/>
    </xf>
    <xf numFmtId="0" fontId="14" fillId="2" borderId="10" xfId="0" applyFont="1" applyFill="1" applyBorder="1" applyAlignment="1">
      <alignment horizontal="center" vertical="top"/>
    </xf>
    <xf numFmtId="0" fontId="14" fillId="2" borderId="0" xfId="0" applyFont="1" applyFill="1" applyBorder="1" applyAlignment="1">
      <alignment horizontal="center" vertical="top"/>
    </xf>
    <xf numFmtId="0" fontId="14" fillId="2" borderId="11" xfId="0" applyFont="1" applyFill="1" applyBorder="1" applyAlignment="1">
      <alignment horizontal="center" vertical="top"/>
    </xf>
    <xf numFmtId="0" fontId="14" fillId="2" borderId="7" xfId="0" applyFont="1" applyFill="1" applyBorder="1" applyAlignment="1">
      <alignment horizontal="center" vertical="top"/>
    </xf>
    <xf numFmtId="0" fontId="14" fillId="2" borderId="15" xfId="0" applyFont="1" applyFill="1" applyBorder="1" applyAlignment="1">
      <alignment horizontal="center" vertical="top"/>
    </xf>
    <xf numFmtId="0" fontId="14" fillId="2" borderId="8" xfId="0" applyFont="1" applyFill="1" applyBorder="1" applyAlignment="1">
      <alignment horizontal="center" vertical="top"/>
    </xf>
    <xf numFmtId="49" fontId="19" fillId="2" borderId="3" xfId="0" applyNumberFormat="1" applyFont="1" applyFill="1" applyBorder="1" applyAlignment="1">
      <alignment horizontal="left" vertical="top" wrapText="1"/>
    </xf>
    <xf numFmtId="49" fontId="19" fillId="2" borderId="2" xfId="0" applyNumberFormat="1" applyFont="1" applyFill="1" applyBorder="1" applyAlignment="1">
      <alignment horizontal="left" vertical="top" wrapText="1"/>
    </xf>
    <xf numFmtId="0" fontId="14" fillId="2" borderId="5" xfId="0" applyFont="1" applyFill="1" applyBorder="1" applyAlignment="1">
      <alignment horizontal="left" vertical="top" wrapText="1"/>
    </xf>
    <xf numFmtId="0" fontId="14" fillId="2" borderId="13" xfId="0" applyFont="1" applyFill="1" applyBorder="1" applyAlignment="1">
      <alignment horizontal="left" vertical="top" wrapText="1"/>
    </xf>
    <xf numFmtId="0" fontId="14" fillId="2" borderId="10" xfId="0" applyFont="1" applyFill="1" applyBorder="1" applyAlignment="1">
      <alignment horizontal="left" vertical="top" wrapText="1"/>
    </xf>
    <xf numFmtId="0" fontId="14" fillId="2" borderId="11" xfId="0" applyFont="1" applyFill="1" applyBorder="1" applyAlignment="1">
      <alignment horizontal="left" vertical="top" wrapText="1"/>
    </xf>
    <xf numFmtId="0" fontId="14" fillId="2" borderId="7" xfId="0" applyFont="1" applyFill="1" applyBorder="1" applyAlignment="1">
      <alignment horizontal="left" vertical="top" wrapText="1"/>
    </xf>
    <xf numFmtId="0" fontId="14" fillId="2" borderId="8" xfId="0" applyFont="1" applyFill="1" applyBorder="1" applyAlignment="1">
      <alignment horizontal="left" vertical="top" wrapText="1"/>
    </xf>
    <xf numFmtId="0" fontId="13" fillId="2" borderId="5" xfId="0" applyFont="1" applyFill="1" applyBorder="1" applyAlignment="1">
      <alignment horizontal="left" vertical="top" wrapText="1"/>
    </xf>
    <xf numFmtId="0" fontId="13" fillId="2" borderId="13" xfId="0" applyFont="1" applyFill="1" applyBorder="1" applyAlignment="1">
      <alignment horizontal="left" vertical="top" wrapText="1"/>
    </xf>
    <xf numFmtId="0" fontId="13" fillId="2" borderId="10" xfId="0" applyFont="1" applyFill="1" applyBorder="1" applyAlignment="1">
      <alignment horizontal="left" vertical="top" wrapText="1"/>
    </xf>
    <xf numFmtId="0" fontId="13" fillId="2" borderId="11" xfId="0" applyFont="1" applyFill="1" applyBorder="1" applyAlignment="1">
      <alignment horizontal="left" vertical="top" wrapText="1"/>
    </xf>
    <xf numFmtId="0" fontId="13" fillId="2" borderId="7" xfId="0" applyFont="1" applyFill="1" applyBorder="1" applyAlignment="1">
      <alignment horizontal="left" vertical="top" wrapText="1"/>
    </xf>
    <xf numFmtId="0" fontId="13" fillId="2" borderId="8" xfId="0" applyFont="1" applyFill="1" applyBorder="1" applyAlignment="1">
      <alignment horizontal="left" vertical="top" wrapText="1"/>
    </xf>
    <xf numFmtId="0" fontId="13" fillId="2" borderId="5" xfId="0" applyFont="1" applyFill="1" applyBorder="1" applyAlignment="1">
      <alignment horizontal="center" vertical="top" wrapText="1"/>
    </xf>
    <xf numFmtId="0" fontId="13" fillId="2" borderId="13" xfId="0" applyFont="1" applyFill="1" applyBorder="1" applyAlignment="1">
      <alignment horizontal="center" vertical="top" wrapText="1"/>
    </xf>
    <xf numFmtId="0" fontId="13" fillId="2" borderId="10" xfId="0" applyFont="1" applyFill="1" applyBorder="1" applyAlignment="1">
      <alignment horizontal="center" vertical="top" wrapText="1"/>
    </xf>
    <xf numFmtId="0" fontId="13" fillId="2" borderId="11" xfId="0" applyFont="1" applyFill="1" applyBorder="1" applyAlignment="1">
      <alignment horizontal="center" vertical="top" wrapText="1"/>
    </xf>
    <xf numFmtId="0" fontId="13" fillId="2" borderId="7" xfId="0" applyFont="1" applyFill="1" applyBorder="1" applyAlignment="1">
      <alignment horizontal="center" vertical="top" wrapText="1"/>
    </xf>
    <xf numFmtId="0" fontId="13" fillId="2" borderId="8" xfId="0" applyFont="1" applyFill="1" applyBorder="1" applyAlignment="1">
      <alignment horizontal="center" vertical="top" wrapText="1"/>
    </xf>
    <xf numFmtId="49" fontId="19" fillId="2" borderId="3" xfId="0" applyNumberFormat="1" applyFont="1" applyFill="1" applyBorder="1" applyAlignment="1">
      <alignment horizontal="left" vertical="center" wrapText="1"/>
    </xf>
    <xf numFmtId="49" fontId="19" fillId="2" borderId="2" xfId="0" applyNumberFormat="1" applyFont="1" applyFill="1" applyBorder="1" applyAlignment="1">
      <alignment horizontal="left" vertical="center" wrapText="1"/>
    </xf>
    <xf numFmtId="0" fontId="22" fillId="2" borderId="1" xfId="0" applyFont="1" applyFill="1" applyBorder="1" applyAlignment="1">
      <alignment vertical="top" wrapText="1"/>
    </xf>
    <xf numFmtId="0" fontId="10" fillId="2" borderId="5" xfId="0" applyFont="1" applyFill="1" applyBorder="1" applyAlignment="1">
      <alignment horizontal="left" vertical="top" wrapText="1"/>
    </xf>
    <xf numFmtId="0" fontId="10" fillId="2" borderId="14" xfId="0" applyFont="1" applyFill="1" applyBorder="1" applyAlignment="1">
      <alignment horizontal="left" vertical="top" wrapText="1"/>
    </xf>
    <xf numFmtId="0" fontId="10" fillId="2" borderId="10" xfId="0" applyFont="1" applyFill="1" applyBorder="1" applyAlignment="1">
      <alignment horizontal="left" vertical="top" wrapText="1"/>
    </xf>
    <xf numFmtId="0" fontId="10" fillId="2" borderId="0" xfId="0" applyFont="1" applyFill="1" applyBorder="1" applyAlignment="1">
      <alignment horizontal="left" vertical="top" wrapText="1"/>
    </xf>
    <xf numFmtId="0" fontId="10" fillId="2" borderId="3" xfId="0" applyFont="1" applyFill="1" applyBorder="1" applyAlignment="1">
      <alignment horizontal="left" vertical="center" wrapText="1"/>
    </xf>
    <xf numFmtId="0" fontId="10" fillId="2" borderId="4" xfId="0" applyFont="1" applyFill="1" applyBorder="1" applyAlignment="1">
      <alignment horizontal="left" vertical="center" wrapText="1"/>
    </xf>
    <xf numFmtId="0" fontId="10" fillId="2" borderId="2" xfId="0" applyFont="1" applyFill="1" applyBorder="1" applyAlignment="1">
      <alignment horizontal="left" vertical="center" wrapText="1"/>
    </xf>
    <xf numFmtId="0" fontId="19" fillId="2" borderId="1" xfId="0" applyFont="1" applyFill="1" applyBorder="1" applyAlignment="1">
      <alignment horizontal="center" vertical="top" wrapText="1"/>
    </xf>
    <xf numFmtId="0" fontId="32" fillId="2" borderId="0" xfId="0" applyFont="1" applyFill="1" applyAlignment="1">
      <alignment horizontal="center" vertical="center"/>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wrapText="1"/>
    </xf>
    <xf numFmtId="0" fontId="20" fillId="2" borderId="6" xfId="0" applyFont="1" applyFill="1" applyBorder="1" applyAlignment="1">
      <alignment horizontal="center" vertical="center" wrapText="1"/>
    </xf>
    <xf numFmtId="0" fontId="20" fillId="2" borderId="12"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20" fillId="2" borderId="3" xfId="0" applyFont="1" applyFill="1" applyBorder="1" applyAlignment="1">
      <alignment horizontal="left" wrapText="1"/>
    </xf>
    <xf numFmtId="0" fontId="20" fillId="2" borderId="4" xfId="0" applyFont="1" applyFill="1" applyBorder="1" applyAlignment="1">
      <alignment horizontal="left" wrapText="1"/>
    </xf>
    <xf numFmtId="0" fontId="20" fillId="2" borderId="2" xfId="0" applyFont="1" applyFill="1" applyBorder="1" applyAlignment="1">
      <alignment horizontal="left" wrapText="1"/>
    </xf>
    <xf numFmtId="0" fontId="14" fillId="2" borderId="1" xfId="0" applyFont="1" applyFill="1" applyBorder="1" applyAlignment="1">
      <alignment horizontal="center" wrapText="1"/>
    </xf>
    <xf numFmtId="49" fontId="13" fillId="2" borderId="1" xfId="0" applyNumberFormat="1" applyFont="1" applyFill="1" applyBorder="1" applyAlignment="1">
      <alignment horizontal="left" vertical="top" wrapText="1"/>
    </xf>
    <xf numFmtId="0" fontId="13" fillId="2" borderId="1" xfId="0" applyFont="1" applyFill="1" applyBorder="1" applyAlignment="1">
      <alignment horizontal="center" vertical="center" wrapText="1"/>
    </xf>
    <xf numFmtId="0" fontId="22" fillId="2" borderId="6" xfId="3" applyFont="1" applyFill="1" applyBorder="1" applyAlignment="1">
      <alignment horizontal="center" vertical="top" wrapText="1"/>
    </xf>
    <xf numFmtId="0" fontId="22" fillId="2" borderId="12" xfId="3" applyFont="1" applyFill="1" applyBorder="1" applyAlignment="1">
      <alignment horizontal="center" vertical="top" wrapText="1"/>
    </xf>
    <xf numFmtId="0" fontId="22" fillId="2" borderId="9" xfId="3" applyFont="1" applyFill="1" applyBorder="1" applyAlignment="1">
      <alignment horizontal="center" vertical="top" wrapText="1"/>
    </xf>
    <xf numFmtId="49" fontId="13" fillId="2" borderId="12" xfId="0" applyNumberFormat="1" applyFont="1" applyFill="1" applyBorder="1" applyAlignment="1">
      <alignment horizontal="center" vertical="center" wrapText="1"/>
    </xf>
    <xf numFmtId="49" fontId="13" fillId="2" borderId="9" xfId="0" applyNumberFormat="1" applyFont="1" applyFill="1" applyBorder="1" applyAlignment="1">
      <alignment horizontal="center" vertical="center" wrapText="1"/>
    </xf>
    <xf numFmtId="0" fontId="18" fillId="2" borderId="4" xfId="0" applyFont="1" applyFill="1" applyBorder="1" applyAlignment="1">
      <alignment horizontal="center" vertical="top"/>
    </xf>
    <xf numFmtId="0" fontId="18" fillId="2" borderId="2" xfId="0" applyFont="1" applyFill="1" applyBorder="1" applyAlignment="1">
      <alignment horizontal="center" vertical="top"/>
    </xf>
    <xf numFmtId="0" fontId="20" fillId="2" borderId="3" xfId="0" applyFont="1" applyFill="1" applyBorder="1" applyAlignment="1">
      <alignment horizontal="left" vertical="top" wrapText="1"/>
    </xf>
    <xf numFmtId="0" fontId="20" fillId="2" borderId="4" xfId="0" applyFont="1" applyFill="1" applyBorder="1" applyAlignment="1">
      <alignment horizontal="left" vertical="top" wrapText="1"/>
    </xf>
    <xf numFmtId="0" fontId="20" fillId="2" borderId="2" xfId="0" applyFont="1" applyFill="1" applyBorder="1" applyAlignment="1">
      <alignment horizontal="left" vertical="top" wrapText="1"/>
    </xf>
    <xf numFmtId="0" fontId="19" fillId="2" borderId="3" xfId="0" applyFont="1" applyFill="1" applyBorder="1" applyAlignment="1">
      <alignment horizontal="left" vertical="top"/>
    </xf>
    <xf numFmtId="0" fontId="19" fillId="2" borderId="4" xfId="0" applyFont="1" applyFill="1" applyBorder="1" applyAlignment="1">
      <alignment horizontal="left" vertical="top"/>
    </xf>
    <xf numFmtId="0" fontId="19" fillId="2" borderId="2" xfId="0" applyFont="1" applyFill="1" applyBorder="1" applyAlignment="1">
      <alignment horizontal="left" vertical="top"/>
    </xf>
    <xf numFmtId="0" fontId="17" fillId="2" borderId="1" xfId="0" applyFont="1" applyFill="1" applyBorder="1" applyAlignment="1">
      <alignment horizontal="center" vertical="top" wrapText="1"/>
    </xf>
    <xf numFmtId="0" fontId="14" fillId="2" borderId="14" xfId="0" applyFont="1" applyFill="1" applyBorder="1" applyAlignment="1">
      <alignment horizontal="left" vertical="top" wrapText="1"/>
    </xf>
    <xf numFmtId="0" fontId="14" fillId="2" borderId="0" xfId="0" applyFont="1" applyFill="1" applyBorder="1" applyAlignment="1">
      <alignment horizontal="left" vertical="top" wrapText="1"/>
    </xf>
    <xf numFmtId="0" fontId="14" fillId="2" borderId="15" xfId="0" applyFont="1" applyFill="1" applyBorder="1" applyAlignment="1">
      <alignment horizontal="left" vertical="top" wrapText="1"/>
    </xf>
    <xf numFmtId="0" fontId="10" fillId="2" borderId="1" xfId="0" applyFont="1" applyFill="1" applyBorder="1" applyAlignment="1">
      <alignment horizontal="center" vertical="top" wrapText="1"/>
    </xf>
    <xf numFmtId="0" fontId="19" fillId="2" borderId="3" xfId="0" applyFont="1" applyFill="1" applyBorder="1" applyAlignment="1">
      <alignment horizontal="left" vertical="center"/>
    </xf>
    <xf numFmtId="0" fontId="19" fillId="2" borderId="4" xfId="0" applyFont="1" applyFill="1" applyBorder="1" applyAlignment="1">
      <alignment horizontal="left" vertical="center"/>
    </xf>
    <xf numFmtId="0" fontId="10" fillId="2" borderId="5" xfId="0" applyFont="1" applyFill="1" applyBorder="1" applyAlignment="1">
      <alignment horizontal="left" vertical="top"/>
    </xf>
    <xf numFmtId="0" fontId="10" fillId="2" borderId="14" xfId="0" applyFont="1" applyFill="1" applyBorder="1" applyAlignment="1">
      <alignment horizontal="left" vertical="top"/>
    </xf>
    <xf numFmtId="0" fontId="10" fillId="2" borderId="13" xfId="0" applyFont="1" applyFill="1" applyBorder="1" applyAlignment="1">
      <alignment horizontal="left" vertical="top"/>
    </xf>
    <xf numFmtId="0" fontId="10" fillId="2" borderId="10" xfId="0" applyFont="1" applyFill="1" applyBorder="1" applyAlignment="1">
      <alignment horizontal="left" vertical="top"/>
    </xf>
    <xf numFmtId="0" fontId="10" fillId="2" borderId="0" xfId="0" applyFont="1" applyFill="1" applyBorder="1" applyAlignment="1">
      <alignment horizontal="left" vertical="top"/>
    </xf>
    <xf numFmtId="0" fontId="10" fillId="2" borderId="11" xfId="0" applyFont="1" applyFill="1" applyBorder="1" applyAlignment="1">
      <alignment horizontal="left" vertical="top"/>
    </xf>
    <xf numFmtId="0" fontId="10" fillId="2" borderId="7" xfId="0" applyFont="1" applyFill="1" applyBorder="1" applyAlignment="1">
      <alignment horizontal="left" vertical="top"/>
    </xf>
    <xf numFmtId="0" fontId="10" fillId="2" borderId="15" xfId="0" applyFont="1" applyFill="1" applyBorder="1" applyAlignment="1">
      <alignment horizontal="left" vertical="top"/>
    </xf>
    <xf numFmtId="0" fontId="10" fillId="2" borderId="8" xfId="0" applyFont="1" applyFill="1" applyBorder="1" applyAlignment="1">
      <alignment horizontal="left" vertical="top"/>
    </xf>
    <xf numFmtId="0" fontId="11" fillId="2" borderId="1" xfId="0" applyFont="1" applyFill="1" applyBorder="1" applyAlignment="1">
      <alignment horizontal="center" vertical="top" wrapText="1"/>
    </xf>
    <xf numFmtId="0" fontId="19" fillId="2" borderId="5" xfId="0" applyFont="1" applyFill="1" applyBorder="1" applyAlignment="1">
      <alignment horizontal="left" vertical="top"/>
    </xf>
    <xf numFmtId="0" fontId="19" fillId="2" borderId="10" xfId="0" applyFont="1" applyFill="1" applyBorder="1" applyAlignment="1">
      <alignment horizontal="left" vertical="top"/>
    </xf>
    <xf numFmtId="0" fontId="19" fillId="2" borderId="7" xfId="0" applyFont="1" applyFill="1" applyBorder="1" applyAlignment="1">
      <alignment horizontal="left" vertical="top"/>
    </xf>
    <xf numFmtId="0" fontId="10" fillId="2" borderId="0" xfId="0" applyFont="1" applyFill="1" applyBorder="1" applyAlignment="1">
      <alignment horizontal="center" vertical="center"/>
    </xf>
    <xf numFmtId="0" fontId="10" fillId="2" borderId="15" xfId="0" applyFont="1" applyFill="1" applyBorder="1" applyAlignment="1">
      <alignment horizontal="center" vertical="center"/>
    </xf>
    <xf numFmtId="0" fontId="14" fillId="2" borderId="5" xfId="0" applyFont="1" applyFill="1" applyBorder="1" applyAlignment="1">
      <alignment horizontal="left" vertical="top"/>
    </xf>
    <xf numFmtId="0" fontId="14" fillId="2" borderId="14" xfId="0" applyFont="1" applyFill="1" applyBorder="1" applyAlignment="1">
      <alignment horizontal="left" vertical="top"/>
    </xf>
    <xf numFmtId="0" fontId="14" fillId="2" borderId="13" xfId="0" applyFont="1" applyFill="1" applyBorder="1" applyAlignment="1">
      <alignment horizontal="left" vertical="top"/>
    </xf>
    <xf numFmtId="0" fontId="14" fillId="2" borderId="10" xfId="0" applyFont="1" applyFill="1" applyBorder="1" applyAlignment="1">
      <alignment horizontal="left" vertical="top"/>
    </xf>
    <xf numFmtId="0" fontId="14" fillId="2" borderId="0" xfId="0" applyFont="1" applyFill="1" applyBorder="1" applyAlignment="1">
      <alignment horizontal="left" vertical="top"/>
    </xf>
    <xf numFmtId="0" fontId="14" fillId="2" borderId="11" xfId="0" applyFont="1" applyFill="1" applyBorder="1" applyAlignment="1">
      <alignment horizontal="left" vertical="top"/>
    </xf>
    <xf numFmtId="0" fontId="14" fillId="2" borderId="7" xfId="0" applyFont="1" applyFill="1" applyBorder="1" applyAlignment="1">
      <alignment horizontal="left" vertical="top"/>
    </xf>
    <xf numFmtId="0" fontId="14" fillId="2" borderId="15" xfId="0" applyFont="1" applyFill="1" applyBorder="1" applyAlignment="1">
      <alignment horizontal="left" vertical="top"/>
    </xf>
    <xf numFmtId="0" fontId="14" fillId="2" borderId="8" xfId="0" applyFont="1" applyFill="1" applyBorder="1" applyAlignment="1">
      <alignment horizontal="left" vertical="top"/>
    </xf>
    <xf numFmtId="0" fontId="19" fillId="2" borderId="5" xfId="0" applyFont="1" applyFill="1" applyBorder="1" applyAlignment="1">
      <alignment horizontal="left" vertical="top" wrapText="1"/>
    </xf>
    <xf numFmtId="0" fontId="19" fillId="2" borderId="10" xfId="0" applyFont="1" applyFill="1" applyBorder="1" applyAlignment="1">
      <alignment horizontal="left" vertical="top" wrapText="1"/>
    </xf>
    <xf numFmtId="0" fontId="19" fillId="2" borderId="7" xfId="0" applyFont="1" applyFill="1" applyBorder="1" applyAlignment="1">
      <alignment horizontal="left" vertical="top" wrapText="1"/>
    </xf>
    <xf numFmtId="0" fontId="17" fillId="2" borderId="6" xfId="0" applyFont="1" applyFill="1" applyBorder="1" applyAlignment="1">
      <alignment horizontal="left" vertical="top" wrapText="1"/>
    </xf>
    <xf numFmtId="0" fontId="17" fillId="2" borderId="12" xfId="0" applyFont="1" applyFill="1" applyBorder="1" applyAlignment="1">
      <alignment horizontal="left" vertical="top" wrapText="1"/>
    </xf>
    <xf numFmtId="0" fontId="17" fillId="2" borderId="9" xfId="0" applyFont="1" applyFill="1" applyBorder="1" applyAlignment="1">
      <alignment horizontal="left" vertical="top" wrapText="1"/>
    </xf>
    <xf numFmtId="0" fontId="14" fillId="2" borderId="13" xfId="0" applyFont="1" applyFill="1" applyBorder="1" applyAlignment="1">
      <alignment horizontal="center" vertical="center" wrapText="1"/>
    </xf>
    <xf numFmtId="0" fontId="0" fillId="2" borderId="11" xfId="0" applyFill="1" applyBorder="1"/>
    <xf numFmtId="0" fontId="0" fillId="2" borderId="8" xfId="0" applyFill="1" applyBorder="1"/>
    <xf numFmtId="0" fontId="22" fillId="2" borderId="5" xfId="3" applyFont="1" applyFill="1" applyBorder="1" applyAlignment="1">
      <alignment horizontal="left" vertical="top" wrapText="1"/>
    </xf>
    <xf numFmtId="0" fontId="22" fillId="2" borderId="10" xfId="3" applyFont="1" applyFill="1" applyBorder="1" applyAlignment="1">
      <alignment horizontal="left" vertical="top" wrapText="1"/>
    </xf>
    <xf numFmtId="0" fontId="22" fillId="2" borderId="7" xfId="3" applyFont="1" applyFill="1" applyBorder="1" applyAlignment="1">
      <alignment horizontal="left" vertical="top" wrapText="1"/>
    </xf>
    <xf numFmtId="0" fontId="22" fillId="2" borderId="6" xfId="0" applyFont="1" applyFill="1" applyBorder="1" applyAlignment="1">
      <alignment horizontal="center" vertical="top" wrapText="1"/>
    </xf>
    <xf numFmtId="0" fontId="22" fillId="2" borderId="12" xfId="0" applyFont="1" applyFill="1" applyBorder="1" applyAlignment="1">
      <alignment horizontal="center" vertical="top" wrapText="1"/>
    </xf>
    <xf numFmtId="0" fontId="22" fillId="2" borderId="9" xfId="0" applyFont="1" applyFill="1" applyBorder="1" applyAlignment="1">
      <alignment horizontal="center" vertical="top" wrapText="1"/>
    </xf>
    <xf numFmtId="0" fontId="20" fillId="2" borderId="3" xfId="0" applyFont="1" applyFill="1" applyBorder="1" applyAlignment="1">
      <alignment horizontal="left" vertical="top"/>
    </xf>
    <xf numFmtId="0" fontId="20" fillId="2" borderId="4" xfId="0" applyFont="1" applyFill="1" applyBorder="1" applyAlignment="1">
      <alignment horizontal="left" vertical="top"/>
    </xf>
    <xf numFmtId="0" fontId="20" fillId="2" borderId="2" xfId="0" applyFont="1" applyFill="1" applyBorder="1" applyAlignment="1">
      <alignment horizontal="left" vertical="top"/>
    </xf>
    <xf numFmtId="0" fontId="20" fillId="2" borderId="3"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2" xfId="0" applyFont="1" applyFill="1" applyBorder="1" applyAlignment="1">
      <alignment horizontal="left" vertical="center" wrapText="1"/>
    </xf>
    <xf numFmtId="0" fontId="11" fillId="2" borderId="1" xfId="0" applyFont="1" applyFill="1" applyBorder="1" applyAlignment="1">
      <alignment horizontal="left" vertical="top"/>
    </xf>
    <xf numFmtId="0" fontId="11" fillId="2" borderId="5" xfId="0" applyFont="1" applyFill="1" applyBorder="1" applyAlignment="1">
      <alignment horizontal="left" vertical="top" wrapText="1"/>
    </xf>
    <xf numFmtId="0" fontId="11" fillId="2" borderId="14" xfId="0" applyFont="1" applyFill="1" applyBorder="1" applyAlignment="1">
      <alignment horizontal="left" vertical="top" wrapText="1"/>
    </xf>
    <xf numFmtId="0" fontId="11" fillId="2" borderId="10" xfId="0" applyFont="1" applyFill="1" applyBorder="1" applyAlignment="1">
      <alignment horizontal="left" vertical="top" wrapText="1"/>
    </xf>
    <xf numFmtId="0" fontId="11" fillId="2" borderId="0" xfId="0" applyFont="1" applyFill="1" applyBorder="1" applyAlignment="1">
      <alignment horizontal="left" vertical="top" wrapText="1"/>
    </xf>
    <xf numFmtId="3" fontId="10" fillId="2" borderId="3" xfId="0" applyNumberFormat="1" applyFont="1" applyFill="1" applyBorder="1" applyAlignment="1">
      <alignment horizontal="left" wrapText="1"/>
    </xf>
    <xf numFmtId="3" fontId="10" fillId="2" borderId="4" xfId="0" applyNumberFormat="1" applyFont="1" applyFill="1" applyBorder="1" applyAlignment="1">
      <alignment horizontal="left" wrapText="1"/>
    </xf>
    <xf numFmtId="3" fontId="10" fillId="2" borderId="2" xfId="0" applyNumberFormat="1" applyFont="1" applyFill="1" applyBorder="1" applyAlignment="1">
      <alignment horizontal="left" wrapText="1"/>
    </xf>
    <xf numFmtId="3" fontId="13" fillId="2" borderId="1" xfId="0" applyNumberFormat="1" applyFont="1" applyFill="1" applyBorder="1" applyAlignment="1">
      <alignment horizontal="left" wrapText="1"/>
    </xf>
    <xf numFmtId="3" fontId="13" fillId="2" borderId="1" xfId="0" applyNumberFormat="1" applyFont="1" applyFill="1" applyBorder="1" applyAlignment="1">
      <alignment horizontal="left"/>
    </xf>
    <xf numFmtId="3" fontId="13" fillId="2" borderId="3" xfId="0" applyNumberFormat="1" applyFont="1" applyFill="1" applyBorder="1" applyAlignment="1">
      <alignment horizontal="left" wrapText="1"/>
    </xf>
    <xf numFmtId="3" fontId="13" fillId="2" borderId="4" xfId="0" applyNumberFormat="1" applyFont="1" applyFill="1" applyBorder="1" applyAlignment="1">
      <alignment horizontal="left" wrapText="1"/>
    </xf>
    <xf numFmtId="3" fontId="13" fillId="2" borderId="2" xfId="0" applyNumberFormat="1" applyFont="1" applyFill="1" applyBorder="1" applyAlignment="1">
      <alignment horizontal="left" wrapText="1"/>
    </xf>
    <xf numFmtId="3" fontId="10" fillId="2" borderId="1" xfId="0" applyNumberFormat="1" applyFont="1" applyFill="1" applyBorder="1" applyAlignment="1">
      <alignment horizontal="left"/>
    </xf>
    <xf numFmtId="3" fontId="10" fillId="2" borderId="3" xfId="0" applyNumberFormat="1" applyFont="1" applyFill="1" applyBorder="1" applyAlignment="1">
      <alignment horizontal="center" vertical="top" wrapText="1"/>
    </xf>
    <xf numFmtId="3" fontId="10" fillId="2" borderId="4" xfId="0" applyNumberFormat="1" applyFont="1" applyFill="1" applyBorder="1" applyAlignment="1">
      <alignment horizontal="center" vertical="top" wrapText="1"/>
    </xf>
    <xf numFmtId="3" fontId="10" fillId="2" borderId="2" xfId="0" applyNumberFormat="1" applyFont="1" applyFill="1" applyBorder="1" applyAlignment="1">
      <alignment horizontal="center" vertical="top" wrapText="1"/>
    </xf>
    <xf numFmtId="3" fontId="10" fillId="2" borderId="1" xfId="0" applyNumberFormat="1" applyFont="1" applyFill="1" applyBorder="1" applyAlignment="1">
      <alignment horizontal="left" wrapText="1"/>
    </xf>
    <xf numFmtId="3" fontId="10" fillId="2" borderId="1" xfId="0" applyNumberFormat="1" applyFont="1" applyFill="1" applyBorder="1" applyAlignment="1">
      <alignment horizontal="left" vertical="top" wrapText="1"/>
    </xf>
    <xf numFmtId="3" fontId="10" fillId="2" borderId="3" xfId="0" applyNumberFormat="1" applyFont="1" applyFill="1" applyBorder="1" applyAlignment="1">
      <alignment horizontal="left"/>
    </xf>
    <xf numFmtId="3" fontId="10" fillId="2" borderId="4" xfId="0" applyNumberFormat="1" applyFont="1" applyFill="1" applyBorder="1" applyAlignment="1">
      <alignment horizontal="left"/>
    </xf>
    <xf numFmtId="3" fontId="10" fillId="2" borderId="2" xfId="0" applyNumberFormat="1" applyFont="1" applyFill="1" applyBorder="1" applyAlignment="1">
      <alignment horizontal="left"/>
    </xf>
    <xf numFmtId="3" fontId="13" fillId="2" borderId="1" xfId="0" applyNumberFormat="1" applyFont="1" applyFill="1" applyBorder="1" applyAlignment="1">
      <alignment horizontal="left" vertical="center"/>
    </xf>
    <xf numFmtId="3" fontId="13" fillId="2" borderId="3" xfId="0" applyNumberFormat="1" applyFont="1" applyFill="1" applyBorder="1" applyAlignment="1">
      <alignment horizontal="left" vertical="top" wrapText="1"/>
    </xf>
    <xf numFmtId="3" fontId="13" fillId="2" borderId="4" xfId="0" applyNumberFormat="1" applyFont="1" applyFill="1" applyBorder="1" applyAlignment="1">
      <alignment horizontal="left" vertical="top" wrapText="1"/>
    </xf>
    <xf numFmtId="3" fontId="13" fillId="2" borderId="2" xfId="0" applyNumberFormat="1" applyFont="1" applyFill="1" applyBorder="1" applyAlignment="1">
      <alignment horizontal="left" vertical="top" wrapText="1"/>
    </xf>
    <xf numFmtId="3" fontId="13" fillId="2" borderId="3" xfId="0" applyNumberFormat="1" applyFont="1" applyFill="1" applyBorder="1" applyAlignment="1">
      <alignment horizontal="center" vertical="top" wrapText="1"/>
    </xf>
    <xf numFmtId="3" fontId="13" fillId="2" borderId="4" xfId="0" applyNumberFormat="1" applyFont="1" applyFill="1" applyBorder="1" applyAlignment="1">
      <alignment horizontal="center" vertical="top" wrapText="1"/>
    </xf>
    <xf numFmtId="3" fontId="13" fillId="2" borderId="2" xfId="0" applyNumberFormat="1" applyFont="1" applyFill="1" applyBorder="1" applyAlignment="1">
      <alignment horizontal="center" vertical="top" wrapText="1"/>
    </xf>
    <xf numFmtId="3" fontId="22" fillId="2" borderId="0" xfId="0" applyNumberFormat="1" applyFont="1" applyFill="1" applyAlignment="1">
      <alignment horizontal="justify" wrapText="1"/>
    </xf>
    <xf numFmtId="3" fontId="22" fillId="2" borderId="0" xfId="0" applyNumberFormat="1" applyFont="1" applyFill="1" applyAlignment="1">
      <alignment horizontal="left" wrapText="1"/>
    </xf>
    <xf numFmtId="3" fontId="21" fillId="2" borderId="0" xfId="0" applyNumberFormat="1" applyFont="1" applyFill="1" applyAlignment="1">
      <alignment horizontal="center" vertical="center" wrapText="1"/>
    </xf>
    <xf numFmtId="3" fontId="11" fillId="2" borderId="1" xfId="0" applyNumberFormat="1" applyFont="1" applyFill="1" applyBorder="1" applyAlignment="1">
      <alignment horizontal="center" vertical="center" wrapText="1"/>
    </xf>
    <xf numFmtId="3" fontId="11" fillId="2" borderId="1" xfId="0" applyNumberFormat="1" applyFont="1" applyFill="1" applyBorder="1" applyAlignment="1">
      <alignment horizontal="center" wrapText="1"/>
    </xf>
    <xf numFmtId="3" fontId="13" fillId="2" borderId="3" xfId="0" applyNumberFormat="1" applyFont="1" applyFill="1" applyBorder="1" applyAlignment="1">
      <alignment horizontal="left" vertical="center"/>
    </xf>
    <xf numFmtId="3" fontId="13" fillId="2" borderId="4" xfId="0" applyNumberFormat="1" applyFont="1" applyFill="1" applyBorder="1" applyAlignment="1">
      <alignment horizontal="left" vertical="center"/>
    </xf>
    <xf numFmtId="3" fontId="13" fillId="2" borderId="2" xfId="0" applyNumberFormat="1" applyFont="1" applyFill="1" applyBorder="1" applyAlignment="1">
      <alignment horizontal="left" vertical="center"/>
    </xf>
    <xf numFmtId="0" fontId="52" fillId="2" borderId="3" xfId="0" applyFont="1" applyFill="1" applyBorder="1" applyAlignment="1">
      <alignment horizontal="left" vertical="top"/>
    </xf>
    <xf numFmtId="0" fontId="52" fillId="2" borderId="4" xfId="0" applyFont="1" applyFill="1" applyBorder="1" applyAlignment="1">
      <alignment horizontal="left" vertical="top"/>
    </xf>
    <xf numFmtId="0" fontId="52" fillId="2" borderId="2" xfId="0" applyFont="1" applyFill="1" applyBorder="1" applyAlignment="1">
      <alignment horizontal="left" vertical="top"/>
    </xf>
    <xf numFmtId="0" fontId="42" fillId="2" borderId="1" xfId="0" applyFont="1" applyFill="1" applyBorder="1" applyAlignment="1">
      <alignment horizontal="center" wrapText="1"/>
    </xf>
    <xf numFmtId="0" fontId="42" fillId="2" borderId="3" xfId="0" applyFont="1" applyFill="1" applyBorder="1" applyAlignment="1">
      <alignment horizontal="left" vertical="top"/>
    </xf>
    <xf numFmtId="0" fontId="42" fillId="2" borderId="4" xfId="0" applyFont="1" applyFill="1" applyBorder="1" applyAlignment="1">
      <alignment horizontal="left" vertical="top"/>
    </xf>
    <xf numFmtId="0" fontId="42" fillId="2" borderId="2" xfId="0" applyFont="1" applyFill="1" applyBorder="1" applyAlignment="1">
      <alignment horizontal="left" vertical="top"/>
    </xf>
    <xf numFmtId="0" fontId="42" fillId="2" borderId="1" xfId="0" applyFont="1" applyFill="1" applyBorder="1" applyAlignment="1">
      <alignment horizontal="center" vertical="center" wrapText="1"/>
    </xf>
    <xf numFmtId="0" fontId="42" fillId="2" borderId="6" xfId="0" applyFont="1" applyFill="1" applyBorder="1" applyAlignment="1">
      <alignment horizontal="left" vertical="top" wrapText="1"/>
    </xf>
    <xf numFmtId="0" fontId="42" fillId="2" borderId="12" xfId="0" applyFont="1" applyFill="1" applyBorder="1" applyAlignment="1">
      <alignment horizontal="left" vertical="top" wrapText="1"/>
    </xf>
    <xf numFmtId="0" fontId="42" fillId="2" borderId="9" xfId="0" applyFont="1" applyFill="1" applyBorder="1" applyAlignment="1">
      <alignment horizontal="left" vertical="top" wrapText="1"/>
    </xf>
    <xf numFmtId="0" fontId="42" fillId="2" borderId="6" xfId="0" applyFont="1" applyFill="1" applyBorder="1" applyAlignment="1">
      <alignment horizontal="left" vertical="top"/>
    </xf>
    <xf numFmtId="0" fontId="42" fillId="2" borderId="12" xfId="0" applyFont="1" applyFill="1" applyBorder="1" applyAlignment="1">
      <alignment horizontal="left" vertical="top"/>
    </xf>
    <xf numFmtId="0" fontId="42" fillId="2" borderId="9" xfId="0" applyFont="1" applyFill="1" applyBorder="1" applyAlignment="1">
      <alignment horizontal="left" vertical="top"/>
    </xf>
    <xf numFmtId="0" fontId="42" fillId="2" borderId="3" xfId="0" applyFont="1" applyFill="1" applyBorder="1" applyAlignment="1">
      <alignment horizontal="left" vertical="top" wrapText="1"/>
    </xf>
    <xf numFmtId="0" fontId="42" fillId="2" borderId="2" xfId="0" applyFont="1" applyFill="1" applyBorder="1" applyAlignment="1">
      <alignment horizontal="left" vertical="top" wrapText="1"/>
    </xf>
    <xf numFmtId="0" fontId="42" fillId="2" borderId="3" xfId="0" applyFont="1" applyFill="1" applyBorder="1" applyAlignment="1">
      <alignment horizontal="left"/>
    </xf>
    <xf numFmtId="0" fontId="42" fillId="2" borderId="2" xfId="0" applyFont="1" applyFill="1" applyBorder="1" applyAlignment="1">
      <alignment horizontal="left"/>
    </xf>
    <xf numFmtId="0" fontId="42" fillId="2" borderId="5" xfId="0" applyFont="1" applyFill="1" applyBorder="1" applyAlignment="1">
      <alignment horizontal="center" vertical="center"/>
    </xf>
    <xf numFmtId="0" fontId="42" fillId="2" borderId="13" xfId="0" applyFont="1" applyFill="1" applyBorder="1" applyAlignment="1">
      <alignment horizontal="center" vertical="center"/>
    </xf>
    <xf numFmtId="0" fontId="42" fillId="2" borderId="10" xfId="0" applyFont="1" applyFill="1" applyBorder="1" applyAlignment="1">
      <alignment horizontal="center" vertical="center"/>
    </xf>
    <xf numFmtId="0" fontId="42" fillId="2" borderId="11" xfId="0" applyFont="1" applyFill="1" applyBorder="1" applyAlignment="1">
      <alignment horizontal="center" vertical="center"/>
    </xf>
    <xf numFmtId="0" fontId="42" fillId="2" borderId="7" xfId="0" applyFont="1" applyFill="1" applyBorder="1" applyAlignment="1">
      <alignment horizontal="center" vertical="center"/>
    </xf>
    <xf numFmtId="0" fontId="42" fillId="2" borderId="8" xfId="0" applyFont="1" applyFill="1" applyBorder="1" applyAlignment="1">
      <alignment horizontal="center" vertical="center"/>
    </xf>
    <xf numFmtId="0" fontId="0" fillId="2" borderId="3" xfId="0" applyFill="1" applyBorder="1" applyAlignment="1">
      <alignment horizontal="center"/>
    </xf>
    <xf numFmtId="0" fontId="0" fillId="2" borderId="2" xfId="0" applyFill="1" applyBorder="1" applyAlignment="1">
      <alignment horizontal="center"/>
    </xf>
    <xf numFmtId="0" fontId="42" fillId="2" borderId="3" xfId="0" applyFont="1" applyFill="1" applyBorder="1" applyAlignment="1">
      <alignment horizontal="left" wrapText="1"/>
    </xf>
    <xf numFmtId="0" fontId="42" fillId="2" borderId="2" xfId="0" applyFont="1" applyFill="1" applyBorder="1" applyAlignment="1">
      <alignment horizontal="left" wrapText="1"/>
    </xf>
  </cellXfs>
  <cellStyles count="11">
    <cellStyle name="Обычный" xfId="0" builtinId="0"/>
    <cellStyle name="Обычный 2" xfId="1"/>
    <cellStyle name="Обычный 2 3" xfId="10"/>
    <cellStyle name="Обычный 3" xfId="2"/>
    <cellStyle name="Обычный 4" xfId="8"/>
    <cellStyle name="Обычный_Dnepr" xfId="6"/>
    <cellStyle name="Обычный_запит 21 01 14 смкл 1" xfId="9"/>
    <cellStyle name="Обычный_Запит ПЦМ 2012 свод4 по уоз" xfId="7"/>
    <cellStyle name="Обычный_Лист1" xfId="3"/>
    <cellStyle name="Процентный 2" xfId="4"/>
    <cellStyle name="Стиль 1" xf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cuments\Downloads\2020\&#1055;&#1088;&#1086;&#1075;&#1088;&#1072;&#1084;&#1080;\&#1055;&#1088;&#1086;&#1075;&#1088;&#1072;&#1084;&#1072;%20&#1086;&#1093;&#1086;&#1088;&#1086;&#1085;&#1072;%20&#1079;&#1076;&#1086;&#1088;&#1086;&#1074;'&#1103;\&#1047;&#1084;&#1110;&#1085;&#1080;%20&#1055;&#1088;&#1086;&#1075;&#1088;&#1072;&#1084;&#1080;%20&#1054;&#1093;&#1086;&#1088;&#1086;&#1085;&#1072;%20&#1079;&#1076;&#1086;&#1088;&#1086;&#1074;'&#1103;\06.2020\&#1087;&#1086;%20&#1085;&#1086;&#1074;&#1086;&#1084;&#1091;\&#1044;&#1086;&#1076;&#1072;&#1090;&#1086;&#1082;%203-4.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Додаток 1"/>
      <sheetName val="Додаток 1 "/>
      <sheetName val="Додаток 2"/>
      <sheetName val="Додаток 3"/>
    </sheetNames>
    <sheetDataSet>
      <sheetData sheetId="0"/>
      <sheetData sheetId="1"/>
      <sheetData sheetId="2">
        <row r="5">
          <cell r="I5">
            <v>0</v>
          </cell>
        </row>
      </sheetData>
      <sheetData sheetId="3"/>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sheetPr>
    <tabColor rgb="FF92D050"/>
  </sheetPr>
  <dimension ref="A1:M28"/>
  <sheetViews>
    <sheetView view="pageBreakPreview" topLeftCell="A19" zoomScale="84" zoomScaleSheetLayoutView="84" workbookViewId="0">
      <selection activeCell="A29" sqref="A29:IV29"/>
    </sheetView>
  </sheetViews>
  <sheetFormatPr defaultColWidth="9.140625" defaultRowHeight="18.75"/>
  <cols>
    <col min="1" max="1" width="40.85546875" style="1" customWidth="1"/>
    <col min="2" max="2" width="38.85546875" style="1" customWidth="1"/>
    <col min="3" max="3" width="52.140625" style="1" customWidth="1"/>
    <col min="4" max="4" width="9.140625" style="1"/>
    <col min="5" max="5" width="37.42578125" style="1" customWidth="1"/>
    <col min="6" max="16384" width="9.140625" style="1"/>
  </cols>
  <sheetData>
    <row r="1" spans="1:13">
      <c r="C1" s="1" t="s">
        <v>0</v>
      </c>
    </row>
    <row r="2" spans="1:13" ht="114" customHeight="1">
      <c r="C2" s="4" t="s">
        <v>39</v>
      </c>
      <c r="F2" s="321"/>
      <c r="G2" s="321"/>
      <c r="H2" s="321"/>
      <c r="I2" s="2"/>
      <c r="J2" s="2"/>
      <c r="K2" s="2"/>
      <c r="L2" s="15"/>
      <c r="M2" s="15"/>
    </row>
    <row r="3" spans="1:13" ht="24" customHeight="1">
      <c r="C3" s="4" t="s">
        <v>42</v>
      </c>
      <c r="E3" s="17"/>
      <c r="F3" s="322"/>
      <c r="G3" s="322"/>
      <c r="H3" s="322"/>
      <c r="J3" s="15"/>
      <c r="K3" s="15"/>
      <c r="L3" s="15"/>
      <c r="M3" s="15"/>
    </row>
    <row r="4" spans="1:13" ht="30" customHeight="1">
      <c r="C4" s="4"/>
      <c r="E4" s="17"/>
      <c r="F4" s="16"/>
      <c r="G4" s="16"/>
      <c r="H4" s="16"/>
      <c r="J4" s="15"/>
      <c r="K4" s="15"/>
      <c r="L4" s="15"/>
      <c r="M4" s="15"/>
    </row>
    <row r="5" spans="1:13" ht="17.25" customHeight="1">
      <c r="A5" s="317" t="s">
        <v>7</v>
      </c>
      <c r="B5" s="317"/>
      <c r="C5" s="317"/>
      <c r="F5" s="323"/>
      <c r="G5" s="323"/>
      <c r="H5" s="323"/>
      <c r="I5" s="323"/>
      <c r="J5" s="323"/>
      <c r="K5" s="323"/>
      <c r="L5" s="323"/>
      <c r="M5" s="323"/>
    </row>
    <row r="6" spans="1:13" ht="17.25" customHeight="1">
      <c r="A6" s="317" t="s">
        <v>18</v>
      </c>
      <c r="B6" s="317"/>
      <c r="C6" s="317"/>
    </row>
    <row r="7" spans="1:13" ht="17.25" customHeight="1">
      <c r="A7" s="317" t="s">
        <v>14</v>
      </c>
      <c r="B7" s="317"/>
      <c r="C7" s="317"/>
    </row>
    <row r="8" spans="1:13" ht="22.5" customHeight="1"/>
    <row r="9" spans="1:13" ht="37.5" customHeight="1">
      <c r="A9" s="319" t="s">
        <v>6</v>
      </c>
      <c r="B9" s="326" t="s">
        <v>8</v>
      </c>
      <c r="C9" s="327"/>
    </row>
    <row r="10" spans="1:13" ht="37.5" customHeight="1">
      <c r="A10" s="320"/>
      <c r="B10" s="329" t="s">
        <v>9</v>
      </c>
      <c r="C10" s="330"/>
    </row>
    <row r="11" spans="1:13">
      <c r="A11" s="7">
        <v>1</v>
      </c>
      <c r="B11" s="324">
        <v>2</v>
      </c>
      <c r="C11" s="325"/>
    </row>
    <row r="12" spans="1:13" ht="49.5" customHeight="1">
      <c r="A12" s="20" t="s">
        <v>28</v>
      </c>
      <c r="B12" s="318" t="s">
        <v>10</v>
      </c>
      <c r="C12" s="318"/>
    </row>
    <row r="13" spans="1:13" ht="49.5" customHeight="1">
      <c r="A13" s="20" t="s">
        <v>29</v>
      </c>
      <c r="B13" s="318" t="s">
        <v>13</v>
      </c>
      <c r="C13" s="318"/>
    </row>
    <row r="14" spans="1:13" ht="49.5" customHeight="1">
      <c r="A14" s="20" t="s">
        <v>30</v>
      </c>
      <c r="B14" s="318" t="s">
        <v>11</v>
      </c>
      <c r="C14" s="318"/>
    </row>
    <row r="15" spans="1:13" ht="49.5" customHeight="1">
      <c r="A15" s="20" t="s">
        <v>31</v>
      </c>
      <c r="B15" s="318" t="s">
        <v>21</v>
      </c>
      <c r="C15" s="318"/>
    </row>
    <row r="16" spans="1:13" ht="49.5" customHeight="1">
      <c r="A16" s="20" t="s">
        <v>32</v>
      </c>
      <c r="B16" s="318" t="s">
        <v>20</v>
      </c>
      <c r="C16" s="318"/>
    </row>
    <row r="17" spans="1:11" ht="49.5" customHeight="1">
      <c r="A17" s="20" t="s">
        <v>33</v>
      </c>
      <c r="B17" s="328" t="s">
        <v>41</v>
      </c>
      <c r="C17" s="328"/>
    </row>
    <row r="18" spans="1:11" ht="55.5" customHeight="1">
      <c r="A18" s="20" t="s">
        <v>34</v>
      </c>
      <c r="B18" s="328" t="s">
        <v>40</v>
      </c>
      <c r="C18" s="328"/>
    </row>
    <row r="19" spans="1:11" ht="57" customHeight="1">
      <c r="A19" s="20" t="s">
        <v>35</v>
      </c>
      <c r="B19" s="318" t="s">
        <v>12</v>
      </c>
      <c r="C19" s="318"/>
    </row>
    <row r="20" spans="1:11" ht="41.25" customHeight="1">
      <c r="A20" s="20" t="s">
        <v>36</v>
      </c>
      <c r="B20" s="328" t="s">
        <v>22</v>
      </c>
      <c r="C20" s="328"/>
    </row>
    <row r="21" spans="1:11" ht="41.25" customHeight="1">
      <c r="A21" s="20" t="s">
        <v>37</v>
      </c>
      <c r="B21" s="328" t="s">
        <v>23</v>
      </c>
      <c r="C21" s="328"/>
    </row>
    <row r="22" spans="1:11" ht="41.25" customHeight="1">
      <c r="A22" s="20" t="s">
        <v>38</v>
      </c>
      <c r="B22" s="328" t="s">
        <v>24</v>
      </c>
      <c r="C22" s="328"/>
    </row>
    <row r="23" spans="1:11" ht="14.25" customHeight="1">
      <c r="A23" s="19"/>
      <c r="B23" s="11"/>
      <c r="C23" s="11"/>
    </row>
    <row r="24" spans="1:11" ht="14.25" customHeight="1">
      <c r="A24" s="19"/>
      <c r="B24" s="11"/>
      <c r="C24" s="11"/>
    </row>
    <row r="25" spans="1:11" ht="14.25" customHeight="1">
      <c r="A25" s="19"/>
      <c r="B25" s="11"/>
      <c r="C25" s="11"/>
    </row>
    <row r="26" spans="1:11" ht="14.25" customHeight="1"/>
    <row r="27" spans="1:11" ht="22.5" customHeight="1">
      <c r="A27" s="8" t="s">
        <v>25</v>
      </c>
      <c r="B27" s="10"/>
      <c r="C27" s="9" t="s">
        <v>26</v>
      </c>
      <c r="D27" s="10"/>
      <c r="E27" s="12"/>
      <c r="F27" s="10"/>
      <c r="G27" s="13"/>
      <c r="H27" s="13"/>
      <c r="I27" s="13"/>
      <c r="J27" s="14"/>
      <c r="K27" s="13"/>
    </row>
    <row r="28" spans="1:11" ht="20.25" customHeight="1">
      <c r="A28" s="18" t="s">
        <v>27</v>
      </c>
      <c r="B28"/>
      <c r="C28" s="5"/>
      <c r="D28" s="3"/>
      <c r="F28" s="4"/>
      <c r="H28" s="6"/>
    </row>
  </sheetData>
  <mergeCells count="21">
    <mergeCell ref="B22:C22"/>
    <mergeCell ref="B10:C10"/>
    <mergeCell ref="B16:C16"/>
    <mergeCell ref="B20:C20"/>
    <mergeCell ref="B19:C19"/>
    <mergeCell ref="B13:C13"/>
    <mergeCell ref="B21:C21"/>
    <mergeCell ref="B14:C14"/>
    <mergeCell ref="B18:C18"/>
    <mergeCell ref="B17:C17"/>
    <mergeCell ref="B15:C15"/>
    <mergeCell ref="A7:C7"/>
    <mergeCell ref="B12:C12"/>
    <mergeCell ref="A6:C6"/>
    <mergeCell ref="A9:A10"/>
    <mergeCell ref="F2:H2"/>
    <mergeCell ref="F3:H3"/>
    <mergeCell ref="F5:M5"/>
    <mergeCell ref="B11:C11"/>
    <mergeCell ref="A5:C5"/>
    <mergeCell ref="B9:C9"/>
  </mergeCells>
  <pageMargins left="0.70866141732283472" right="0.51181102362204722" top="0.94488188976377963" bottom="0.55118110236220474" header="0.31496062992125984" footer="0.31496062992125984"/>
  <pageSetup paperSize="9" scale="69" orientation="portrait" verticalDpi="300" r:id="rId1"/>
</worksheet>
</file>

<file path=xl/worksheets/sheet2.xml><?xml version="1.0" encoding="utf-8"?>
<worksheet xmlns="http://schemas.openxmlformats.org/spreadsheetml/2006/main" xmlns:r="http://schemas.openxmlformats.org/officeDocument/2006/relationships">
  <sheetPr>
    <pageSetUpPr fitToPage="1"/>
  </sheetPr>
  <dimension ref="B1:I28"/>
  <sheetViews>
    <sheetView tabSelected="1" view="pageBreakPreview" zoomScale="50" zoomScaleSheetLayoutView="50" workbookViewId="0">
      <selection activeCell="D2" sqref="D2"/>
    </sheetView>
  </sheetViews>
  <sheetFormatPr defaultRowHeight="18.75"/>
  <cols>
    <col min="1" max="1" width="9.140625" style="1"/>
    <col min="2" max="2" width="29.42578125" style="1" customWidth="1"/>
    <col min="3" max="3" width="38.85546875" style="1" customWidth="1"/>
    <col min="4" max="4" width="52.140625" style="1" customWidth="1"/>
    <col min="5" max="5" width="7.7109375" style="1" customWidth="1"/>
    <col min="6" max="6" width="1.7109375" style="1" customWidth="1"/>
    <col min="7" max="8" width="9.140625" style="1"/>
    <col min="9" max="9" width="1.7109375" style="1" customWidth="1"/>
    <col min="10" max="257" width="9.140625" style="1"/>
    <col min="258" max="258" width="32" style="1" customWidth="1"/>
    <col min="259" max="259" width="38.85546875" style="1" customWidth="1"/>
    <col min="260" max="260" width="52.140625" style="1" customWidth="1"/>
    <col min="261" max="513" width="9.140625" style="1"/>
    <col min="514" max="514" width="32" style="1" customWidth="1"/>
    <col min="515" max="515" width="38.85546875" style="1" customWidth="1"/>
    <col min="516" max="516" width="52.140625" style="1" customWidth="1"/>
    <col min="517" max="769" width="9.140625" style="1"/>
    <col min="770" max="770" width="32" style="1" customWidth="1"/>
    <col min="771" max="771" width="38.85546875" style="1" customWidth="1"/>
    <col min="772" max="772" width="52.140625" style="1" customWidth="1"/>
    <col min="773" max="1025" width="9.140625" style="1"/>
    <col min="1026" max="1026" width="32" style="1" customWidth="1"/>
    <col min="1027" max="1027" width="38.85546875" style="1" customWidth="1"/>
    <col min="1028" max="1028" width="52.140625" style="1" customWidth="1"/>
    <col min="1029" max="1281" width="9.140625" style="1"/>
    <col min="1282" max="1282" width="32" style="1" customWidth="1"/>
    <col min="1283" max="1283" width="38.85546875" style="1" customWidth="1"/>
    <col min="1284" max="1284" width="52.140625" style="1" customWidth="1"/>
    <col min="1285" max="1537" width="9.140625" style="1"/>
    <col min="1538" max="1538" width="32" style="1" customWidth="1"/>
    <col min="1539" max="1539" width="38.85546875" style="1" customWidth="1"/>
    <col min="1540" max="1540" width="52.140625" style="1" customWidth="1"/>
    <col min="1541" max="1793" width="9.140625" style="1"/>
    <col min="1794" max="1794" width="32" style="1" customWidth="1"/>
    <col min="1795" max="1795" width="38.85546875" style="1" customWidth="1"/>
    <col min="1796" max="1796" width="52.140625" style="1" customWidth="1"/>
    <col min="1797" max="2049" width="9.140625" style="1"/>
    <col min="2050" max="2050" width="32" style="1" customWidth="1"/>
    <col min="2051" max="2051" width="38.85546875" style="1" customWidth="1"/>
    <col min="2052" max="2052" width="52.140625" style="1" customWidth="1"/>
    <col min="2053" max="2305" width="9.140625" style="1"/>
    <col min="2306" max="2306" width="32" style="1" customWidth="1"/>
    <col min="2307" max="2307" width="38.85546875" style="1" customWidth="1"/>
    <col min="2308" max="2308" width="52.140625" style="1" customWidth="1"/>
    <col min="2309" max="2561" width="9.140625" style="1"/>
    <col min="2562" max="2562" width="32" style="1" customWidth="1"/>
    <col min="2563" max="2563" width="38.85546875" style="1" customWidth="1"/>
    <col min="2564" max="2564" width="52.140625" style="1" customWidth="1"/>
    <col min="2565" max="2817" width="9.140625" style="1"/>
    <col min="2818" max="2818" width="32" style="1" customWidth="1"/>
    <col min="2819" max="2819" width="38.85546875" style="1" customWidth="1"/>
    <col min="2820" max="2820" width="52.140625" style="1" customWidth="1"/>
    <col min="2821" max="3073" width="9.140625" style="1"/>
    <col min="3074" max="3074" width="32" style="1" customWidth="1"/>
    <col min="3075" max="3075" width="38.85546875" style="1" customWidth="1"/>
    <col min="3076" max="3076" width="52.140625" style="1" customWidth="1"/>
    <col min="3077" max="3329" width="9.140625" style="1"/>
    <col min="3330" max="3330" width="32" style="1" customWidth="1"/>
    <col min="3331" max="3331" width="38.85546875" style="1" customWidth="1"/>
    <col min="3332" max="3332" width="52.140625" style="1" customWidth="1"/>
    <col min="3333" max="3585" width="9.140625" style="1"/>
    <col min="3586" max="3586" width="32" style="1" customWidth="1"/>
    <col min="3587" max="3587" width="38.85546875" style="1" customWidth="1"/>
    <col min="3588" max="3588" width="52.140625" style="1" customWidth="1"/>
    <col min="3589" max="3841" width="9.140625" style="1"/>
    <col min="3842" max="3842" width="32" style="1" customWidth="1"/>
    <col min="3843" max="3843" width="38.85546875" style="1" customWidth="1"/>
    <col min="3844" max="3844" width="52.140625" style="1" customWidth="1"/>
    <col min="3845" max="4097" width="9.140625" style="1"/>
    <col min="4098" max="4098" width="32" style="1" customWidth="1"/>
    <col min="4099" max="4099" width="38.85546875" style="1" customWidth="1"/>
    <col min="4100" max="4100" width="52.140625" style="1" customWidth="1"/>
    <col min="4101" max="4353" width="9.140625" style="1"/>
    <col min="4354" max="4354" width="32" style="1" customWidth="1"/>
    <col min="4355" max="4355" width="38.85546875" style="1" customWidth="1"/>
    <col min="4356" max="4356" width="52.140625" style="1" customWidth="1"/>
    <col min="4357" max="4609" width="9.140625" style="1"/>
    <col min="4610" max="4610" width="32" style="1" customWidth="1"/>
    <col min="4611" max="4611" width="38.85546875" style="1" customWidth="1"/>
    <col min="4612" max="4612" width="52.140625" style="1" customWidth="1"/>
    <col min="4613" max="4865" width="9.140625" style="1"/>
    <col min="4866" max="4866" width="32" style="1" customWidth="1"/>
    <col min="4867" max="4867" width="38.85546875" style="1" customWidth="1"/>
    <col min="4868" max="4868" width="52.140625" style="1" customWidth="1"/>
    <col min="4869" max="5121" width="9.140625" style="1"/>
    <col min="5122" max="5122" width="32" style="1" customWidth="1"/>
    <col min="5123" max="5123" width="38.85546875" style="1" customWidth="1"/>
    <col min="5124" max="5124" width="52.140625" style="1" customWidth="1"/>
    <col min="5125" max="5377" width="9.140625" style="1"/>
    <col min="5378" max="5378" width="32" style="1" customWidth="1"/>
    <col min="5379" max="5379" width="38.85546875" style="1" customWidth="1"/>
    <col min="5380" max="5380" width="52.140625" style="1" customWidth="1"/>
    <col min="5381" max="5633" width="9.140625" style="1"/>
    <col min="5634" max="5634" width="32" style="1" customWidth="1"/>
    <col min="5635" max="5635" width="38.85546875" style="1" customWidth="1"/>
    <col min="5636" max="5636" width="52.140625" style="1" customWidth="1"/>
    <col min="5637" max="5889" width="9.140625" style="1"/>
    <col min="5890" max="5890" width="32" style="1" customWidth="1"/>
    <col min="5891" max="5891" width="38.85546875" style="1" customWidth="1"/>
    <col min="5892" max="5892" width="52.140625" style="1" customWidth="1"/>
    <col min="5893" max="6145" width="9.140625" style="1"/>
    <col min="6146" max="6146" width="32" style="1" customWidth="1"/>
    <col min="6147" max="6147" width="38.85546875" style="1" customWidth="1"/>
    <col min="6148" max="6148" width="52.140625" style="1" customWidth="1"/>
    <col min="6149" max="6401" width="9.140625" style="1"/>
    <col min="6402" max="6402" width="32" style="1" customWidth="1"/>
    <col min="6403" max="6403" width="38.85546875" style="1" customWidth="1"/>
    <col min="6404" max="6404" width="52.140625" style="1" customWidth="1"/>
    <col min="6405" max="6657" width="9.140625" style="1"/>
    <col min="6658" max="6658" width="32" style="1" customWidth="1"/>
    <col min="6659" max="6659" width="38.85546875" style="1" customWidth="1"/>
    <col min="6660" max="6660" width="52.140625" style="1" customWidth="1"/>
    <col min="6661" max="6913" width="9.140625" style="1"/>
    <col min="6914" max="6914" width="32" style="1" customWidth="1"/>
    <col min="6915" max="6915" width="38.85546875" style="1" customWidth="1"/>
    <col min="6916" max="6916" width="52.140625" style="1" customWidth="1"/>
    <col min="6917" max="7169" width="9.140625" style="1"/>
    <col min="7170" max="7170" width="32" style="1" customWidth="1"/>
    <col min="7171" max="7171" width="38.85546875" style="1" customWidth="1"/>
    <col min="7172" max="7172" width="52.140625" style="1" customWidth="1"/>
    <col min="7173" max="7425" width="9.140625" style="1"/>
    <col min="7426" max="7426" width="32" style="1" customWidth="1"/>
    <col min="7427" max="7427" width="38.85546875" style="1" customWidth="1"/>
    <col min="7428" max="7428" width="52.140625" style="1" customWidth="1"/>
    <col min="7429" max="7681" width="9.140625" style="1"/>
    <col min="7682" max="7682" width="32" style="1" customWidth="1"/>
    <col min="7683" max="7683" width="38.85546875" style="1" customWidth="1"/>
    <col min="7684" max="7684" width="52.140625" style="1" customWidth="1"/>
    <col min="7685" max="7937" width="9.140625" style="1"/>
    <col min="7938" max="7938" width="32" style="1" customWidth="1"/>
    <col min="7939" max="7939" width="38.85546875" style="1" customWidth="1"/>
    <col min="7940" max="7940" width="52.140625" style="1" customWidth="1"/>
    <col min="7941" max="8193" width="9.140625" style="1"/>
    <col min="8194" max="8194" width="32" style="1" customWidth="1"/>
    <col min="8195" max="8195" width="38.85546875" style="1" customWidth="1"/>
    <col min="8196" max="8196" width="52.140625" style="1" customWidth="1"/>
    <col min="8197" max="8449" width="9.140625" style="1"/>
    <col min="8450" max="8450" width="32" style="1" customWidth="1"/>
    <col min="8451" max="8451" width="38.85546875" style="1" customWidth="1"/>
    <col min="8452" max="8452" width="52.140625" style="1" customWidth="1"/>
    <col min="8453" max="8705" width="9.140625" style="1"/>
    <col min="8706" max="8706" width="32" style="1" customWidth="1"/>
    <col min="8707" max="8707" width="38.85546875" style="1" customWidth="1"/>
    <col min="8708" max="8708" width="52.140625" style="1" customWidth="1"/>
    <col min="8709" max="8961" width="9.140625" style="1"/>
    <col min="8962" max="8962" width="32" style="1" customWidth="1"/>
    <col min="8963" max="8963" width="38.85546875" style="1" customWidth="1"/>
    <col min="8964" max="8964" width="52.140625" style="1" customWidth="1"/>
    <col min="8965" max="9217" width="9.140625" style="1"/>
    <col min="9218" max="9218" width="32" style="1" customWidth="1"/>
    <col min="9219" max="9219" width="38.85546875" style="1" customWidth="1"/>
    <col min="9220" max="9220" width="52.140625" style="1" customWidth="1"/>
    <col min="9221" max="9473" width="9.140625" style="1"/>
    <col min="9474" max="9474" width="32" style="1" customWidth="1"/>
    <col min="9475" max="9475" width="38.85546875" style="1" customWidth="1"/>
    <col min="9476" max="9476" width="52.140625" style="1" customWidth="1"/>
    <col min="9477" max="9729" width="9.140625" style="1"/>
    <col min="9730" max="9730" width="32" style="1" customWidth="1"/>
    <col min="9731" max="9731" width="38.85546875" style="1" customWidth="1"/>
    <col min="9732" max="9732" width="52.140625" style="1" customWidth="1"/>
    <col min="9733" max="9985" width="9.140625" style="1"/>
    <col min="9986" max="9986" width="32" style="1" customWidth="1"/>
    <col min="9987" max="9987" width="38.85546875" style="1" customWidth="1"/>
    <col min="9988" max="9988" width="52.140625" style="1" customWidth="1"/>
    <col min="9989" max="10241" width="9.140625" style="1"/>
    <col min="10242" max="10242" width="32" style="1" customWidth="1"/>
    <col min="10243" max="10243" width="38.85546875" style="1" customWidth="1"/>
    <col min="10244" max="10244" width="52.140625" style="1" customWidth="1"/>
    <col min="10245" max="10497" width="9.140625" style="1"/>
    <col min="10498" max="10498" width="32" style="1" customWidth="1"/>
    <col min="10499" max="10499" width="38.85546875" style="1" customWidth="1"/>
    <col min="10500" max="10500" width="52.140625" style="1" customWidth="1"/>
    <col min="10501" max="10753" width="9.140625" style="1"/>
    <col min="10754" max="10754" width="32" style="1" customWidth="1"/>
    <col min="10755" max="10755" width="38.85546875" style="1" customWidth="1"/>
    <col min="10756" max="10756" width="52.140625" style="1" customWidth="1"/>
    <col min="10757" max="11009" width="9.140625" style="1"/>
    <col min="11010" max="11010" width="32" style="1" customWidth="1"/>
    <col min="11011" max="11011" width="38.85546875" style="1" customWidth="1"/>
    <col min="11012" max="11012" width="52.140625" style="1" customWidth="1"/>
    <col min="11013" max="11265" width="9.140625" style="1"/>
    <col min="11266" max="11266" width="32" style="1" customWidth="1"/>
    <col min="11267" max="11267" width="38.85546875" style="1" customWidth="1"/>
    <col min="11268" max="11268" width="52.140625" style="1" customWidth="1"/>
    <col min="11269" max="11521" width="9.140625" style="1"/>
    <col min="11522" max="11522" width="32" style="1" customWidth="1"/>
    <col min="11523" max="11523" width="38.85546875" style="1" customWidth="1"/>
    <col min="11524" max="11524" width="52.140625" style="1" customWidth="1"/>
    <col min="11525" max="11777" width="9.140625" style="1"/>
    <col min="11778" max="11778" width="32" style="1" customWidth="1"/>
    <col min="11779" max="11779" width="38.85546875" style="1" customWidth="1"/>
    <col min="11780" max="11780" width="52.140625" style="1" customWidth="1"/>
    <col min="11781" max="12033" width="9.140625" style="1"/>
    <col min="12034" max="12034" width="32" style="1" customWidth="1"/>
    <col min="12035" max="12035" width="38.85546875" style="1" customWidth="1"/>
    <col min="12036" max="12036" width="52.140625" style="1" customWidth="1"/>
    <col min="12037" max="12289" width="9.140625" style="1"/>
    <col min="12290" max="12290" width="32" style="1" customWidth="1"/>
    <col min="12291" max="12291" width="38.85546875" style="1" customWidth="1"/>
    <col min="12292" max="12292" width="52.140625" style="1" customWidth="1"/>
    <col min="12293" max="12545" width="9.140625" style="1"/>
    <col min="12546" max="12546" width="32" style="1" customWidth="1"/>
    <col min="12547" max="12547" width="38.85546875" style="1" customWidth="1"/>
    <col min="12548" max="12548" width="52.140625" style="1" customWidth="1"/>
    <col min="12549" max="12801" width="9.140625" style="1"/>
    <col min="12802" max="12802" width="32" style="1" customWidth="1"/>
    <col min="12803" max="12803" width="38.85546875" style="1" customWidth="1"/>
    <col min="12804" max="12804" width="52.140625" style="1" customWidth="1"/>
    <col min="12805" max="13057" width="9.140625" style="1"/>
    <col min="13058" max="13058" width="32" style="1" customWidth="1"/>
    <col min="13059" max="13059" width="38.85546875" style="1" customWidth="1"/>
    <col min="13060" max="13060" width="52.140625" style="1" customWidth="1"/>
    <col min="13061" max="13313" width="9.140625" style="1"/>
    <col min="13314" max="13314" width="32" style="1" customWidth="1"/>
    <col min="13315" max="13315" width="38.85546875" style="1" customWidth="1"/>
    <col min="13316" max="13316" width="52.140625" style="1" customWidth="1"/>
    <col min="13317" max="13569" width="9.140625" style="1"/>
    <col min="13570" max="13570" width="32" style="1" customWidth="1"/>
    <col min="13571" max="13571" width="38.85546875" style="1" customWidth="1"/>
    <col min="13572" max="13572" width="52.140625" style="1" customWidth="1"/>
    <col min="13573" max="13825" width="9.140625" style="1"/>
    <col min="13826" max="13826" width="32" style="1" customWidth="1"/>
    <col min="13827" max="13827" width="38.85546875" style="1" customWidth="1"/>
    <col min="13828" max="13828" width="52.140625" style="1" customWidth="1"/>
    <col min="13829" max="14081" width="9.140625" style="1"/>
    <col min="14082" max="14082" width="32" style="1" customWidth="1"/>
    <col min="14083" max="14083" width="38.85546875" style="1" customWidth="1"/>
    <col min="14084" max="14084" width="52.140625" style="1" customWidth="1"/>
    <col min="14085" max="14337" width="9.140625" style="1"/>
    <col min="14338" max="14338" width="32" style="1" customWidth="1"/>
    <col min="14339" max="14339" width="38.85546875" style="1" customWidth="1"/>
    <col min="14340" max="14340" width="52.140625" style="1" customWidth="1"/>
    <col min="14341" max="14593" width="9.140625" style="1"/>
    <col min="14594" max="14594" width="32" style="1" customWidth="1"/>
    <col min="14595" max="14595" width="38.85546875" style="1" customWidth="1"/>
    <col min="14596" max="14596" width="52.140625" style="1" customWidth="1"/>
    <col min="14597" max="14849" width="9.140625" style="1"/>
    <col min="14850" max="14850" width="32" style="1" customWidth="1"/>
    <col min="14851" max="14851" width="38.85546875" style="1" customWidth="1"/>
    <col min="14852" max="14852" width="52.140625" style="1" customWidth="1"/>
    <col min="14853" max="15105" width="9.140625" style="1"/>
    <col min="15106" max="15106" width="32" style="1" customWidth="1"/>
    <col min="15107" max="15107" width="38.85546875" style="1" customWidth="1"/>
    <col min="15108" max="15108" width="52.140625" style="1" customWidth="1"/>
    <col min="15109" max="15361" width="9.140625" style="1"/>
    <col min="15362" max="15362" width="32" style="1" customWidth="1"/>
    <col min="15363" max="15363" width="38.85546875" style="1" customWidth="1"/>
    <col min="15364" max="15364" width="52.140625" style="1" customWidth="1"/>
    <col min="15365" max="15617" width="9.140625" style="1"/>
    <col min="15618" max="15618" width="32" style="1" customWidth="1"/>
    <col min="15619" max="15619" width="38.85546875" style="1" customWidth="1"/>
    <col min="15620" max="15620" width="52.140625" style="1" customWidth="1"/>
    <col min="15621" max="15873" width="9.140625" style="1"/>
    <col min="15874" max="15874" width="32" style="1" customWidth="1"/>
    <col min="15875" max="15875" width="38.85546875" style="1" customWidth="1"/>
    <col min="15876" max="15876" width="52.140625" style="1" customWidth="1"/>
    <col min="15877" max="16129" width="9.140625" style="1"/>
    <col min="16130" max="16130" width="32" style="1" customWidth="1"/>
    <col min="16131" max="16131" width="38.85546875" style="1" customWidth="1"/>
    <col min="16132" max="16132" width="52.140625" style="1" customWidth="1"/>
    <col min="16133" max="16384" width="9.140625" style="1"/>
  </cols>
  <sheetData>
    <row r="1" spans="2:9" ht="268.5" customHeight="1">
      <c r="D1" s="331" t="s">
        <v>497</v>
      </c>
      <c r="E1" s="331"/>
      <c r="F1" s="331"/>
      <c r="G1" s="331"/>
      <c r="H1" s="331"/>
      <c r="I1" s="331"/>
    </row>
    <row r="2" spans="2:9" ht="15.75" customHeight="1">
      <c r="D2" s="4"/>
    </row>
    <row r="3" spans="2:9" ht="25.5">
      <c r="B3" s="332" t="s">
        <v>7</v>
      </c>
      <c r="C3" s="332"/>
      <c r="D3" s="332"/>
    </row>
    <row r="4" spans="2:9" ht="49.5" customHeight="1">
      <c r="B4" s="333" t="s">
        <v>409</v>
      </c>
      <c r="C4" s="333"/>
      <c r="D4" s="333"/>
    </row>
    <row r="5" spans="2:9" ht="17.25" customHeight="1"/>
    <row r="6" spans="2:9" ht="66" customHeight="1">
      <c r="B6" s="334" t="s">
        <v>6</v>
      </c>
      <c r="C6" s="335" t="s">
        <v>8</v>
      </c>
      <c r="D6" s="336"/>
    </row>
    <row r="7" spans="2:9" ht="87" customHeight="1">
      <c r="B7" s="334"/>
      <c r="C7" s="337" t="s">
        <v>9</v>
      </c>
      <c r="D7" s="338"/>
    </row>
    <row r="8" spans="2:9">
      <c r="B8" s="7">
        <v>1</v>
      </c>
      <c r="C8" s="339">
        <v>2</v>
      </c>
      <c r="D8" s="339"/>
    </row>
    <row r="9" spans="2:9" ht="45" customHeight="1">
      <c r="B9" s="21" t="s">
        <v>28</v>
      </c>
      <c r="C9" s="318" t="s">
        <v>450</v>
      </c>
      <c r="D9" s="318"/>
    </row>
    <row r="10" spans="2:9" ht="45" customHeight="1">
      <c r="B10" s="21" t="s">
        <v>399</v>
      </c>
      <c r="C10" s="318" t="s">
        <v>451</v>
      </c>
      <c r="D10" s="318"/>
    </row>
    <row r="11" spans="2:9" ht="43.5" customHeight="1">
      <c r="B11" s="21" t="s">
        <v>29</v>
      </c>
      <c r="C11" s="318" t="s">
        <v>452</v>
      </c>
      <c r="D11" s="318"/>
    </row>
    <row r="12" spans="2:9" ht="42.75" customHeight="1">
      <c r="B12" s="22" t="s">
        <v>30</v>
      </c>
      <c r="C12" s="318" t="s">
        <v>453</v>
      </c>
      <c r="D12" s="318"/>
    </row>
    <row r="13" spans="2:9" ht="41.25" customHeight="1">
      <c r="B13" s="22" t="s">
        <v>205</v>
      </c>
      <c r="C13" s="318" t="s">
        <v>454</v>
      </c>
      <c r="D13" s="318"/>
    </row>
    <row r="14" spans="2:9" ht="39.75" customHeight="1">
      <c r="B14" s="22" t="s">
        <v>31</v>
      </c>
      <c r="C14" s="318" t="s">
        <v>455</v>
      </c>
      <c r="D14" s="318"/>
    </row>
    <row r="15" spans="2:9" ht="42.75" customHeight="1">
      <c r="B15" s="22" t="s">
        <v>32</v>
      </c>
      <c r="C15" s="318" t="s">
        <v>456</v>
      </c>
      <c r="D15" s="318"/>
    </row>
    <row r="16" spans="2:9" ht="42" customHeight="1">
      <c r="B16" s="22" t="s">
        <v>206</v>
      </c>
      <c r="C16" s="328" t="s">
        <v>457</v>
      </c>
      <c r="D16" s="328"/>
    </row>
    <row r="17" spans="2:9" ht="42.75" customHeight="1">
      <c r="B17" s="22" t="s">
        <v>33</v>
      </c>
      <c r="C17" s="328" t="s">
        <v>458</v>
      </c>
      <c r="D17" s="328"/>
    </row>
    <row r="18" spans="2:9" ht="64.5" customHeight="1">
      <c r="B18" s="22" t="s">
        <v>35</v>
      </c>
      <c r="C18" s="318" t="s">
        <v>459</v>
      </c>
      <c r="D18" s="318"/>
    </row>
    <row r="19" spans="2:9" ht="42.75" customHeight="1">
      <c r="B19" s="90" t="s">
        <v>182</v>
      </c>
      <c r="C19" s="318" t="s">
        <v>460</v>
      </c>
      <c r="D19" s="318"/>
    </row>
    <row r="20" spans="2:9" ht="64.5" customHeight="1">
      <c r="B20" s="90" t="s">
        <v>67</v>
      </c>
      <c r="C20" s="318" t="s">
        <v>461</v>
      </c>
      <c r="D20" s="318"/>
    </row>
    <row r="21" spans="2:9" ht="63.75" customHeight="1">
      <c r="B21" s="90" t="s">
        <v>36</v>
      </c>
      <c r="C21" s="318" t="s">
        <v>462</v>
      </c>
      <c r="D21" s="318"/>
    </row>
    <row r="22" spans="2:9" ht="44.25" customHeight="1">
      <c r="B22" s="90" t="s">
        <v>397</v>
      </c>
      <c r="C22" s="318" t="s">
        <v>463</v>
      </c>
      <c r="D22" s="318"/>
    </row>
    <row r="23" spans="2:9" ht="9.75" customHeight="1"/>
    <row r="24" spans="2:9" ht="24" customHeight="1">
      <c r="B24" s="86" t="s">
        <v>480</v>
      </c>
      <c r="C24" s="87"/>
      <c r="D24" s="88" t="s">
        <v>481</v>
      </c>
      <c r="E24" s="3"/>
      <c r="G24" s="4"/>
      <c r="I24" s="6"/>
    </row>
    <row r="25" spans="2:9" ht="21" customHeight="1">
      <c r="C25"/>
      <c r="D25" s="23"/>
      <c r="E25" s="3"/>
      <c r="G25" s="4"/>
      <c r="I25" s="6"/>
    </row>
    <row r="26" spans="2:9" ht="20.25" customHeight="1">
      <c r="B26" s="89" t="s">
        <v>27</v>
      </c>
      <c r="C26" s="83"/>
      <c r="D26" s="5"/>
      <c r="E26" s="3"/>
      <c r="G26" s="4"/>
      <c r="I26" s="6"/>
    </row>
    <row r="27" spans="2:9" ht="20.25" customHeight="1">
      <c r="B27" s="89"/>
      <c r="C27" s="83"/>
      <c r="D27" s="5"/>
      <c r="E27" s="3"/>
      <c r="G27" s="4"/>
      <c r="I27" s="6"/>
    </row>
    <row r="28" spans="2:9" ht="20.25">
      <c r="B28" s="82"/>
      <c r="C28" s="82"/>
    </row>
  </sheetData>
  <mergeCells count="21">
    <mergeCell ref="C22:D22"/>
    <mergeCell ref="C20:D20"/>
    <mergeCell ref="C21:D21"/>
    <mergeCell ref="C15:D15"/>
    <mergeCell ref="C14:D14"/>
    <mergeCell ref="D1:I1"/>
    <mergeCell ref="C16:D16"/>
    <mergeCell ref="C17:D17"/>
    <mergeCell ref="C18:D18"/>
    <mergeCell ref="C19:D19"/>
    <mergeCell ref="B3:D3"/>
    <mergeCell ref="B4:D4"/>
    <mergeCell ref="B6:B7"/>
    <mergeCell ref="C6:D6"/>
    <mergeCell ref="C7:D7"/>
    <mergeCell ref="C8:D8"/>
    <mergeCell ref="C9:D9"/>
    <mergeCell ref="C11:D11"/>
    <mergeCell ref="C12:D12"/>
    <mergeCell ref="C13:D13"/>
    <mergeCell ref="C10:D10"/>
  </mergeCells>
  <pageMargins left="1.1811023622047245" right="0.42913385826771655" top="0.78740157480314965" bottom="0.78740157480314965" header="0.31496062992125984" footer="0.31496062992125984"/>
  <pageSetup paperSize="9" scale="54" orientation="portrait" r:id="rId1"/>
</worksheet>
</file>

<file path=xl/worksheets/sheet3.xml><?xml version="1.0" encoding="utf-8"?>
<worksheet xmlns="http://schemas.openxmlformats.org/spreadsheetml/2006/main" xmlns:r="http://schemas.openxmlformats.org/officeDocument/2006/relationships">
  <sheetPr filterMode="1">
    <tabColor rgb="FF92D050"/>
  </sheetPr>
  <dimension ref="A1:S451"/>
  <sheetViews>
    <sheetView view="pageBreakPreview" zoomScale="30" zoomScaleSheetLayoutView="30" workbookViewId="0">
      <selection activeCell="L4" sqref="L4"/>
    </sheetView>
  </sheetViews>
  <sheetFormatPr defaultColWidth="9.140625" defaultRowHeight="75" customHeight="1"/>
  <cols>
    <col min="1" max="1" width="8.42578125" style="123" customWidth="1"/>
    <col min="2" max="2" width="38.85546875" style="8" customWidth="1"/>
    <col min="3" max="3" width="51.28515625" style="32" customWidth="1"/>
    <col min="4" max="4" width="18.28515625" style="124" customWidth="1"/>
    <col min="5" max="5" width="69.42578125" style="125" customWidth="1"/>
    <col min="6" max="6" width="22.7109375" style="126" customWidth="1"/>
    <col min="7" max="7" width="43" style="128" customWidth="1"/>
    <col min="8" max="8" width="32.28515625" style="108" customWidth="1"/>
    <col min="9" max="9" width="25.140625" style="108" customWidth="1"/>
    <col min="10" max="10" width="21.7109375" style="108" customWidth="1"/>
    <col min="11" max="11" width="22.140625" style="108" customWidth="1"/>
    <col min="12" max="12" width="75.85546875" style="132" customWidth="1"/>
    <col min="13" max="13" width="16.28515625" style="8" customWidth="1"/>
    <col min="14" max="14" width="9.140625" style="8"/>
    <col min="15" max="15" width="18.85546875" style="8" bestFit="1" customWidth="1"/>
    <col min="16" max="16" width="9.140625" style="8"/>
    <col min="17" max="17" width="13.42578125" style="8" bestFit="1" customWidth="1"/>
    <col min="18" max="16384" width="9.140625" style="8"/>
  </cols>
  <sheetData>
    <row r="1" spans="1:16" ht="33" customHeight="1">
      <c r="G1" s="127"/>
      <c r="H1" s="107"/>
      <c r="I1" s="107"/>
      <c r="J1" s="107"/>
      <c r="K1" s="107"/>
      <c r="L1" s="30"/>
    </row>
    <row r="2" spans="1:16" ht="218.25" customHeight="1">
      <c r="L2" s="129" t="s">
        <v>428</v>
      </c>
    </row>
    <row r="3" spans="1:16" s="229" customFormat="1" ht="28.5" customHeight="1">
      <c r="A3" s="228"/>
      <c r="C3" s="230"/>
      <c r="D3" s="231"/>
      <c r="E3" s="232"/>
      <c r="F3" s="233"/>
      <c r="G3" s="234"/>
      <c r="H3" s="235"/>
      <c r="I3" s="235"/>
      <c r="J3" s="235"/>
      <c r="K3" s="235"/>
      <c r="L3" s="131" t="s">
        <v>499</v>
      </c>
    </row>
    <row r="4" spans="1:16" ht="75" customHeight="1">
      <c r="A4" s="130"/>
    </row>
    <row r="5" spans="1:16" ht="75" customHeight="1">
      <c r="A5" s="496" t="s">
        <v>410</v>
      </c>
      <c r="B5" s="496"/>
      <c r="C5" s="496"/>
      <c r="D5" s="496"/>
      <c r="E5" s="496"/>
      <c r="F5" s="496"/>
      <c r="G5" s="496"/>
      <c r="H5" s="496"/>
      <c r="I5" s="496"/>
      <c r="J5" s="496"/>
      <c r="K5" s="496"/>
      <c r="L5" s="496"/>
    </row>
    <row r="6" spans="1:16" ht="75" customHeight="1">
      <c r="H6" s="133" t="s">
        <v>19</v>
      </c>
      <c r="I6" s="134" t="e">
        <f>#REF!+#REF!+#REF!+#REF!</f>
        <v>#REF!</v>
      </c>
    </row>
    <row r="7" spans="1:16" ht="75" customHeight="1">
      <c r="A7" s="497" t="s">
        <v>1</v>
      </c>
      <c r="B7" s="498" t="s">
        <v>2</v>
      </c>
      <c r="C7" s="498" t="s">
        <v>3</v>
      </c>
      <c r="D7" s="497" t="s">
        <v>49</v>
      </c>
      <c r="E7" s="499" t="s">
        <v>47</v>
      </c>
      <c r="F7" s="502" t="s">
        <v>44</v>
      </c>
      <c r="G7" s="498" t="s">
        <v>4</v>
      </c>
      <c r="H7" s="503" t="s">
        <v>15</v>
      </c>
      <c r="I7" s="504"/>
      <c r="J7" s="504"/>
      <c r="K7" s="505"/>
      <c r="L7" s="498" t="s">
        <v>5</v>
      </c>
    </row>
    <row r="8" spans="1:16" ht="75" customHeight="1">
      <c r="A8" s="497"/>
      <c r="B8" s="498"/>
      <c r="C8" s="498"/>
      <c r="D8" s="497"/>
      <c r="E8" s="500"/>
      <c r="F8" s="502"/>
      <c r="G8" s="498"/>
      <c r="H8" s="498" t="s">
        <v>84</v>
      </c>
      <c r="I8" s="506" t="s">
        <v>16</v>
      </c>
      <c r="J8" s="506"/>
      <c r="K8" s="506"/>
      <c r="L8" s="498"/>
    </row>
    <row r="9" spans="1:16" s="135" customFormat="1" ht="75" customHeight="1">
      <c r="A9" s="497"/>
      <c r="B9" s="498"/>
      <c r="C9" s="498"/>
      <c r="D9" s="497"/>
      <c r="E9" s="501"/>
      <c r="F9" s="502"/>
      <c r="G9" s="498"/>
      <c r="H9" s="498"/>
      <c r="I9" s="290" t="s">
        <v>43</v>
      </c>
      <c r="J9" s="290" t="s">
        <v>446</v>
      </c>
      <c r="K9" s="290" t="s">
        <v>48</v>
      </c>
      <c r="L9" s="498"/>
    </row>
    <row r="10" spans="1:16" s="135" customFormat="1" ht="75" customHeight="1">
      <c r="A10" s="25">
        <v>1</v>
      </c>
      <c r="B10" s="25">
        <v>2</v>
      </c>
      <c r="C10" s="289">
        <v>3</v>
      </c>
      <c r="D10" s="291">
        <v>4</v>
      </c>
      <c r="E10" s="289">
        <v>5</v>
      </c>
      <c r="F10" s="291">
        <v>6</v>
      </c>
      <c r="G10" s="291">
        <v>7</v>
      </c>
      <c r="H10" s="109">
        <v>8</v>
      </c>
      <c r="I10" s="109">
        <v>9</v>
      </c>
      <c r="J10" s="109">
        <v>10</v>
      </c>
      <c r="K10" s="109">
        <v>11</v>
      </c>
      <c r="L10" s="109">
        <v>12</v>
      </c>
    </row>
    <row r="11" spans="1:16" s="135" customFormat="1" ht="75" customHeight="1">
      <c r="A11" s="386" t="s">
        <v>264</v>
      </c>
      <c r="B11" s="387"/>
      <c r="C11" s="387"/>
      <c r="D11" s="387"/>
      <c r="E11" s="387"/>
      <c r="F11" s="387"/>
      <c r="G11" s="387"/>
      <c r="H11" s="387"/>
      <c r="I11" s="387"/>
      <c r="J11" s="387"/>
      <c r="K11" s="387"/>
      <c r="L11" s="388"/>
    </row>
    <row r="12" spans="1:16" s="10" customFormat="1" ht="75" customHeight="1">
      <c r="A12" s="356" t="s">
        <v>213</v>
      </c>
      <c r="B12" s="495" t="s">
        <v>207</v>
      </c>
      <c r="C12" s="487" t="s">
        <v>214</v>
      </c>
      <c r="D12" s="435" t="s">
        <v>327</v>
      </c>
      <c r="E12" s="436"/>
      <c r="F12" s="436"/>
      <c r="G12" s="437"/>
      <c r="H12" s="97">
        <f>H13+H14</f>
        <v>260</v>
      </c>
      <c r="I12" s="97">
        <f>I13+I14</f>
        <v>240</v>
      </c>
      <c r="J12" s="97">
        <f>J13+J14</f>
        <v>20</v>
      </c>
      <c r="K12" s="97">
        <f>K13+K14</f>
        <v>0</v>
      </c>
      <c r="L12" s="343" t="s">
        <v>258</v>
      </c>
    </row>
    <row r="13" spans="1:16" ht="75" customHeight="1">
      <c r="A13" s="356"/>
      <c r="B13" s="495"/>
      <c r="C13" s="487"/>
      <c r="D13" s="24" t="s">
        <v>35</v>
      </c>
      <c r="E13" s="267" t="s">
        <v>79</v>
      </c>
      <c r="F13" s="362" t="s">
        <v>447</v>
      </c>
      <c r="G13" s="362" t="s">
        <v>421</v>
      </c>
      <c r="H13" s="97">
        <f>I13+J13+K13</f>
        <v>60</v>
      </c>
      <c r="I13" s="98">
        <f>60</f>
        <v>60</v>
      </c>
      <c r="J13" s="98">
        <v>0</v>
      </c>
      <c r="K13" s="98">
        <v>0</v>
      </c>
      <c r="L13" s="344"/>
    </row>
    <row r="14" spans="1:16" ht="75" customHeight="1">
      <c r="A14" s="356"/>
      <c r="B14" s="495"/>
      <c r="C14" s="487"/>
      <c r="D14" s="24" t="s">
        <v>35</v>
      </c>
      <c r="E14" s="267" t="s">
        <v>80</v>
      </c>
      <c r="F14" s="362"/>
      <c r="G14" s="362"/>
      <c r="H14" s="97">
        <f>I14+J14+K14</f>
        <v>200</v>
      </c>
      <c r="I14" s="98">
        <f>150+30</f>
        <v>180</v>
      </c>
      <c r="J14" s="98">
        <f>20</f>
        <v>20</v>
      </c>
      <c r="K14" s="98">
        <v>0</v>
      </c>
      <c r="L14" s="344"/>
      <c r="P14" s="305"/>
    </row>
    <row r="15" spans="1:16" ht="75" customHeight="1">
      <c r="A15" s="356"/>
      <c r="B15" s="495"/>
      <c r="C15" s="487" t="s">
        <v>215</v>
      </c>
      <c r="D15" s="435" t="s">
        <v>335</v>
      </c>
      <c r="E15" s="436"/>
      <c r="F15" s="436"/>
      <c r="G15" s="437"/>
      <c r="H15" s="97">
        <f>H16+H17</f>
        <v>7016.41</v>
      </c>
      <c r="I15" s="97">
        <f>I16+I17</f>
        <v>1577.81</v>
      </c>
      <c r="J15" s="97">
        <f>J16+J17</f>
        <v>2614.6999999999998</v>
      </c>
      <c r="K15" s="97">
        <f>K16+K17</f>
        <v>2823.8999999999996</v>
      </c>
      <c r="L15" s="344"/>
    </row>
    <row r="16" spans="1:16" ht="75" customHeight="1">
      <c r="A16" s="356"/>
      <c r="B16" s="495"/>
      <c r="C16" s="487"/>
      <c r="D16" s="24" t="s">
        <v>35</v>
      </c>
      <c r="E16" s="267" t="s">
        <v>79</v>
      </c>
      <c r="F16" s="362" t="s">
        <v>447</v>
      </c>
      <c r="G16" s="362" t="s">
        <v>421</v>
      </c>
      <c r="H16" s="97">
        <f>I16+J16+K16</f>
        <v>3883.6000000000004</v>
      </c>
      <c r="I16" s="98">
        <v>919</v>
      </c>
      <c r="J16" s="98">
        <v>1425.3</v>
      </c>
      <c r="K16" s="98">
        <v>1539.3</v>
      </c>
      <c r="L16" s="344"/>
    </row>
    <row r="17" spans="1:12" ht="75" customHeight="1">
      <c r="A17" s="356"/>
      <c r="B17" s="495"/>
      <c r="C17" s="487"/>
      <c r="D17" s="24" t="s">
        <v>35</v>
      </c>
      <c r="E17" s="267" t="s">
        <v>80</v>
      </c>
      <c r="F17" s="362"/>
      <c r="G17" s="362"/>
      <c r="H17" s="97">
        <f>I17+J17+K17</f>
        <v>3132.81</v>
      </c>
      <c r="I17" s="98">
        <f>753.5-43.38-51.31</f>
        <v>658.81</v>
      </c>
      <c r="J17" s="98">
        <v>1189.4000000000001</v>
      </c>
      <c r="K17" s="98">
        <v>1284.5999999999999</v>
      </c>
      <c r="L17" s="345"/>
    </row>
    <row r="18" spans="1:12" ht="75" customHeight="1">
      <c r="A18" s="356"/>
      <c r="B18" s="495"/>
      <c r="C18" s="487" t="s">
        <v>216</v>
      </c>
      <c r="D18" s="435" t="s">
        <v>336</v>
      </c>
      <c r="E18" s="436"/>
      <c r="F18" s="436"/>
      <c r="G18" s="437"/>
      <c r="H18" s="102">
        <f>H19+H20</f>
        <v>3495.1</v>
      </c>
      <c r="I18" s="102">
        <f>I19+I20</f>
        <v>1081.8</v>
      </c>
      <c r="J18" s="102">
        <f>J19+J20</f>
        <v>1169.3</v>
      </c>
      <c r="K18" s="102">
        <f>K19+K20</f>
        <v>1244</v>
      </c>
      <c r="L18" s="357" t="s">
        <v>46</v>
      </c>
    </row>
    <row r="19" spans="1:12" ht="75" customHeight="1">
      <c r="A19" s="356"/>
      <c r="B19" s="495"/>
      <c r="C19" s="487"/>
      <c r="D19" s="24" t="s">
        <v>35</v>
      </c>
      <c r="E19" s="267" t="s">
        <v>79</v>
      </c>
      <c r="F19" s="362" t="s">
        <v>447</v>
      </c>
      <c r="G19" s="362" t="s">
        <v>421</v>
      </c>
      <c r="H19" s="97">
        <f t="shared" ref="H19:H26" si="0">I19+J19+K19</f>
        <v>1721.1</v>
      </c>
      <c r="I19" s="98">
        <v>532</v>
      </c>
      <c r="J19" s="98">
        <v>575.29999999999995</v>
      </c>
      <c r="K19" s="98">
        <v>613.79999999999995</v>
      </c>
      <c r="L19" s="357"/>
    </row>
    <row r="20" spans="1:12" ht="75" customHeight="1">
      <c r="A20" s="356"/>
      <c r="B20" s="495"/>
      <c r="C20" s="487"/>
      <c r="D20" s="24" t="s">
        <v>35</v>
      </c>
      <c r="E20" s="237" t="s">
        <v>80</v>
      </c>
      <c r="F20" s="362"/>
      <c r="G20" s="362"/>
      <c r="H20" s="97">
        <f t="shared" si="0"/>
        <v>1774</v>
      </c>
      <c r="I20" s="98">
        <v>549.79999999999995</v>
      </c>
      <c r="J20" s="98">
        <v>594</v>
      </c>
      <c r="K20" s="98">
        <v>630.20000000000005</v>
      </c>
      <c r="L20" s="357"/>
    </row>
    <row r="21" spans="1:12" ht="75" customHeight="1">
      <c r="A21" s="356"/>
      <c r="B21" s="495"/>
      <c r="C21" s="440" t="s">
        <v>420</v>
      </c>
      <c r="D21" s="435" t="s">
        <v>419</v>
      </c>
      <c r="E21" s="436"/>
      <c r="F21" s="436"/>
      <c r="G21" s="437"/>
      <c r="H21" s="97">
        <f t="shared" si="0"/>
        <v>1522</v>
      </c>
      <c r="I21" s="97">
        <f>I22+I23</f>
        <v>0</v>
      </c>
      <c r="J21" s="97">
        <f>J22+J23</f>
        <v>813.80000000000007</v>
      </c>
      <c r="K21" s="97">
        <f>K22+K23</f>
        <v>708.2</v>
      </c>
      <c r="L21" s="262"/>
    </row>
    <row r="22" spans="1:12" ht="75" customHeight="1">
      <c r="A22" s="356"/>
      <c r="B22" s="495"/>
      <c r="C22" s="440"/>
      <c r="D22" s="24" t="s">
        <v>35</v>
      </c>
      <c r="E22" s="267" t="s">
        <v>79</v>
      </c>
      <c r="F22" s="362" t="s">
        <v>447</v>
      </c>
      <c r="G22" s="362" t="s">
        <v>421</v>
      </c>
      <c r="H22" s="97">
        <f t="shared" si="0"/>
        <v>251.29999999999998</v>
      </c>
      <c r="I22" s="98"/>
      <c r="J22" s="98">
        <v>121.6</v>
      </c>
      <c r="K22" s="98">
        <v>129.69999999999999</v>
      </c>
      <c r="L22" s="262"/>
    </row>
    <row r="23" spans="1:12" ht="112.5" customHeight="1">
      <c r="A23" s="356"/>
      <c r="B23" s="495"/>
      <c r="C23" s="440"/>
      <c r="D23" s="24" t="s">
        <v>35</v>
      </c>
      <c r="E23" s="237" t="s">
        <v>80</v>
      </c>
      <c r="F23" s="362"/>
      <c r="G23" s="362"/>
      <c r="H23" s="97">
        <f t="shared" si="0"/>
        <v>1270.7</v>
      </c>
      <c r="I23" s="98"/>
      <c r="J23" s="98">
        <v>692.2</v>
      </c>
      <c r="K23" s="98">
        <v>578.5</v>
      </c>
      <c r="L23" s="267"/>
    </row>
    <row r="24" spans="1:12" ht="112.5" customHeight="1">
      <c r="A24" s="356"/>
      <c r="B24" s="495"/>
      <c r="C24" s="440" t="s">
        <v>445</v>
      </c>
      <c r="D24" s="486" t="s">
        <v>444</v>
      </c>
      <c r="E24" s="415"/>
      <c r="F24" s="415"/>
      <c r="G24" s="415"/>
      <c r="H24" s="97">
        <f t="shared" si="0"/>
        <v>101.3</v>
      </c>
      <c r="I24" s="98">
        <f>I25+I26</f>
        <v>0</v>
      </c>
      <c r="J24" s="97">
        <f>J25+J26</f>
        <v>101.3</v>
      </c>
      <c r="K24" s="98">
        <f t="shared" ref="K24" si="1">K25+K26</f>
        <v>0</v>
      </c>
      <c r="L24" s="262"/>
    </row>
    <row r="25" spans="1:12" ht="112.5" customHeight="1">
      <c r="A25" s="356"/>
      <c r="B25" s="495"/>
      <c r="C25" s="440"/>
      <c r="D25" s="24" t="s">
        <v>35</v>
      </c>
      <c r="E25" s="267" t="s">
        <v>79</v>
      </c>
      <c r="F25" s="362" t="s">
        <v>447</v>
      </c>
      <c r="G25" s="362" t="s">
        <v>421</v>
      </c>
      <c r="H25" s="97">
        <f t="shared" si="0"/>
        <v>48</v>
      </c>
      <c r="I25" s="104">
        <v>0</v>
      </c>
      <c r="J25" s="104">
        <v>48</v>
      </c>
      <c r="K25" s="104">
        <v>0</v>
      </c>
      <c r="L25" s="262"/>
    </row>
    <row r="26" spans="1:12" ht="112.5" customHeight="1">
      <c r="A26" s="356"/>
      <c r="B26" s="495"/>
      <c r="C26" s="440"/>
      <c r="D26" s="24" t="s">
        <v>35</v>
      </c>
      <c r="E26" s="237" t="s">
        <v>80</v>
      </c>
      <c r="F26" s="362"/>
      <c r="G26" s="362"/>
      <c r="H26" s="97">
        <f t="shared" si="0"/>
        <v>53.3</v>
      </c>
      <c r="I26" s="104">
        <v>0</v>
      </c>
      <c r="J26" s="104">
        <v>53.3</v>
      </c>
      <c r="K26" s="104">
        <v>0</v>
      </c>
      <c r="L26" s="262"/>
    </row>
    <row r="27" spans="1:12" s="135" customFormat="1" ht="75" customHeight="1">
      <c r="A27" s="488"/>
      <c r="B27" s="489"/>
      <c r="C27" s="489"/>
      <c r="D27" s="489"/>
      <c r="E27" s="492" t="s">
        <v>265</v>
      </c>
      <c r="F27" s="493"/>
      <c r="G27" s="494"/>
      <c r="H27" s="102">
        <f>H12+H15+H18+H21</f>
        <v>12293.51</v>
      </c>
      <c r="I27" s="102">
        <f t="shared" ref="I27:K29" si="2">I12+I15+I18+I21+I24</f>
        <v>2899.6099999999997</v>
      </c>
      <c r="J27" s="102">
        <f t="shared" si="2"/>
        <v>4719.1000000000004</v>
      </c>
      <c r="K27" s="102">
        <f t="shared" si="2"/>
        <v>4776.0999999999995</v>
      </c>
      <c r="L27" s="441"/>
    </row>
    <row r="28" spans="1:12" s="135" customFormat="1" ht="75" customHeight="1">
      <c r="A28" s="490"/>
      <c r="B28" s="491"/>
      <c r="C28" s="491"/>
      <c r="D28" s="491"/>
      <c r="E28" s="267" t="s">
        <v>79</v>
      </c>
      <c r="F28" s="362" t="s">
        <v>447</v>
      </c>
      <c r="G28" s="380" t="s">
        <v>421</v>
      </c>
      <c r="H28" s="102">
        <f>H13+H16+H19+H22</f>
        <v>5916.0000000000009</v>
      </c>
      <c r="I28" s="102">
        <f t="shared" si="2"/>
        <v>1511</v>
      </c>
      <c r="J28" s="102">
        <f t="shared" si="2"/>
        <v>2170.1999999999998</v>
      </c>
      <c r="K28" s="102">
        <f t="shared" si="2"/>
        <v>2282.7999999999997</v>
      </c>
      <c r="L28" s="442"/>
    </row>
    <row r="29" spans="1:12" s="135" customFormat="1" ht="75" customHeight="1">
      <c r="A29" s="490"/>
      <c r="B29" s="491"/>
      <c r="C29" s="491"/>
      <c r="D29" s="491"/>
      <c r="E29" s="238" t="s">
        <v>80</v>
      </c>
      <c r="F29" s="362"/>
      <c r="G29" s="381"/>
      <c r="H29" s="102">
        <f>H14+H17+H20+H23</f>
        <v>6377.5099999999993</v>
      </c>
      <c r="I29" s="102">
        <f t="shared" si="2"/>
        <v>1388.61</v>
      </c>
      <c r="J29" s="102">
        <f t="shared" si="2"/>
        <v>2548.9000000000005</v>
      </c>
      <c r="K29" s="102">
        <f t="shared" si="2"/>
        <v>2493.3000000000002</v>
      </c>
      <c r="L29" s="442"/>
    </row>
    <row r="30" spans="1:12" s="135" customFormat="1" ht="75" customHeight="1">
      <c r="A30" s="430" t="s">
        <v>219</v>
      </c>
      <c r="B30" s="340" t="s">
        <v>208</v>
      </c>
      <c r="C30" s="357" t="s">
        <v>217</v>
      </c>
      <c r="D30" s="435" t="s">
        <v>328</v>
      </c>
      <c r="E30" s="436"/>
      <c r="F30" s="436"/>
      <c r="G30" s="437"/>
      <c r="H30" s="102">
        <f>H31+H36+H38+H39+H37</f>
        <v>76643.73</v>
      </c>
      <c r="I30" s="102">
        <f>I31+I36+I38+I39+I37</f>
        <v>72386.53</v>
      </c>
      <c r="J30" s="102">
        <f>J31+J36+J38+J39</f>
        <v>4257.2</v>
      </c>
      <c r="K30" s="102">
        <f>K31+K36+K38+K39</f>
        <v>0</v>
      </c>
      <c r="L30" s="357" t="s">
        <v>329</v>
      </c>
    </row>
    <row r="31" spans="1:12" s="135" customFormat="1" ht="75" customHeight="1">
      <c r="A31" s="430"/>
      <c r="B31" s="447"/>
      <c r="C31" s="438"/>
      <c r="D31" s="136" t="s">
        <v>97</v>
      </c>
      <c r="E31" s="137"/>
      <c r="F31" s="137"/>
      <c r="G31" s="138"/>
      <c r="H31" s="102">
        <f>SUM(H32:H35)</f>
        <v>31079.229999999996</v>
      </c>
      <c r="I31" s="102">
        <f>SUM(I32:I35)</f>
        <v>26822.03</v>
      </c>
      <c r="J31" s="102">
        <f>SUM(J32:J35)</f>
        <v>4257.2</v>
      </c>
      <c r="K31" s="102">
        <f>SUM(K32:K35)</f>
        <v>0</v>
      </c>
      <c r="L31" s="357"/>
    </row>
    <row r="32" spans="1:12" s="135" customFormat="1" ht="75" customHeight="1">
      <c r="A32" s="430"/>
      <c r="B32" s="447"/>
      <c r="C32" s="438"/>
      <c r="D32" s="24" t="s">
        <v>28</v>
      </c>
      <c r="E32" s="267" t="s">
        <v>81</v>
      </c>
      <c r="F32" s="358" t="s">
        <v>447</v>
      </c>
      <c r="G32" s="362" t="s">
        <v>421</v>
      </c>
      <c r="H32" s="98">
        <f t="shared" ref="H32:H38" si="3">I32+J32+K32</f>
        <v>8887.23</v>
      </c>
      <c r="I32" s="98">
        <f>8727.9-76-1021.1-481.67</f>
        <v>7149.1299999999992</v>
      </c>
      <c r="J32" s="98">
        <f>497.1+1201+40</f>
        <v>1738.1</v>
      </c>
      <c r="K32" s="98">
        <v>0</v>
      </c>
      <c r="L32" s="357"/>
    </row>
    <row r="33" spans="1:19" s="135" customFormat="1" ht="75" customHeight="1">
      <c r="A33" s="430"/>
      <c r="B33" s="447"/>
      <c r="C33" s="438"/>
      <c r="D33" s="24" t="s">
        <v>28</v>
      </c>
      <c r="E33" s="267" t="s">
        <v>75</v>
      </c>
      <c r="F33" s="443"/>
      <c r="G33" s="439"/>
      <c r="H33" s="98">
        <f t="shared" si="3"/>
        <v>2664.9</v>
      </c>
      <c r="I33" s="98">
        <f>3419.9-800+45</f>
        <v>2664.9</v>
      </c>
      <c r="J33" s="98"/>
      <c r="K33" s="98">
        <v>0</v>
      </c>
      <c r="L33" s="357"/>
    </row>
    <row r="34" spans="1:19" s="135" customFormat="1" ht="75" customHeight="1">
      <c r="A34" s="430"/>
      <c r="B34" s="447"/>
      <c r="C34" s="438"/>
      <c r="D34" s="24" t="s">
        <v>28</v>
      </c>
      <c r="E34" s="267" t="s">
        <v>76</v>
      </c>
      <c r="F34" s="443"/>
      <c r="G34" s="439"/>
      <c r="H34" s="98">
        <f t="shared" si="3"/>
        <v>7061.2</v>
      </c>
      <c r="I34" s="98">
        <f>7232.7-41.5-500</f>
        <v>6691.2</v>
      </c>
      <c r="J34" s="98">
        <v>370</v>
      </c>
      <c r="K34" s="98">
        <v>0</v>
      </c>
      <c r="L34" s="357"/>
      <c r="M34" s="301"/>
    </row>
    <row r="35" spans="1:19" s="135" customFormat="1" ht="75" customHeight="1">
      <c r="A35" s="430"/>
      <c r="B35" s="447"/>
      <c r="C35" s="438"/>
      <c r="D35" s="24" t="s">
        <v>28</v>
      </c>
      <c r="E35" s="267" t="s">
        <v>74</v>
      </c>
      <c r="F35" s="443"/>
      <c r="G35" s="439"/>
      <c r="H35" s="98">
        <f t="shared" si="3"/>
        <v>12465.9</v>
      </c>
      <c r="I35" s="98">
        <v>10316.799999999999</v>
      </c>
      <c r="J35" s="98">
        <f>1000+400+149.1+400+200</f>
        <v>2149.1</v>
      </c>
      <c r="K35" s="98">
        <v>0</v>
      </c>
      <c r="L35" s="357"/>
      <c r="N35" s="301"/>
      <c r="O35" s="301"/>
      <c r="P35" s="301"/>
      <c r="Q35" s="301"/>
      <c r="R35" s="301"/>
      <c r="S35" s="301"/>
    </row>
    <row r="36" spans="1:19" s="135" customFormat="1" ht="170.25" customHeight="1">
      <c r="A36" s="430"/>
      <c r="B36" s="447"/>
      <c r="C36" s="438"/>
      <c r="D36" s="24" t="s">
        <v>28</v>
      </c>
      <c r="E36" s="267" t="s">
        <v>81</v>
      </c>
      <c r="F36" s="443"/>
      <c r="G36" s="389" t="s">
        <v>98</v>
      </c>
      <c r="H36" s="97">
        <f>I36+J36+K36</f>
        <v>144.6</v>
      </c>
      <c r="I36" s="97">
        <v>144.6</v>
      </c>
      <c r="J36" s="97">
        <v>0</v>
      </c>
      <c r="K36" s="97">
        <v>0</v>
      </c>
      <c r="L36" s="357"/>
    </row>
    <row r="37" spans="1:19" s="135" customFormat="1" ht="170.25" customHeight="1">
      <c r="A37" s="430"/>
      <c r="B37" s="447"/>
      <c r="C37" s="438"/>
      <c r="D37" s="24" t="s">
        <v>28</v>
      </c>
      <c r="E37" s="267" t="s">
        <v>74</v>
      </c>
      <c r="F37" s="443"/>
      <c r="G37" s="391"/>
      <c r="H37" s="97">
        <f>I37+J37+K37</f>
        <v>150</v>
      </c>
      <c r="I37" s="97">
        <v>150</v>
      </c>
      <c r="J37" s="97"/>
      <c r="K37" s="97"/>
      <c r="L37" s="357"/>
    </row>
    <row r="38" spans="1:19" s="135" customFormat="1" ht="87.75" customHeight="1">
      <c r="A38" s="430"/>
      <c r="B38" s="447"/>
      <c r="C38" s="438"/>
      <c r="D38" s="24" t="s">
        <v>28</v>
      </c>
      <c r="E38" s="267" t="s">
        <v>81</v>
      </c>
      <c r="F38" s="443"/>
      <c r="G38" s="293" t="s">
        <v>326</v>
      </c>
      <c r="H38" s="97">
        <f t="shared" si="3"/>
        <v>60</v>
      </c>
      <c r="I38" s="97">
        <v>60</v>
      </c>
      <c r="J38" s="97">
        <v>0</v>
      </c>
      <c r="K38" s="97">
        <v>0</v>
      </c>
      <c r="L38" s="357"/>
    </row>
    <row r="39" spans="1:19" s="135" customFormat="1" ht="75" customHeight="1">
      <c r="A39" s="430"/>
      <c r="B39" s="447"/>
      <c r="C39" s="438"/>
      <c r="D39" s="485" t="s">
        <v>97</v>
      </c>
      <c r="E39" s="486"/>
      <c r="F39" s="443"/>
      <c r="G39" s="508" t="s">
        <v>95</v>
      </c>
      <c r="H39" s="97">
        <f>SUM(H40:H43)</f>
        <v>45209.9</v>
      </c>
      <c r="I39" s="97">
        <f>SUM(I40:I43)</f>
        <v>45209.9</v>
      </c>
      <c r="J39" s="97">
        <f>SUM(J40:J43)</f>
        <v>0</v>
      </c>
      <c r="K39" s="97">
        <f>SUM(K40:K43)</f>
        <v>0</v>
      </c>
      <c r="L39" s="357"/>
    </row>
    <row r="40" spans="1:19" s="135" customFormat="1" ht="75" customHeight="1">
      <c r="A40" s="430"/>
      <c r="B40" s="447"/>
      <c r="C40" s="438"/>
      <c r="D40" s="24" t="s">
        <v>28</v>
      </c>
      <c r="E40" s="267" t="s">
        <v>81</v>
      </c>
      <c r="F40" s="443"/>
      <c r="G40" s="439"/>
      <c r="H40" s="98">
        <f>I40+J40+K40</f>
        <v>12485.6</v>
      </c>
      <c r="I40" s="98">
        <v>12485.6</v>
      </c>
      <c r="J40" s="98">
        <v>0</v>
      </c>
      <c r="K40" s="98">
        <v>0</v>
      </c>
      <c r="L40" s="357"/>
    </row>
    <row r="41" spans="1:19" s="135" customFormat="1" ht="75" customHeight="1">
      <c r="A41" s="430"/>
      <c r="B41" s="447"/>
      <c r="C41" s="438"/>
      <c r="D41" s="24" t="s">
        <v>28</v>
      </c>
      <c r="E41" s="267" t="s">
        <v>75</v>
      </c>
      <c r="F41" s="443"/>
      <c r="G41" s="439"/>
      <c r="H41" s="98">
        <f>I41+J41+K41</f>
        <v>8160.1</v>
      </c>
      <c r="I41" s="98">
        <v>8160.1</v>
      </c>
      <c r="J41" s="98">
        <v>0</v>
      </c>
      <c r="K41" s="98">
        <v>0</v>
      </c>
      <c r="L41" s="357"/>
    </row>
    <row r="42" spans="1:19" s="135" customFormat="1" ht="75" customHeight="1">
      <c r="A42" s="430"/>
      <c r="B42" s="447"/>
      <c r="C42" s="438"/>
      <c r="D42" s="24" t="s">
        <v>28</v>
      </c>
      <c r="E42" s="267" t="s">
        <v>76</v>
      </c>
      <c r="F42" s="443"/>
      <c r="G42" s="439"/>
      <c r="H42" s="98">
        <f>I42+J42+K42</f>
        <v>12866.2</v>
      </c>
      <c r="I42" s="98">
        <v>12866.2</v>
      </c>
      <c r="J42" s="98">
        <v>0</v>
      </c>
      <c r="K42" s="98">
        <v>0</v>
      </c>
      <c r="L42" s="357"/>
    </row>
    <row r="43" spans="1:19" s="135" customFormat="1" ht="75" customHeight="1">
      <c r="A43" s="430"/>
      <c r="B43" s="447"/>
      <c r="C43" s="438"/>
      <c r="D43" s="24" t="s">
        <v>28</v>
      </c>
      <c r="E43" s="267" t="s">
        <v>74</v>
      </c>
      <c r="F43" s="443"/>
      <c r="G43" s="439"/>
      <c r="H43" s="98">
        <f>I43+J43+K43</f>
        <v>11698</v>
      </c>
      <c r="I43" s="98">
        <f>11848-150</f>
        <v>11698</v>
      </c>
      <c r="J43" s="98">
        <v>0</v>
      </c>
      <c r="K43" s="98">
        <v>0</v>
      </c>
      <c r="L43" s="357"/>
    </row>
    <row r="44" spans="1:19" s="139" customFormat="1" ht="75" customHeight="1">
      <c r="A44" s="430"/>
      <c r="B44" s="447"/>
      <c r="C44" s="357" t="s">
        <v>220</v>
      </c>
      <c r="D44" s="435" t="s">
        <v>337</v>
      </c>
      <c r="E44" s="436"/>
      <c r="F44" s="436"/>
      <c r="G44" s="437"/>
      <c r="H44" s="97">
        <f>SUM(H45:H48)</f>
        <v>54849.512000000002</v>
      </c>
      <c r="I44" s="97">
        <f>SUM(I45:I48)</f>
        <v>18275.899999999998</v>
      </c>
      <c r="J44" s="97">
        <f>SUM(J45:J48)</f>
        <v>17583.48</v>
      </c>
      <c r="K44" s="97">
        <f>SUM(K45:K48)</f>
        <v>18990.131999999998</v>
      </c>
      <c r="L44" s="357" t="s">
        <v>258</v>
      </c>
    </row>
    <row r="45" spans="1:19" ht="75" customHeight="1">
      <c r="A45" s="430"/>
      <c r="B45" s="447"/>
      <c r="C45" s="357"/>
      <c r="D45" s="24" t="s">
        <v>28</v>
      </c>
      <c r="E45" s="267" t="s">
        <v>81</v>
      </c>
      <c r="F45" s="362" t="s">
        <v>447</v>
      </c>
      <c r="G45" s="362" t="s">
        <v>421</v>
      </c>
      <c r="H45" s="98">
        <f t="shared" ref="H45:H57" si="4">I45+J45+K45</f>
        <v>10965.8</v>
      </c>
      <c r="I45" s="98">
        <v>3629.9</v>
      </c>
      <c r="J45" s="98">
        <v>3526.9</v>
      </c>
      <c r="K45" s="98">
        <v>3809</v>
      </c>
      <c r="L45" s="357"/>
    </row>
    <row r="46" spans="1:19" ht="75" customHeight="1">
      <c r="A46" s="430"/>
      <c r="B46" s="447"/>
      <c r="C46" s="357"/>
      <c r="D46" s="24" t="s">
        <v>28</v>
      </c>
      <c r="E46" s="267" t="s">
        <v>75</v>
      </c>
      <c r="F46" s="443"/>
      <c r="G46" s="439"/>
      <c r="H46" s="98">
        <f t="shared" si="4"/>
        <v>13403.4</v>
      </c>
      <c r="I46" s="98">
        <v>4524.8999999999996</v>
      </c>
      <c r="J46" s="98">
        <v>4268.5</v>
      </c>
      <c r="K46" s="98">
        <v>4610</v>
      </c>
      <c r="L46" s="357"/>
    </row>
    <row r="47" spans="1:19" s="135" customFormat="1" ht="75" customHeight="1">
      <c r="A47" s="430"/>
      <c r="B47" s="447"/>
      <c r="C47" s="357"/>
      <c r="D47" s="24" t="s">
        <v>28</v>
      </c>
      <c r="E47" s="267" t="s">
        <v>76</v>
      </c>
      <c r="F47" s="443"/>
      <c r="G47" s="439"/>
      <c r="H47" s="98">
        <f t="shared" si="4"/>
        <v>17340.150000000001</v>
      </c>
      <c r="I47" s="98">
        <f>5671.7+326.2+422.4-412.1</f>
        <v>6008.1999999999989</v>
      </c>
      <c r="J47" s="98">
        <v>5448.05</v>
      </c>
      <c r="K47" s="98">
        <v>5883.9</v>
      </c>
      <c r="L47" s="357"/>
    </row>
    <row r="48" spans="1:19" s="135" customFormat="1" ht="75" customHeight="1">
      <c r="A48" s="430"/>
      <c r="B48" s="447"/>
      <c r="C48" s="357"/>
      <c r="D48" s="24" t="s">
        <v>28</v>
      </c>
      <c r="E48" s="267" t="s">
        <v>74</v>
      </c>
      <c r="F48" s="443"/>
      <c r="G48" s="439"/>
      <c r="H48" s="98">
        <f t="shared" si="4"/>
        <v>13140.162</v>
      </c>
      <c r="I48" s="98">
        <v>4112.8999999999996</v>
      </c>
      <c r="J48" s="98">
        <v>4340.03</v>
      </c>
      <c r="K48" s="98">
        <v>4687.232</v>
      </c>
      <c r="L48" s="357"/>
    </row>
    <row r="49" spans="1:12" s="135" customFormat="1" ht="75" customHeight="1">
      <c r="A49" s="430"/>
      <c r="B49" s="447"/>
      <c r="C49" s="361" t="s">
        <v>266</v>
      </c>
      <c r="D49" s="435" t="s">
        <v>338</v>
      </c>
      <c r="E49" s="436"/>
      <c r="F49" s="436"/>
      <c r="G49" s="437"/>
      <c r="H49" s="97">
        <f>SUM(H50:H54)</f>
        <v>9972.6550000000007</v>
      </c>
      <c r="I49" s="97">
        <f>SUM(I50:I54)</f>
        <v>4584.2129999999997</v>
      </c>
      <c r="J49" s="97">
        <f>SUM(J50:J54)</f>
        <v>2606.9</v>
      </c>
      <c r="K49" s="97">
        <f>SUM(K50:K54)</f>
        <v>2781.5419999999999</v>
      </c>
      <c r="L49" s="343" t="s">
        <v>259</v>
      </c>
    </row>
    <row r="50" spans="1:12" ht="75" customHeight="1">
      <c r="A50" s="430"/>
      <c r="B50" s="447"/>
      <c r="C50" s="361"/>
      <c r="D50" s="507" t="s">
        <v>28</v>
      </c>
      <c r="E50" s="357" t="s">
        <v>81</v>
      </c>
      <c r="F50" s="358" t="s">
        <v>447</v>
      </c>
      <c r="G50" s="271" t="s">
        <v>421</v>
      </c>
      <c r="H50" s="97">
        <f>I50+J50+K50</f>
        <v>2156</v>
      </c>
      <c r="I50" s="98">
        <f>1060.5</f>
        <v>1060.5</v>
      </c>
      <c r="J50" s="98">
        <v>530</v>
      </c>
      <c r="K50" s="98">
        <v>565.5</v>
      </c>
      <c r="L50" s="344"/>
    </row>
    <row r="51" spans="1:12" ht="172.5" customHeight="1">
      <c r="A51" s="430"/>
      <c r="B51" s="447"/>
      <c r="C51" s="361"/>
      <c r="D51" s="507"/>
      <c r="E51" s="357"/>
      <c r="F51" s="358"/>
      <c r="G51" s="271" t="s">
        <v>98</v>
      </c>
      <c r="H51" s="97">
        <f t="shared" si="4"/>
        <v>2.6</v>
      </c>
      <c r="I51" s="98">
        <v>2.6</v>
      </c>
      <c r="J51" s="98">
        <v>0</v>
      </c>
      <c r="K51" s="98">
        <v>0</v>
      </c>
      <c r="L51" s="344"/>
    </row>
    <row r="52" spans="1:12" s="135" customFormat="1" ht="75" customHeight="1">
      <c r="A52" s="430"/>
      <c r="B52" s="447"/>
      <c r="C52" s="361"/>
      <c r="D52" s="24" t="s">
        <v>28</v>
      </c>
      <c r="E52" s="267" t="s">
        <v>75</v>
      </c>
      <c r="F52" s="358"/>
      <c r="G52" s="362" t="s">
        <v>421</v>
      </c>
      <c r="H52" s="97">
        <f>I52+J52+K52</f>
        <v>1349.4</v>
      </c>
      <c r="I52" s="98">
        <v>667.3</v>
      </c>
      <c r="J52" s="98">
        <v>330</v>
      </c>
      <c r="K52" s="98">
        <v>352.1</v>
      </c>
      <c r="L52" s="344"/>
    </row>
    <row r="53" spans="1:12" s="135" customFormat="1" ht="75" customHeight="1">
      <c r="A53" s="430"/>
      <c r="B53" s="447"/>
      <c r="C53" s="361"/>
      <c r="D53" s="24" t="s">
        <v>28</v>
      </c>
      <c r="E53" s="267" t="s">
        <v>76</v>
      </c>
      <c r="F53" s="358"/>
      <c r="G53" s="362"/>
      <c r="H53" s="97">
        <f t="shared" si="4"/>
        <v>2322.19</v>
      </c>
      <c r="I53" s="98">
        <v>1144</v>
      </c>
      <c r="J53" s="98">
        <v>570</v>
      </c>
      <c r="K53" s="98">
        <v>608.19000000000005</v>
      </c>
      <c r="L53" s="344"/>
    </row>
    <row r="54" spans="1:12" s="135" customFormat="1" ht="75" customHeight="1">
      <c r="A54" s="430"/>
      <c r="B54" s="447"/>
      <c r="C54" s="361"/>
      <c r="D54" s="24" t="s">
        <v>28</v>
      </c>
      <c r="E54" s="267" t="s">
        <v>74</v>
      </c>
      <c r="F54" s="358"/>
      <c r="G54" s="362"/>
      <c r="H54" s="97">
        <f t="shared" si="4"/>
        <v>4142.4650000000001</v>
      </c>
      <c r="I54" s="98">
        <f>2748.919-253.468-420-365.638</f>
        <v>1709.8130000000001</v>
      </c>
      <c r="J54" s="98">
        <v>1176.9000000000001</v>
      </c>
      <c r="K54" s="98">
        <v>1255.752</v>
      </c>
      <c r="L54" s="345"/>
    </row>
    <row r="55" spans="1:12" ht="108" customHeight="1">
      <c r="A55" s="430"/>
      <c r="B55" s="447"/>
      <c r="C55" s="267" t="s">
        <v>260</v>
      </c>
      <c r="D55" s="292" t="s">
        <v>28</v>
      </c>
      <c r="E55" s="267" t="s">
        <v>81</v>
      </c>
      <c r="F55" s="271" t="s">
        <v>447</v>
      </c>
      <c r="G55" s="271" t="s">
        <v>421</v>
      </c>
      <c r="H55" s="97">
        <f t="shared" si="4"/>
        <v>1307.3</v>
      </c>
      <c r="I55" s="98">
        <v>690</v>
      </c>
      <c r="J55" s="98">
        <v>300</v>
      </c>
      <c r="K55" s="98">
        <v>317.3</v>
      </c>
      <c r="L55" s="288" t="s">
        <v>58</v>
      </c>
    </row>
    <row r="56" spans="1:12" ht="312.75" customHeight="1">
      <c r="A56" s="430"/>
      <c r="B56" s="447"/>
      <c r="C56" s="267" t="s">
        <v>331</v>
      </c>
      <c r="D56" s="292" t="s">
        <v>28</v>
      </c>
      <c r="E56" s="267" t="s">
        <v>81</v>
      </c>
      <c r="F56" s="271" t="s">
        <v>447</v>
      </c>
      <c r="G56" s="271" t="s">
        <v>421</v>
      </c>
      <c r="H56" s="97">
        <f t="shared" si="4"/>
        <v>1200</v>
      </c>
      <c r="I56" s="98">
        <v>1200</v>
      </c>
      <c r="J56" s="98"/>
      <c r="K56" s="98">
        <f>J56*1.051</f>
        <v>0</v>
      </c>
      <c r="L56" s="288" t="s">
        <v>59</v>
      </c>
    </row>
    <row r="57" spans="1:12" ht="156.75" customHeight="1">
      <c r="A57" s="430"/>
      <c r="B57" s="447"/>
      <c r="C57" s="267" t="s">
        <v>332</v>
      </c>
      <c r="D57" s="292" t="s">
        <v>28</v>
      </c>
      <c r="E57" s="267" t="s">
        <v>81</v>
      </c>
      <c r="F57" s="271" t="s">
        <v>447</v>
      </c>
      <c r="G57" s="271" t="s">
        <v>421</v>
      </c>
      <c r="H57" s="97">
        <f t="shared" si="4"/>
        <v>1300</v>
      </c>
      <c r="I57" s="98">
        <v>1000</v>
      </c>
      <c r="J57" s="98">
        <v>300</v>
      </c>
      <c r="K57" s="98"/>
      <c r="L57" s="288" t="s">
        <v>61</v>
      </c>
    </row>
    <row r="58" spans="1:12" ht="75" customHeight="1">
      <c r="A58" s="430"/>
      <c r="B58" s="447"/>
      <c r="C58" s="361" t="s">
        <v>339</v>
      </c>
      <c r="D58" s="349" t="s">
        <v>340</v>
      </c>
      <c r="E58" s="349"/>
      <c r="F58" s="349"/>
      <c r="G58" s="349"/>
      <c r="H58" s="97">
        <f>H59+H60</f>
        <v>3883</v>
      </c>
      <c r="I58" s="97">
        <f>I59+I60</f>
        <v>3883</v>
      </c>
      <c r="J58" s="97">
        <f>J59+J60</f>
        <v>0</v>
      </c>
      <c r="K58" s="97">
        <f>K59+K60</f>
        <v>0</v>
      </c>
      <c r="L58" s="267"/>
    </row>
    <row r="59" spans="1:12" ht="178.5" customHeight="1">
      <c r="A59" s="430"/>
      <c r="B59" s="447"/>
      <c r="C59" s="361"/>
      <c r="D59" s="512" t="s">
        <v>28</v>
      </c>
      <c r="E59" s="344" t="s">
        <v>76</v>
      </c>
      <c r="F59" s="370" t="s">
        <v>447</v>
      </c>
      <c r="G59" s="279" t="s">
        <v>98</v>
      </c>
      <c r="H59" s="97">
        <f>I59+J59+K59</f>
        <v>2680.3</v>
      </c>
      <c r="I59" s="98">
        <v>2680.3</v>
      </c>
      <c r="J59" s="98">
        <v>0</v>
      </c>
      <c r="K59" s="98">
        <v>0</v>
      </c>
      <c r="L59" s="361" t="s">
        <v>345</v>
      </c>
    </row>
    <row r="60" spans="1:12" ht="75" customHeight="1">
      <c r="A60" s="430"/>
      <c r="B60" s="447"/>
      <c r="C60" s="361"/>
      <c r="D60" s="513"/>
      <c r="E60" s="345"/>
      <c r="F60" s="371"/>
      <c r="G60" s="271" t="s">
        <v>421</v>
      </c>
      <c r="H60" s="97">
        <f>I60+J60+K60</f>
        <v>1202.7</v>
      </c>
      <c r="I60" s="98">
        <v>1202.7</v>
      </c>
      <c r="J60" s="98">
        <v>0</v>
      </c>
      <c r="K60" s="98">
        <f>J60*1.051</f>
        <v>0</v>
      </c>
      <c r="L60" s="361"/>
    </row>
    <row r="61" spans="1:12" ht="75" customHeight="1">
      <c r="A61" s="430"/>
      <c r="B61" s="447"/>
      <c r="C61" s="425" t="s">
        <v>341</v>
      </c>
      <c r="D61" s="349" t="s">
        <v>342</v>
      </c>
      <c r="E61" s="349"/>
      <c r="F61" s="349"/>
      <c r="G61" s="349"/>
      <c r="H61" s="97">
        <f>H62+H63+H64</f>
        <v>850</v>
      </c>
      <c r="I61" s="97">
        <f>I62+I63+I64</f>
        <v>850</v>
      </c>
      <c r="J61" s="97">
        <f>J62+J63+J64</f>
        <v>0</v>
      </c>
      <c r="K61" s="97">
        <f>K62+K63+K64</f>
        <v>0</v>
      </c>
      <c r="L61" s="357" t="s">
        <v>66</v>
      </c>
    </row>
    <row r="62" spans="1:12" ht="102" customHeight="1">
      <c r="A62" s="430"/>
      <c r="B62" s="447"/>
      <c r="C62" s="425"/>
      <c r="D62" s="24" t="s">
        <v>28</v>
      </c>
      <c r="E62" s="267" t="s">
        <v>81</v>
      </c>
      <c r="F62" s="389" t="s">
        <v>447</v>
      </c>
      <c r="G62" s="362" t="s">
        <v>54</v>
      </c>
      <c r="H62" s="97">
        <f>I62+J62+K62</f>
        <v>400</v>
      </c>
      <c r="I62" s="98">
        <v>400</v>
      </c>
      <c r="J62" s="98">
        <v>0</v>
      </c>
      <c r="K62" s="98">
        <v>0</v>
      </c>
      <c r="L62" s="444"/>
    </row>
    <row r="63" spans="1:12" ht="93.75" customHeight="1">
      <c r="A63" s="430"/>
      <c r="B63" s="447"/>
      <c r="C63" s="425"/>
      <c r="D63" s="24" t="s">
        <v>28</v>
      </c>
      <c r="E63" s="267" t="s">
        <v>75</v>
      </c>
      <c r="F63" s="390"/>
      <c r="G63" s="439"/>
      <c r="H63" s="97">
        <f>I63+J63+K63</f>
        <v>150</v>
      </c>
      <c r="I63" s="98">
        <v>150</v>
      </c>
      <c r="J63" s="98">
        <v>0</v>
      </c>
      <c r="K63" s="98">
        <v>0</v>
      </c>
      <c r="L63" s="444"/>
    </row>
    <row r="64" spans="1:12" ht="75" customHeight="1">
      <c r="A64" s="430"/>
      <c r="B64" s="447"/>
      <c r="C64" s="425"/>
      <c r="D64" s="24" t="s">
        <v>28</v>
      </c>
      <c r="E64" s="267" t="s">
        <v>76</v>
      </c>
      <c r="F64" s="391"/>
      <c r="G64" s="439"/>
      <c r="H64" s="97">
        <f>I64+J64+K64</f>
        <v>300</v>
      </c>
      <c r="I64" s="98">
        <v>300</v>
      </c>
      <c r="J64" s="98">
        <v>0</v>
      </c>
      <c r="K64" s="98">
        <v>0</v>
      </c>
      <c r="L64" s="444"/>
    </row>
    <row r="65" spans="1:12" s="135" customFormat="1" ht="75" customHeight="1">
      <c r="A65" s="430"/>
      <c r="B65" s="447"/>
      <c r="C65" s="425" t="s">
        <v>221</v>
      </c>
      <c r="D65" s="349" t="s">
        <v>343</v>
      </c>
      <c r="E65" s="349"/>
      <c r="F65" s="349"/>
      <c r="G65" s="349"/>
      <c r="H65" s="97">
        <f>SUM(H66:H69)</f>
        <v>5412.3880000000008</v>
      </c>
      <c r="I65" s="97">
        <f>SUM(I66:I69)</f>
        <v>2536.1000000000004</v>
      </c>
      <c r="J65" s="97">
        <f>SUM(J66:J69)</f>
        <v>1388.8000000000002</v>
      </c>
      <c r="K65" s="97">
        <f>SUM(K66:K69)</f>
        <v>1487.4879999999998</v>
      </c>
      <c r="L65" s="357" t="s">
        <v>62</v>
      </c>
    </row>
    <row r="66" spans="1:12" s="135" customFormat="1" ht="75" customHeight="1">
      <c r="A66" s="430"/>
      <c r="B66" s="447"/>
      <c r="C66" s="425"/>
      <c r="D66" s="24" t="s">
        <v>28</v>
      </c>
      <c r="E66" s="267" t="s">
        <v>81</v>
      </c>
      <c r="F66" s="362" t="s">
        <v>447</v>
      </c>
      <c r="G66" s="362" t="s">
        <v>421</v>
      </c>
      <c r="H66" s="97">
        <f t="shared" ref="H66:H72" si="5">I66+J66+K66</f>
        <v>764.6</v>
      </c>
      <c r="I66" s="98">
        <v>324.10000000000002</v>
      </c>
      <c r="J66" s="98">
        <v>213.1</v>
      </c>
      <c r="K66" s="98">
        <v>227.4</v>
      </c>
      <c r="L66" s="444"/>
    </row>
    <row r="67" spans="1:12" s="135" customFormat="1" ht="75" customHeight="1">
      <c r="A67" s="430"/>
      <c r="B67" s="447"/>
      <c r="C67" s="425"/>
      <c r="D67" s="24" t="s">
        <v>28</v>
      </c>
      <c r="E67" s="267" t="s">
        <v>75</v>
      </c>
      <c r="F67" s="362"/>
      <c r="G67" s="362"/>
      <c r="H67" s="97">
        <f t="shared" si="5"/>
        <v>302.98</v>
      </c>
      <c r="I67" s="98">
        <v>125.3</v>
      </c>
      <c r="J67" s="98">
        <v>85.78</v>
      </c>
      <c r="K67" s="98">
        <v>91.9</v>
      </c>
      <c r="L67" s="444"/>
    </row>
    <row r="68" spans="1:12" s="135" customFormat="1" ht="75" customHeight="1">
      <c r="A68" s="430"/>
      <c r="B68" s="447"/>
      <c r="C68" s="425"/>
      <c r="D68" s="24" t="s">
        <v>28</v>
      </c>
      <c r="E68" s="267" t="s">
        <v>76</v>
      </c>
      <c r="F68" s="362"/>
      <c r="G68" s="362"/>
      <c r="H68" s="97">
        <f t="shared" si="5"/>
        <v>3348.27</v>
      </c>
      <c r="I68" s="98">
        <v>1528</v>
      </c>
      <c r="J68" s="98">
        <v>878.52</v>
      </c>
      <c r="K68" s="98">
        <v>941.75</v>
      </c>
      <c r="L68" s="444"/>
    </row>
    <row r="69" spans="1:12" s="135" customFormat="1" ht="75" customHeight="1">
      <c r="A69" s="430"/>
      <c r="B69" s="447"/>
      <c r="C69" s="425"/>
      <c r="D69" s="24" t="s">
        <v>28</v>
      </c>
      <c r="E69" s="267" t="s">
        <v>74</v>
      </c>
      <c r="F69" s="362"/>
      <c r="G69" s="362"/>
      <c r="H69" s="97">
        <f t="shared" si="5"/>
        <v>996.53800000000001</v>
      </c>
      <c r="I69" s="98">
        <v>558.70000000000005</v>
      </c>
      <c r="J69" s="98">
        <v>211.4</v>
      </c>
      <c r="K69" s="98">
        <v>226.43799999999999</v>
      </c>
      <c r="L69" s="444"/>
    </row>
    <row r="70" spans="1:12" ht="306.75" customHeight="1">
      <c r="A70" s="430"/>
      <c r="B70" s="447"/>
      <c r="C70" s="288" t="s">
        <v>222</v>
      </c>
      <c r="D70" s="292" t="s">
        <v>32</v>
      </c>
      <c r="E70" s="267" t="s">
        <v>75</v>
      </c>
      <c r="F70" s="271" t="s">
        <v>447</v>
      </c>
      <c r="G70" s="271" t="s">
        <v>422</v>
      </c>
      <c r="H70" s="97">
        <f t="shared" si="5"/>
        <v>5834</v>
      </c>
      <c r="I70" s="98">
        <f>2500-800</f>
        <v>1700</v>
      </c>
      <c r="J70" s="98">
        <v>2000</v>
      </c>
      <c r="K70" s="103">
        <v>2134</v>
      </c>
      <c r="L70" s="288" t="s">
        <v>344</v>
      </c>
    </row>
    <row r="71" spans="1:12" ht="158.25" customHeight="1">
      <c r="A71" s="430"/>
      <c r="B71" s="447"/>
      <c r="C71" s="288" t="s">
        <v>400</v>
      </c>
      <c r="D71" s="292" t="s">
        <v>399</v>
      </c>
      <c r="E71" s="267" t="s">
        <v>401</v>
      </c>
      <c r="F71" s="271" t="s">
        <v>447</v>
      </c>
      <c r="G71" s="271" t="s">
        <v>422</v>
      </c>
      <c r="H71" s="97">
        <f>I71+J71+K71</f>
        <v>3000</v>
      </c>
      <c r="I71" s="98">
        <v>3000</v>
      </c>
      <c r="J71" s="98">
        <v>0</v>
      </c>
      <c r="K71" s="103">
        <v>0</v>
      </c>
      <c r="L71" s="288" t="s">
        <v>406</v>
      </c>
    </row>
    <row r="72" spans="1:12" ht="123" customHeight="1">
      <c r="A72" s="430"/>
      <c r="B72" s="447"/>
      <c r="C72" s="270" t="s">
        <v>402</v>
      </c>
      <c r="D72" s="292" t="s">
        <v>28</v>
      </c>
      <c r="E72" s="267" t="s">
        <v>74</v>
      </c>
      <c r="F72" s="271" t="s">
        <v>447</v>
      </c>
      <c r="G72" s="271" t="s">
        <v>423</v>
      </c>
      <c r="H72" s="97">
        <f t="shared" si="5"/>
        <v>2173.5</v>
      </c>
      <c r="I72" s="98">
        <v>1867.7</v>
      </c>
      <c r="J72" s="98">
        <v>305.8</v>
      </c>
      <c r="K72" s="98"/>
      <c r="L72" s="270" t="s">
        <v>267</v>
      </c>
    </row>
    <row r="73" spans="1:12" ht="231.75" customHeight="1">
      <c r="A73" s="430"/>
      <c r="B73" s="447"/>
      <c r="C73" s="140" t="s">
        <v>403</v>
      </c>
      <c r="D73" s="292" t="s">
        <v>28</v>
      </c>
      <c r="E73" s="267" t="s">
        <v>74</v>
      </c>
      <c r="F73" s="271" t="s">
        <v>447</v>
      </c>
      <c r="G73" s="271" t="s">
        <v>423</v>
      </c>
      <c r="H73" s="97">
        <f>I73+J73+K73</f>
        <v>3716.54</v>
      </c>
      <c r="I73" s="98">
        <v>946.27</v>
      </c>
      <c r="J73" s="98">
        <f>11.3+1326</f>
        <v>1337.3</v>
      </c>
      <c r="K73" s="98">
        <v>1432.97</v>
      </c>
      <c r="L73" s="140" t="s">
        <v>105</v>
      </c>
    </row>
    <row r="74" spans="1:12" ht="114.75" customHeight="1">
      <c r="A74" s="430"/>
      <c r="B74" s="447"/>
      <c r="C74" s="361" t="s">
        <v>404</v>
      </c>
      <c r="D74" s="349" t="s">
        <v>405</v>
      </c>
      <c r="E74" s="349"/>
      <c r="F74" s="349"/>
      <c r="G74" s="349"/>
      <c r="H74" s="97">
        <f>H75+H76+H77</f>
        <v>6073.8</v>
      </c>
      <c r="I74" s="97">
        <f>I75+I76+I77</f>
        <v>1217.8</v>
      </c>
      <c r="J74" s="97">
        <f>J75+J76+J77</f>
        <v>2344</v>
      </c>
      <c r="K74" s="97">
        <f>K75+K76+K77</f>
        <v>2512</v>
      </c>
      <c r="L74" s="361" t="s">
        <v>73</v>
      </c>
    </row>
    <row r="75" spans="1:12" ht="75" customHeight="1">
      <c r="A75" s="430"/>
      <c r="B75" s="447"/>
      <c r="C75" s="361"/>
      <c r="D75" s="24" t="s">
        <v>28</v>
      </c>
      <c r="E75" s="236" t="s">
        <v>81</v>
      </c>
      <c r="F75" s="389" t="s">
        <v>447</v>
      </c>
      <c r="G75" s="389" t="s">
        <v>423</v>
      </c>
      <c r="H75" s="97">
        <f>I75+J75+K75</f>
        <v>144</v>
      </c>
      <c r="I75" s="98">
        <v>144</v>
      </c>
      <c r="J75" s="98"/>
      <c r="K75" s="98"/>
      <c r="L75" s="444"/>
    </row>
    <row r="76" spans="1:12" ht="75" customHeight="1">
      <c r="A76" s="430"/>
      <c r="B76" s="448"/>
      <c r="C76" s="361"/>
      <c r="D76" s="24" t="s">
        <v>28</v>
      </c>
      <c r="E76" s="236" t="s">
        <v>75</v>
      </c>
      <c r="F76" s="390"/>
      <c r="G76" s="390"/>
      <c r="H76" s="97">
        <f>I76+J76+K76</f>
        <v>5723.1</v>
      </c>
      <c r="I76" s="98">
        <v>1073.8</v>
      </c>
      <c r="J76" s="98">
        <v>2244</v>
      </c>
      <c r="K76" s="98">
        <v>2405.3000000000002</v>
      </c>
      <c r="L76" s="444"/>
    </row>
    <row r="77" spans="1:12" ht="75" customHeight="1">
      <c r="A77" s="284"/>
      <c r="B77" s="142"/>
      <c r="C77" s="282"/>
      <c r="D77" s="24" t="s">
        <v>32</v>
      </c>
      <c r="E77" s="236" t="s">
        <v>81</v>
      </c>
      <c r="F77" s="390"/>
      <c r="G77" s="390"/>
      <c r="H77" s="97">
        <f>I77+J77+K77</f>
        <v>206.7</v>
      </c>
      <c r="I77" s="98"/>
      <c r="J77" s="98">
        <v>100</v>
      </c>
      <c r="K77" s="98">
        <v>106.7</v>
      </c>
      <c r="L77" s="286"/>
    </row>
    <row r="78" spans="1:12" ht="133.5" customHeight="1">
      <c r="A78" s="284"/>
      <c r="B78" s="142"/>
      <c r="C78" s="140" t="s">
        <v>415</v>
      </c>
      <c r="D78" s="292" t="s">
        <v>28</v>
      </c>
      <c r="E78" s="236" t="s">
        <v>81</v>
      </c>
      <c r="F78" s="390"/>
      <c r="G78" s="390"/>
      <c r="H78" s="97">
        <f>I78+J78+K78</f>
        <v>1000</v>
      </c>
      <c r="I78" s="98">
        <v>0</v>
      </c>
      <c r="J78" s="98">
        <v>1000</v>
      </c>
      <c r="K78" s="98">
        <v>0</v>
      </c>
      <c r="L78" s="270" t="s">
        <v>416</v>
      </c>
    </row>
    <row r="79" spans="1:12" ht="75" customHeight="1">
      <c r="A79" s="284"/>
      <c r="B79" s="142"/>
      <c r="C79" s="426" t="s">
        <v>414</v>
      </c>
      <c r="D79" s="465" t="s">
        <v>418</v>
      </c>
      <c r="E79" s="466"/>
      <c r="F79" s="390"/>
      <c r="G79" s="390"/>
      <c r="H79" s="97">
        <f>H80+H81+H82+H83+H84</f>
        <v>339.9</v>
      </c>
      <c r="I79" s="97">
        <f>I80+I81+I82+I83+I84</f>
        <v>0</v>
      </c>
      <c r="J79" s="97">
        <f>J80+J81+J82+J83+J84</f>
        <v>339.9</v>
      </c>
      <c r="K79" s="97">
        <f>K80+K81+K82+K83+K84</f>
        <v>0</v>
      </c>
      <c r="L79" s="509" t="s">
        <v>417</v>
      </c>
    </row>
    <row r="80" spans="1:12" ht="75" customHeight="1">
      <c r="A80" s="284"/>
      <c r="B80" s="142"/>
      <c r="C80" s="428"/>
      <c r="D80" s="292" t="s">
        <v>28</v>
      </c>
      <c r="E80" s="236" t="s">
        <v>81</v>
      </c>
      <c r="F80" s="390"/>
      <c r="G80" s="390"/>
      <c r="H80" s="97">
        <f>I80+J80+K80</f>
        <v>101.2</v>
      </c>
      <c r="I80" s="104">
        <v>0</v>
      </c>
      <c r="J80" s="104">
        <v>101.2</v>
      </c>
      <c r="K80" s="104">
        <v>0</v>
      </c>
      <c r="L80" s="510"/>
    </row>
    <row r="81" spans="1:12" ht="75" customHeight="1">
      <c r="A81" s="284"/>
      <c r="B81" s="142"/>
      <c r="C81" s="143"/>
      <c r="D81" s="292" t="s">
        <v>28</v>
      </c>
      <c r="E81" s="236" t="s">
        <v>75</v>
      </c>
      <c r="F81" s="390"/>
      <c r="G81" s="390"/>
      <c r="H81" s="97">
        <f t="shared" ref="H81:H86" si="6">I81+J81+K81</f>
        <v>40.700000000000003</v>
      </c>
      <c r="I81" s="104">
        <v>0</v>
      </c>
      <c r="J81" s="104">
        <v>40.700000000000003</v>
      </c>
      <c r="K81" s="104">
        <v>0</v>
      </c>
      <c r="L81" s="510"/>
    </row>
    <row r="82" spans="1:12" ht="75" customHeight="1">
      <c r="A82" s="284"/>
      <c r="B82" s="142"/>
      <c r="C82" s="143"/>
      <c r="D82" s="292" t="s">
        <v>28</v>
      </c>
      <c r="E82" s="267" t="s">
        <v>76</v>
      </c>
      <c r="F82" s="390"/>
      <c r="G82" s="390"/>
      <c r="H82" s="97">
        <f t="shared" si="6"/>
        <v>99</v>
      </c>
      <c r="I82" s="104">
        <v>0</v>
      </c>
      <c r="J82" s="104">
        <v>99</v>
      </c>
      <c r="K82" s="104">
        <v>0</v>
      </c>
      <c r="L82" s="510"/>
    </row>
    <row r="83" spans="1:12" ht="75" customHeight="1">
      <c r="A83" s="284"/>
      <c r="B83" s="142"/>
      <c r="C83" s="143"/>
      <c r="D83" s="292" t="s">
        <v>28</v>
      </c>
      <c r="E83" s="267" t="s">
        <v>74</v>
      </c>
      <c r="F83" s="390"/>
      <c r="G83" s="390"/>
      <c r="H83" s="97">
        <f t="shared" si="6"/>
        <v>99</v>
      </c>
      <c r="I83" s="104">
        <v>0</v>
      </c>
      <c r="J83" s="104">
        <v>99</v>
      </c>
      <c r="K83" s="104">
        <v>0</v>
      </c>
      <c r="L83" s="510"/>
    </row>
    <row r="84" spans="1:12" ht="87.75" hidden="1" customHeight="1">
      <c r="A84" s="141"/>
      <c r="B84" s="142"/>
      <c r="C84" s="143"/>
      <c r="D84" s="144"/>
      <c r="E84" s="40"/>
      <c r="F84" s="390"/>
      <c r="G84" s="390"/>
      <c r="H84" s="97"/>
      <c r="I84" s="104"/>
      <c r="J84" s="104"/>
      <c r="K84" s="104"/>
      <c r="L84" s="510"/>
    </row>
    <row r="85" spans="1:12" ht="75" hidden="1" customHeight="1">
      <c r="A85" s="141"/>
      <c r="B85" s="142"/>
      <c r="C85" s="143"/>
      <c r="D85" s="24" t="s">
        <v>32</v>
      </c>
      <c r="E85" s="210" t="s">
        <v>79</v>
      </c>
      <c r="F85" s="390"/>
      <c r="G85" s="390"/>
      <c r="H85" s="97">
        <f t="shared" si="6"/>
        <v>0</v>
      </c>
      <c r="I85" s="104">
        <v>0</v>
      </c>
      <c r="J85" s="104"/>
      <c r="K85" s="104">
        <v>0</v>
      </c>
      <c r="L85" s="510"/>
    </row>
    <row r="86" spans="1:12" ht="79.5" hidden="1" customHeight="1">
      <c r="A86" s="141"/>
      <c r="B86" s="142"/>
      <c r="C86" s="143"/>
      <c r="D86" s="24" t="s">
        <v>32</v>
      </c>
      <c r="E86" s="211" t="s">
        <v>80</v>
      </c>
      <c r="F86" s="391"/>
      <c r="G86" s="391"/>
      <c r="H86" s="97">
        <f t="shared" si="6"/>
        <v>0</v>
      </c>
      <c r="I86" s="104">
        <v>0</v>
      </c>
      <c r="J86" s="104"/>
      <c r="K86" s="104">
        <v>0</v>
      </c>
      <c r="L86" s="511"/>
    </row>
    <row r="87" spans="1:12" ht="75" customHeight="1">
      <c r="A87" s="456"/>
      <c r="B87" s="457"/>
      <c r="C87" s="457"/>
      <c r="D87" s="458"/>
      <c r="E87" s="467" t="s">
        <v>271</v>
      </c>
      <c r="F87" s="468"/>
      <c r="G87" s="145"/>
      <c r="H87" s="120">
        <f>H30+H44+H49+H55+H56+H57+H58+H61+H65+H70+H72+H73+H74+H71+H78+H79</f>
        <v>177556.32499999998</v>
      </c>
      <c r="I87" s="120">
        <f>I30+I44+I49+I55+I56+I57+I58+I61+I65+I70+I72+I73+I74+I71+I78+I79</f>
        <v>114137.51300000001</v>
      </c>
      <c r="J87" s="120">
        <f>J30+J44+J49+J55+J56+J57+J58+J61+J65+J70+J72+J73+J74+J71+J78+J79</f>
        <v>33763.379999999997</v>
      </c>
      <c r="K87" s="120">
        <f>K30+K44+K49+K55+K56+K57+K58+K61+K65+K70+K72+K73+K74+K71+K78+K79</f>
        <v>29655.432000000001</v>
      </c>
      <c r="L87" s="509"/>
    </row>
    <row r="88" spans="1:12" ht="75" customHeight="1">
      <c r="A88" s="459"/>
      <c r="B88" s="460"/>
      <c r="C88" s="460"/>
      <c r="D88" s="461"/>
      <c r="E88" s="469"/>
      <c r="F88" s="470"/>
      <c r="G88" s="271" t="s">
        <v>423</v>
      </c>
      <c r="H88" s="97">
        <f>H31+H44+H50+H52+H53+H54+H55+H56+H57+H60+H61+H65+H70+H72+H73+H74+H71</f>
        <v>127969.02499999999</v>
      </c>
      <c r="I88" s="97">
        <f>I31+I44+I50+I52+I53+I54+I55+I56+I57+I60+I61+I65+I70+I72+I73+I74+I71</f>
        <v>65890.112999999983</v>
      </c>
      <c r="J88" s="97">
        <f>J31+J44+J50+J52+J53+J54+J55+J56+J57+J60+J61+J65+J70+J72+J73+J74+J71+J78+J79</f>
        <v>33763.379999999997</v>
      </c>
      <c r="K88" s="97">
        <f>K31+K44+K50+K52+K53+K54+K55+K56+K57+K60+K61+K65+K70+K72+K73+K74+K71</f>
        <v>29655.431999999997</v>
      </c>
      <c r="L88" s="510"/>
    </row>
    <row r="89" spans="1:12" ht="72.75" customHeight="1">
      <c r="A89" s="459"/>
      <c r="B89" s="460"/>
      <c r="C89" s="460"/>
      <c r="D89" s="461"/>
      <c r="E89" s="469"/>
      <c r="F89" s="470"/>
      <c r="G89" s="146" t="s">
        <v>95</v>
      </c>
      <c r="H89" s="97">
        <f>H39</f>
        <v>45209.9</v>
      </c>
      <c r="I89" s="97">
        <f>I39</f>
        <v>45209.9</v>
      </c>
      <c r="J89" s="97">
        <f>J39</f>
        <v>0</v>
      </c>
      <c r="K89" s="97">
        <f>K39</f>
        <v>0</v>
      </c>
      <c r="L89" s="510"/>
    </row>
    <row r="90" spans="1:12" ht="177.75" customHeight="1">
      <c r="A90" s="459"/>
      <c r="B90" s="460"/>
      <c r="C90" s="460"/>
      <c r="D90" s="461"/>
      <c r="E90" s="469"/>
      <c r="F90" s="470"/>
      <c r="G90" s="271" t="s">
        <v>98</v>
      </c>
      <c r="H90" s="97">
        <f>H36+H51+H59+H37</f>
        <v>2977.5</v>
      </c>
      <c r="I90" s="97">
        <f>I36+I51+I59+I37</f>
        <v>2977.5</v>
      </c>
      <c r="J90" s="97">
        <f>J36+J51+J59</f>
        <v>0</v>
      </c>
      <c r="K90" s="97">
        <f>K36+K51+K59</f>
        <v>0</v>
      </c>
      <c r="L90" s="510"/>
    </row>
    <row r="91" spans="1:12" ht="93.75" customHeight="1">
      <c r="A91" s="459"/>
      <c r="B91" s="460"/>
      <c r="C91" s="460"/>
      <c r="D91" s="461"/>
      <c r="E91" s="471"/>
      <c r="F91" s="472"/>
      <c r="G91" s="293" t="s">
        <v>326</v>
      </c>
      <c r="H91" s="97">
        <f>H38</f>
        <v>60</v>
      </c>
      <c r="I91" s="97">
        <f>I38</f>
        <v>60</v>
      </c>
      <c r="J91" s="97">
        <f>J38</f>
        <v>0</v>
      </c>
      <c r="K91" s="97">
        <f>K38</f>
        <v>0</v>
      </c>
      <c r="L91" s="510"/>
    </row>
    <row r="92" spans="1:12" ht="75" customHeight="1">
      <c r="A92" s="459"/>
      <c r="B92" s="460"/>
      <c r="C92" s="460"/>
      <c r="D92" s="461"/>
      <c r="E92" s="363" t="s">
        <v>272</v>
      </c>
      <c r="F92" s="365"/>
      <c r="G92" s="271"/>
      <c r="H92" s="97"/>
      <c r="I92" s="104"/>
      <c r="J92" s="98"/>
      <c r="K92" s="98"/>
      <c r="L92" s="510"/>
    </row>
    <row r="93" spans="1:12" ht="75" customHeight="1">
      <c r="A93" s="459"/>
      <c r="B93" s="460"/>
      <c r="C93" s="460"/>
      <c r="D93" s="461"/>
      <c r="E93" s="473" t="s">
        <v>81</v>
      </c>
      <c r="F93" s="474"/>
      <c r="G93" s="296" t="s">
        <v>97</v>
      </c>
      <c r="H93" s="97">
        <f>SUM(H94:H97)</f>
        <v>41125.629999999997</v>
      </c>
      <c r="I93" s="97">
        <f>SUM(I94:I97)</f>
        <v>28290.43</v>
      </c>
      <c r="J93" s="97">
        <f>SUM(J94:J97)</f>
        <v>7809.3</v>
      </c>
      <c r="K93" s="97">
        <f>SUM(K94:K97)</f>
        <v>5025.8999999999996</v>
      </c>
      <c r="L93" s="510"/>
    </row>
    <row r="94" spans="1:12" ht="75" customHeight="1">
      <c r="A94" s="459"/>
      <c r="B94" s="460"/>
      <c r="C94" s="460"/>
      <c r="D94" s="461"/>
      <c r="E94" s="475"/>
      <c r="F94" s="476"/>
      <c r="G94" s="271" t="s">
        <v>423</v>
      </c>
      <c r="H94" s="97">
        <f>H32+H45+H50+H55+H56+H57+H62+H66+H75+H78+H80+H77</f>
        <v>28432.829999999998</v>
      </c>
      <c r="I94" s="97">
        <f>I32+I45+I50+I55+I56+I57+I62+I66+I75+I78+I80</f>
        <v>15597.63</v>
      </c>
      <c r="J94" s="97">
        <f>J32+J45+J50+J55+J56+J57+J62+J66+J75+J78+J80+J77</f>
        <v>7809.3</v>
      </c>
      <c r="K94" s="97">
        <f>K32+K45+K50+K55+K56+K57+K62+K66+K75+K78+K80+K77</f>
        <v>5025.8999999999996</v>
      </c>
      <c r="L94" s="510"/>
    </row>
    <row r="95" spans="1:12" ht="91.5" customHeight="1">
      <c r="A95" s="459"/>
      <c r="B95" s="460"/>
      <c r="C95" s="460"/>
      <c r="D95" s="461"/>
      <c r="E95" s="475"/>
      <c r="F95" s="476"/>
      <c r="G95" s="146" t="s">
        <v>95</v>
      </c>
      <c r="H95" s="97">
        <f>H40</f>
        <v>12485.6</v>
      </c>
      <c r="I95" s="97">
        <f>I40</f>
        <v>12485.6</v>
      </c>
      <c r="J95" s="97">
        <f>J40</f>
        <v>0</v>
      </c>
      <c r="K95" s="97">
        <f>K40</f>
        <v>0</v>
      </c>
      <c r="L95" s="510"/>
    </row>
    <row r="96" spans="1:12" ht="174.75" customHeight="1">
      <c r="A96" s="459"/>
      <c r="B96" s="460"/>
      <c r="C96" s="460"/>
      <c r="D96" s="461"/>
      <c r="E96" s="475"/>
      <c r="F96" s="476"/>
      <c r="G96" s="271" t="s">
        <v>98</v>
      </c>
      <c r="H96" s="97">
        <f>H36+H51</f>
        <v>147.19999999999999</v>
      </c>
      <c r="I96" s="97">
        <f>I36+I51</f>
        <v>147.19999999999999</v>
      </c>
      <c r="J96" s="97">
        <f>J36+J51</f>
        <v>0</v>
      </c>
      <c r="K96" s="97">
        <f>K36+K51</f>
        <v>0</v>
      </c>
      <c r="L96" s="510"/>
    </row>
    <row r="97" spans="1:12" ht="75" customHeight="1">
      <c r="A97" s="459"/>
      <c r="B97" s="460"/>
      <c r="C97" s="460"/>
      <c r="D97" s="461"/>
      <c r="E97" s="477"/>
      <c r="F97" s="478"/>
      <c r="G97" s="293" t="s">
        <v>326</v>
      </c>
      <c r="H97" s="97">
        <f>H38</f>
        <v>60</v>
      </c>
      <c r="I97" s="97">
        <f>I38</f>
        <v>60</v>
      </c>
      <c r="J97" s="97">
        <f>J38</f>
        <v>0</v>
      </c>
      <c r="K97" s="97">
        <f>K38</f>
        <v>0</v>
      </c>
      <c r="L97" s="510"/>
    </row>
    <row r="98" spans="1:12" ht="75" customHeight="1">
      <c r="A98" s="459"/>
      <c r="B98" s="460"/>
      <c r="C98" s="460"/>
      <c r="D98" s="461"/>
      <c r="E98" s="473" t="s">
        <v>75</v>
      </c>
      <c r="F98" s="474"/>
      <c r="G98" s="296" t="s">
        <v>97</v>
      </c>
      <c r="H98" s="97">
        <f>SUM(H99:H100)</f>
        <v>37587.879999999997</v>
      </c>
      <c r="I98" s="97">
        <f>SUM(I99:I100)</f>
        <v>19066.3</v>
      </c>
      <c r="J98" s="97">
        <f>SUM(J99:J100)</f>
        <v>8968.98</v>
      </c>
      <c r="K98" s="97">
        <f>SUM(K99:K100)</f>
        <v>9593.2999999999993</v>
      </c>
      <c r="L98" s="510"/>
    </row>
    <row r="99" spans="1:12" ht="75" customHeight="1">
      <c r="A99" s="459"/>
      <c r="B99" s="460"/>
      <c r="C99" s="460"/>
      <c r="D99" s="461"/>
      <c r="E99" s="475"/>
      <c r="F99" s="476"/>
      <c r="G99" s="271" t="s">
        <v>423</v>
      </c>
      <c r="H99" s="97">
        <f>H33+H46+H52+H63+H67+H70+H76</f>
        <v>29427.78</v>
      </c>
      <c r="I99" s="97">
        <f>I33+I46+I52+I63+I67+I70+I76</f>
        <v>10906.199999999999</v>
      </c>
      <c r="J99" s="97">
        <f>J33+J46+J52+J63+J67+J70+J76+J81</f>
        <v>8968.98</v>
      </c>
      <c r="K99" s="97">
        <f>K33+K46+K52+K63+K67+K70+K76</f>
        <v>9593.2999999999993</v>
      </c>
      <c r="L99" s="510"/>
    </row>
    <row r="100" spans="1:12" ht="75" customHeight="1">
      <c r="A100" s="459"/>
      <c r="B100" s="460"/>
      <c r="C100" s="460"/>
      <c r="D100" s="461"/>
      <c r="E100" s="477"/>
      <c r="F100" s="478"/>
      <c r="G100" s="146" t="s">
        <v>95</v>
      </c>
      <c r="H100" s="97">
        <f>H41</f>
        <v>8160.1</v>
      </c>
      <c r="I100" s="97">
        <f>I41</f>
        <v>8160.1</v>
      </c>
      <c r="J100" s="97">
        <f>J41</f>
        <v>0</v>
      </c>
      <c r="K100" s="97">
        <f>K41</f>
        <v>0</v>
      </c>
      <c r="L100" s="510"/>
    </row>
    <row r="101" spans="1:12" ht="50.25" customHeight="1">
      <c r="A101" s="459"/>
      <c r="B101" s="460"/>
      <c r="C101" s="460"/>
      <c r="D101" s="461"/>
      <c r="E101" s="473" t="s">
        <v>76</v>
      </c>
      <c r="F101" s="474"/>
      <c r="G101" s="296" t="s">
        <v>97</v>
      </c>
      <c r="H101" s="97">
        <f>SUM(H102:H104)</f>
        <v>47121.010000000009</v>
      </c>
      <c r="I101" s="97">
        <f>SUM(I102:I104)</f>
        <v>32420.6</v>
      </c>
      <c r="J101" s="97">
        <f>SUM(J102:J104)</f>
        <v>7365.57</v>
      </c>
      <c r="K101" s="97">
        <f>SUM(K102:K104)</f>
        <v>7433.84</v>
      </c>
      <c r="L101" s="510"/>
    </row>
    <row r="102" spans="1:12" ht="75" customHeight="1">
      <c r="A102" s="459"/>
      <c r="B102" s="460"/>
      <c r="C102" s="460"/>
      <c r="D102" s="461"/>
      <c r="E102" s="475"/>
      <c r="F102" s="476"/>
      <c r="G102" s="271" t="s">
        <v>423</v>
      </c>
      <c r="H102" s="97">
        <f>H34+H47+H53+H60+H64+H68</f>
        <v>31574.510000000002</v>
      </c>
      <c r="I102" s="97">
        <f>I34+I47+I53+I60+I64+I68</f>
        <v>16874.099999999999</v>
      </c>
      <c r="J102" s="97">
        <f>J34+J47+J53+J60+J64+J68+J82</f>
        <v>7365.57</v>
      </c>
      <c r="K102" s="97">
        <f>K34+K47+K53+K60+K64+K68</f>
        <v>7433.84</v>
      </c>
      <c r="L102" s="510"/>
    </row>
    <row r="103" spans="1:12" ht="78.75" customHeight="1">
      <c r="A103" s="459"/>
      <c r="B103" s="460"/>
      <c r="C103" s="460"/>
      <c r="D103" s="461"/>
      <c r="E103" s="475"/>
      <c r="F103" s="476"/>
      <c r="G103" s="146" t="s">
        <v>95</v>
      </c>
      <c r="H103" s="97">
        <f>H42</f>
        <v>12866.2</v>
      </c>
      <c r="I103" s="97">
        <f>I42</f>
        <v>12866.2</v>
      </c>
      <c r="J103" s="97">
        <f>J42</f>
        <v>0</v>
      </c>
      <c r="K103" s="97">
        <f>K42</f>
        <v>0</v>
      </c>
      <c r="L103" s="510"/>
    </row>
    <row r="104" spans="1:12" ht="173.25" customHeight="1">
      <c r="A104" s="459"/>
      <c r="B104" s="460"/>
      <c r="C104" s="460"/>
      <c r="D104" s="461"/>
      <c r="E104" s="477"/>
      <c r="F104" s="478"/>
      <c r="G104" s="271" t="s">
        <v>98</v>
      </c>
      <c r="H104" s="97">
        <f>H59</f>
        <v>2680.3</v>
      </c>
      <c r="I104" s="97">
        <f>I59</f>
        <v>2680.3</v>
      </c>
      <c r="J104" s="97">
        <f>J59</f>
        <v>0</v>
      </c>
      <c r="K104" s="97">
        <f>K59</f>
        <v>0</v>
      </c>
      <c r="L104" s="510"/>
    </row>
    <row r="105" spans="1:12" ht="75" customHeight="1">
      <c r="A105" s="459"/>
      <c r="B105" s="460"/>
      <c r="C105" s="460"/>
      <c r="D105" s="461"/>
      <c r="E105" s="479" t="s">
        <v>74</v>
      </c>
      <c r="F105" s="480"/>
      <c r="G105" s="296" t="s">
        <v>97</v>
      </c>
      <c r="H105" s="97">
        <f>SUM(H106:H107)</f>
        <v>48333.105000000003</v>
      </c>
      <c r="I105" s="97">
        <f>SUM(I106:I107)</f>
        <v>31210.183000000001</v>
      </c>
      <c r="J105" s="97">
        <f>SUM(J106:J107)</f>
        <v>9619.5299999999988</v>
      </c>
      <c r="K105" s="97">
        <f>SUM(K106:K107)</f>
        <v>7602.3920000000007</v>
      </c>
      <c r="L105" s="510"/>
    </row>
    <row r="106" spans="1:12" ht="75" customHeight="1">
      <c r="A106" s="459"/>
      <c r="B106" s="460"/>
      <c r="C106" s="460"/>
      <c r="D106" s="461"/>
      <c r="E106" s="481"/>
      <c r="F106" s="482"/>
      <c r="G106" s="271" t="s">
        <v>423</v>
      </c>
      <c r="H106" s="97">
        <f>H35+H48+H54+H69+H72+H73</f>
        <v>36635.105000000003</v>
      </c>
      <c r="I106" s="97">
        <f>I35+I48+I54+I69+I72+I73</f>
        <v>19512.183000000001</v>
      </c>
      <c r="J106" s="97">
        <f>J35+J48+J54+J69+J72+J73+J83</f>
        <v>9619.5299999999988</v>
      </c>
      <c r="K106" s="97">
        <f>K35+K48+K54+K69+K72+K73</f>
        <v>7602.3920000000007</v>
      </c>
      <c r="L106" s="510"/>
    </row>
    <row r="107" spans="1:12" ht="75" customHeight="1">
      <c r="A107" s="459"/>
      <c r="B107" s="460"/>
      <c r="C107" s="460"/>
      <c r="D107" s="461"/>
      <c r="E107" s="481"/>
      <c r="F107" s="482"/>
      <c r="G107" s="146" t="s">
        <v>95</v>
      </c>
      <c r="H107" s="97">
        <f>H43</f>
        <v>11698</v>
      </c>
      <c r="I107" s="97">
        <f>I43</f>
        <v>11698</v>
      </c>
      <c r="J107" s="97">
        <f>J43</f>
        <v>0</v>
      </c>
      <c r="K107" s="97">
        <f>K43</f>
        <v>0</v>
      </c>
      <c r="L107" s="511"/>
    </row>
    <row r="108" spans="1:12" ht="162.75" customHeight="1">
      <c r="A108" s="459"/>
      <c r="B108" s="460"/>
      <c r="C108" s="460"/>
      <c r="D108" s="461"/>
      <c r="E108" s="483"/>
      <c r="F108" s="484"/>
      <c r="G108" s="146" t="s">
        <v>98</v>
      </c>
      <c r="H108" s="97">
        <f>H37</f>
        <v>150</v>
      </c>
      <c r="I108" s="97">
        <f>I37</f>
        <v>150</v>
      </c>
      <c r="J108" s="97"/>
      <c r="K108" s="97"/>
      <c r="L108" s="294"/>
    </row>
    <row r="109" spans="1:12" ht="96" customHeight="1">
      <c r="A109" s="462"/>
      <c r="B109" s="463"/>
      <c r="C109" s="463"/>
      <c r="D109" s="464"/>
      <c r="E109" s="454" t="s">
        <v>401</v>
      </c>
      <c r="F109" s="455"/>
      <c r="G109" s="271" t="s">
        <v>423</v>
      </c>
      <c r="H109" s="97">
        <f>H71</f>
        <v>3000</v>
      </c>
      <c r="I109" s="97">
        <f>I71</f>
        <v>3000</v>
      </c>
      <c r="J109" s="97">
        <f>J71</f>
        <v>0</v>
      </c>
      <c r="K109" s="97">
        <f>K71</f>
        <v>0</v>
      </c>
      <c r="L109" s="294"/>
    </row>
    <row r="110" spans="1:12" s="135" customFormat="1" ht="75" customHeight="1">
      <c r="A110" s="445" t="s">
        <v>223</v>
      </c>
      <c r="B110" s="449" t="s">
        <v>398</v>
      </c>
      <c r="C110" s="357" t="s">
        <v>225</v>
      </c>
      <c r="D110" s="435" t="s">
        <v>346</v>
      </c>
      <c r="E110" s="436"/>
      <c r="F110" s="436"/>
      <c r="G110" s="437"/>
      <c r="H110" s="97">
        <f>H111+H112</f>
        <v>8977.9000000000015</v>
      </c>
      <c r="I110" s="97">
        <f>I111+I112</f>
        <v>8977.9000000000015</v>
      </c>
      <c r="J110" s="97">
        <f>J111+J112</f>
        <v>0</v>
      </c>
      <c r="K110" s="97">
        <f>K111+K112</f>
        <v>0</v>
      </c>
      <c r="L110" s="403" t="s">
        <v>149</v>
      </c>
    </row>
    <row r="111" spans="1:12" s="135" customFormat="1" ht="75" customHeight="1">
      <c r="A111" s="446"/>
      <c r="B111" s="450"/>
      <c r="C111" s="357"/>
      <c r="D111" s="452" t="s">
        <v>29</v>
      </c>
      <c r="E111" s="343" t="s">
        <v>78</v>
      </c>
      <c r="F111" s="369" t="s">
        <v>447</v>
      </c>
      <c r="G111" s="271" t="s">
        <v>424</v>
      </c>
      <c r="H111" s="97">
        <f t="shared" ref="H111:H116" si="7">I111+J111+K111</f>
        <v>2630.3</v>
      </c>
      <c r="I111" s="98">
        <f>4309.8-9.5-1000-670</f>
        <v>2630.3</v>
      </c>
      <c r="J111" s="98">
        <v>0</v>
      </c>
      <c r="K111" s="98">
        <v>0</v>
      </c>
      <c r="L111" s="403"/>
    </row>
    <row r="112" spans="1:12" s="135" customFormat="1" ht="75" customHeight="1">
      <c r="A112" s="446"/>
      <c r="B112" s="450"/>
      <c r="C112" s="357"/>
      <c r="D112" s="453"/>
      <c r="E112" s="345"/>
      <c r="F112" s="370"/>
      <c r="G112" s="271" t="s">
        <v>95</v>
      </c>
      <c r="H112" s="97">
        <f t="shared" si="7"/>
        <v>6347.6</v>
      </c>
      <c r="I112" s="98">
        <v>6347.6</v>
      </c>
      <c r="J112" s="98">
        <v>0</v>
      </c>
      <c r="K112" s="98">
        <v>0</v>
      </c>
      <c r="L112" s="403"/>
    </row>
    <row r="113" spans="1:12" s="135" customFormat="1" ht="93.75" customHeight="1">
      <c r="A113" s="446"/>
      <c r="B113" s="450"/>
      <c r="C113" s="267" t="s">
        <v>261</v>
      </c>
      <c r="D113" s="144" t="s">
        <v>29</v>
      </c>
      <c r="E113" s="40" t="s">
        <v>78</v>
      </c>
      <c r="F113" s="370"/>
      <c r="G113" s="271" t="s">
        <v>421</v>
      </c>
      <c r="H113" s="97">
        <f t="shared" si="7"/>
        <v>8369.6</v>
      </c>
      <c r="I113" s="98">
        <f>3145.8-450</f>
        <v>2695.8</v>
      </c>
      <c r="J113" s="98">
        <v>2727.8</v>
      </c>
      <c r="K113" s="98">
        <v>2946</v>
      </c>
      <c r="L113" s="403"/>
    </row>
    <row r="114" spans="1:12" s="135" customFormat="1" ht="112.5" customHeight="1">
      <c r="A114" s="446"/>
      <c r="B114" s="450"/>
      <c r="C114" s="267" t="s">
        <v>262</v>
      </c>
      <c r="D114" s="144" t="s">
        <v>29</v>
      </c>
      <c r="E114" s="40" t="s">
        <v>78</v>
      </c>
      <c r="F114" s="370"/>
      <c r="G114" s="271" t="s">
        <v>421</v>
      </c>
      <c r="H114" s="97">
        <f t="shared" si="7"/>
        <v>1062.92</v>
      </c>
      <c r="I114" s="103">
        <v>525.5</v>
      </c>
      <c r="J114" s="98">
        <v>260</v>
      </c>
      <c r="K114" s="121">
        <v>277.42</v>
      </c>
      <c r="L114" s="403"/>
    </row>
    <row r="115" spans="1:12" s="135" customFormat="1" ht="162.75" customHeight="1">
      <c r="A115" s="446"/>
      <c r="B115" s="450"/>
      <c r="C115" s="267" t="s">
        <v>263</v>
      </c>
      <c r="D115" s="144" t="s">
        <v>29</v>
      </c>
      <c r="E115" s="40" t="s">
        <v>78</v>
      </c>
      <c r="F115" s="370"/>
      <c r="G115" s="271" t="s">
        <v>421</v>
      </c>
      <c r="H115" s="97">
        <f t="shared" si="7"/>
        <v>973.3</v>
      </c>
      <c r="I115" s="98">
        <v>411.8</v>
      </c>
      <c r="J115" s="98">
        <v>271</v>
      </c>
      <c r="K115" s="98">
        <v>290.5</v>
      </c>
      <c r="L115" s="403"/>
    </row>
    <row r="116" spans="1:12" s="135" customFormat="1" ht="87.75" customHeight="1">
      <c r="A116" s="287"/>
      <c r="B116" s="451"/>
      <c r="C116" s="267" t="s">
        <v>464</v>
      </c>
      <c r="D116" s="144" t="s">
        <v>29</v>
      </c>
      <c r="E116" s="40" t="s">
        <v>78</v>
      </c>
      <c r="F116" s="371"/>
      <c r="G116" s="271"/>
      <c r="H116" s="97">
        <f t="shared" si="7"/>
        <v>58.8</v>
      </c>
      <c r="I116" s="98"/>
      <c r="J116" s="98">
        <v>58.8</v>
      </c>
      <c r="K116" s="98"/>
      <c r="L116" s="297"/>
    </row>
    <row r="117" spans="1:12" s="135" customFormat="1" ht="75" customHeight="1">
      <c r="A117" s="430"/>
      <c r="B117" s="430"/>
      <c r="C117" s="430"/>
      <c r="D117" s="430"/>
      <c r="E117" s="340" t="s">
        <v>269</v>
      </c>
      <c r="F117" s="350"/>
      <c r="G117" s="271"/>
      <c r="H117" s="97">
        <f>H110+H113+H114+H115</f>
        <v>19383.719999999998</v>
      </c>
      <c r="I117" s="97">
        <f>I110+I113+I114+I115</f>
        <v>12611</v>
      </c>
      <c r="J117" s="97">
        <f>J110+J113+J114+J115+J116</f>
        <v>3317.6000000000004</v>
      </c>
      <c r="K117" s="97">
        <f>K110+K113+K114+K115</f>
        <v>3513.92</v>
      </c>
      <c r="L117" s="372"/>
    </row>
    <row r="118" spans="1:12" s="135" customFormat="1" ht="75" customHeight="1">
      <c r="A118" s="430"/>
      <c r="B118" s="430"/>
      <c r="C118" s="430"/>
      <c r="D118" s="430"/>
      <c r="E118" s="341"/>
      <c r="F118" s="350"/>
      <c r="G118" s="271" t="s">
        <v>421</v>
      </c>
      <c r="H118" s="97">
        <f>H111+H113+H114+H115</f>
        <v>13036.12</v>
      </c>
      <c r="I118" s="97">
        <f>I111+I113+I114+I115</f>
        <v>6263.4000000000005</v>
      </c>
      <c r="J118" s="97">
        <f>J111+J113+J114+J115+J116</f>
        <v>3317.6000000000004</v>
      </c>
      <c r="K118" s="97">
        <f>K111+K113+K114+K115</f>
        <v>3513.92</v>
      </c>
      <c r="L118" s="373"/>
    </row>
    <row r="119" spans="1:12" s="135" customFormat="1" ht="75" customHeight="1">
      <c r="A119" s="430"/>
      <c r="B119" s="430"/>
      <c r="C119" s="430"/>
      <c r="D119" s="430"/>
      <c r="E119" s="342"/>
      <c r="F119" s="350"/>
      <c r="G119" s="271" t="s">
        <v>95</v>
      </c>
      <c r="H119" s="97">
        <f>H112</f>
        <v>6347.6</v>
      </c>
      <c r="I119" s="97">
        <f>I112</f>
        <v>6347.6</v>
      </c>
      <c r="J119" s="97">
        <f>J112</f>
        <v>0</v>
      </c>
      <c r="K119" s="97">
        <f>K112</f>
        <v>0</v>
      </c>
      <c r="L119" s="406"/>
    </row>
    <row r="120" spans="1:12" s="135" customFormat="1" ht="75" customHeight="1">
      <c r="A120" s="430" t="s">
        <v>226</v>
      </c>
      <c r="B120" s="340" t="s">
        <v>268</v>
      </c>
      <c r="C120" s="343" t="s">
        <v>227</v>
      </c>
      <c r="D120" s="435" t="s">
        <v>347</v>
      </c>
      <c r="E120" s="436"/>
      <c r="F120" s="436"/>
      <c r="G120" s="437"/>
      <c r="H120" s="97">
        <f>H121+H122</f>
        <v>20902.575000000001</v>
      </c>
      <c r="I120" s="97">
        <f>I121+I122</f>
        <v>6210.2</v>
      </c>
      <c r="J120" s="97">
        <f>J121+J122</f>
        <v>7111.8</v>
      </c>
      <c r="K120" s="97">
        <f>K121+K122</f>
        <v>7580.5749999999998</v>
      </c>
      <c r="L120" s="556" t="s">
        <v>150</v>
      </c>
    </row>
    <row r="121" spans="1:12" s="135" customFormat="1" ht="75" customHeight="1">
      <c r="A121" s="430"/>
      <c r="B121" s="341"/>
      <c r="C121" s="344"/>
      <c r="D121" s="452" t="s">
        <v>30</v>
      </c>
      <c r="E121" s="343" t="s">
        <v>77</v>
      </c>
      <c r="F121" s="358" t="s">
        <v>447</v>
      </c>
      <c r="G121" s="271" t="s">
        <v>421</v>
      </c>
      <c r="H121" s="97">
        <f>I121+J121+K121</f>
        <v>19770.375</v>
      </c>
      <c r="I121" s="98">
        <f>4969+109</f>
        <v>5078</v>
      </c>
      <c r="J121" s="98">
        <f>7149.3-37.5</f>
        <v>7111.8</v>
      </c>
      <c r="K121" s="98">
        <f>7621.2-40.625</f>
        <v>7580.5749999999998</v>
      </c>
      <c r="L121" s="557"/>
    </row>
    <row r="122" spans="1:12" s="135" customFormat="1" ht="75" customHeight="1">
      <c r="A122" s="430"/>
      <c r="B122" s="341"/>
      <c r="C122" s="345"/>
      <c r="D122" s="453"/>
      <c r="E122" s="345"/>
      <c r="F122" s="358"/>
      <c r="G122" s="271" t="s">
        <v>95</v>
      </c>
      <c r="H122" s="97">
        <f>I122+J122+K122</f>
        <v>1132.2</v>
      </c>
      <c r="I122" s="98">
        <v>1132.2</v>
      </c>
      <c r="J122" s="98">
        <v>0</v>
      </c>
      <c r="K122" s="98">
        <v>0</v>
      </c>
      <c r="L122" s="557"/>
    </row>
    <row r="123" spans="1:12" s="135" customFormat="1" ht="89.25" customHeight="1">
      <c r="A123" s="430"/>
      <c r="B123" s="342"/>
      <c r="C123" s="267" t="s">
        <v>228</v>
      </c>
      <c r="D123" s="144" t="s">
        <v>30</v>
      </c>
      <c r="E123" s="40" t="s">
        <v>77</v>
      </c>
      <c r="F123" s="358"/>
      <c r="G123" s="271" t="s">
        <v>421</v>
      </c>
      <c r="H123" s="97">
        <f>I123+J123+K123</f>
        <v>1469.6</v>
      </c>
      <c r="I123" s="98">
        <v>527.79999999999995</v>
      </c>
      <c r="J123" s="98">
        <v>452.8</v>
      </c>
      <c r="K123" s="98">
        <v>489</v>
      </c>
      <c r="L123" s="558"/>
    </row>
    <row r="124" spans="1:12" s="135" customFormat="1" ht="75" customHeight="1">
      <c r="A124" s="356"/>
      <c r="B124" s="356"/>
      <c r="C124" s="356"/>
      <c r="D124" s="356"/>
      <c r="E124" s="340" t="s">
        <v>270</v>
      </c>
      <c r="F124" s="358"/>
      <c r="G124" s="271"/>
      <c r="H124" s="97">
        <f>H120+H123</f>
        <v>22372.174999999999</v>
      </c>
      <c r="I124" s="97">
        <f>I120+I123</f>
        <v>6738</v>
      </c>
      <c r="J124" s="97">
        <f>J120+J123</f>
        <v>7564.6</v>
      </c>
      <c r="K124" s="97">
        <f>K120+K123</f>
        <v>8069.5749999999998</v>
      </c>
      <c r="L124" s="372"/>
    </row>
    <row r="125" spans="1:12" s="135" customFormat="1" ht="75" customHeight="1">
      <c r="A125" s="356"/>
      <c r="B125" s="356"/>
      <c r="C125" s="356"/>
      <c r="D125" s="356"/>
      <c r="E125" s="341"/>
      <c r="F125" s="358"/>
      <c r="G125" s="271" t="s">
        <v>421</v>
      </c>
      <c r="H125" s="97">
        <f>H121+H123</f>
        <v>21239.974999999999</v>
      </c>
      <c r="I125" s="97">
        <f>I121+I123</f>
        <v>5605.8</v>
      </c>
      <c r="J125" s="97">
        <f>J121+J123</f>
        <v>7564.6</v>
      </c>
      <c r="K125" s="97">
        <f>K121+K123</f>
        <v>8069.5749999999998</v>
      </c>
      <c r="L125" s="373"/>
    </row>
    <row r="126" spans="1:12" s="135" customFormat="1" ht="75" customHeight="1">
      <c r="A126" s="356"/>
      <c r="B126" s="356"/>
      <c r="C126" s="356"/>
      <c r="D126" s="356"/>
      <c r="E126" s="342"/>
      <c r="F126" s="358"/>
      <c r="G126" s="271" t="s">
        <v>95</v>
      </c>
      <c r="H126" s="97">
        <f>H122</f>
        <v>1132.2</v>
      </c>
      <c r="I126" s="97">
        <f>I122</f>
        <v>1132.2</v>
      </c>
      <c r="J126" s="97">
        <f>J122</f>
        <v>0</v>
      </c>
      <c r="K126" s="97">
        <f>K122</f>
        <v>0</v>
      </c>
      <c r="L126" s="406"/>
    </row>
    <row r="127" spans="1:12" ht="75" customHeight="1">
      <c r="A127" s="386" t="s">
        <v>63</v>
      </c>
      <c r="B127" s="387"/>
      <c r="C127" s="387"/>
      <c r="D127" s="387"/>
      <c r="E127" s="387"/>
      <c r="F127" s="387"/>
      <c r="G127" s="388"/>
      <c r="H127" s="102">
        <f>H27+H87+H117+H124</f>
        <v>231605.72999999998</v>
      </c>
      <c r="I127" s="102">
        <f>I27+I87+I117+I124</f>
        <v>136386.12300000002</v>
      </c>
      <c r="J127" s="102">
        <f>J27+J87+J117+J124</f>
        <v>49364.679999999993</v>
      </c>
      <c r="K127" s="102">
        <f>K27+K87+K117+K124</f>
        <v>46015.026999999995</v>
      </c>
      <c r="L127" s="559"/>
    </row>
    <row r="128" spans="1:12" s="135" customFormat="1" ht="75" customHeight="1">
      <c r="A128" s="359" t="s">
        <v>17</v>
      </c>
      <c r="B128" s="359"/>
      <c r="C128" s="359"/>
      <c r="D128" s="359"/>
      <c r="E128" s="359"/>
      <c r="F128" s="392"/>
      <c r="G128" s="147" t="s">
        <v>421</v>
      </c>
      <c r="H128" s="110">
        <f>H27+H88+H118+H125</f>
        <v>174538.63</v>
      </c>
      <c r="I128" s="110">
        <f>I27+I88+I118+I125</f>
        <v>80658.922999999981</v>
      </c>
      <c r="J128" s="110">
        <f>J27+J88+J118+J125</f>
        <v>49364.679999999993</v>
      </c>
      <c r="K128" s="110">
        <f>K27+K88+K118+K125</f>
        <v>46015.026999999995</v>
      </c>
      <c r="L128" s="560"/>
    </row>
    <row r="129" spans="1:12" s="135" customFormat="1" ht="112.5" customHeight="1">
      <c r="A129" s="393"/>
      <c r="B129" s="393"/>
      <c r="C129" s="393"/>
      <c r="D129" s="393"/>
      <c r="E129" s="393"/>
      <c r="F129" s="394"/>
      <c r="G129" s="147" t="s">
        <v>95</v>
      </c>
      <c r="H129" s="110">
        <f>H126+H119+H89</f>
        <v>52689.700000000004</v>
      </c>
      <c r="I129" s="110">
        <f>I126+I119+I89</f>
        <v>52689.700000000004</v>
      </c>
      <c r="J129" s="110">
        <f>J126+J119+J89</f>
        <v>0</v>
      </c>
      <c r="K129" s="110">
        <f>K126+K119+K89</f>
        <v>0</v>
      </c>
      <c r="L129" s="560"/>
    </row>
    <row r="130" spans="1:12" s="135" customFormat="1" ht="168.75" customHeight="1">
      <c r="A130" s="393"/>
      <c r="B130" s="393"/>
      <c r="C130" s="393"/>
      <c r="D130" s="393"/>
      <c r="E130" s="393"/>
      <c r="F130" s="394"/>
      <c r="G130" s="148" t="s">
        <v>98</v>
      </c>
      <c r="H130" s="110">
        <f t="shared" ref="H130:K131" si="8">H90</f>
        <v>2977.5</v>
      </c>
      <c r="I130" s="110">
        <f>I90</f>
        <v>2977.5</v>
      </c>
      <c r="J130" s="110">
        <f t="shared" si="8"/>
        <v>0</v>
      </c>
      <c r="K130" s="110">
        <f t="shared" si="8"/>
        <v>0</v>
      </c>
      <c r="L130" s="560"/>
    </row>
    <row r="131" spans="1:12" s="135" customFormat="1" ht="75" customHeight="1">
      <c r="A131" s="395"/>
      <c r="B131" s="395"/>
      <c r="C131" s="395"/>
      <c r="D131" s="395"/>
      <c r="E131" s="395"/>
      <c r="F131" s="396"/>
      <c r="G131" s="149" t="s">
        <v>326</v>
      </c>
      <c r="H131" s="110">
        <f t="shared" si="8"/>
        <v>60</v>
      </c>
      <c r="I131" s="110">
        <f t="shared" si="8"/>
        <v>60</v>
      </c>
      <c r="J131" s="110">
        <f t="shared" si="8"/>
        <v>0</v>
      </c>
      <c r="K131" s="110">
        <f t="shared" si="8"/>
        <v>0</v>
      </c>
      <c r="L131" s="560"/>
    </row>
    <row r="132" spans="1:12" s="135" customFormat="1" ht="75" customHeight="1">
      <c r="A132" s="416" t="s">
        <v>276</v>
      </c>
      <c r="B132" s="417"/>
      <c r="C132" s="417"/>
      <c r="D132" s="418"/>
      <c r="E132" s="357" t="s">
        <v>81</v>
      </c>
      <c r="F132" s="346"/>
      <c r="G132" s="296" t="s">
        <v>96</v>
      </c>
      <c r="H132" s="102">
        <f>SUM(H133:H136)</f>
        <v>41125.629999999997</v>
      </c>
      <c r="I132" s="102">
        <f>SUM(I133:I136)</f>
        <v>28290.43</v>
      </c>
      <c r="J132" s="102">
        <f>SUM(J133:J136)</f>
        <v>7809.3</v>
      </c>
      <c r="K132" s="102">
        <f>SUM(K133:K136)</f>
        <v>5025.8999999999996</v>
      </c>
      <c r="L132" s="560"/>
    </row>
    <row r="133" spans="1:12" ht="75" customHeight="1">
      <c r="A133" s="419"/>
      <c r="B133" s="420"/>
      <c r="C133" s="420"/>
      <c r="D133" s="421"/>
      <c r="E133" s="357"/>
      <c r="F133" s="347"/>
      <c r="G133" s="271" t="s">
        <v>421</v>
      </c>
      <c r="H133" s="111">
        <f>H94</f>
        <v>28432.829999999998</v>
      </c>
      <c r="I133" s="111">
        <f>I94</f>
        <v>15597.63</v>
      </c>
      <c r="J133" s="111">
        <f>J94</f>
        <v>7809.3</v>
      </c>
      <c r="K133" s="111">
        <f>K94</f>
        <v>5025.8999999999996</v>
      </c>
      <c r="L133" s="560"/>
    </row>
    <row r="134" spans="1:12" ht="177.75" customHeight="1">
      <c r="A134" s="419"/>
      <c r="B134" s="420"/>
      <c r="C134" s="420"/>
      <c r="D134" s="421"/>
      <c r="E134" s="357"/>
      <c r="F134" s="347"/>
      <c r="G134" s="271" t="str">
        <f>G36</f>
        <v>Субвенція з місцевого бюджету на здійснення переданих видатків у сфері охорони здоров'я за рахунок коштів медичної субвенції (загальний фонд)</v>
      </c>
      <c r="H134" s="98">
        <f t="shared" ref="H134:K135" si="9">H96</f>
        <v>147.19999999999999</v>
      </c>
      <c r="I134" s="98">
        <f t="shared" si="9"/>
        <v>147.19999999999999</v>
      </c>
      <c r="J134" s="98">
        <f t="shared" si="9"/>
        <v>0</v>
      </c>
      <c r="K134" s="98">
        <f t="shared" si="9"/>
        <v>0</v>
      </c>
      <c r="L134" s="560"/>
    </row>
    <row r="135" spans="1:12" ht="81" customHeight="1">
      <c r="A135" s="419"/>
      <c r="B135" s="420"/>
      <c r="C135" s="420"/>
      <c r="D135" s="421"/>
      <c r="E135" s="357"/>
      <c r="F135" s="347"/>
      <c r="G135" s="271" t="s">
        <v>326</v>
      </c>
      <c r="H135" s="111">
        <f t="shared" si="9"/>
        <v>60</v>
      </c>
      <c r="I135" s="111">
        <f t="shared" si="9"/>
        <v>60</v>
      </c>
      <c r="J135" s="111">
        <f t="shared" si="9"/>
        <v>0</v>
      </c>
      <c r="K135" s="111">
        <f t="shared" si="9"/>
        <v>0</v>
      </c>
      <c r="L135" s="560"/>
    </row>
    <row r="136" spans="1:12" ht="75" customHeight="1">
      <c r="A136" s="419"/>
      <c r="B136" s="420"/>
      <c r="C136" s="420"/>
      <c r="D136" s="421"/>
      <c r="E136" s="357"/>
      <c r="F136" s="347"/>
      <c r="G136" s="271" t="s">
        <v>95</v>
      </c>
      <c r="H136" s="111">
        <f>H95</f>
        <v>12485.6</v>
      </c>
      <c r="I136" s="111">
        <f>I95</f>
        <v>12485.6</v>
      </c>
      <c r="J136" s="111">
        <f>J95</f>
        <v>0</v>
      </c>
      <c r="K136" s="111">
        <f>K95</f>
        <v>0</v>
      </c>
      <c r="L136" s="560"/>
    </row>
    <row r="137" spans="1:12" ht="75" customHeight="1">
      <c r="A137" s="419"/>
      <c r="B137" s="420"/>
      <c r="C137" s="420"/>
      <c r="D137" s="421"/>
      <c r="E137" s="343" t="s">
        <v>75</v>
      </c>
      <c r="F137" s="347"/>
      <c r="G137" s="296" t="s">
        <v>96</v>
      </c>
      <c r="H137" s="102">
        <f>SUM(H138:H139)</f>
        <v>37587.879999999997</v>
      </c>
      <c r="I137" s="102">
        <f>SUM(I138:I139)</f>
        <v>19066.3</v>
      </c>
      <c r="J137" s="102">
        <f>SUM(J138:J139)</f>
        <v>8968.98</v>
      </c>
      <c r="K137" s="102">
        <f>SUM(K138:K139)</f>
        <v>9593.2999999999993</v>
      </c>
      <c r="L137" s="560"/>
    </row>
    <row r="138" spans="1:12" ht="75" customHeight="1">
      <c r="A138" s="419"/>
      <c r="B138" s="420"/>
      <c r="C138" s="420"/>
      <c r="D138" s="421"/>
      <c r="E138" s="344"/>
      <c r="F138" s="347"/>
      <c r="G138" s="271" t="s">
        <v>421</v>
      </c>
      <c r="H138" s="111">
        <f t="shared" ref="H138:K139" si="10">H99</f>
        <v>29427.78</v>
      </c>
      <c r="I138" s="111">
        <f t="shared" si="10"/>
        <v>10906.199999999999</v>
      </c>
      <c r="J138" s="111">
        <f t="shared" si="10"/>
        <v>8968.98</v>
      </c>
      <c r="K138" s="111">
        <f t="shared" si="10"/>
        <v>9593.2999999999993</v>
      </c>
      <c r="L138" s="560"/>
    </row>
    <row r="139" spans="1:12" ht="75" customHeight="1">
      <c r="A139" s="419"/>
      <c r="B139" s="420"/>
      <c r="C139" s="420"/>
      <c r="D139" s="421"/>
      <c r="E139" s="345"/>
      <c r="F139" s="347"/>
      <c r="G139" s="293" t="s">
        <v>95</v>
      </c>
      <c r="H139" s="111">
        <f t="shared" si="10"/>
        <v>8160.1</v>
      </c>
      <c r="I139" s="111">
        <f t="shared" si="10"/>
        <v>8160.1</v>
      </c>
      <c r="J139" s="111">
        <f t="shared" si="10"/>
        <v>0</v>
      </c>
      <c r="K139" s="111">
        <f t="shared" si="10"/>
        <v>0</v>
      </c>
      <c r="L139" s="560"/>
    </row>
    <row r="140" spans="1:12" ht="75" customHeight="1">
      <c r="A140" s="419"/>
      <c r="B140" s="420"/>
      <c r="C140" s="420"/>
      <c r="D140" s="421"/>
      <c r="E140" s="343" t="s">
        <v>76</v>
      </c>
      <c r="F140" s="347"/>
      <c r="G140" s="296" t="s">
        <v>96</v>
      </c>
      <c r="H140" s="102">
        <f>SUM(H141:H143)</f>
        <v>47121.010000000009</v>
      </c>
      <c r="I140" s="102">
        <f>SUM(I141:I143)</f>
        <v>32420.6</v>
      </c>
      <c r="J140" s="102">
        <f>SUM(J141:J143)</f>
        <v>7365.57</v>
      </c>
      <c r="K140" s="102">
        <f>SUM(K141:K143)</f>
        <v>7433.84</v>
      </c>
      <c r="L140" s="560"/>
    </row>
    <row r="141" spans="1:12" ht="75" customHeight="1">
      <c r="A141" s="419"/>
      <c r="B141" s="420"/>
      <c r="C141" s="420"/>
      <c r="D141" s="421"/>
      <c r="E141" s="344"/>
      <c r="F141" s="347"/>
      <c r="G141" s="271" t="s">
        <v>421</v>
      </c>
      <c r="H141" s="111">
        <f t="shared" ref="H141:K143" si="11">H102</f>
        <v>31574.510000000002</v>
      </c>
      <c r="I141" s="111">
        <f t="shared" si="11"/>
        <v>16874.099999999999</v>
      </c>
      <c r="J141" s="111">
        <f t="shared" si="11"/>
        <v>7365.57</v>
      </c>
      <c r="K141" s="111">
        <f t="shared" si="11"/>
        <v>7433.84</v>
      </c>
      <c r="L141" s="560"/>
    </row>
    <row r="142" spans="1:12" ht="75" customHeight="1">
      <c r="A142" s="419"/>
      <c r="B142" s="420"/>
      <c r="C142" s="420"/>
      <c r="D142" s="421"/>
      <c r="E142" s="344"/>
      <c r="F142" s="347"/>
      <c r="G142" s="293" t="s">
        <v>95</v>
      </c>
      <c r="H142" s="111">
        <f t="shared" si="11"/>
        <v>12866.2</v>
      </c>
      <c r="I142" s="111">
        <f t="shared" si="11"/>
        <v>12866.2</v>
      </c>
      <c r="J142" s="111">
        <f t="shared" si="11"/>
        <v>0</v>
      </c>
      <c r="K142" s="111">
        <f t="shared" si="11"/>
        <v>0</v>
      </c>
      <c r="L142" s="560"/>
    </row>
    <row r="143" spans="1:12" ht="168.75" customHeight="1">
      <c r="A143" s="419"/>
      <c r="B143" s="420"/>
      <c r="C143" s="420"/>
      <c r="D143" s="421"/>
      <c r="E143" s="345"/>
      <c r="F143" s="347"/>
      <c r="G143" s="278" t="s">
        <v>98</v>
      </c>
      <c r="H143" s="111">
        <f t="shared" si="11"/>
        <v>2680.3</v>
      </c>
      <c r="I143" s="111">
        <f t="shared" si="11"/>
        <v>2680.3</v>
      </c>
      <c r="J143" s="111">
        <f t="shared" si="11"/>
        <v>0</v>
      </c>
      <c r="K143" s="111">
        <f t="shared" si="11"/>
        <v>0</v>
      </c>
      <c r="L143" s="560"/>
    </row>
    <row r="144" spans="1:12" ht="75" customHeight="1">
      <c r="A144" s="419"/>
      <c r="B144" s="420"/>
      <c r="C144" s="420"/>
      <c r="D144" s="421"/>
      <c r="E144" s="565" t="s">
        <v>74</v>
      </c>
      <c r="F144" s="347"/>
      <c r="G144" s="296" t="s">
        <v>96</v>
      </c>
      <c r="H144" s="102">
        <f>SUM(H145:H146)</f>
        <v>48333.105000000003</v>
      </c>
      <c r="I144" s="102">
        <f>SUM(I145:I146)</f>
        <v>31210.183000000001</v>
      </c>
      <c r="J144" s="102">
        <f>SUM(J145:J146)</f>
        <v>9619.5299999999988</v>
      </c>
      <c r="K144" s="102">
        <f>SUM(K145:K146)</f>
        <v>7602.3920000000007</v>
      </c>
      <c r="L144" s="560"/>
    </row>
    <row r="145" spans="1:12" ht="75" customHeight="1">
      <c r="A145" s="419"/>
      <c r="B145" s="420"/>
      <c r="C145" s="420"/>
      <c r="D145" s="421"/>
      <c r="E145" s="566"/>
      <c r="F145" s="347"/>
      <c r="G145" s="293" t="s">
        <v>421</v>
      </c>
      <c r="H145" s="111">
        <f t="shared" ref="H145:K146" si="12">H106</f>
        <v>36635.105000000003</v>
      </c>
      <c r="I145" s="111">
        <f t="shared" si="12"/>
        <v>19512.183000000001</v>
      </c>
      <c r="J145" s="111">
        <f t="shared" si="12"/>
        <v>9619.5299999999988</v>
      </c>
      <c r="K145" s="111">
        <f t="shared" si="12"/>
        <v>7602.3920000000007</v>
      </c>
      <c r="L145" s="560"/>
    </row>
    <row r="146" spans="1:12" ht="75" customHeight="1">
      <c r="A146" s="419"/>
      <c r="B146" s="420"/>
      <c r="C146" s="420"/>
      <c r="D146" s="421"/>
      <c r="E146" s="566"/>
      <c r="F146" s="347"/>
      <c r="G146" s="293" t="s">
        <v>95</v>
      </c>
      <c r="H146" s="111">
        <f t="shared" si="12"/>
        <v>11698</v>
      </c>
      <c r="I146" s="111">
        <f>I107</f>
        <v>11698</v>
      </c>
      <c r="J146" s="111">
        <f t="shared" si="12"/>
        <v>0</v>
      </c>
      <c r="K146" s="111">
        <f t="shared" si="12"/>
        <v>0</v>
      </c>
      <c r="L146" s="560"/>
    </row>
    <row r="147" spans="1:12" ht="157.5" customHeight="1">
      <c r="A147" s="419"/>
      <c r="B147" s="420"/>
      <c r="C147" s="420"/>
      <c r="D147" s="421"/>
      <c r="E147" s="567"/>
      <c r="F147" s="347"/>
      <c r="G147" s="293" t="s">
        <v>98</v>
      </c>
      <c r="H147" s="111">
        <f>H108</f>
        <v>150</v>
      </c>
      <c r="I147" s="111">
        <f>I108</f>
        <v>150</v>
      </c>
      <c r="J147" s="111">
        <v>0</v>
      </c>
      <c r="K147" s="111">
        <v>0</v>
      </c>
      <c r="L147" s="560"/>
    </row>
    <row r="148" spans="1:12" ht="75" customHeight="1">
      <c r="A148" s="419"/>
      <c r="B148" s="420"/>
      <c r="C148" s="420"/>
      <c r="D148" s="421"/>
      <c r="E148" s="343" t="s">
        <v>78</v>
      </c>
      <c r="F148" s="347"/>
      <c r="G148" s="296" t="s">
        <v>96</v>
      </c>
      <c r="H148" s="102">
        <f>SUM(H149:H150)</f>
        <v>19383.72</v>
      </c>
      <c r="I148" s="102">
        <f>SUM(I149:I150)</f>
        <v>12611</v>
      </c>
      <c r="J148" s="102">
        <f>SUM(J149:J150)</f>
        <v>3317.6000000000004</v>
      </c>
      <c r="K148" s="102">
        <f>SUM(K149:K150)</f>
        <v>3513.92</v>
      </c>
      <c r="L148" s="560"/>
    </row>
    <row r="149" spans="1:12" ht="75" customHeight="1">
      <c r="A149" s="419"/>
      <c r="B149" s="420"/>
      <c r="C149" s="420"/>
      <c r="D149" s="421"/>
      <c r="E149" s="344"/>
      <c r="F149" s="347"/>
      <c r="G149" s="293" t="s">
        <v>421</v>
      </c>
      <c r="H149" s="111">
        <f t="shared" ref="H149:K150" si="13">H118</f>
        <v>13036.12</v>
      </c>
      <c r="I149" s="111">
        <f t="shared" si="13"/>
        <v>6263.4000000000005</v>
      </c>
      <c r="J149" s="111">
        <f>J118</f>
        <v>3317.6000000000004</v>
      </c>
      <c r="K149" s="111">
        <f t="shared" si="13"/>
        <v>3513.92</v>
      </c>
      <c r="L149" s="560"/>
    </row>
    <row r="150" spans="1:12" ht="75" customHeight="1">
      <c r="A150" s="419"/>
      <c r="B150" s="420"/>
      <c r="C150" s="420"/>
      <c r="D150" s="421"/>
      <c r="E150" s="345"/>
      <c r="F150" s="347"/>
      <c r="G150" s="293" t="s">
        <v>95</v>
      </c>
      <c r="H150" s="111">
        <f t="shared" si="13"/>
        <v>6347.6</v>
      </c>
      <c r="I150" s="111">
        <f t="shared" si="13"/>
        <v>6347.6</v>
      </c>
      <c r="J150" s="111">
        <f t="shared" si="13"/>
        <v>0</v>
      </c>
      <c r="K150" s="111">
        <f t="shared" si="13"/>
        <v>0</v>
      </c>
      <c r="L150" s="560"/>
    </row>
    <row r="151" spans="1:12" ht="75" customHeight="1">
      <c r="A151" s="419"/>
      <c r="B151" s="420"/>
      <c r="C151" s="420"/>
      <c r="D151" s="421"/>
      <c r="E151" s="343" t="s">
        <v>77</v>
      </c>
      <c r="F151" s="347"/>
      <c r="G151" s="296" t="s">
        <v>96</v>
      </c>
      <c r="H151" s="102">
        <f>SUM(H152:H153)</f>
        <v>22372.174999999999</v>
      </c>
      <c r="I151" s="102">
        <f>SUM(I152:I153)</f>
        <v>6738</v>
      </c>
      <c r="J151" s="102">
        <f>SUM(J152:J153)</f>
        <v>7564.6</v>
      </c>
      <c r="K151" s="102">
        <f>SUM(K152:K153)</f>
        <v>8069.5749999999998</v>
      </c>
      <c r="L151" s="560"/>
    </row>
    <row r="152" spans="1:12" ht="75" customHeight="1">
      <c r="A152" s="419"/>
      <c r="B152" s="420"/>
      <c r="C152" s="420"/>
      <c r="D152" s="421"/>
      <c r="E152" s="344"/>
      <c r="F152" s="347"/>
      <c r="G152" s="293" t="s">
        <v>421</v>
      </c>
      <c r="H152" s="111">
        <f t="shared" ref="H152:K153" si="14">H125</f>
        <v>21239.974999999999</v>
      </c>
      <c r="I152" s="111">
        <f t="shared" si="14"/>
        <v>5605.8</v>
      </c>
      <c r="J152" s="111">
        <f t="shared" si="14"/>
        <v>7564.6</v>
      </c>
      <c r="K152" s="111">
        <f t="shared" si="14"/>
        <v>8069.5749999999998</v>
      </c>
      <c r="L152" s="560"/>
    </row>
    <row r="153" spans="1:12" ht="75" customHeight="1">
      <c r="A153" s="419"/>
      <c r="B153" s="420"/>
      <c r="C153" s="420"/>
      <c r="D153" s="421"/>
      <c r="E153" s="345"/>
      <c r="F153" s="347"/>
      <c r="G153" s="293" t="s">
        <v>95</v>
      </c>
      <c r="H153" s="111">
        <f t="shared" si="14"/>
        <v>1132.2</v>
      </c>
      <c r="I153" s="111">
        <f t="shared" si="14"/>
        <v>1132.2</v>
      </c>
      <c r="J153" s="111">
        <f t="shared" si="14"/>
        <v>0</v>
      </c>
      <c r="K153" s="111">
        <f t="shared" si="14"/>
        <v>0</v>
      </c>
      <c r="L153" s="560"/>
    </row>
    <row r="154" spans="1:12" ht="75" customHeight="1">
      <c r="A154" s="419"/>
      <c r="B154" s="420"/>
      <c r="C154" s="420"/>
      <c r="D154" s="421"/>
      <c r="E154" s="40" t="s">
        <v>79</v>
      </c>
      <c r="F154" s="347"/>
      <c r="G154" s="293" t="s">
        <v>421</v>
      </c>
      <c r="H154" s="102">
        <f t="shared" ref="H154:K155" si="15">H28</f>
        <v>5916.0000000000009</v>
      </c>
      <c r="I154" s="102">
        <f t="shared" si="15"/>
        <v>1511</v>
      </c>
      <c r="J154" s="102">
        <f t="shared" si="15"/>
        <v>2170.1999999999998</v>
      </c>
      <c r="K154" s="102">
        <f t="shared" si="15"/>
        <v>2282.7999999999997</v>
      </c>
      <c r="L154" s="560"/>
    </row>
    <row r="155" spans="1:12" ht="75" customHeight="1">
      <c r="A155" s="419"/>
      <c r="B155" s="420"/>
      <c r="C155" s="420"/>
      <c r="D155" s="421"/>
      <c r="E155" s="267" t="s">
        <v>80</v>
      </c>
      <c r="F155" s="347"/>
      <c r="G155" s="293" t="s">
        <v>421</v>
      </c>
      <c r="H155" s="102">
        <f t="shared" si="15"/>
        <v>6377.5099999999993</v>
      </c>
      <c r="I155" s="102">
        <f t="shared" si="15"/>
        <v>1388.61</v>
      </c>
      <c r="J155" s="102">
        <f t="shared" si="15"/>
        <v>2548.9000000000005</v>
      </c>
      <c r="K155" s="102">
        <f t="shared" si="15"/>
        <v>2493.3000000000002</v>
      </c>
      <c r="L155" s="560"/>
    </row>
    <row r="156" spans="1:12" ht="75" customHeight="1">
      <c r="A156" s="422"/>
      <c r="B156" s="423"/>
      <c r="C156" s="423"/>
      <c r="D156" s="424"/>
      <c r="E156" s="267" t="s">
        <v>401</v>
      </c>
      <c r="F156" s="348"/>
      <c r="G156" s="293" t="s">
        <v>421</v>
      </c>
      <c r="H156" s="102">
        <f>H109</f>
        <v>3000</v>
      </c>
      <c r="I156" s="102">
        <f>I109</f>
        <v>3000</v>
      </c>
      <c r="J156" s="102">
        <f>J109</f>
        <v>0</v>
      </c>
      <c r="K156" s="102">
        <f>K109</f>
        <v>0</v>
      </c>
      <c r="L156" s="561"/>
    </row>
    <row r="157" spans="1:12" ht="48" customHeight="1">
      <c r="A157" s="386" t="s">
        <v>209</v>
      </c>
      <c r="B157" s="387"/>
      <c r="C157" s="387"/>
      <c r="D157" s="387"/>
      <c r="E157" s="387"/>
      <c r="F157" s="387"/>
      <c r="G157" s="387"/>
      <c r="H157" s="387"/>
      <c r="I157" s="387"/>
      <c r="J157" s="387"/>
      <c r="K157" s="387"/>
      <c r="L157" s="388"/>
    </row>
    <row r="158" spans="1:12" ht="310.5" customHeight="1">
      <c r="A158" s="356" t="s">
        <v>218</v>
      </c>
      <c r="B158" s="349" t="s">
        <v>210</v>
      </c>
      <c r="C158" s="357" t="s">
        <v>229</v>
      </c>
      <c r="D158" s="386" t="s">
        <v>348</v>
      </c>
      <c r="E158" s="387"/>
      <c r="F158" s="387"/>
      <c r="G158" s="388"/>
      <c r="H158" s="102">
        <f>SUM(H159:H160)</f>
        <v>16126.574089599999</v>
      </c>
      <c r="I158" s="102">
        <f>SUM(I159:I160)</f>
        <v>5194</v>
      </c>
      <c r="J158" s="102">
        <f>SUM(J159:J160)</f>
        <v>5234.409599999999</v>
      </c>
      <c r="K158" s="102">
        <f>SUM(K159:K160)</f>
        <v>5698.1644895999998</v>
      </c>
      <c r="L158" s="361" t="s">
        <v>273</v>
      </c>
    </row>
    <row r="159" spans="1:12" ht="206.25" customHeight="1">
      <c r="A159" s="356"/>
      <c r="B159" s="349"/>
      <c r="C159" s="357"/>
      <c r="D159" s="24" t="s">
        <v>32</v>
      </c>
      <c r="E159" s="150" t="s">
        <v>79</v>
      </c>
      <c r="F159" s="362" t="s">
        <v>447</v>
      </c>
      <c r="G159" s="362" t="s">
        <v>421</v>
      </c>
      <c r="H159" s="97">
        <f>I159+J159+K159</f>
        <v>7318.1826335999995</v>
      </c>
      <c r="I159" s="98">
        <v>2331.3000000000002</v>
      </c>
      <c r="J159" s="98">
        <v>2387.7535999999996</v>
      </c>
      <c r="K159" s="98">
        <v>2599.1290335999997</v>
      </c>
      <c r="L159" s="361"/>
    </row>
    <row r="160" spans="1:12" ht="109.5" customHeight="1">
      <c r="A160" s="356"/>
      <c r="B160" s="349"/>
      <c r="C160" s="357"/>
      <c r="D160" s="24" t="s">
        <v>32</v>
      </c>
      <c r="E160" s="150" t="s">
        <v>80</v>
      </c>
      <c r="F160" s="362"/>
      <c r="G160" s="362"/>
      <c r="H160" s="97">
        <f>I160+J160+K160</f>
        <v>8808.3914559999994</v>
      </c>
      <c r="I160" s="98">
        <v>2862.7</v>
      </c>
      <c r="J160" s="98">
        <v>2846.6559999999999</v>
      </c>
      <c r="K160" s="98">
        <v>3099.0354559999996</v>
      </c>
      <c r="L160" s="361"/>
    </row>
    <row r="161" spans="1:12" s="135" customFormat="1" ht="75" customHeight="1">
      <c r="A161" s="356"/>
      <c r="B161" s="349"/>
      <c r="C161" s="432" t="s">
        <v>230</v>
      </c>
      <c r="D161" s="431" t="s">
        <v>349</v>
      </c>
      <c r="E161" s="431"/>
      <c r="F161" s="431"/>
      <c r="G161" s="431"/>
      <c r="H161" s="97">
        <f>H162+H163</f>
        <v>2688.9522999999999</v>
      </c>
      <c r="I161" s="97">
        <f>I162+I163</f>
        <v>833.40000000000009</v>
      </c>
      <c r="J161" s="97">
        <f>J162+J163</f>
        <v>900.7</v>
      </c>
      <c r="K161" s="97">
        <f>K162+K163</f>
        <v>954.85230000000001</v>
      </c>
      <c r="L161" s="357" t="s">
        <v>45</v>
      </c>
    </row>
    <row r="162" spans="1:12" ht="75" customHeight="1">
      <c r="A162" s="356"/>
      <c r="B162" s="349"/>
      <c r="C162" s="433"/>
      <c r="D162" s="24" t="s">
        <v>32</v>
      </c>
      <c r="E162" s="267" t="s">
        <v>79</v>
      </c>
      <c r="F162" s="362" t="s">
        <v>447</v>
      </c>
      <c r="G162" s="362" t="s">
        <v>421</v>
      </c>
      <c r="H162" s="97">
        <f>I162+J162+K162</f>
        <v>1540</v>
      </c>
      <c r="I162" s="98">
        <v>478.8</v>
      </c>
      <c r="J162" s="98">
        <v>513.4</v>
      </c>
      <c r="K162" s="98">
        <v>547.79999999999995</v>
      </c>
      <c r="L162" s="357"/>
    </row>
    <row r="163" spans="1:12" ht="87.75" customHeight="1">
      <c r="A163" s="356"/>
      <c r="B163" s="349"/>
      <c r="C163" s="434"/>
      <c r="D163" s="24" t="s">
        <v>32</v>
      </c>
      <c r="E163" s="237" t="s">
        <v>80</v>
      </c>
      <c r="F163" s="362"/>
      <c r="G163" s="362"/>
      <c r="H163" s="97">
        <f>I163+J163+K163</f>
        <v>1148.9523000000002</v>
      </c>
      <c r="I163" s="98">
        <v>354.6</v>
      </c>
      <c r="J163" s="98">
        <v>387.3</v>
      </c>
      <c r="K163" s="98">
        <f>J163*1.051</f>
        <v>407.0523</v>
      </c>
      <c r="L163" s="357"/>
    </row>
    <row r="164" spans="1:12" ht="158.25" customHeight="1">
      <c r="A164" s="356"/>
      <c r="B164" s="349"/>
      <c r="C164" s="140" t="s">
        <v>231</v>
      </c>
      <c r="D164" s="283" t="s">
        <v>28</v>
      </c>
      <c r="E164" s="267" t="s">
        <v>74</v>
      </c>
      <c r="F164" s="268" t="s">
        <v>447</v>
      </c>
      <c r="G164" s="271" t="s">
        <v>421</v>
      </c>
      <c r="H164" s="97">
        <f>I164+J164+K164</f>
        <v>900</v>
      </c>
      <c r="I164" s="98">
        <v>900</v>
      </c>
      <c r="J164" s="98"/>
      <c r="K164" s="98"/>
      <c r="L164" s="426" t="s">
        <v>71</v>
      </c>
    </row>
    <row r="165" spans="1:12" ht="75" customHeight="1">
      <c r="A165" s="356"/>
      <c r="B165" s="349"/>
      <c r="C165" s="562" t="s">
        <v>232</v>
      </c>
      <c r="D165" s="431" t="s">
        <v>350</v>
      </c>
      <c r="E165" s="431"/>
      <c r="F165" s="431"/>
      <c r="G165" s="431"/>
      <c r="H165" s="97">
        <f>SUM(H166:H168)</f>
        <v>25082.925910400001</v>
      </c>
      <c r="I165" s="97">
        <f>SUM(I166:I168)</f>
        <v>7490.9</v>
      </c>
      <c r="J165" s="97">
        <f>SUM(J166:J168)</f>
        <v>8565.590400000001</v>
      </c>
      <c r="K165" s="97">
        <f>SUM(K166:K168)</f>
        <v>9026.4355104000006</v>
      </c>
      <c r="L165" s="427"/>
    </row>
    <row r="166" spans="1:12" ht="75" customHeight="1">
      <c r="A166" s="356"/>
      <c r="B166" s="349"/>
      <c r="C166" s="563"/>
      <c r="D166" s="292" t="s">
        <v>28</v>
      </c>
      <c r="E166" s="267" t="s">
        <v>74</v>
      </c>
      <c r="F166" s="358" t="s">
        <v>448</v>
      </c>
      <c r="G166" s="362" t="s">
        <v>421</v>
      </c>
      <c r="H166" s="97">
        <f>I166+J166+K166</f>
        <v>3900.5</v>
      </c>
      <c r="I166" s="98">
        <f>600+200</f>
        <v>800</v>
      </c>
      <c r="J166" s="98">
        <v>1500</v>
      </c>
      <c r="K166" s="98">
        <v>1600.5</v>
      </c>
      <c r="L166" s="427"/>
    </row>
    <row r="167" spans="1:12" ht="75" customHeight="1">
      <c r="A167" s="356"/>
      <c r="B167" s="349"/>
      <c r="C167" s="563"/>
      <c r="D167" s="24" t="s">
        <v>35</v>
      </c>
      <c r="E167" s="267" t="s">
        <v>79</v>
      </c>
      <c r="F167" s="358"/>
      <c r="G167" s="362"/>
      <c r="H167" s="97">
        <f>I167+J167+K167</f>
        <v>9630.2173664000002</v>
      </c>
      <c r="I167" s="98">
        <v>3041.9</v>
      </c>
      <c r="J167" s="98">
        <v>3212.2464000000004</v>
      </c>
      <c r="K167" s="98">
        <v>3376.0709664000001</v>
      </c>
      <c r="L167" s="427"/>
    </row>
    <row r="168" spans="1:12" ht="75" customHeight="1">
      <c r="A168" s="356"/>
      <c r="B168" s="349"/>
      <c r="C168" s="564"/>
      <c r="D168" s="24" t="s">
        <v>35</v>
      </c>
      <c r="E168" s="237" t="s">
        <v>80</v>
      </c>
      <c r="F168" s="358"/>
      <c r="G168" s="362"/>
      <c r="H168" s="97">
        <f>I168+J168+K168</f>
        <v>11552.208544000001</v>
      </c>
      <c r="I168" s="98">
        <v>3649</v>
      </c>
      <c r="J168" s="98">
        <v>3853.3440000000001</v>
      </c>
      <c r="K168" s="98">
        <v>4049.864544</v>
      </c>
      <c r="L168" s="427"/>
    </row>
    <row r="169" spans="1:12" ht="179.25" customHeight="1">
      <c r="A169" s="356"/>
      <c r="B169" s="349"/>
      <c r="C169" s="270" t="s">
        <v>233</v>
      </c>
      <c r="D169" s="292" t="s">
        <v>28</v>
      </c>
      <c r="E169" s="267" t="s">
        <v>74</v>
      </c>
      <c r="F169" s="358"/>
      <c r="G169" s="362"/>
      <c r="H169" s="97">
        <f>I169+J169+K169</f>
        <v>420</v>
      </c>
      <c r="I169" s="98">
        <v>420</v>
      </c>
      <c r="J169" s="98"/>
      <c r="K169" s="98"/>
      <c r="L169" s="428"/>
    </row>
    <row r="170" spans="1:12" ht="75" customHeight="1">
      <c r="A170" s="356"/>
      <c r="B170" s="349"/>
      <c r="C170" s="361" t="s">
        <v>234</v>
      </c>
      <c r="D170" s="431" t="s">
        <v>351</v>
      </c>
      <c r="E170" s="431"/>
      <c r="F170" s="431"/>
      <c r="G170" s="431"/>
      <c r="H170" s="97">
        <f>H171+H172</f>
        <v>5857.9</v>
      </c>
      <c r="I170" s="97">
        <f>I171+I172</f>
        <v>1921.3</v>
      </c>
      <c r="J170" s="97">
        <f>J171+J172</f>
        <v>1906.6</v>
      </c>
      <c r="K170" s="97">
        <f>K171+K172</f>
        <v>2030</v>
      </c>
      <c r="L170" s="361" t="s">
        <v>106</v>
      </c>
    </row>
    <row r="171" spans="1:12" ht="102" customHeight="1">
      <c r="A171" s="356"/>
      <c r="B171" s="349"/>
      <c r="C171" s="361"/>
      <c r="D171" s="429" t="s">
        <v>32</v>
      </c>
      <c r="E171" s="267" t="s">
        <v>75</v>
      </c>
      <c r="F171" s="358" t="s">
        <v>447</v>
      </c>
      <c r="G171" s="362" t="s">
        <v>421</v>
      </c>
      <c r="H171" s="97">
        <f>I171+J171+K171</f>
        <v>1745.5</v>
      </c>
      <c r="I171" s="98">
        <f>573.9+0.4</f>
        <v>574.29999999999995</v>
      </c>
      <c r="J171" s="98">
        <v>566.6</v>
      </c>
      <c r="K171" s="98">
        <v>604.6</v>
      </c>
      <c r="L171" s="361"/>
    </row>
    <row r="172" spans="1:12" ht="75" customHeight="1">
      <c r="A172" s="356"/>
      <c r="B172" s="349"/>
      <c r="C172" s="361"/>
      <c r="D172" s="429"/>
      <c r="E172" s="267" t="s">
        <v>77</v>
      </c>
      <c r="F172" s="358"/>
      <c r="G172" s="362"/>
      <c r="H172" s="97">
        <f>I172+J172+K172</f>
        <v>4112.3999999999996</v>
      </c>
      <c r="I172" s="98">
        <v>1347</v>
      </c>
      <c r="J172" s="98">
        <v>1340</v>
      </c>
      <c r="K172" s="98">
        <v>1425.4</v>
      </c>
      <c r="L172" s="361"/>
    </row>
    <row r="173" spans="1:12" ht="135" customHeight="1">
      <c r="A173" s="356"/>
      <c r="B173" s="349"/>
      <c r="C173" s="267" t="s">
        <v>235</v>
      </c>
      <c r="D173" s="151" t="s">
        <v>28</v>
      </c>
      <c r="E173" s="267" t="s">
        <v>76</v>
      </c>
      <c r="F173" s="272" t="s">
        <v>447</v>
      </c>
      <c r="G173" s="278" t="s">
        <v>421</v>
      </c>
      <c r="H173" s="97">
        <f>I173+J173+K173</f>
        <v>533.4</v>
      </c>
      <c r="I173" s="98">
        <v>120</v>
      </c>
      <c r="J173" s="98">
        <v>200</v>
      </c>
      <c r="K173" s="98">
        <v>213.4</v>
      </c>
      <c r="L173" s="140" t="s">
        <v>107</v>
      </c>
    </row>
    <row r="174" spans="1:12" ht="75" customHeight="1">
      <c r="A174" s="356"/>
      <c r="B174" s="349"/>
      <c r="C174" s="425" t="s">
        <v>274</v>
      </c>
      <c r="D174" s="431" t="s">
        <v>352</v>
      </c>
      <c r="E174" s="431"/>
      <c r="F174" s="431"/>
      <c r="G174" s="431"/>
      <c r="H174" s="97">
        <f>H175+H176+H177</f>
        <v>19170.519</v>
      </c>
      <c r="I174" s="97">
        <f>I175+I176+I177</f>
        <v>11499.719000000001</v>
      </c>
      <c r="J174" s="97">
        <f>J175+J176+J177</f>
        <v>7670.8</v>
      </c>
      <c r="K174" s="97">
        <f>K175+K176+K177</f>
        <v>0</v>
      </c>
      <c r="L174" s="357" t="s">
        <v>68</v>
      </c>
    </row>
    <row r="175" spans="1:12" ht="189.75" customHeight="1">
      <c r="A175" s="356"/>
      <c r="B175" s="349"/>
      <c r="C175" s="425"/>
      <c r="D175" s="429" t="s">
        <v>33</v>
      </c>
      <c r="E175" s="361" t="s">
        <v>447</v>
      </c>
      <c r="F175" s="360"/>
      <c r="G175" s="271" t="s">
        <v>98</v>
      </c>
      <c r="H175" s="97">
        <f>I175+J175+K175</f>
        <v>1490.1</v>
      </c>
      <c r="I175" s="98">
        <v>1490.1</v>
      </c>
      <c r="J175" s="103">
        <v>0</v>
      </c>
      <c r="K175" s="98">
        <v>0</v>
      </c>
      <c r="L175" s="357"/>
    </row>
    <row r="176" spans="1:12" ht="204" customHeight="1">
      <c r="A176" s="356"/>
      <c r="B176" s="349"/>
      <c r="C176" s="425"/>
      <c r="D176" s="429"/>
      <c r="E176" s="361"/>
      <c r="F176" s="360"/>
      <c r="G176" s="271" t="s">
        <v>99</v>
      </c>
      <c r="H176" s="97">
        <f>I176+J176+K176</f>
        <v>14280.419000000002</v>
      </c>
      <c r="I176" s="98">
        <f>4342.569+2267.05</f>
        <v>6609.6190000000006</v>
      </c>
      <c r="J176" s="103">
        <v>7670.8</v>
      </c>
      <c r="K176" s="98">
        <v>0</v>
      </c>
      <c r="L176" s="357"/>
    </row>
    <row r="177" spans="1:12" ht="85.5" customHeight="1">
      <c r="A177" s="356"/>
      <c r="B177" s="349"/>
      <c r="C177" s="425"/>
      <c r="D177" s="429"/>
      <c r="E177" s="361"/>
      <c r="F177" s="360"/>
      <c r="G177" s="271" t="s">
        <v>423</v>
      </c>
      <c r="H177" s="97">
        <f>I177+J177+K177</f>
        <v>3400</v>
      </c>
      <c r="I177" s="98">
        <f>1600+800+1000</f>
        <v>3400</v>
      </c>
      <c r="J177" s="98">
        <v>0</v>
      </c>
      <c r="K177" s="98">
        <v>0</v>
      </c>
      <c r="L177" s="357"/>
    </row>
    <row r="178" spans="1:12" ht="75" customHeight="1">
      <c r="A178" s="356"/>
      <c r="B178" s="349"/>
      <c r="C178" s="361" t="s">
        <v>275</v>
      </c>
      <c r="D178" s="386" t="s">
        <v>353</v>
      </c>
      <c r="E178" s="387"/>
      <c r="F178" s="387"/>
      <c r="G178" s="388"/>
      <c r="H178" s="97">
        <f>SUM(H179:H183)</f>
        <v>2915.16</v>
      </c>
      <c r="I178" s="97">
        <f>SUM(I179:I183)</f>
        <v>789.51</v>
      </c>
      <c r="J178" s="97">
        <f>SUM(J179:J183)</f>
        <v>1030.3</v>
      </c>
      <c r="K178" s="97">
        <f>SUM(K179:K183)</f>
        <v>1095.3499999999999</v>
      </c>
      <c r="L178" s="361" t="s">
        <v>50</v>
      </c>
    </row>
    <row r="179" spans="1:12" s="135" customFormat="1" ht="75" customHeight="1">
      <c r="A179" s="356"/>
      <c r="B179" s="349"/>
      <c r="C179" s="361"/>
      <c r="D179" s="354" t="s">
        <v>28</v>
      </c>
      <c r="E179" s="357" t="s">
        <v>81</v>
      </c>
      <c r="F179" s="358" t="s">
        <v>448</v>
      </c>
      <c r="G179" s="271" t="s">
        <v>421</v>
      </c>
      <c r="H179" s="97">
        <f>I179+J179+K179</f>
        <v>1045.1100000000001</v>
      </c>
      <c r="I179" s="98">
        <f>307.81</f>
        <v>307.81</v>
      </c>
      <c r="J179" s="98">
        <v>356.7</v>
      </c>
      <c r="K179" s="98">
        <v>380.6</v>
      </c>
      <c r="L179" s="361"/>
    </row>
    <row r="180" spans="1:12" s="135" customFormat="1" ht="170.25" customHeight="1">
      <c r="A180" s="356"/>
      <c r="B180" s="349"/>
      <c r="C180" s="361"/>
      <c r="D180" s="355"/>
      <c r="E180" s="357"/>
      <c r="F180" s="358"/>
      <c r="G180" s="271" t="s">
        <v>98</v>
      </c>
      <c r="H180" s="97">
        <f>I180+J180+K180</f>
        <v>0.6</v>
      </c>
      <c r="I180" s="98">
        <v>0.6</v>
      </c>
      <c r="J180" s="98"/>
      <c r="K180" s="98"/>
      <c r="L180" s="361"/>
    </row>
    <row r="181" spans="1:12" s="135" customFormat="1" ht="75" customHeight="1">
      <c r="A181" s="356"/>
      <c r="B181" s="349"/>
      <c r="C181" s="361"/>
      <c r="D181" s="152" t="s">
        <v>28</v>
      </c>
      <c r="E181" s="267" t="s">
        <v>75</v>
      </c>
      <c r="F181" s="358"/>
      <c r="G181" s="362" t="s">
        <v>421</v>
      </c>
      <c r="H181" s="97">
        <f>I181+J181+K181</f>
        <v>1126.2</v>
      </c>
      <c r="I181" s="98">
        <f>384-96</f>
        <v>288</v>
      </c>
      <c r="J181" s="98">
        <v>405.5</v>
      </c>
      <c r="K181" s="98">
        <v>432.7</v>
      </c>
      <c r="L181" s="361"/>
    </row>
    <row r="182" spans="1:12" s="135" customFormat="1" ht="75" customHeight="1">
      <c r="A182" s="356"/>
      <c r="B182" s="349"/>
      <c r="C182" s="361"/>
      <c r="D182" s="152" t="s">
        <v>28</v>
      </c>
      <c r="E182" s="267" t="s">
        <v>76</v>
      </c>
      <c r="F182" s="358"/>
      <c r="G182" s="362"/>
      <c r="H182" s="97">
        <f>I182+J182+K182</f>
        <v>689.05</v>
      </c>
      <c r="I182" s="98">
        <f>193.3-17</f>
        <v>176.3</v>
      </c>
      <c r="J182" s="98">
        <v>250</v>
      </c>
      <c r="K182" s="98">
        <f>J182*1.051</f>
        <v>262.75</v>
      </c>
      <c r="L182" s="361"/>
    </row>
    <row r="183" spans="1:12" s="135" customFormat="1" ht="75" customHeight="1">
      <c r="A183" s="356"/>
      <c r="B183" s="349"/>
      <c r="C183" s="361"/>
      <c r="D183" s="152" t="s">
        <v>28</v>
      </c>
      <c r="E183" s="267" t="s">
        <v>74</v>
      </c>
      <c r="F183" s="358"/>
      <c r="G183" s="362"/>
      <c r="H183" s="97">
        <f>I183+J183+K183</f>
        <v>54.2</v>
      </c>
      <c r="I183" s="98">
        <v>16.8</v>
      </c>
      <c r="J183" s="98">
        <v>18.100000000000001</v>
      </c>
      <c r="K183" s="98">
        <v>19.3</v>
      </c>
      <c r="L183" s="361"/>
    </row>
    <row r="184" spans="1:12" ht="75" customHeight="1">
      <c r="A184" s="568" t="s">
        <v>65</v>
      </c>
      <c r="B184" s="569"/>
      <c r="C184" s="569"/>
      <c r="D184" s="569"/>
      <c r="E184" s="569"/>
      <c r="F184" s="570"/>
      <c r="G184" s="296"/>
      <c r="H184" s="97">
        <f>H158+H161+H164+H165+H169+H170+H173+H174+H178</f>
        <v>73695.431300000011</v>
      </c>
      <c r="I184" s="97">
        <f>I158+I161+I164+I165+I169+I170+I173+I174+I178</f>
        <v>29168.828999999998</v>
      </c>
      <c r="J184" s="97">
        <f>J158+J161+J164+J165+J169+J170+J173+J174+J178</f>
        <v>25508.399999999998</v>
      </c>
      <c r="K184" s="97">
        <f>K158+K161+K164+K165+K169+K170+K173+K174+K178</f>
        <v>19018.202300000001</v>
      </c>
      <c r="L184" s="372"/>
    </row>
    <row r="185" spans="1:12" s="135" customFormat="1" ht="75" customHeight="1">
      <c r="A185" s="359" t="s">
        <v>17</v>
      </c>
      <c r="B185" s="359"/>
      <c r="C185" s="125"/>
      <c r="D185" s="153"/>
      <c r="E185" s="154"/>
      <c r="F185" s="155"/>
      <c r="G185" s="147" t="s">
        <v>421</v>
      </c>
      <c r="H185" s="110">
        <f>H159+H160+H162+H163+H164+H166+H167+H168+H169+H171+H172+H173+H177+H179+H181+H182+H183</f>
        <v>57924.312299999998</v>
      </c>
      <c r="I185" s="110">
        <f>I159+I160+I162+I163+I164+I166+I167+I168+I169+I171+I172+I173+I177+I179+I181+I182+I183</f>
        <v>21068.51</v>
      </c>
      <c r="J185" s="110">
        <f>J159+J160+J162+J163+J164+J166+J167+J168+J169+J171+J172+J173+J177+J179+J181+J182+J183</f>
        <v>17837.600000000002</v>
      </c>
      <c r="K185" s="110">
        <f>K159+K160+K162+K163+K164+K166+K167+K168+K169+K171+K172+K173+K177+K179+K181+K182+K183</f>
        <v>19018.202300000001</v>
      </c>
      <c r="L185" s="373"/>
    </row>
    <row r="186" spans="1:12" s="135" customFormat="1" ht="181.5" customHeight="1">
      <c r="A186" s="156"/>
      <c r="B186" s="26"/>
      <c r="C186" s="154"/>
      <c r="D186" s="153"/>
      <c r="E186" s="154"/>
      <c r="F186" s="157"/>
      <c r="G186" s="148" t="s">
        <v>98</v>
      </c>
      <c r="H186" s="112">
        <f>H180+H175</f>
        <v>1490.6999999999998</v>
      </c>
      <c r="I186" s="112">
        <f>I180+I175</f>
        <v>1490.6999999999998</v>
      </c>
      <c r="J186" s="112">
        <f>J180+J175</f>
        <v>0</v>
      </c>
      <c r="K186" s="112">
        <f>K180+K175</f>
        <v>0</v>
      </c>
      <c r="L186" s="373"/>
    </row>
    <row r="187" spans="1:12" s="135" customFormat="1" ht="225" customHeight="1">
      <c r="A187" s="156"/>
      <c r="B187" s="26"/>
      <c r="C187" s="154"/>
      <c r="D187" s="153"/>
      <c r="E187" s="154"/>
      <c r="F187" s="157"/>
      <c r="G187" s="149" t="s">
        <v>99</v>
      </c>
      <c r="H187" s="112">
        <f>H176</f>
        <v>14280.419000000002</v>
      </c>
      <c r="I187" s="112">
        <f>I176</f>
        <v>6609.6190000000006</v>
      </c>
      <c r="J187" s="112">
        <f>J176</f>
        <v>7670.8</v>
      </c>
      <c r="K187" s="112">
        <f>K176</f>
        <v>0</v>
      </c>
      <c r="L187" s="373"/>
    </row>
    <row r="188" spans="1:12" s="135" customFormat="1" ht="75" customHeight="1">
      <c r="A188" s="349" t="s">
        <v>276</v>
      </c>
      <c r="B188" s="349"/>
      <c r="C188" s="349"/>
      <c r="D188" s="349"/>
      <c r="E188" s="403" t="s">
        <v>81</v>
      </c>
      <c r="F188" s="403"/>
      <c r="G188" s="158" t="s">
        <v>97</v>
      </c>
      <c r="H188" s="102">
        <f>SUM(H189:H190)</f>
        <v>1045.71</v>
      </c>
      <c r="I188" s="102">
        <f>SUM(I189:I190)</f>
        <v>308.41000000000003</v>
      </c>
      <c r="J188" s="102">
        <f>SUM(J189:J190)</f>
        <v>356.7</v>
      </c>
      <c r="K188" s="102">
        <f>SUM(K189:K190)</f>
        <v>380.6</v>
      </c>
      <c r="L188" s="373"/>
    </row>
    <row r="189" spans="1:12" s="135" customFormat="1" ht="75" customHeight="1">
      <c r="A189" s="349"/>
      <c r="B189" s="349"/>
      <c r="C189" s="349"/>
      <c r="D189" s="349"/>
      <c r="E189" s="403"/>
      <c r="F189" s="403"/>
      <c r="G189" s="296" t="s">
        <v>98</v>
      </c>
      <c r="H189" s="102">
        <f>H180</f>
        <v>0.6</v>
      </c>
      <c r="I189" s="102">
        <f>I180</f>
        <v>0.6</v>
      </c>
      <c r="J189" s="102">
        <f>J180</f>
        <v>0</v>
      </c>
      <c r="K189" s="102">
        <f>K180</f>
        <v>0</v>
      </c>
      <c r="L189" s="373"/>
    </row>
    <row r="190" spans="1:12" s="135" customFormat="1" ht="75" customHeight="1">
      <c r="A190" s="349"/>
      <c r="B190" s="349"/>
      <c r="C190" s="349"/>
      <c r="D190" s="349"/>
      <c r="E190" s="403"/>
      <c r="F190" s="403"/>
      <c r="G190" s="296" t="s">
        <v>421</v>
      </c>
      <c r="H190" s="102">
        <f>H179</f>
        <v>1045.1100000000001</v>
      </c>
      <c r="I190" s="102">
        <f>I179</f>
        <v>307.81</v>
      </c>
      <c r="J190" s="102">
        <f>J179</f>
        <v>356.7</v>
      </c>
      <c r="K190" s="102">
        <f>K179</f>
        <v>380.6</v>
      </c>
      <c r="L190" s="373"/>
    </row>
    <row r="191" spans="1:12" ht="75" customHeight="1">
      <c r="A191" s="349"/>
      <c r="B191" s="349"/>
      <c r="C191" s="349"/>
      <c r="D191" s="349"/>
      <c r="E191" s="403" t="s">
        <v>75</v>
      </c>
      <c r="F191" s="403"/>
      <c r="G191" s="380" t="s">
        <v>421</v>
      </c>
      <c r="H191" s="102">
        <f>H181+H171</f>
        <v>2871.7</v>
      </c>
      <c r="I191" s="102">
        <f>I181+I171</f>
        <v>862.3</v>
      </c>
      <c r="J191" s="102">
        <f>J181+J171</f>
        <v>972.1</v>
      </c>
      <c r="K191" s="102">
        <f>K181+K171</f>
        <v>1037.3</v>
      </c>
      <c r="L191" s="373"/>
    </row>
    <row r="192" spans="1:12" ht="75" customHeight="1">
      <c r="A192" s="349"/>
      <c r="B192" s="349"/>
      <c r="C192" s="349"/>
      <c r="D192" s="349"/>
      <c r="E192" s="403" t="s">
        <v>76</v>
      </c>
      <c r="F192" s="403"/>
      <c r="G192" s="381"/>
      <c r="H192" s="102">
        <f>H182+H173</f>
        <v>1222.4499999999998</v>
      </c>
      <c r="I192" s="102">
        <f>I182+I173</f>
        <v>296.3</v>
      </c>
      <c r="J192" s="102">
        <f>J182+J173</f>
        <v>450</v>
      </c>
      <c r="K192" s="102">
        <f>K182+K173</f>
        <v>476.15</v>
      </c>
      <c r="L192" s="373"/>
    </row>
    <row r="193" spans="1:15" ht="75" customHeight="1">
      <c r="A193" s="349"/>
      <c r="B193" s="349"/>
      <c r="C193" s="349"/>
      <c r="D193" s="349"/>
      <c r="E193" s="403" t="s">
        <v>74</v>
      </c>
      <c r="F193" s="403"/>
      <c r="G193" s="381"/>
      <c r="H193" s="102">
        <f>H183+H169+H166+H164</f>
        <v>5274.7</v>
      </c>
      <c r="I193" s="102">
        <f>I183+I169+I166+I164</f>
        <v>2136.8000000000002</v>
      </c>
      <c r="J193" s="102">
        <f>J183+J169+J166+J164</f>
        <v>1518.1</v>
      </c>
      <c r="K193" s="102">
        <f>K183+K169+K166+K164</f>
        <v>1619.8</v>
      </c>
      <c r="L193" s="373"/>
    </row>
    <row r="194" spans="1:15" ht="75" customHeight="1">
      <c r="A194" s="349"/>
      <c r="B194" s="349"/>
      <c r="C194" s="349"/>
      <c r="D194" s="349"/>
      <c r="E194" s="404" t="s">
        <v>77</v>
      </c>
      <c r="F194" s="405"/>
      <c r="G194" s="381"/>
      <c r="H194" s="102">
        <f>H172</f>
        <v>4112.3999999999996</v>
      </c>
      <c r="I194" s="102">
        <f>I172</f>
        <v>1347</v>
      </c>
      <c r="J194" s="102">
        <f>J172</f>
        <v>1340</v>
      </c>
      <c r="K194" s="102">
        <f>K172</f>
        <v>1425.4</v>
      </c>
      <c r="L194" s="373"/>
    </row>
    <row r="195" spans="1:15" ht="75" customHeight="1">
      <c r="A195" s="349"/>
      <c r="B195" s="349"/>
      <c r="C195" s="349"/>
      <c r="D195" s="349"/>
      <c r="E195" s="403" t="s">
        <v>79</v>
      </c>
      <c r="F195" s="403"/>
      <c r="G195" s="381"/>
      <c r="H195" s="102">
        <f t="shared" ref="H195:K196" si="16">H159+H162+H167</f>
        <v>18488.400000000001</v>
      </c>
      <c r="I195" s="102">
        <f t="shared" si="16"/>
        <v>5852</v>
      </c>
      <c r="J195" s="102">
        <f t="shared" si="16"/>
        <v>6113.4</v>
      </c>
      <c r="K195" s="102">
        <f t="shared" si="16"/>
        <v>6523</v>
      </c>
      <c r="L195" s="373"/>
    </row>
    <row r="196" spans="1:15" ht="75" customHeight="1">
      <c r="A196" s="349"/>
      <c r="B196" s="349"/>
      <c r="C196" s="349"/>
      <c r="D196" s="349"/>
      <c r="E196" s="403" t="s">
        <v>80</v>
      </c>
      <c r="F196" s="403"/>
      <c r="G196" s="382"/>
      <c r="H196" s="102">
        <f t="shared" si="16"/>
        <v>21509.552300000003</v>
      </c>
      <c r="I196" s="102">
        <f t="shared" si="16"/>
        <v>6866.2999999999993</v>
      </c>
      <c r="J196" s="102">
        <f t="shared" si="16"/>
        <v>7087.3</v>
      </c>
      <c r="K196" s="102">
        <f t="shared" si="16"/>
        <v>7555.952299999999</v>
      </c>
      <c r="L196" s="373"/>
    </row>
    <row r="197" spans="1:15" ht="75" customHeight="1">
      <c r="A197" s="349"/>
      <c r="B197" s="349"/>
      <c r="C197" s="349"/>
      <c r="D197" s="349"/>
      <c r="E197" s="403" t="s">
        <v>449</v>
      </c>
      <c r="F197" s="403"/>
      <c r="G197" s="158" t="s">
        <v>97</v>
      </c>
      <c r="H197" s="97">
        <f>SUM(H198:H200)</f>
        <v>19170.519</v>
      </c>
      <c r="I197" s="97">
        <f>SUM(I198:I200)</f>
        <v>11499.719000000001</v>
      </c>
      <c r="J197" s="97">
        <f>SUM(J198:J200)</f>
        <v>7670.8</v>
      </c>
      <c r="K197" s="97">
        <f>SUM(K198:K200)</f>
        <v>0</v>
      </c>
      <c r="L197" s="373"/>
    </row>
    <row r="198" spans="1:15" ht="168.75" customHeight="1">
      <c r="A198" s="349"/>
      <c r="B198" s="349"/>
      <c r="C198" s="349"/>
      <c r="D198" s="349"/>
      <c r="E198" s="403"/>
      <c r="F198" s="403"/>
      <c r="G198" s="296" t="s">
        <v>98</v>
      </c>
      <c r="H198" s="97">
        <f t="shared" ref="H198:K200" si="17">H175</f>
        <v>1490.1</v>
      </c>
      <c r="I198" s="97">
        <f t="shared" si="17"/>
        <v>1490.1</v>
      </c>
      <c r="J198" s="97">
        <f t="shared" si="17"/>
        <v>0</v>
      </c>
      <c r="K198" s="97">
        <f t="shared" si="17"/>
        <v>0</v>
      </c>
      <c r="L198" s="373"/>
    </row>
    <row r="199" spans="1:15" ht="227.25" customHeight="1">
      <c r="A199" s="349"/>
      <c r="B199" s="349"/>
      <c r="C199" s="349"/>
      <c r="D199" s="349"/>
      <c r="E199" s="403"/>
      <c r="F199" s="403"/>
      <c r="G199" s="296" t="s">
        <v>99</v>
      </c>
      <c r="H199" s="97">
        <f t="shared" si="17"/>
        <v>14280.419000000002</v>
      </c>
      <c r="I199" s="97">
        <f t="shared" si="17"/>
        <v>6609.6190000000006</v>
      </c>
      <c r="J199" s="97">
        <f t="shared" si="17"/>
        <v>7670.8</v>
      </c>
      <c r="K199" s="97">
        <f t="shared" si="17"/>
        <v>0</v>
      </c>
      <c r="L199" s="373"/>
    </row>
    <row r="200" spans="1:15" ht="75" customHeight="1">
      <c r="A200" s="349"/>
      <c r="B200" s="349"/>
      <c r="C200" s="349"/>
      <c r="D200" s="349"/>
      <c r="E200" s="403"/>
      <c r="F200" s="403"/>
      <c r="G200" s="296" t="s">
        <v>423</v>
      </c>
      <c r="H200" s="97">
        <f t="shared" si="17"/>
        <v>3400</v>
      </c>
      <c r="I200" s="97">
        <f t="shared" si="17"/>
        <v>3400</v>
      </c>
      <c r="J200" s="97">
        <f t="shared" si="17"/>
        <v>0</v>
      </c>
      <c r="K200" s="97">
        <f t="shared" si="17"/>
        <v>0</v>
      </c>
      <c r="L200" s="406"/>
    </row>
    <row r="201" spans="1:15" ht="75" customHeight="1">
      <c r="A201" s="571" t="s">
        <v>391</v>
      </c>
      <c r="B201" s="572"/>
      <c r="C201" s="572"/>
      <c r="D201" s="572"/>
      <c r="E201" s="572"/>
      <c r="F201" s="572"/>
      <c r="G201" s="572"/>
      <c r="H201" s="572"/>
      <c r="I201" s="572"/>
      <c r="J201" s="572"/>
      <c r="K201" s="572"/>
      <c r="L201" s="573"/>
    </row>
    <row r="202" spans="1:15" ht="167.25" customHeight="1">
      <c r="A202" s="407" t="s">
        <v>236</v>
      </c>
      <c r="B202" s="340" t="s">
        <v>211</v>
      </c>
      <c r="C202" s="288" t="s">
        <v>237</v>
      </c>
      <c r="D202" s="144" t="s">
        <v>32</v>
      </c>
      <c r="E202" s="239" t="s">
        <v>449</v>
      </c>
      <c r="F202" s="273"/>
      <c r="G202" s="279" t="s">
        <v>422</v>
      </c>
      <c r="H202" s="36">
        <f>I202+J202+K202</f>
        <v>0</v>
      </c>
      <c r="I202" s="113"/>
      <c r="J202" s="113"/>
      <c r="K202" s="113"/>
      <c r="L202" s="40" t="s">
        <v>325</v>
      </c>
    </row>
    <row r="203" spans="1:15" ht="184.5" customHeight="1">
      <c r="A203" s="408"/>
      <c r="B203" s="342"/>
      <c r="C203" s="288" t="s">
        <v>321</v>
      </c>
      <c r="D203" s="144" t="s">
        <v>32</v>
      </c>
      <c r="E203" s="239" t="s">
        <v>449</v>
      </c>
      <c r="F203" s="268"/>
      <c r="G203" s="279" t="s">
        <v>422</v>
      </c>
      <c r="H203" s="36">
        <f>I203+J203+K203</f>
        <v>0</v>
      </c>
      <c r="I203" s="113">
        <v>0</v>
      </c>
      <c r="J203" s="37"/>
      <c r="K203" s="37"/>
      <c r="L203" s="40" t="s">
        <v>322</v>
      </c>
    </row>
    <row r="204" spans="1:15" ht="75" customHeight="1">
      <c r="A204" s="159"/>
      <c r="B204" s="400"/>
      <c r="C204" s="401"/>
      <c r="D204" s="402"/>
      <c r="E204" s="265" t="s">
        <v>356</v>
      </c>
      <c r="F204" s="160"/>
      <c r="G204" s="279" t="s">
        <v>422</v>
      </c>
      <c r="H204" s="36">
        <f>H202+H203</f>
        <v>0</v>
      </c>
      <c r="I204" s="36">
        <f>I202+I203</f>
        <v>0</v>
      </c>
      <c r="J204" s="36">
        <f>J202+J203</f>
        <v>0</v>
      </c>
      <c r="K204" s="36">
        <f>K202+K203</f>
        <v>0</v>
      </c>
      <c r="L204" s="40"/>
    </row>
    <row r="205" spans="1:15" ht="256.5" customHeight="1">
      <c r="A205" s="281" t="s">
        <v>238</v>
      </c>
      <c r="B205" s="39" t="s">
        <v>212</v>
      </c>
      <c r="C205" s="33" t="s">
        <v>240</v>
      </c>
      <c r="D205" s="292" t="s">
        <v>31</v>
      </c>
      <c r="E205" s="239" t="s">
        <v>449</v>
      </c>
      <c r="F205" s="269"/>
      <c r="G205" s="271" t="s">
        <v>421</v>
      </c>
      <c r="H205" s="36">
        <f>I205+J205+K205</f>
        <v>8931.2000000000007</v>
      </c>
      <c r="I205" s="37">
        <v>2894.2</v>
      </c>
      <c r="J205" s="37">
        <v>3049.3</v>
      </c>
      <c r="K205" s="37">
        <f>2931+56.7</f>
        <v>2987.7</v>
      </c>
      <c r="L205" s="40" t="s">
        <v>69</v>
      </c>
    </row>
    <row r="206" spans="1:15" ht="170.25" customHeight="1">
      <c r="A206" s="574" t="s">
        <v>239</v>
      </c>
      <c r="B206" s="349" t="s">
        <v>93</v>
      </c>
      <c r="C206" s="288" t="s">
        <v>241</v>
      </c>
      <c r="D206" s="292" t="s">
        <v>32</v>
      </c>
      <c r="E206" s="239" t="s">
        <v>449</v>
      </c>
      <c r="F206" s="268"/>
      <c r="G206" s="271" t="s">
        <v>421</v>
      </c>
      <c r="H206" s="161">
        <f>I206+J206+K206</f>
        <v>10988</v>
      </c>
      <c r="I206" s="37">
        <f>15739-1800-2951</f>
        <v>10988</v>
      </c>
      <c r="J206" s="37">
        <f>2500-2000-500</f>
        <v>0</v>
      </c>
      <c r="K206" s="37">
        <v>0</v>
      </c>
      <c r="L206" s="40" t="s">
        <v>355</v>
      </c>
      <c r="O206" s="305"/>
    </row>
    <row r="207" spans="1:15" ht="75" customHeight="1">
      <c r="A207" s="574"/>
      <c r="B207" s="349"/>
      <c r="C207" s="357" t="s">
        <v>242</v>
      </c>
      <c r="D207" s="431" t="s">
        <v>354</v>
      </c>
      <c r="E207" s="431"/>
      <c r="F207" s="431"/>
      <c r="G207" s="431"/>
      <c r="H207" s="41">
        <f>H208+H209</f>
        <v>9258.99</v>
      </c>
      <c r="I207" s="38">
        <f>I208+I209</f>
        <v>9258.99</v>
      </c>
      <c r="J207" s="38">
        <f>J208+J209</f>
        <v>0</v>
      </c>
      <c r="K207" s="38">
        <f>K208+K209</f>
        <v>0</v>
      </c>
      <c r="L207" s="343" t="s">
        <v>64</v>
      </c>
    </row>
    <row r="208" spans="1:15" s="10" customFormat="1" ht="231.75" customHeight="1">
      <c r="A208" s="574"/>
      <c r="B208" s="349"/>
      <c r="C208" s="357"/>
      <c r="D208" s="24" t="s">
        <v>35</v>
      </c>
      <c r="E208" s="267" t="s">
        <v>79</v>
      </c>
      <c r="F208" s="271" t="s">
        <v>448</v>
      </c>
      <c r="G208" s="271" t="s">
        <v>99</v>
      </c>
      <c r="H208" s="41">
        <f t="shared" ref="H208:H215" si="18">I208+J208+K208</f>
        <v>2.5</v>
      </c>
      <c r="I208" s="37">
        <v>2.5</v>
      </c>
      <c r="J208" s="37"/>
      <c r="K208" s="37"/>
      <c r="L208" s="344"/>
    </row>
    <row r="209" spans="1:12" s="10" customFormat="1" ht="75" customHeight="1">
      <c r="A209" s="574"/>
      <c r="B209" s="349"/>
      <c r="C209" s="357"/>
      <c r="D209" s="415" t="s">
        <v>97</v>
      </c>
      <c r="E209" s="415"/>
      <c r="F209" s="415"/>
      <c r="G209" s="415"/>
      <c r="H209" s="41">
        <f>H210+H211+H213+H214+H215+H212</f>
        <v>9256.49</v>
      </c>
      <c r="I209" s="38">
        <f>I210+I211+I213+I214+I215+I212</f>
        <v>9256.49</v>
      </c>
      <c r="J209" s="38">
        <f>J210+J211+J213+J214+J215</f>
        <v>0</v>
      </c>
      <c r="K209" s="38">
        <f>K210+K211+K213+K214+K215</f>
        <v>0</v>
      </c>
      <c r="L209" s="344"/>
    </row>
    <row r="210" spans="1:12" s="10" customFormat="1" ht="75" customHeight="1">
      <c r="A210" s="574"/>
      <c r="B210" s="349"/>
      <c r="C210" s="357"/>
      <c r="D210" s="24" t="s">
        <v>35</v>
      </c>
      <c r="E210" s="267" t="s">
        <v>79</v>
      </c>
      <c r="F210" s="362" t="s">
        <v>448</v>
      </c>
      <c r="G210" s="362" t="s">
        <v>421</v>
      </c>
      <c r="H210" s="41">
        <f t="shared" si="18"/>
        <v>241.91</v>
      </c>
      <c r="I210" s="37">
        <f>50+51.31+140.6</f>
        <v>241.91</v>
      </c>
      <c r="J210" s="37"/>
      <c r="K210" s="37"/>
      <c r="L210" s="344"/>
    </row>
    <row r="211" spans="1:12" s="10" customFormat="1" ht="75" customHeight="1">
      <c r="A211" s="574"/>
      <c r="B211" s="349"/>
      <c r="C211" s="357"/>
      <c r="D211" s="24" t="s">
        <v>35</v>
      </c>
      <c r="E211" s="267" t="s">
        <v>80</v>
      </c>
      <c r="F211" s="362"/>
      <c r="G211" s="362"/>
      <c r="H211" s="41">
        <f t="shared" si="18"/>
        <v>187.78</v>
      </c>
      <c r="I211" s="37">
        <f>50+43.38+94.4</f>
        <v>187.78</v>
      </c>
      <c r="J211" s="37"/>
      <c r="K211" s="37"/>
      <c r="L211" s="344"/>
    </row>
    <row r="212" spans="1:12" s="10" customFormat="1" ht="75" customHeight="1">
      <c r="A212" s="574"/>
      <c r="B212" s="349"/>
      <c r="C212" s="357"/>
      <c r="D212" s="24" t="s">
        <v>35</v>
      </c>
      <c r="E212" s="267" t="s">
        <v>81</v>
      </c>
      <c r="F212" s="362"/>
      <c r="G212" s="362"/>
      <c r="H212" s="41">
        <f t="shared" si="18"/>
        <v>206.8</v>
      </c>
      <c r="I212" s="37">
        <v>206.8</v>
      </c>
      <c r="J212" s="37"/>
      <c r="K212" s="37"/>
      <c r="L212" s="344"/>
    </row>
    <row r="213" spans="1:12" s="10" customFormat="1" ht="75" customHeight="1">
      <c r="A213" s="574"/>
      <c r="B213" s="349"/>
      <c r="C213" s="357"/>
      <c r="D213" s="24" t="s">
        <v>28</v>
      </c>
      <c r="E213" s="267" t="s">
        <v>75</v>
      </c>
      <c r="F213" s="362"/>
      <c r="G213" s="362"/>
      <c r="H213" s="41">
        <f t="shared" si="18"/>
        <v>1422.3</v>
      </c>
      <c r="I213" s="37">
        <f>50+571.7+307.8+492.8</f>
        <v>1422.3</v>
      </c>
      <c r="J213" s="37"/>
      <c r="K213" s="37"/>
      <c r="L213" s="344"/>
    </row>
    <row r="214" spans="1:12" s="10" customFormat="1" ht="75" customHeight="1">
      <c r="A214" s="574"/>
      <c r="B214" s="349"/>
      <c r="C214" s="357"/>
      <c r="D214" s="24" t="s">
        <v>28</v>
      </c>
      <c r="E214" s="267" t="s">
        <v>76</v>
      </c>
      <c r="F214" s="362"/>
      <c r="G214" s="362"/>
      <c r="H214" s="41">
        <f t="shared" si="18"/>
        <v>5874.3</v>
      </c>
      <c r="I214" s="37">
        <f>150+1176.7+3635.5+912.1</f>
        <v>5874.3</v>
      </c>
      <c r="J214" s="37"/>
      <c r="K214" s="37"/>
      <c r="L214" s="344"/>
    </row>
    <row r="215" spans="1:12" s="10" customFormat="1" ht="75" customHeight="1">
      <c r="A215" s="574"/>
      <c r="B215" s="349"/>
      <c r="C215" s="357"/>
      <c r="D215" s="24" t="s">
        <v>28</v>
      </c>
      <c r="E215" s="267" t="s">
        <v>74</v>
      </c>
      <c r="F215" s="362"/>
      <c r="G215" s="362"/>
      <c r="H215" s="41">
        <f t="shared" si="18"/>
        <v>1323.4</v>
      </c>
      <c r="I215" s="37">
        <v>1323.4</v>
      </c>
      <c r="J215" s="37"/>
      <c r="K215" s="37"/>
      <c r="L215" s="345"/>
    </row>
    <row r="216" spans="1:12" ht="75" customHeight="1">
      <c r="A216" s="574"/>
      <c r="B216" s="495"/>
      <c r="C216" s="495"/>
      <c r="D216" s="495"/>
      <c r="E216" s="162" t="s">
        <v>357</v>
      </c>
      <c r="F216" s="151"/>
      <c r="G216" s="151"/>
      <c r="H216" s="105">
        <f>H206+H207</f>
        <v>20246.989999999998</v>
      </c>
      <c r="I216" s="105">
        <f>I206+I207</f>
        <v>20246.989999999998</v>
      </c>
      <c r="J216" s="105">
        <f>J206+J207</f>
        <v>0</v>
      </c>
      <c r="K216" s="105">
        <f>K206+K207</f>
        <v>0</v>
      </c>
      <c r="L216" s="372"/>
    </row>
    <row r="217" spans="1:12" ht="139.5" customHeight="1">
      <c r="A217" s="409"/>
      <c r="B217" s="410"/>
      <c r="C217" s="410"/>
      <c r="D217" s="410"/>
      <c r="E217" s="410"/>
      <c r="F217" s="411"/>
      <c r="G217" s="151" t="s">
        <v>421</v>
      </c>
      <c r="H217" s="105">
        <f>H206+H209</f>
        <v>20244.489999999998</v>
      </c>
      <c r="I217" s="114">
        <f>I206+I209</f>
        <v>20244.489999999998</v>
      </c>
      <c r="J217" s="114">
        <f>J206+J209</f>
        <v>0</v>
      </c>
      <c r="K217" s="114">
        <f>K206+K209</f>
        <v>0</v>
      </c>
      <c r="L217" s="373"/>
    </row>
    <row r="218" spans="1:12" ht="210.75" customHeight="1">
      <c r="A218" s="412"/>
      <c r="B218" s="413"/>
      <c r="C218" s="413"/>
      <c r="D218" s="413"/>
      <c r="E218" s="413"/>
      <c r="F218" s="414"/>
      <c r="G218" s="151" t="s">
        <v>99</v>
      </c>
      <c r="H218" s="163">
        <f>H208</f>
        <v>2.5</v>
      </c>
      <c r="I218" s="115">
        <f>I208</f>
        <v>2.5</v>
      </c>
      <c r="J218" s="115">
        <f>J208</f>
        <v>0</v>
      </c>
      <c r="K218" s="115">
        <f>K208</f>
        <v>0</v>
      </c>
      <c r="L218" s="406"/>
    </row>
    <row r="219" spans="1:12" ht="60" customHeight="1">
      <c r="A219" s="568" t="s">
        <v>70</v>
      </c>
      <c r="B219" s="569"/>
      <c r="C219" s="569"/>
      <c r="D219" s="569"/>
      <c r="E219" s="569"/>
      <c r="F219" s="570"/>
      <c r="G219" s="164"/>
      <c r="H219" s="97">
        <f>H204+H205+H216</f>
        <v>29178.19</v>
      </c>
      <c r="I219" s="97">
        <f>I204+I205+I216</f>
        <v>23141.19</v>
      </c>
      <c r="J219" s="97">
        <f>J204+J205+J216</f>
        <v>3049.3</v>
      </c>
      <c r="K219" s="97">
        <f>K204+K205+K216</f>
        <v>2987.7</v>
      </c>
      <c r="L219" s="522"/>
    </row>
    <row r="220" spans="1:12" s="135" customFormat="1" ht="99.75" customHeight="1">
      <c r="A220" s="359" t="s">
        <v>17</v>
      </c>
      <c r="B220" s="359"/>
      <c r="C220" s="125"/>
      <c r="D220" s="153"/>
      <c r="E220" s="154"/>
      <c r="F220" s="155"/>
      <c r="G220" s="147" t="s">
        <v>421</v>
      </c>
      <c r="H220" s="110">
        <f>H217+H205+H204</f>
        <v>29175.69</v>
      </c>
      <c r="I220" s="110">
        <f>I217+I205+I204</f>
        <v>23138.69</v>
      </c>
      <c r="J220" s="110">
        <f>J217+J205+J204</f>
        <v>3049.3</v>
      </c>
      <c r="K220" s="110">
        <f>K217+K205+K204</f>
        <v>2987.7</v>
      </c>
      <c r="L220" s="522"/>
    </row>
    <row r="221" spans="1:12" s="135" customFormat="1" ht="267" customHeight="1">
      <c r="A221" s="165"/>
      <c r="B221" s="295"/>
      <c r="C221" s="125"/>
      <c r="D221" s="153"/>
      <c r="E221" s="154"/>
      <c r="F221" s="155"/>
      <c r="G221" s="149" t="s">
        <v>99</v>
      </c>
      <c r="H221" s="112">
        <f>H208</f>
        <v>2.5</v>
      </c>
      <c r="I221" s="112">
        <f>I208</f>
        <v>2.5</v>
      </c>
      <c r="J221" s="112">
        <f>J208</f>
        <v>0</v>
      </c>
      <c r="K221" s="112">
        <f>K208</f>
        <v>0</v>
      </c>
      <c r="L221" s="522"/>
    </row>
    <row r="222" spans="1:12" s="135" customFormat="1" ht="75" customHeight="1">
      <c r="A222" s="359" t="s">
        <v>94</v>
      </c>
      <c r="B222" s="359"/>
      <c r="C222" s="359"/>
      <c r="D222" s="392"/>
      <c r="E222" s="343" t="s">
        <v>79</v>
      </c>
      <c r="F222" s="346"/>
      <c r="G222" s="158" t="s">
        <v>97</v>
      </c>
      <c r="H222" s="102">
        <f>H223+H224</f>
        <v>244.41</v>
      </c>
      <c r="I222" s="102">
        <f>I223+I224</f>
        <v>244.41</v>
      </c>
      <c r="J222" s="102">
        <f>J223+J224</f>
        <v>0</v>
      </c>
      <c r="K222" s="102">
        <f>K223+K224</f>
        <v>0</v>
      </c>
      <c r="L222" s="522"/>
    </row>
    <row r="223" spans="1:12" s="135" customFormat="1" ht="244.5" customHeight="1">
      <c r="A223" s="393"/>
      <c r="B223" s="393"/>
      <c r="C223" s="393"/>
      <c r="D223" s="394"/>
      <c r="E223" s="344"/>
      <c r="F223" s="347"/>
      <c r="G223" s="296" t="s">
        <v>99</v>
      </c>
      <c r="H223" s="102">
        <f>H208</f>
        <v>2.5</v>
      </c>
      <c r="I223" s="102">
        <f>I208</f>
        <v>2.5</v>
      </c>
      <c r="J223" s="102">
        <f>J208</f>
        <v>0</v>
      </c>
      <c r="K223" s="102">
        <f>K208</f>
        <v>0</v>
      </c>
      <c r="L223" s="522"/>
    </row>
    <row r="224" spans="1:12" ht="77.25" customHeight="1">
      <c r="A224" s="393"/>
      <c r="B224" s="393"/>
      <c r="C224" s="393"/>
      <c r="D224" s="394"/>
      <c r="E224" s="345"/>
      <c r="F224" s="347"/>
      <c r="G224" s="275" t="s">
        <v>421</v>
      </c>
      <c r="H224" s="116">
        <f>H210</f>
        <v>241.91</v>
      </c>
      <c r="I224" s="116">
        <f>I210</f>
        <v>241.91</v>
      </c>
      <c r="J224" s="116">
        <f>J210</f>
        <v>0</v>
      </c>
      <c r="K224" s="116">
        <f>K210</f>
        <v>0</v>
      </c>
      <c r="L224" s="522"/>
    </row>
    <row r="225" spans="1:17" ht="75" customHeight="1">
      <c r="A225" s="393"/>
      <c r="B225" s="393"/>
      <c r="C225" s="393"/>
      <c r="D225" s="394"/>
      <c r="E225" s="267" t="s">
        <v>53</v>
      </c>
      <c r="F225" s="347"/>
      <c r="G225" s="380" t="s">
        <v>421</v>
      </c>
      <c r="H225" s="116">
        <f>H202+H203+H205+H206</f>
        <v>19919.2</v>
      </c>
      <c r="I225" s="116">
        <f>I202+I203+I205+I206</f>
        <v>13882.2</v>
      </c>
      <c r="J225" s="116">
        <f>J202+J203+J205+J206</f>
        <v>3049.3</v>
      </c>
      <c r="K225" s="116">
        <f>K202+K203+K205+K206</f>
        <v>2987.7</v>
      </c>
      <c r="L225" s="522"/>
    </row>
    <row r="226" spans="1:17" ht="75" customHeight="1">
      <c r="A226" s="393"/>
      <c r="B226" s="393"/>
      <c r="C226" s="393"/>
      <c r="D226" s="394"/>
      <c r="E226" s="267" t="s">
        <v>80</v>
      </c>
      <c r="F226" s="347"/>
      <c r="G226" s="381"/>
      <c r="H226" s="116">
        <f>H211</f>
        <v>187.78</v>
      </c>
      <c r="I226" s="116">
        <f>I211</f>
        <v>187.78</v>
      </c>
      <c r="J226" s="116">
        <f>J211</f>
        <v>0</v>
      </c>
      <c r="K226" s="116">
        <f>K211</f>
        <v>0</v>
      </c>
      <c r="L226" s="522"/>
    </row>
    <row r="227" spans="1:17" ht="75" customHeight="1">
      <c r="A227" s="393"/>
      <c r="B227" s="393"/>
      <c r="C227" s="393"/>
      <c r="D227" s="394"/>
      <c r="E227" s="267" t="s">
        <v>75</v>
      </c>
      <c r="F227" s="347"/>
      <c r="G227" s="381"/>
      <c r="H227" s="116">
        <f t="shared" ref="H227:K229" si="19">H213</f>
        <v>1422.3</v>
      </c>
      <c r="I227" s="116">
        <f t="shared" si="19"/>
        <v>1422.3</v>
      </c>
      <c r="J227" s="116">
        <f t="shared" si="19"/>
        <v>0</v>
      </c>
      <c r="K227" s="116">
        <f t="shared" si="19"/>
        <v>0</v>
      </c>
      <c r="L227" s="522"/>
    </row>
    <row r="228" spans="1:17" ht="75" customHeight="1">
      <c r="A228" s="393"/>
      <c r="B228" s="393"/>
      <c r="C228" s="393"/>
      <c r="D228" s="394"/>
      <c r="E228" s="267" t="s">
        <v>76</v>
      </c>
      <c r="F228" s="347"/>
      <c r="G228" s="381"/>
      <c r="H228" s="116">
        <f t="shared" si="19"/>
        <v>5874.3</v>
      </c>
      <c r="I228" s="116">
        <f t="shared" si="19"/>
        <v>5874.3</v>
      </c>
      <c r="J228" s="116">
        <f t="shared" si="19"/>
        <v>0</v>
      </c>
      <c r="K228" s="116">
        <f t="shared" si="19"/>
        <v>0</v>
      </c>
      <c r="L228" s="522"/>
    </row>
    <row r="229" spans="1:17" ht="75" customHeight="1">
      <c r="A229" s="395"/>
      <c r="B229" s="395"/>
      <c r="C229" s="395"/>
      <c r="D229" s="396"/>
      <c r="E229" s="267" t="s">
        <v>74</v>
      </c>
      <c r="F229" s="348"/>
      <c r="G229" s="382"/>
      <c r="H229" s="116">
        <f t="shared" si="19"/>
        <v>1323.4</v>
      </c>
      <c r="I229" s="116">
        <f t="shared" si="19"/>
        <v>1323.4</v>
      </c>
      <c r="J229" s="116">
        <f t="shared" si="19"/>
        <v>0</v>
      </c>
      <c r="K229" s="116">
        <f t="shared" si="19"/>
        <v>0</v>
      </c>
      <c r="L229" s="522"/>
    </row>
    <row r="230" spans="1:17" ht="75" customHeight="1">
      <c r="A230" s="386" t="s">
        <v>243</v>
      </c>
      <c r="B230" s="387"/>
      <c r="C230" s="387"/>
      <c r="D230" s="387"/>
      <c r="E230" s="387"/>
      <c r="F230" s="387"/>
      <c r="G230" s="387"/>
      <c r="H230" s="387"/>
      <c r="I230" s="387"/>
      <c r="J230" s="387"/>
      <c r="K230" s="387"/>
      <c r="L230" s="388"/>
    </row>
    <row r="231" spans="1:17" ht="75" customHeight="1">
      <c r="A231" s="350" t="s">
        <v>244</v>
      </c>
      <c r="B231" s="351" t="s">
        <v>245</v>
      </c>
      <c r="C231" s="383" t="s">
        <v>246</v>
      </c>
      <c r="D231" s="386" t="s">
        <v>358</v>
      </c>
      <c r="E231" s="387"/>
      <c r="F231" s="387"/>
      <c r="G231" s="388"/>
      <c r="H231" s="102">
        <f>H232+H240</f>
        <v>153098.91900000002</v>
      </c>
      <c r="I231" s="102">
        <f>I232+I240</f>
        <v>71668.319000000003</v>
      </c>
      <c r="J231" s="102">
        <f>J232+J240</f>
        <v>71430.600000000006</v>
      </c>
      <c r="K231" s="102">
        <f>K232+K240</f>
        <v>10000</v>
      </c>
      <c r="L231" s="343" t="s">
        <v>100</v>
      </c>
    </row>
    <row r="232" spans="1:17" ht="75" customHeight="1">
      <c r="A232" s="350"/>
      <c r="B232" s="352"/>
      <c r="C232" s="384"/>
      <c r="D232" s="366" t="s">
        <v>96</v>
      </c>
      <c r="E232" s="367"/>
      <c r="F232" s="367"/>
      <c r="G232" s="368"/>
      <c r="H232" s="106">
        <f>H233+H234+H235+H236+H237+H238+H239</f>
        <v>148335.15600000002</v>
      </c>
      <c r="I232" s="106">
        <f>I233+I234+I235+I236+I237+I238+I239</f>
        <v>66904.555999999997</v>
      </c>
      <c r="J232" s="106">
        <f>J233+J234+J235+J236+J237+J238+J239</f>
        <v>71430.600000000006</v>
      </c>
      <c r="K232" s="106">
        <f>K233+K234+K235+K236+K237+K238+K239</f>
        <v>10000</v>
      </c>
      <c r="L232" s="344"/>
    </row>
    <row r="233" spans="1:17" ht="75" customHeight="1">
      <c r="A233" s="350"/>
      <c r="B233" s="352"/>
      <c r="C233" s="384"/>
      <c r="D233" s="283" t="s">
        <v>32</v>
      </c>
      <c r="E233" s="267" t="s">
        <v>449</v>
      </c>
      <c r="F233" s="369" t="s">
        <v>448</v>
      </c>
      <c r="G233" s="389" t="s">
        <v>425</v>
      </c>
      <c r="H233" s="120">
        <f>I233+J233+K233</f>
        <v>42754.6</v>
      </c>
      <c r="I233" s="98">
        <f>14923.3+1800+3000</f>
        <v>19723.3</v>
      </c>
      <c r="J233" s="98">
        <f>19737.5+2000+500+793.8</f>
        <v>23031.3</v>
      </c>
      <c r="K233" s="98">
        <v>0</v>
      </c>
      <c r="L233" s="344"/>
      <c r="O233" s="302"/>
      <c r="Q233" s="306"/>
    </row>
    <row r="234" spans="1:17" ht="75" customHeight="1">
      <c r="A234" s="350"/>
      <c r="B234" s="352"/>
      <c r="C234" s="384"/>
      <c r="D234" s="283" t="s">
        <v>28</v>
      </c>
      <c r="E234" s="267" t="s">
        <v>81</v>
      </c>
      <c r="F234" s="370"/>
      <c r="G234" s="390"/>
      <c r="H234" s="97">
        <f t="shared" ref="H234:H253" si="20">I234+J234+K234</f>
        <v>21366.5</v>
      </c>
      <c r="I234" s="100">
        <f>6890.5+50+202</f>
        <v>7142.5</v>
      </c>
      <c r="J234" s="98">
        <f>8400+2000+1000+264+60</f>
        <v>11724</v>
      </c>
      <c r="K234" s="98">
        <v>2500</v>
      </c>
      <c r="L234" s="344"/>
    </row>
    <row r="235" spans="1:17" ht="75" customHeight="1">
      <c r="A235" s="350"/>
      <c r="B235" s="352"/>
      <c r="C235" s="384"/>
      <c r="D235" s="166" t="s">
        <v>28</v>
      </c>
      <c r="E235" s="267" t="s">
        <v>75</v>
      </c>
      <c r="F235" s="370"/>
      <c r="G235" s="390"/>
      <c r="H235" s="97">
        <f t="shared" si="20"/>
        <v>4107.3</v>
      </c>
      <c r="I235" s="100">
        <f>232+200</f>
        <v>432</v>
      </c>
      <c r="J235" s="98">
        <f>1200+1000-1024.7</f>
        <v>1175.3</v>
      </c>
      <c r="K235" s="98">
        <v>2500</v>
      </c>
      <c r="L235" s="344"/>
      <c r="O235" s="304"/>
    </row>
    <row r="236" spans="1:17" ht="75" customHeight="1">
      <c r="A236" s="350"/>
      <c r="B236" s="352"/>
      <c r="C236" s="384"/>
      <c r="D236" s="166" t="s">
        <v>28</v>
      </c>
      <c r="E236" s="267" t="s">
        <v>76</v>
      </c>
      <c r="F236" s="370"/>
      <c r="G236" s="390"/>
      <c r="H236" s="97">
        <f t="shared" si="20"/>
        <v>28189.554</v>
      </c>
      <c r="I236" s="100">
        <f>11036+180-26.446</f>
        <v>11189.554</v>
      </c>
      <c r="J236" s="98">
        <f>13500+1000</f>
        <v>14500</v>
      </c>
      <c r="K236" s="98">
        <v>2500</v>
      </c>
      <c r="L236" s="344"/>
    </row>
    <row r="237" spans="1:17" ht="75" customHeight="1">
      <c r="A237" s="350"/>
      <c r="B237" s="352"/>
      <c r="C237" s="384"/>
      <c r="D237" s="166" t="s">
        <v>28</v>
      </c>
      <c r="E237" s="267" t="s">
        <v>74</v>
      </c>
      <c r="F237" s="370"/>
      <c r="G237" s="390"/>
      <c r="H237" s="97">
        <f t="shared" si="20"/>
        <v>38297.202000000005</v>
      </c>
      <c r="I237" s="100">
        <f>20947.39-50.188</f>
        <v>20897.202000000001</v>
      </c>
      <c r="J237" s="98">
        <f>13900+1000</f>
        <v>14900</v>
      </c>
      <c r="K237" s="98">
        <v>2500</v>
      </c>
      <c r="L237" s="344"/>
    </row>
    <row r="238" spans="1:17" ht="99.75" customHeight="1">
      <c r="A238" s="350"/>
      <c r="B238" s="352"/>
      <c r="C238" s="384"/>
      <c r="D238" s="166" t="s">
        <v>29</v>
      </c>
      <c r="E238" s="262" t="s">
        <v>78</v>
      </c>
      <c r="F238" s="370"/>
      <c r="G238" s="390"/>
      <c r="H238" s="97">
        <f t="shared" si="20"/>
        <v>12930</v>
      </c>
      <c r="I238" s="98">
        <f>6800+30</f>
        <v>6830</v>
      </c>
      <c r="J238" s="98">
        <f>5100+1000</f>
        <v>6100</v>
      </c>
      <c r="K238" s="98">
        <v>0</v>
      </c>
      <c r="L238" s="344"/>
    </row>
    <row r="239" spans="1:17" ht="75" customHeight="1">
      <c r="A239" s="350"/>
      <c r="B239" s="352"/>
      <c r="C239" s="384"/>
      <c r="D239" s="283" t="s">
        <v>30</v>
      </c>
      <c r="E239" s="262" t="s">
        <v>77</v>
      </c>
      <c r="F239" s="371"/>
      <c r="G239" s="391"/>
      <c r="H239" s="97">
        <f t="shared" si="20"/>
        <v>690</v>
      </c>
      <c r="I239" s="104">
        <f>590+100</f>
        <v>690</v>
      </c>
      <c r="J239" s="98">
        <v>0</v>
      </c>
      <c r="K239" s="98">
        <v>0</v>
      </c>
      <c r="L239" s="344"/>
    </row>
    <row r="240" spans="1:17" ht="75" customHeight="1">
      <c r="A240" s="350"/>
      <c r="B240" s="352"/>
      <c r="C240" s="384"/>
      <c r="D240" s="366" t="s">
        <v>96</v>
      </c>
      <c r="E240" s="367"/>
      <c r="F240" s="367"/>
      <c r="G240" s="368"/>
      <c r="H240" s="97">
        <f>H241+H242+H243+H244</f>
        <v>4763.7630000000008</v>
      </c>
      <c r="I240" s="97">
        <f>I241+I242+I243+I244</f>
        <v>4763.7630000000008</v>
      </c>
      <c r="J240" s="97">
        <f>J241+J242+J243</f>
        <v>0</v>
      </c>
      <c r="K240" s="97">
        <f>K241+K242+K243</f>
        <v>0</v>
      </c>
      <c r="L240" s="344"/>
    </row>
    <row r="241" spans="1:15" ht="75" customHeight="1">
      <c r="A241" s="350"/>
      <c r="B241" s="352"/>
      <c r="C241" s="384"/>
      <c r="D241" s="166" t="s">
        <v>36</v>
      </c>
      <c r="E241" s="267" t="s">
        <v>81</v>
      </c>
      <c r="F241" s="369" t="s">
        <v>448</v>
      </c>
      <c r="G241" s="369" t="s">
        <v>203</v>
      </c>
      <c r="H241" s="97">
        <f t="shared" si="20"/>
        <v>249.81</v>
      </c>
      <c r="I241" s="104">
        <f>250-0.19</f>
        <v>249.81</v>
      </c>
      <c r="J241" s="98">
        <v>0</v>
      </c>
      <c r="K241" s="98">
        <v>0</v>
      </c>
      <c r="L241" s="344"/>
    </row>
    <row r="242" spans="1:15" ht="75" customHeight="1">
      <c r="A242" s="350"/>
      <c r="B242" s="352"/>
      <c r="C242" s="384"/>
      <c r="D242" s="166" t="s">
        <v>36</v>
      </c>
      <c r="E242" s="267" t="s">
        <v>74</v>
      </c>
      <c r="F242" s="370"/>
      <c r="G242" s="370"/>
      <c r="H242" s="97">
        <f t="shared" si="20"/>
        <v>1187.9530000000004</v>
      </c>
      <c r="I242" s="104">
        <f>1196.053+165.812+50.188-224.1</f>
        <v>1187.9530000000004</v>
      </c>
      <c r="J242" s="98">
        <v>0</v>
      </c>
      <c r="K242" s="98">
        <v>0</v>
      </c>
      <c r="L242" s="344"/>
    </row>
    <row r="243" spans="1:15" ht="99.75" customHeight="1">
      <c r="A243" s="350"/>
      <c r="B243" s="352"/>
      <c r="C243" s="385"/>
      <c r="D243" s="166" t="s">
        <v>36</v>
      </c>
      <c r="E243" s="262" t="s">
        <v>78</v>
      </c>
      <c r="F243" s="370"/>
      <c r="G243" s="370"/>
      <c r="H243" s="97">
        <f t="shared" si="20"/>
        <v>926</v>
      </c>
      <c r="I243" s="104">
        <f>930-4</f>
        <v>926</v>
      </c>
      <c r="J243" s="98">
        <v>0</v>
      </c>
      <c r="K243" s="98">
        <v>0</v>
      </c>
      <c r="L243" s="344"/>
    </row>
    <row r="244" spans="1:15" ht="75" customHeight="1">
      <c r="A244" s="350"/>
      <c r="B244" s="352"/>
      <c r="C244" s="277"/>
      <c r="D244" s="166" t="s">
        <v>36</v>
      </c>
      <c r="E244" s="267" t="s">
        <v>449</v>
      </c>
      <c r="F244" s="371"/>
      <c r="G244" s="371"/>
      <c r="H244" s="97">
        <f>I244+J244+K244</f>
        <v>2400</v>
      </c>
      <c r="I244" s="104">
        <v>2400</v>
      </c>
      <c r="J244" s="98">
        <v>0</v>
      </c>
      <c r="K244" s="98">
        <v>0</v>
      </c>
      <c r="L244" s="344"/>
    </row>
    <row r="245" spans="1:15" ht="75" customHeight="1">
      <c r="A245" s="350"/>
      <c r="B245" s="352"/>
      <c r="C245" s="383" t="s">
        <v>247</v>
      </c>
      <c r="D245" s="386" t="s">
        <v>359</v>
      </c>
      <c r="E245" s="387"/>
      <c r="F245" s="387"/>
      <c r="G245" s="388"/>
      <c r="H245" s="97">
        <f>SUM(H246:H251)</f>
        <v>74604.2</v>
      </c>
      <c r="I245" s="97">
        <f>SUM(I246:I251)</f>
        <v>27333.67</v>
      </c>
      <c r="J245" s="97">
        <f>SUM(J246:J251)</f>
        <v>37270.53</v>
      </c>
      <c r="K245" s="97">
        <f>SUM(K246:K251)</f>
        <v>10000</v>
      </c>
      <c r="L245" s="344"/>
    </row>
    <row r="246" spans="1:15" ht="75" customHeight="1">
      <c r="A246" s="350"/>
      <c r="B246" s="352"/>
      <c r="C246" s="384"/>
      <c r="D246" s="166" t="s">
        <v>182</v>
      </c>
      <c r="E246" s="267" t="s">
        <v>81</v>
      </c>
      <c r="F246" s="369" t="s">
        <v>448</v>
      </c>
      <c r="G246" s="362" t="s">
        <v>425</v>
      </c>
      <c r="H246" s="97">
        <f t="shared" si="20"/>
        <v>15859.58</v>
      </c>
      <c r="I246" s="104">
        <f>6150-169.13</f>
        <v>5980.87</v>
      </c>
      <c r="J246" s="98">
        <f>3000+2000+378.71+2000</f>
        <v>7378.71</v>
      </c>
      <c r="K246" s="98">
        <v>2500</v>
      </c>
      <c r="L246" s="344"/>
    </row>
    <row r="247" spans="1:15" ht="75" customHeight="1">
      <c r="A247" s="350"/>
      <c r="B247" s="352"/>
      <c r="C247" s="384"/>
      <c r="D247" s="166" t="s">
        <v>182</v>
      </c>
      <c r="E247" s="267" t="s">
        <v>75</v>
      </c>
      <c r="F247" s="370"/>
      <c r="G247" s="362"/>
      <c r="H247" s="97">
        <f t="shared" si="20"/>
        <v>11960.949999999999</v>
      </c>
      <c r="I247" s="104">
        <f>169.13</f>
        <v>169.13</v>
      </c>
      <c r="J247" s="98">
        <f>3000+2000+267.12+3000+1024.7</f>
        <v>9291.82</v>
      </c>
      <c r="K247" s="98">
        <v>2500</v>
      </c>
      <c r="L247" s="344"/>
      <c r="O247" s="305"/>
    </row>
    <row r="248" spans="1:15" ht="75" customHeight="1">
      <c r="A248" s="350"/>
      <c r="B248" s="352"/>
      <c r="C248" s="384"/>
      <c r="D248" s="166" t="s">
        <v>182</v>
      </c>
      <c r="E248" s="267" t="s">
        <v>76</v>
      </c>
      <c r="F248" s="370"/>
      <c r="G248" s="362"/>
      <c r="H248" s="97">
        <f t="shared" si="20"/>
        <v>17034.099999999999</v>
      </c>
      <c r="I248" s="104">
        <f>6930-395.9</f>
        <v>6534.1</v>
      </c>
      <c r="J248" s="98">
        <f>6000+2000</f>
        <v>8000</v>
      </c>
      <c r="K248" s="98">
        <v>2500</v>
      </c>
      <c r="L248" s="344"/>
    </row>
    <row r="249" spans="1:15" ht="75" customHeight="1">
      <c r="A249" s="350"/>
      <c r="B249" s="352"/>
      <c r="C249" s="384"/>
      <c r="D249" s="166" t="s">
        <v>182</v>
      </c>
      <c r="E249" s="267" t="s">
        <v>74</v>
      </c>
      <c r="F249" s="370"/>
      <c r="G249" s="362"/>
      <c r="H249" s="97">
        <f t="shared" si="20"/>
        <v>12600</v>
      </c>
      <c r="I249" s="104">
        <v>3500</v>
      </c>
      <c r="J249" s="98">
        <f>3000+1000+1000+1600</f>
        <v>6600</v>
      </c>
      <c r="K249" s="98">
        <v>2500</v>
      </c>
      <c r="L249" s="344"/>
      <c r="O249" s="307"/>
    </row>
    <row r="250" spans="1:15" ht="87.75" customHeight="1">
      <c r="A250" s="350"/>
      <c r="B250" s="352"/>
      <c r="C250" s="384"/>
      <c r="D250" s="166" t="s">
        <v>182</v>
      </c>
      <c r="E250" s="262" t="s">
        <v>78</v>
      </c>
      <c r="F250" s="370"/>
      <c r="G250" s="362"/>
      <c r="H250" s="97">
        <f t="shared" si="20"/>
        <v>16589.57</v>
      </c>
      <c r="I250" s="104">
        <v>10589.57</v>
      </c>
      <c r="J250" s="98">
        <f>5000+1000</f>
        <v>6000</v>
      </c>
      <c r="K250" s="98">
        <v>0</v>
      </c>
      <c r="L250" s="344"/>
    </row>
    <row r="251" spans="1:15" ht="75" customHeight="1">
      <c r="A251" s="350"/>
      <c r="B251" s="352"/>
      <c r="C251" s="385"/>
      <c r="D251" s="166" t="s">
        <v>182</v>
      </c>
      <c r="E251" s="262" t="s">
        <v>77</v>
      </c>
      <c r="F251" s="370"/>
      <c r="G251" s="362"/>
      <c r="H251" s="97">
        <f t="shared" si="20"/>
        <v>560</v>
      </c>
      <c r="I251" s="104">
        <v>560</v>
      </c>
      <c r="J251" s="98">
        <v>0</v>
      </c>
      <c r="K251" s="98">
        <v>0</v>
      </c>
      <c r="L251" s="344"/>
    </row>
    <row r="252" spans="1:15" ht="186" customHeight="1">
      <c r="A252" s="350"/>
      <c r="B252" s="352"/>
      <c r="C252" s="167" t="s">
        <v>360</v>
      </c>
      <c r="D252" s="292" t="s">
        <v>67</v>
      </c>
      <c r="E252" s="262" t="s">
        <v>74</v>
      </c>
      <c r="F252" s="370"/>
      <c r="G252" s="362"/>
      <c r="H252" s="97">
        <f>I252+J252+K252</f>
        <v>6883</v>
      </c>
      <c r="I252" s="98">
        <f>3000+307.7-713.7</f>
        <v>2594</v>
      </c>
      <c r="J252" s="98">
        <f>2289+2000</f>
        <v>4289</v>
      </c>
      <c r="K252" s="98">
        <v>0</v>
      </c>
      <c r="L252" s="344"/>
      <c r="O252" s="303"/>
    </row>
    <row r="253" spans="1:15" ht="339" customHeight="1">
      <c r="A253" s="350"/>
      <c r="B253" s="353"/>
      <c r="C253" s="167" t="s">
        <v>393</v>
      </c>
      <c r="D253" s="292" t="s">
        <v>397</v>
      </c>
      <c r="E253" s="262" t="s">
        <v>449</v>
      </c>
      <c r="F253" s="370"/>
      <c r="G253" s="168" t="s">
        <v>392</v>
      </c>
      <c r="H253" s="97">
        <f t="shared" si="20"/>
        <v>3799.8</v>
      </c>
      <c r="I253" s="98">
        <v>799.7</v>
      </c>
      <c r="J253" s="98">
        <f>2000+1000.1</f>
        <v>3000.1</v>
      </c>
      <c r="K253" s="98">
        <v>0</v>
      </c>
      <c r="L253" s="288" t="s">
        <v>396</v>
      </c>
      <c r="M253" s="300"/>
    </row>
    <row r="254" spans="1:15" ht="75" customHeight="1">
      <c r="A254" s="519" t="s">
        <v>72</v>
      </c>
      <c r="B254" s="520"/>
      <c r="C254" s="520"/>
      <c r="D254" s="520"/>
      <c r="E254" s="520"/>
      <c r="F254" s="520"/>
      <c r="G254" s="521"/>
      <c r="H254" s="97">
        <f>H231+H245+H252+H253</f>
        <v>238385.91899999999</v>
      </c>
      <c r="I254" s="97">
        <f>I231+I245+I252+I253</f>
        <v>102395.689</v>
      </c>
      <c r="J254" s="97">
        <f>J231+J245+J252+J253</f>
        <v>115990.23000000001</v>
      </c>
      <c r="K254" s="97">
        <f>K231+K245+K252+K253</f>
        <v>20000</v>
      </c>
      <c r="L254" s="522"/>
    </row>
    <row r="255" spans="1:15" ht="144" customHeight="1">
      <c r="A255" s="523" t="s">
        <v>17</v>
      </c>
      <c r="B255" s="523"/>
      <c r="C255" s="523"/>
      <c r="D255" s="523"/>
      <c r="E255" s="523"/>
      <c r="F255" s="468"/>
      <c r="G255" s="149" t="s">
        <v>202</v>
      </c>
      <c r="H255" s="117">
        <f>H241+H242+H243+H244</f>
        <v>4763.7630000000008</v>
      </c>
      <c r="I255" s="117">
        <f>I241+I242+I243+I244</f>
        <v>4763.7630000000008</v>
      </c>
      <c r="J255" s="117">
        <f>J241+J242+J243</f>
        <v>0</v>
      </c>
      <c r="K255" s="117">
        <f>K241+K242+K243</f>
        <v>0</v>
      </c>
      <c r="L255" s="522"/>
    </row>
    <row r="256" spans="1:15" ht="120.75" customHeight="1">
      <c r="A256" s="524"/>
      <c r="B256" s="524"/>
      <c r="C256" s="524"/>
      <c r="D256" s="524"/>
      <c r="E256" s="524"/>
      <c r="F256" s="470"/>
      <c r="G256" s="169" t="s">
        <v>392</v>
      </c>
      <c r="H256" s="117">
        <f>H253</f>
        <v>3799.8</v>
      </c>
      <c r="I256" s="117">
        <f>I253</f>
        <v>799.7</v>
      </c>
      <c r="J256" s="117">
        <f>J253</f>
        <v>3000.1</v>
      </c>
      <c r="K256" s="117">
        <f>K253</f>
        <v>0</v>
      </c>
      <c r="L256" s="522"/>
    </row>
    <row r="257" spans="1:12" ht="75" customHeight="1">
      <c r="A257" s="525"/>
      <c r="B257" s="525"/>
      <c r="C257" s="525"/>
      <c r="D257" s="525"/>
      <c r="E257" s="525"/>
      <c r="F257" s="472"/>
      <c r="G257" s="149" t="s">
        <v>425</v>
      </c>
      <c r="H257" s="117">
        <f>H232+H245+H252</f>
        <v>229822.35600000003</v>
      </c>
      <c r="I257" s="117">
        <f>I232+I245+I252</f>
        <v>96832.225999999995</v>
      </c>
      <c r="J257" s="117">
        <f>J232+J245+J252</f>
        <v>112990.13</v>
      </c>
      <c r="K257" s="117">
        <f>K232+K245+K252</f>
        <v>20000</v>
      </c>
      <c r="L257" s="522"/>
    </row>
    <row r="258" spans="1:12" ht="75" customHeight="1">
      <c r="A258" s="544" t="s">
        <v>94</v>
      </c>
      <c r="B258" s="545"/>
      <c r="C258" s="545"/>
      <c r="D258" s="546"/>
      <c r="E258" s="343" t="s">
        <v>81</v>
      </c>
      <c r="F258" s="526"/>
      <c r="G258" s="170" t="s">
        <v>96</v>
      </c>
      <c r="H258" s="118">
        <f>SUM(H259:H260)</f>
        <v>37475.89</v>
      </c>
      <c r="I258" s="118">
        <f>SUM(I259:I260)</f>
        <v>13373.179999999998</v>
      </c>
      <c r="J258" s="118">
        <f>SUM(J259:J260)</f>
        <v>19102.71</v>
      </c>
      <c r="K258" s="118">
        <f>SUM(K259:K260)</f>
        <v>5000</v>
      </c>
      <c r="L258" s="522"/>
    </row>
    <row r="259" spans="1:12" ht="75" customHeight="1">
      <c r="A259" s="547"/>
      <c r="B259" s="548"/>
      <c r="C259" s="548"/>
      <c r="D259" s="549"/>
      <c r="E259" s="344"/>
      <c r="F259" s="526"/>
      <c r="G259" s="296" t="s">
        <v>425</v>
      </c>
      <c r="H259" s="102">
        <f>H234+H246</f>
        <v>37226.080000000002</v>
      </c>
      <c r="I259" s="102">
        <f>I234+I246</f>
        <v>13123.369999999999</v>
      </c>
      <c r="J259" s="102">
        <f>J234+J246</f>
        <v>19102.71</v>
      </c>
      <c r="K259" s="102">
        <f>K234+K246</f>
        <v>5000</v>
      </c>
      <c r="L259" s="522"/>
    </row>
    <row r="260" spans="1:12" ht="147.75" customHeight="1">
      <c r="A260" s="547"/>
      <c r="B260" s="548"/>
      <c r="C260" s="548"/>
      <c r="D260" s="549"/>
      <c r="E260" s="345"/>
      <c r="F260" s="526"/>
      <c r="G260" s="296" t="s">
        <v>202</v>
      </c>
      <c r="H260" s="102">
        <f>H241</f>
        <v>249.81</v>
      </c>
      <c r="I260" s="102">
        <f>I241</f>
        <v>249.81</v>
      </c>
      <c r="J260" s="102">
        <f>J241</f>
        <v>0</v>
      </c>
      <c r="K260" s="102">
        <f>K241</f>
        <v>0</v>
      </c>
      <c r="L260" s="522"/>
    </row>
    <row r="261" spans="1:12" ht="75" customHeight="1">
      <c r="A261" s="547"/>
      <c r="B261" s="548"/>
      <c r="C261" s="548"/>
      <c r="D261" s="549"/>
      <c r="E261" s="267" t="s">
        <v>75</v>
      </c>
      <c r="F261" s="526"/>
      <c r="G261" s="526" t="s">
        <v>425</v>
      </c>
      <c r="H261" s="102">
        <f>H235</f>
        <v>4107.3</v>
      </c>
      <c r="I261" s="102">
        <f>I235+I247</f>
        <v>601.13</v>
      </c>
      <c r="J261" s="102">
        <f>J235+J247</f>
        <v>10467.119999999999</v>
      </c>
      <c r="K261" s="102">
        <f>K235</f>
        <v>2500</v>
      </c>
      <c r="L261" s="522"/>
    </row>
    <row r="262" spans="1:12" ht="75" customHeight="1">
      <c r="A262" s="547"/>
      <c r="B262" s="548"/>
      <c r="C262" s="548"/>
      <c r="D262" s="549"/>
      <c r="E262" s="267" t="s">
        <v>76</v>
      </c>
      <c r="F262" s="526"/>
      <c r="G262" s="526"/>
      <c r="H262" s="102">
        <f>H236+H248</f>
        <v>45223.653999999995</v>
      </c>
      <c r="I262" s="102">
        <f>I236+I248</f>
        <v>17723.654000000002</v>
      </c>
      <c r="J262" s="102">
        <f>J236+J248</f>
        <v>22500</v>
      </c>
      <c r="K262" s="102">
        <f>K236+K248</f>
        <v>5000</v>
      </c>
      <c r="L262" s="522"/>
    </row>
    <row r="263" spans="1:12" ht="75" customHeight="1">
      <c r="A263" s="547"/>
      <c r="B263" s="548"/>
      <c r="C263" s="548"/>
      <c r="D263" s="549"/>
      <c r="E263" s="343" t="s">
        <v>74</v>
      </c>
      <c r="F263" s="526"/>
      <c r="G263" s="170" t="s">
        <v>96</v>
      </c>
      <c r="H263" s="102">
        <f>H264+H265</f>
        <v>58968.155000000006</v>
      </c>
      <c r="I263" s="102">
        <f>I264+I265</f>
        <v>28179.155000000002</v>
      </c>
      <c r="J263" s="102">
        <f>J264+J265</f>
        <v>25789</v>
      </c>
      <c r="K263" s="102">
        <f>K264+K265</f>
        <v>5000</v>
      </c>
      <c r="L263" s="522"/>
    </row>
    <row r="264" spans="1:12" ht="75" customHeight="1">
      <c r="A264" s="547"/>
      <c r="B264" s="548"/>
      <c r="C264" s="548"/>
      <c r="D264" s="549"/>
      <c r="E264" s="344"/>
      <c r="F264" s="526"/>
      <c r="G264" s="296" t="s">
        <v>425</v>
      </c>
      <c r="H264" s="102">
        <f>H237+H249+H252</f>
        <v>57780.202000000005</v>
      </c>
      <c r="I264" s="102">
        <f>I237+I249+I252</f>
        <v>26991.202000000001</v>
      </c>
      <c r="J264" s="102">
        <f>J237+J249+J252</f>
        <v>25789</v>
      </c>
      <c r="K264" s="102">
        <f>K237+K249+K252</f>
        <v>5000</v>
      </c>
      <c r="L264" s="522"/>
    </row>
    <row r="265" spans="1:12" ht="143.25" customHeight="1">
      <c r="A265" s="547"/>
      <c r="B265" s="548"/>
      <c r="C265" s="548"/>
      <c r="D265" s="549"/>
      <c r="E265" s="345"/>
      <c r="F265" s="526"/>
      <c r="G265" s="296" t="s">
        <v>202</v>
      </c>
      <c r="H265" s="102">
        <f>H242</f>
        <v>1187.9530000000004</v>
      </c>
      <c r="I265" s="102">
        <f>I242</f>
        <v>1187.9530000000004</v>
      </c>
      <c r="J265" s="102">
        <f>J242</f>
        <v>0</v>
      </c>
      <c r="K265" s="102">
        <f>K242</f>
        <v>0</v>
      </c>
      <c r="L265" s="522"/>
    </row>
    <row r="266" spans="1:12" ht="75" customHeight="1">
      <c r="A266" s="547"/>
      <c r="B266" s="548"/>
      <c r="C266" s="548"/>
      <c r="D266" s="549"/>
      <c r="E266" s="343" t="s">
        <v>78</v>
      </c>
      <c r="F266" s="526"/>
      <c r="G266" s="170" t="s">
        <v>96</v>
      </c>
      <c r="H266" s="102">
        <f>H267+H268</f>
        <v>30445.57</v>
      </c>
      <c r="I266" s="102">
        <f>I267+I268</f>
        <v>18345.57</v>
      </c>
      <c r="J266" s="102">
        <f>J267+J268</f>
        <v>12100</v>
      </c>
      <c r="K266" s="102">
        <f>K267+K268</f>
        <v>0</v>
      </c>
      <c r="L266" s="522"/>
    </row>
    <row r="267" spans="1:12" ht="75" customHeight="1">
      <c r="A267" s="547"/>
      <c r="B267" s="548"/>
      <c r="C267" s="548"/>
      <c r="D267" s="549"/>
      <c r="E267" s="344"/>
      <c r="F267" s="526"/>
      <c r="G267" s="296" t="s">
        <v>425</v>
      </c>
      <c r="H267" s="102">
        <f>H238+H250</f>
        <v>29519.57</v>
      </c>
      <c r="I267" s="102">
        <f>I238+I250</f>
        <v>17419.57</v>
      </c>
      <c r="J267" s="102">
        <f>J238+J250</f>
        <v>12100</v>
      </c>
      <c r="K267" s="102">
        <f>K238+K250</f>
        <v>0</v>
      </c>
      <c r="L267" s="522"/>
    </row>
    <row r="268" spans="1:12" ht="139.5" customHeight="1">
      <c r="A268" s="547"/>
      <c r="B268" s="548"/>
      <c r="C268" s="548"/>
      <c r="D268" s="549"/>
      <c r="E268" s="345"/>
      <c r="F268" s="526"/>
      <c r="G268" s="296" t="s">
        <v>202</v>
      </c>
      <c r="H268" s="102">
        <f>H243</f>
        <v>926</v>
      </c>
      <c r="I268" s="102">
        <f>I243</f>
        <v>926</v>
      </c>
      <c r="J268" s="102">
        <f>J243</f>
        <v>0</v>
      </c>
      <c r="K268" s="102">
        <f>K243</f>
        <v>0</v>
      </c>
      <c r="L268" s="522"/>
    </row>
    <row r="269" spans="1:12" ht="99.75" customHeight="1">
      <c r="A269" s="547"/>
      <c r="B269" s="548"/>
      <c r="C269" s="548"/>
      <c r="D269" s="549"/>
      <c r="E269" s="267" t="s">
        <v>77</v>
      </c>
      <c r="F269" s="526"/>
      <c r="G269" s="171" t="s">
        <v>425</v>
      </c>
      <c r="H269" s="102">
        <f>H239+H251</f>
        <v>1250</v>
      </c>
      <c r="I269" s="102">
        <f>I239+I251</f>
        <v>1250</v>
      </c>
      <c r="J269" s="102">
        <f>J239+J251</f>
        <v>0</v>
      </c>
      <c r="K269" s="102">
        <f>K239+K251</f>
        <v>0</v>
      </c>
      <c r="L269" s="522"/>
    </row>
    <row r="270" spans="1:12" ht="75" customHeight="1">
      <c r="A270" s="547"/>
      <c r="B270" s="548"/>
      <c r="C270" s="548"/>
      <c r="D270" s="549"/>
      <c r="E270" s="343" t="s">
        <v>449</v>
      </c>
      <c r="F270" s="526"/>
      <c r="G270" s="170" t="s">
        <v>96</v>
      </c>
      <c r="H270" s="102">
        <f>H271+H272</f>
        <v>46554.400000000001</v>
      </c>
      <c r="I270" s="102">
        <f>I271+I272</f>
        <v>20523</v>
      </c>
      <c r="J270" s="102">
        <f>J271+J272</f>
        <v>26031.399999999998</v>
      </c>
      <c r="K270" s="102">
        <f>K271+K272</f>
        <v>0</v>
      </c>
      <c r="L270" s="522"/>
    </row>
    <row r="271" spans="1:12" ht="75" customHeight="1">
      <c r="A271" s="547"/>
      <c r="B271" s="548"/>
      <c r="C271" s="548"/>
      <c r="D271" s="549"/>
      <c r="E271" s="344"/>
      <c r="F271" s="526"/>
      <c r="G271" s="276" t="s">
        <v>392</v>
      </c>
      <c r="H271" s="102">
        <f>H253</f>
        <v>3799.8</v>
      </c>
      <c r="I271" s="102">
        <f>I253</f>
        <v>799.7</v>
      </c>
      <c r="J271" s="102">
        <f>J253</f>
        <v>3000.1</v>
      </c>
      <c r="K271" s="102">
        <f>K253</f>
        <v>0</v>
      </c>
      <c r="L271" s="522"/>
    </row>
    <row r="272" spans="1:12" ht="75" customHeight="1">
      <c r="A272" s="550"/>
      <c r="B272" s="551"/>
      <c r="C272" s="551"/>
      <c r="D272" s="552"/>
      <c r="E272" s="345"/>
      <c r="F272" s="526"/>
      <c r="G272" s="275" t="s">
        <v>425</v>
      </c>
      <c r="H272" s="102">
        <f>H233</f>
        <v>42754.6</v>
      </c>
      <c r="I272" s="102">
        <f>I233</f>
        <v>19723.3</v>
      </c>
      <c r="J272" s="102">
        <f>J233</f>
        <v>23031.3</v>
      </c>
      <c r="K272" s="102">
        <f>K233</f>
        <v>0</v>
      </c>
      <c r="L272" s="522"/>
    </row>
    <row r="273" spans="1:12" ht="75" customHeight="1">
      <c r="A273" s="519" t="s">
        <v>101</v>
      </c>
      <c r="B273" s="520"/>
      <c r="C273" s="520"/>
      <c r="D273" s="520"/>
      <c r="E273" s="520"/>
      <c r="F273" s="521"/>
      <c r="G273" s="172"/>
      <c r="H273" s="97">
        <f>H127+H184+H219+H254</f>
        <v>572865.27029999997</v>
      </c>
      <c r="I273" s="97">
        <f>I127+I184+I219+I254</f>
        <v>291091.83100000001</v>
      </c>
      <c r="J273" s="97">
        <f>J127+J184+J219+J254</f>
        <v>193912.61</v>
      </c>
      <c r="K273" s="97">
        <f>K127+K184+K219+K254</f>
        <v>88020.929299999989</v>
      </c>
      <c r="L273" s="372"/>
    </row>
    <row r="274" spans="1:12" ht="75" customHeight="1">
      <c r="A274" s="374" t="s">
        <v>102</v>
      </c>
      <c r="B274" s="374"/>
      <c r="C274" s="374"/>
      <c r="D274" s="374"/>
      <c r="E274" s="374"/>
      <c r="F274" s="375"/>
      <c r="G274" s="275" t="s">
        <v>422</v>
      </c>
      <c r="H274" s="97">
        <f>H128+H185+H220</f>
        <v>261638.6323</v>
      </c>
      <c r="I274" s="97">
        <f>I128+I185+I220</f>
        <v>124866.12299999998</v>
      </c>
      <c r="J274" s="97">
        <f>J128+J185+J220-0.1</f>
        <v>70251.48</v>
      </c>
      <c r="K274" s="97">
        <f>K128+K185+K220</f>
        <v>68020.929299999989</v>
      </c>
      <c r="L274" s="373"/>
    </row>
    <row r="275" spans="1:12" ht="75" customHeight="1">
      <c r="A275" s="376"/>
      <c r="B275" s="376"/>
      <c r="C275" s="376"/>
      <c r="D275" s="376"/>
      <c r="E275" s="376"/>
      <c r="F275" s="377"/>
      <c r="G275" s="275" t="s">
        <v>425</v>
      </c>
      <c r="H275" s="97">
        <f>H257</f>
        <v>229822.35600000003</v>
      </c>
      <c r="I275" s="97">
        <f>I257</f>
        <v>96832.225999999995</v>
      </c>
      <c r="J275" s="97">
        <f>J257</f>
        <v>112990.13</v>
      </c>
      <c r="K275" s="97">
        <f>K257</f>
        <v>20000</v>
      </c>
      <c r="L275" s="373"/>
    </row>
    <row r="276" spans="1:12" ht="102" customHeight="1">
      <c r="A276" s="376"/>
      <c r="B276" s="376"/>
      <c r="C276" s="376"/>
      <c r="D276" s="376"/>
      <c r="E276" s="376"/>
      <c r="F276" s="377"/>
      <c r="G276" s="275" t="s">
        <v>95</v>
      </c>
      <c r="H276" s="97">
        <f>H129</f>
        <v>52689.700000000004</v>
      </c>
      <c r="I276" s="97">
        <f>I129</f>
        <v>52689.700000000004</v>
      </c>
      <c r="J276" s="97">
        <f>J129</f>
        <v>0</v>
      </c>
      <c r="K276" s="97">
        <f>K129</f>
        <v>0</v>
      </c>
      <c r="L276" s="373"/>
    </row>
    <row r="277" spans="1:12" ht="219" customHeight="1">
      <c r="A277" s="376"/>
      <c r="B277" s="376"/>
      <c r="C277" s="376"/>
      <c r="D277" s="376"/>
      <c r="E277" s="376"/>
      <c r="F277" s="377"/>
      <c r="G277" s="296" t="s">
        <v>99</v>
      </c>
      <c r="H277" s="97">
        <f>H187+H221</f>
        <v>14282.919000000002</v>
      </c>
      <c r="I277" s="97">
        <f>I187+I221</f>
        <v>6612.1190000000006</v>
      </c>
      <c r="J277" s="97">
        <f>J187+J221</f>
        <v>7670.8</v>
      </c>
      <c r="K277" s="97">
        <f>K187+K221</f>
        <v>0</v>
      </c>
      <c r="L277" s="373"/>
    </row>
    <row r="278" spans="1:12" ht="168" customHeight="1">
      <c r="A278" s="376"/>
      <c r="B278" s="376"/>
      <c r="C278" s="376"/>
      <c r="D278" s="376"/>
      <c r="E278" s="376"/>
      <c r="F278" s="377"/>
      <c r="G278" s="275" t="s">
        <v>98</v>
      </c>
      <c r="H278" s="97">
        <f>H130+H186</f>
        <v>4468.2</v>
      </c>
      <c r="I278" s="97">
        <f>I130+I186</f>
        <v>4468.2</v>
      </c>
      <c r="J278" s="97">
        <f>J130+J186</f>
        <v>0</v>
      </c>
      <c r="K278" s="97">
        <f>K130+K186</f>
        <v>0</v>
      </c>
      <c r="L278" s="373"/>
    </row>
    <row r="279" spans="1:12" ht="160.5" customHeight="1">
      <c r="A279" s="376"/>
      <c r="B279" s="376"/>
      <c r="C279" s="376"/>
      <c r="D279" s="376"/>
      <c r="E279" s="376"/>
      <c r="F279" s="377"/>
      <c r="G279" s="296" t="s">
        <v>202</v>
      </c>
      <c r="H279" s="97">
        <f t="shared" ref="H279:K280" si="21">H255</f>
        <v>4763.7630000000008</v>
      </c>
      <c r="I279" s="97">
        <f>I255</f>
        <v>4763.7630000000008</v>
      </c>
      <c r="J279" s="97">
        <f t="shared" si="21"/>
        <v>0</v>
      </c>
      <c r="K279" s="97">
        <f t="shared" si="21"/>
        <v>0</v>
      </c>
      <c r="L279" s="373"/>
    </row>
    <row r="280" spans="1:12" ht="75" customHeight="1">
      <c r="A280" s="376"/>
      <c r="B280" s="376"/>
      <c r="C280" s="376"/>
      <c r="D280" s="376"/>
      <c r="E280" s="376"/>
      <c r="F280" s="377"/>
      <c r="G280" s="276" t="s">
        <v>392</v>
      </c>
      <c r="H280" s="97">
        <f t="shared" si="21"/>
        <v>3799.8</v>
      </c>
      <c r="I280" s="97">
        <f t="shared" si="21"/>
        <v>799.7</v>
      </c>
      <c r="J280" s="97">
        <f t="shared" si="21"/>
        <v>3000.1</v>
      </c>
      <c r="K280" s="97">
        <f t="shared" si="21"/>
        <v>0</v>
      </c>
      <c r="L280" s="373"/>
    </row>
    <row r="281" spans="1:12" ht="75" customHeight="1">
      <c r="A281" s="378"/>
      <c r="B281" s="378"/>
      <c r="C281" s="378"/>
      <c r="D281" s="378"/>
      <c r="E281" s="378"/>
      <c r="F281" s="379"/>
      <c r="G281" s="275" t="s">
        <v>326</v>
      </c>
      <c r="H281" s="97">
        <f>H131</f>
        <v>60</v>
      </c>
      <c r="I281" s="97">
        <f>I131</f>
        <v>60</v>
      </c>
      <c r="J281" s="97">
        <f>J131</f>
        <v>0</v>
      </c>
      <c r="K281" s="97">
        <f>K131</f>
        <v>0</v>
      </c>
      <c r="L281" s="373"/>
    </row>
    <row r="282" spans="1:12" ht="75" customHeight="1">
      <c r="A282" s="374" t="s">
        <v>94</v>
      </c>
      <c r="B282" s="374"/>
      <c r="C282" s="374"/>
      <c r="D282" s="375"/>
      <c r="E282" s="340" t="s">
        <v>81</v>
      </c>
      <c r="F282" s="397"/>
      <c r="G282" s="275" t="s">
        <v>89</v>
      </c>
      <c r="H282" s="97">
        <f>SUM(H283:H288)</f>
        <v>79647.23000000001</v>
      </c>
      <c r="I282" s="97">
        <f>SUM(I283:I288)</f>
        <v>41972.020000000004</v>
      </c>
      <c r="J282" s="97">
        <f>SUM(J283:J288)</f>
        <v>27268.71</v>
      </c>
      <c r="K282" s="97">
        <f>SUM(K283:K288)</f>
        <v>10406.5</v>
      </c>
      <c r="L282" s="173"/>
    </row>
    <row r="283" spans="1:12" ht="75" customHeight="1">
      <c r="A283" s="376"/>
      <c r="B283" s="376"/>
      <c r="C283" s="376"/>
      <c r="D283" s="377"/>
      <c r="E283" s="341"/>
      <c r="F283" s="398"/>
      <c r="G283" s="271" t="s">
        <v>421</v>
      </c>
      <c r="H283" s="98">
        <f>H133+H190</f>
        <v>29477.94</v>
      </c>
      <c r="I283" s="98">
        <f>I133+I190</f>
        <v>15905.439999999999</v>
      </c>
      <c r="J283" s="98">
        <f t="shared" ref="J283:K283" si="22">J133+J190</f>
        <v>8166</v>
      </c>
      <c r="K283" s="98">
        <f t="shared" si="22"/>
        <v>5406.5</v>
      </c>
      <c r="L283" s="174"/>
    </row>
    <row r="284" spans="1:12" ht="75" customHeight="1">
      <c r="A284" s="376"/>
      <c r="B284" s="376"/>
      <c r="C284" s="376"/>
      <c r="D284" s="377"/>
      <c r="E284" s="341"/>
      <c r="F284" s="398"/>
      <c r="G284" s="278" t="s">
        <v>95</v>
      </c>
      <c r="H284" s="98">
        <f>H136</f>
        <v>12485.6</v>
      </c>
      <c r="I284" s="98">
        <f>I136</f>
        <v>12485.6</v>
      </c>
      <c r="J284" s="98">
        <f>J136</f>
        <v>0</v>
      </c>
      <c r="K284" s="98">
        <f>K136</f>
        <v>0</v>
      </c>
      <c r="L284" s="174"/>
    </row>
    <row r="285" spans="1:12" ht="174.75" customHeight="1">
      <c r="A285" s="376"/>
      <c r="B285" s="376"/>
      <c r="C285" s="376"/>
      <c r="D285" s="377"/>
      <c r="E285" s="341"/>
      <c r="F285" s="398"/>
      <c r="G285" s="278" t="str">
        <f>G134</f>
        <v>Субвенція з місцевого бюджету на здійснення переданих видатків у сфері охорони здоров'я за рахунок коштів медичної субвенції (загальний фонд)</v>
      </c>
      <c r="H285" s="100">
        <f>H134+H189</f>
        <v>147.79999999999998</v>
      </c>
      <c r="I285" s="100">
        <f>I134+I189</f>
        <v>147.79999999999998</v>
      </c>
      <c r="J285" s="100">
        <f>J134+J189</f>
        <v>0</v>
      </c>
      <c r="K285" s="100">
        <f>K134+K189</f>
        <v>0</v>
      </c>
      <c r="L285" s="174"/>
    </row>
    <row r="286" spans="1:12" ht="147.75" customHeight="1">
      <c r="A286" s="376"/>
      <c r="B286" s="376"/>
      <c r="C286" s="376"/>
      <c r="D286" s="377"/>
      <c r="E286" s="341"/>
      <c r="F286" s="398"/>
      <c r="G286" s="278" t="s">
        <v>202</v>
      </c>
      <c r="H286" s="98">
        <f>H260</f>
        <v>249.81</v>
      </c>
      <c r="I286" s="98">
        <f>I260</f>
        <v>249.81</v>
      </c>
      <c r="J286" s="98">
        <f>J260</f>
        <v>0</v>
      </c>
      <c r="K286" s="98">
        <f>K260</f>
        <v>0</v>
      </c>
      <c r="L286" s="174"/>
    </row>
    <row r="287" spans="1:12" ht="75" customHeight="1">
      <c r="A287" s="376"/>
      <c r="B287" s="376"/>
      <c r="C287" s="376"/>
      <c r="D287" s="377"/>
      <c r="E287" s="341"/>
      <c r="F287" s="398"/>
      <c r="G287" s="271" t="s">
        <v>326</v>
      </c>
      <c r="H287" s="98">
        <f>H135</f>
        <v>60</v>
      </c>
      <c r="I287" s="98">
        <f>I135</f>
        <v>60</v>
      </c>
      <c r="J287" s="98">
        <f>J135</f>
        <v>0</v>
      </c>
      <c r="K287" s="98">
        <f>K135</f>
        <v>0</v>
      </c>
      <c r="L287" s="174"/>
    </row>
    <row r="288" spans="1:12" ht="85.5" customHeight="1">
      <c r="A288" s="376"/>
      <c r="B288" s="376"/>
      <c r="C288" s="376"/>
      <c r="D288" s="377"/>
      <c r="E288" s="342"/>
      <c r="F288" s="398"/>
      <c r="G288" s="271" t="s">
        <v>425</v>
      </c>
      <c r="H288" s="98">
        <f>H259</f>
        <v>37226.080000000002</v>
      </c>
      <c r="I288" s="98">
        <f>I259</f>
        <v>13123.369999999999</v>
      </c>
      <c r="J288" s="98">
        <f>J259</f>
        <v>19102.71</v>
      </c>
      <c r="K288" s="98">
        <f>K259</f>
        <v>5000</v>
      </c>
      <c r="L288" s="174"/>
    </row>
    <row r="289" spans="1:12" ht="75" customHeight="1">
      <c r="A289" s="376"/>
      <c r="B289" s="376"/>
      <c r="C289" s="376"/>
      <c r="D289" s="377"/>
      <c r="E289" s="340" t="s">
        <v>75</v>
      </c>
      <c r="F289" s="398"/>
      <c r="G289" s="275" t="s">
        <v>89</v>
      </c>
      <c r="H289" s="97">
        <f>SUM(H290:H292)</f>
        <v>45989.18</v>
      </c>
      <c r="I289" s="97">
        <f>SUM(I290:I292)</f>
        <v>21952.03</v>
      </c>
      <c r="J289" s="97">
        <f>SUM(J290:J292)</f>
        <v>20408.199999999997</v>
      </c>
      <c r="K289" s="97">
        <f>SUM(K290:K292)</f>
        <v>13130.599999999999</v>
      </c>
      <c r="L289" s="174"/>
    </row>
    <row r="290" spans="1:12" ht="75" customHeight="1">
      <c r="A290" s="376"/>
      <c r="B290" s="376"/>
      <c r="C290" s="376"/>
      <c r="D290" s="377"/>
      <c r="E290" s="341"/>
      <c r="F290" s="398"/>
      <c r="G290" s="271" t="s">
        <v>421</v>
      </c>
      <c r="H290" s="98">
        <f>H138+H191+H227</f>
        <v>33721.78</v>
      </c>
      <c r="I290" s="98">
        <f>I138+I191+I227</f>
        <v>13190.799999999997</v>
      </c>
      <c r="J290" s="98">
        <f>J138+J191+J227</f>
        <v>9941.08</v>
      </c>
      <c r="K290" s="98">
        <f>K138+K191+K227</f>
        <v>10630.599999999999</v>
      </c>
      <c r="L290" s="274"/>
    </row>
    <row r="291" spans="1:12" ht="75" customHeight="1">
      <c r="A291" s="376"/>
      <c r="B291" s="376"/>
      <c r="C291" s="376"/>
      <c r="D291" s="377"/>
      <c r="E291" s="341"/>
      <c r="F291" s="398"/>
      <c r="G291" s="278" t="s">
        <v>95</v>
      </c>
      <c r="H291" s="98">
        <f>H139</f>
        <v>8160.1</v>
      </c>
      <c r="I291" s="98">
        <f>I139</f>
        <v>8160.1</v>
      </c>
      <c r="J291" s="98">
        <f>J139</f>
        <v>0</v>
      </c>
      <c r="K291" s="98">
        <f>K139</f>
        <v>0</v>
      </c>
      <c r="L291" s="174"/>
    </row>
    <row r="292" spans="1:12" ht="75" customHeight="1">
      <c r="A292" s="376"/>
      <c r="B292" s="376"/>
      <c r="C292" s="376"/>
      <c r="D292" s="377"/>
      <c r="E292" s="342"/>
      <c r="F292" s="398"/>
      <c r="G292" s="271" t="s">
        <v>425</v>
      </c>
      <c r="H292" s="98">
        <f>H261</f>
        <v>4107.3</v>
      </c>
      <c r="I292" s="98">
        <f>I261</f>
        <v>601.13</v>
      </c>
      <c r="J292" s="98">
        <f>J261</f>
        <v>10467.119999999999</v>
      </c>
      <c r="K292" s="98">
        <f>K261</f>
        <v>2500</v>
      </c>
      <c r="L292" s="274"/>
    </row>
    <row r="293" spans="1:12" ht="75" customHeight="1">
      <c r="A293" s="376"/>
      <c r="B293" s="376"/>
      <c r="C293" s="376"/>
      <c r="D293" s="377"/>
      <c r="E293" s="340" t="s">
        <v>76</v>
      </c>
      <c r="F293" s="398"/>
      <c r="G293" s="275" t="s">
        <v>89</v>
      </c>
      <c r="H293" s="97">
        <f>SUM(H294:H297)</f>
        <v>99441.414000000004</v>
      </c>
      <c r="I293" s="97">
        <f>SUM(I294:I297)</f>
        <v>56314.853999999999</v>
      </c>
      <c r="J293" s="97">
        <f>SUM(J294:J297)</f>
        <v>30315.57</v>
      </c>
      <c r="K293" s="97">
        <f>SUM(K294:K297)</f>
        <v>12909.99</v>
      </c>
      <c r="L293" s="274"/>
    </row>
    <row r="294" spans="1:12" ht="75" customHeight="1">
      <c r="A294" s="376"/>
      <c r="B294" s="376"/>
      <c r="C294" s="376"/>
      <c r="D294" s="377"/>
      <c r="E294" s="341"/>
      <c r="F294" s="398"/>
      <c r="G294" s="271" t="s">
        <v>421</v>
      </c>
      <c r="H294" s="98">
        <f>H141+H192+H228</f>
        <v>38671.26</v>
      </c>
      <c r="I294" s="98">
        <f>I141+I192+I228</f>
        <v>23044.699999999997</v>
      </c>
      <c r="J294" s="98">
        <f>J141+J192+J228</f>
        <v>7815.57</v>
      </c>
      <c r="K294" s="98">
        <f>K141+K192+K228</f>
        <v>7909.99</v>
      </c>
      <c r="L294" s="274"/>
    </row>
    <row r="295" spans="1:12" ht="91.5" customHeight="1">
      <c r="A295" s="376"/>
      <c r="B295" s="376"/>
      <c r="C295" s="376"/>
      <c r="D295" s="377"/>
      <c r="E295" s="341"/>
      <c r="F295" s="398"/>
      <c r="G295" s="278" t="s">
        <v>95</v>
      </c>
      <c r="H295" s="98">
        <f t="shared" ref="H295:K296" si="23">H142</f>
        <v>12866.2</v>
      </c>
      <c r="I295" s="98">
        <f t="shared" si="23"/>
        <v>12866.2</v>
      </c>
      <c r="J295" s="98">
        <f t="shared" si="23"/>
        <v>0</v>
      </c>
      <c r="K295" s="98">
        <f t="shared" si="23"/>
        <v>0</v>
      </c>
      <c r="L295" s="274"/>
    </row>
    <row r="296" spans="1:12" ht="159" customHeight="1">
      <c r="A296" s="376"/>
      <c r="B296" s="376"/>
      <c r="C296" s="376"/>
      <c r="D296" s="377"/>
      <c r="E296" s="341"/>
      <c r="F296" s="398"/>
      <c r="G296" s="278" t="s">
        <v>98</v>
      </c>
      <c r="H296" s="98">
        <f t="shared" si="23"/>
        <v>2680.3</v>
      </c>
      <c r="I296" s="98">
        <f t="shared" si="23"/>
        <v>2680.3</v>
      </c>
      <c r="J296" s="98">
        <f t="shared" si="23"/>
        <v>0</v>
      </c>
      <c r="K296" s="98">
        <f t="shared" si="23"/>
        <v>0</v>
      </c>
      <c r="L296" s="274"/>
    </row>
    <row r="297" spans="1:12" ht="75" customHeight="1">
      <c r="A297" s="376"/>
      <c r="B297" s="376"/>
      <c r="C297" s="376"/>
      <c r="D297" s="377"/>
      <c r="E297" s="342"/>
      <c r="F297" s="398"/>
      <c r="G297" s="271" t="s">
        <v>425</v>
      </c>
      <c r="H297" s="98">
        <f>H262</f>
        <v>45223.653999999995</v>
      </c>
      <c r="I297" s="98">
        <f>I262</f>
        <v>17723.654000000002</v>
      </c>
      <c r="J297" s="98">
        <f>J262</f>
        <v>22500</v>
      </c>
      <c r="K297" s="98">
        <f>K262</f>
        <v>5000</v>
      </c>
      <c r="L297" s="274"/>
    </row>
    <row r="298" spans="1:12" ht="75" customHeight="1">
      <c r="A298" s="376"/>
      <c r="B298" s="376"/>
      <c r="C298" s="376"/>
      <c r="D298" s="377"/>
      <c r="E298" s="340" t="s">
        <v>74</v>
      </c>
      <c r="F298" s="398"/>
      <c r="G298" s="275" t="s">
        <v>89</v>
      </c>
      <c r="H298" s="97">
        <f>SUM(H299:H302)</f>
        <v>113899.36000000002</v>
      </c>
      <c r="I298" s="97">
        <f>SUM(I299:I302)</f>
        <v>62849.538</v>
      </c>
      <c r="J298" s="97">
        <f>SUM(J299:J302)</f>
        <v>36926.629999999997</v>
      </c>
      <c r="K298" s="97">
        <f>SUM(K299:K302)</f>
        <v>14222.192000000001</v>
      </c>
      <c r="L298" s="274"/>
    </row>
    <row r="299" spans="1:12" ht="75" customHeight="1">
      <c r="A299" s="376"/>
      <c r="B299" s="376"/>
      <c r="C299" s="376"/>
      <c r="D299" s="377"/>
      <c r="E299" s="341"/>
      <c r="F299" s="398"/>
      <c r="G299" s="293" t="s">
        <v>421</v>
      </c>
      <c r="H299" s="98">
        <f>H145+H193+H229</f>
        <v>43233.205000000002</v>
      </c>
      <c r="I299" s="98">
        <f>I145+I193+I229</f>
        <v>22972.383000000002</v>
      </c>
      <c r="J299" s="98">
        <f>J145+J193+J229</f>
        <v>11137.63</v>
      </c>
      <c r="K299" s="98">
        <f>K145+K193+K229</f>
        <v>9222.1920000000009</v>
      </c>
      <c r="L299" s="274"/>
    </row>
    <row r="300" spans="1:12" ht="75" customHeight="1">
      <c r="A300" s="376"/>
      <c r="B300" s="376"/>
      <c r="C300" s="376"/>
      <c r="D300" s="377"/>
      <c r="E300" s="341"/>
      <c r="F300" s="398"/>
      <c r="G300" s="278" t="s">
        <v>95</v>
      </c>
      <c r="H300" s="98">
        <f>H146</f>
        <v>11698</v>
      </c>
      <c r="I300" s="98">
        <f>I146</f>
        <v>11698</v>
      </c>
      <c r="J300" s="98">
        <f>J146</f>
        <v>0</v>
      </c>
      <c r="K300" s="98">
        <f>K146</f>
        <v>0</v>
      </c>
      <c r="L300" s="274"/>
    </row>
    <row r="301" spans="1:12" ht="168.75" customHeight="1">
      <c r="A301" s="376"/>
      <c r="B301" s="376"/>
      <c r="C301" s="376"/>
      <c r="D301" s="377"/>
      <c r="E301" s="341"/>
      <c r="F301" s="398"/>
      <c r="G301" s="278" t="s">
        <v>202</v>
      </c>
      <c r="H301" s="98">
        <f>H265</f>
        <v>1187.9530000000004</v>
      </c>
      <c r="I301" s="98">
        <f>I265</f>
        <v>1187.9530000000004</v>
      </c>
      <c r="J301" s="98">
        <f>J265</f>
        <v>0</v>
      </c>
      <c r="K301" s="98">
        <f>K265</f>
        <v>0</v>
      </c>
      <c r="L301" s="274"/>
    </row>
    <row r="302" spans="1:12" ht="75" customHeight="1">
      <c r="A302" s="376"/>
      <c r="B302" s="376"/>
      <c r="C302" s="376"/>
      <c r="D302" s="377"/>
      <c r="E302" s="342"/>
      <c r="F302" s="398"/>
      <c r="G302" s="271" t="s">
        <v>425</v>
      </c>
      <c r="H302" s="98">
        <f>H264</f>
        <v>57780.202000000005</v>
      </c>
      <c r="I302" s="98">
        <f>I264</f>
        <v>26991.202000000001</v>
      </c>
      <c r="J302" s="98">
        <f>J264</f>
        <v>25789</v>
      </c>
      <c r="K302" s="98">
        <f>K264</f>
        <v>5000</v>
      </c>
      <c r="L302" s="274"/>
    </row>
    <row r="303" spans="1:12" ht="75" customHeight="1">
      <c r="A303" s="376"/>
      <c r="B303" s="376"/>
      <c r="C303" s="376"/>
      <c r="D303" s="377"/>
      <c r="E303" s="340" t="s">
        <v>78</v>
      </c>
      <c r="F303" s="398"/>
      <c r="G303" s="275" t="s">
        <v>89</v>
      </c>
      <c r="H303" s="97">
        <f>SUM(H304:H307)</f>
        <v>49829.29</v>
      </c>
      <c r="I303" s="97">
        <f>SUM(I304:I307)</f>
        <v>30956.57</v>
      </c>
      <c r="J303" s="97">
        <f>SUM(J304:J307)</f>
        <v>15417.6</v>
      </c>
      <c r="K303" s="97">
        <f>SUM(K304:K307)</f>
        <v>3513.92</v>
      </c>
      <c r="L303" s="274"/>
    </row>
    <row r="304" spans="1:12" ht="75" customHeight="1">
      <c r="A304" s="376"/>
      <c r="B304" s="376"/>
      <c r="C304" s="376"/>
      <c r="D304" s="377"/>
      <c r="E304" s="341"/>
      <c r="F304" s="398"/>
      <c r="G304" s="293" t="s">
        <v>421</v>
      </c>
      <c r="H304" s="98">
        <f t="shared" ref="H304:K305" si="24">H149</f>
        <v>13036.12</v>
      </c>
      <c r="I304" s="98">
        <f t="shared" si="24"/>
        <v>6263.4000000000005</v>
      </c>
      <c r="J304" s="98">
        <f>J149+J84</f>
        <v>3317.6000000000004</v>
      </c>
      <c r="K304" s="98">
        <f t="shared" si="24"/>
        <v>3513.92</v>
      </c>
      <c r="L304" s="274"/>
    </row>
    <row r="305" spans="1:12" ht="75" customHeight="1">
      <c r="A305" s="376"/>
      <c r="B305" s="376"/>
      <c r="C305" s="376"/>
      <c r="D305" s="377"/>
      <c r="E305" s="341"/>
      <c r="F305" s="398"/>
      <c r="G305" s="278" t="s">
        <v>95</v>
      </c>
      <c r="H305" s="98">
        <f t="shared" si="24"/>
        <v>6347.6</v>
      </c>
      <c r="I305" s="98">
        <f t="shared" si="24"/>
        <v>6347.6</v>
      </c>
      <c r="J305" s="98">
        <f t="shared" si="24"/>
        <v>0</v>
      </c>
      <c r="K305" s="98">
        <f t="shared" si="24"/>
        <v>0</v>
      </c>
      <c r="L305" s="274"/>
    </row>
    <row r="306" spans="1:12" ht="198" customHeight="1">
      <c r="A306" s="376"/>
      <c r="B306" s="376"/>
      <c r="C306" s="376"/>
      <c r="D306" s="377"/>
      <c r="E306" s="341"/>
      <c r="F306" s="398"/>
      <c r="G306" s="278" t="s">
        <v>202</v>
      </c>
      <c r="H306" s="98">
        <f>H268</f>
        <v>926</v>
      </c>
      <c r="I306" s="98">
        <f>I268</f>
        <v>926</v>
      </c>
      <c r="J306" s="98">
        <f>J268</f>
        <v>0</v>
      </c>
      <c r="K306" s="98">
        <f>K268</f>
        <v>0</v>
      </c>
      <c r="L306" s="274"/>
    </row>
    <row r="307" spans="1:12" ht="75" customHeight="1">
      <c r="A307" s="376"/>
      <c r="B307" s="376"/>
      <c r="C307" s="376"/>
      <c r="D307" s="377"/>
      <c r="E307" s="342"/>
      <c r="F307" s="398"/>
      <c r="G307" s="271" t="s">
        <v>425</v>
      </c>
      <c r="H307" s="98">
        <f>H267</f>
        <v>29519.57</v>
      </c>
      <c r="I307" s="98">
        <f>I267</f>
        <v>17419.57</v>
      </c>
      <c r="J307" s="98">
        <f>J267</f>
        <v>12100</v>
      </c>
      <c r="K307" s="98">
        <f>K267</f>
        <v>0</v>
      </c>
      <c r="L307" s="274"/>
    </row>
    <row r="308" spans="1:12" ht="75" customHeight="1">
      <c r="A308" s="376"/>
      <c r="B308" s="376"/>
      <c r="C308" s="376"/>
      <c r="D308" s="377"/>
      <c r="E308" s="340" t="s">
        <v>77</v>
      </c>
      <c r="F308" s="398"/>
      <c r="G308" s="275" t="s">
        <v>89</v>
      </c>
      <c r="H308" s="97">
        <f>SUM(H309:H311)</f>
        <v>27734.575000000001</v>
      </c>
      <c r="I308" s="97">
        <f>SUM(I309:I311)</f>
        <v>9335</v>
      </c>
      <c r="J308" s="97">
        <f>SUM(J309:J311)</f>
        <v>8904.6</v>
      </c>
      <c r="K308" s="97">
        <f>SUM(K309:K311)</f>
        <v>9494.9750000000004</v>
      </c>
      <c r="L308" s="274"/>
    </row>
    <row r="309" spans="1:12" ht="75" customHeight="1">
      <c r="A309" s="376"/>
      <c r="B309" s="376"/>
      <c r="C309" s="376"/>
      <c r="D309" s="377"/>
      <c r="E309" s="341"/>
      <c r="F309" s="398"/>
      <c r="G309" s="293" t="s">
        <v>421</v>
      </c>
      <c r="H309" s="98">
        <f>H152+H194</f>
        <v>25352.375</v>
      </c>
      <c r="I309" s="98">
        <f>I152+I194</f>
        <v>6952.8</v>
      </c>
      <c r="J309" s="98">
        <f>J121+J123+J172</f>
        <v>8904.6</v>
      </c>
      <c r="K309" s="98">
        <f>K152+K194</f>
        <v>9494.9750000000004</v>
      </c>
      <c r="L309" s="274"/>
    </row>
    <row r="310" spans="1:12" ht="75" customHeight="1">
      <c r="A310" s="376"/>
      <c r="B310" s="376"/>
      <c r="C310" s="376"/>
      <c r="D310" s="377"/>
      <c r="E310" s="341"/>
      <c r="F310" s="398"/>
      <c r="G310" s="278" t="s">
        <v>95</v>
      </c>
      <c r="H310" s="98">
        <f>H153</f>
        <v>1132.2</v>
      </c>
      <c r="I310" s="98">
        <f>I153</f>
        <v>1132.2</v>
      </c>
      <c r="J310" s="98">
        <f>J153</f>
        <v>0</v>
      </c>
      <c r="K310" s="98">
        <f>K153</f>
        <v>0</v>
      </c>
      <c r="L310" s="274"/>
    </row>
    <row r="311" spans="1:12" ht="75" customHeight="1">
      <c r="A311" s="376"/>
      <c r="B311" s="376"/>
      <c r="C311" s="376"/>
      <c r="D311" s="377"/>
      <c r="E311" s="342"/>
      <c r="F311" s="398"/>
      <c r="G311" s="271" t="s">
        <v>425</v>
      </c>
      <c r="H311" s="98">
        <f>H269</f>
        <v>1250</v>
      </c>
      <c r="I311" s="98">
        <f>I269</f>
        <v>1250</v>
      </c>
      <c r="J311" s="98">
        <f>J269</f>
        <v>0</v>
      </c>
      <c r="K311" s="98">
        <f>K269</f>
        <v>0</v>
      </c>
      <c r="L311" s="274"/>
    </row>
    <row r="312" spans="1:12" ht="75" customHeight="1">
      <c r="A312" s="376"/>
      <c r="B312" s="376"/>
      <c r="C312" s="376"/>
      <c r="D312" s="377"/>
      <c r="E312" s="340" t="s">
        <v>79</v>
      </c>
      <c r="F312" s="398"/>
      <c r="G312" s="275" t="s">
        <v>89</v>
      </c>
      <c r="H312" s="97">
        <f>SUM(H313:H314)</f>
        <v>24648.81</v>
      </c>
      <c r="I312" s="97">
        <f>SUM(I313:I314)</f>
        <v>7607.41</v>
      </c>
      <c r="J312" s="97">
        <f>SUM(J313:J314)</f>
        <v>8283.5999999999985</v>
      </c>
      <c r="K312" s="97">
        <f>SUM(K313:K314)</f>
        <v>8805.7999999999993</v>
      </c>
      <c r="L312" s="274"/>
    </row>
    <row r="313" spans="1:12" ht="75" customHeight="1">
      <c r="A313" s="376"/>
      <c r="B313" s="376"/>
      <c r="C313" s="376"/>
      <c r="D313" s="377"/>
      <c r="E313" s="341"/>
      <c r="F313" s="398"/>
      <c r="G313" s="293" t="s">
        <v>421</v>
      </c>
      <c r="H313" s="98">
        <f>H154+H195+H224</f>
        <v>24646.31</v>
      </c>
      <c r="I313" s="98">
        <f>I154+I195+I224</f>
        <v>7604.91</v>
      </c>
      <c r="J313" s="98">
        <f>J154+J195+J224+J85</f>
        <v>8283.5999999999985</v>
      </c>
      <c r="K313" s="98">
        <f>K154+K195+K224</f>
        <v>8805.7999999999993</v>
      </c>
      <c r="L313" s="274"/>
    </row>
    <row r="314" spans="1:12" ht="222.75" customHeight="1">
      <c r="A314" s="376"/>
      <c r="B314" s="376"/>
      <c r="C314" s="376"/>
      <c r="D314" s="377"/>
      <c r="E314" s="342"/>
      <c r="F314" s="398"/>
      <c r="G314" s="175" t="s">
        <v>99</v>
      </c>
      <c r="H314" s="98">
        <f>H223</f>
        <v>2.5</v>
      </c>
      <c r="I314" s="98">
        <f>I223</f>
        <v>2.5</v>
      </c>
      <c r="J314" s="98">
        <f>J223</f>
        <v>0</v>
      </c>
      <c r="K314" s="98">
        <f>K223</f>
        <v>0</v>
      </c>
      <c r="L314" s="274"/>
    </row>
    <row r="315" spans="1:12" ht="75" customHeight="1">
      <c r="A315" s="376"/>
      <c r="B315" s="376"/>
      <c r="C315" s="376"/>
      <c r="D315" s="377"/>
      <c r="E315" s="340" t="s">
        <v>80</v>
      </c>
      <c r="F315" s="398"/>
      <c r="G315" s="275" t="s">
        <v>89</v>
      </c>
      <c r="H315" s="97">
        <f>H316</f>
        <v>28128.1423</v>
      </c>
      <c r="I315" s="97">
        <f>I316</f>
        <v>8442.69</v>
      </c>
      <c r="J315" s="97">
        <f>J316</f>
        <v>9636.2000000000007</v>
      </c>
      <c r="K315" s="97">
        <f>K316</f>
        <v>10049.2523</v>
      </c>
      <c r="L315" s="274"/>
    </row>
    <row r="316" spans="1:12" ht="75" customHeight="1">
      <c r="A316" s="376"/>
      <c r="B316" s="376"/>
      <c r="C316" s="376"/>
      <c r="D316" s="377"/>
      <c r="E316" s="342"/>
      <c r="F316" s="398"/>
      <c r="G316" s="293" t="s">
        <v>421</v>
      </c>
      <c r="H316" s="98">
        <f>I316+J316+K316</f>
        <v>28128.1423</v>
      </c>
      <c r="I316" s="98">
        <f>I155+I196+I226</f>
        <v>8442.69</v>
      </c>
      <c r="J316" s="98">
        <f>J155+J196+J226+J86</f>
        <v>9636.2000000000007</v>
      </c>
      <c r="K316" s="98">
        <f>K155+K196+K226</f>
        <v>10049.2523</v>
      </c>
      <c r="L316" s="274"/>
    </row>
    <row r="317" spans="1:12" ht="75" customHeight="1">
      <c r="A317" s="376"/>
      <c r="B317" s="376"/>
      <c r="C317" s="376"/>
      <c r="D317" s="377"/>
      <c r="E317" s="261" t="s">
        <v>401</v>
      </c>
      <c r="F317" s="398"/>
      <c r="G317" s="293" t="s">
        <v>421</v>
      </c>
      <c r="H317" s="97">
        <f>H156</f>
        <v>3000</v>
      </c>
      <c r="I317" s="97">
        <f>I156</f>
        <v>3000</v>
      </c>
      <c r="J317" s="97">
        <f>J156</f>
        <v>0</v>
      </c>
      <c r="K317" s="97">
        <f>K156</f>
        <v>0</v>
      </c>
      <c r="L317" s="274"/>
    </row>
    <row r="318" spans="1:12" ht="75" customHeight="1">
      <c r="A318" s="376"/>
      <c r="B318" s="376"/>
      <c r="C318" s="376"/>
      <c r="D318" s="377"/>
      <c r="E318" s="340" t="s">
        <v>449</v>
      </c>
      <c r="F318" s="398"/>
      <c r="G318" s="275" t="s">
        <v>89</v>
      </c>
      <c r="H318" s="97">
        <f>SUM(H319:H323)</f>
        <v>85644.119000000006</v>
      </c>
      <c r="I318" s="97">
        <f>SUM(I319:I323)</f>
        <v>45904.919000000002</v>
      </c>
      <c r="J318" s="97">
        <f>SUM(J319:J323)</f>
        <v>36751.5</v>
      </c>
      <c r="K318" s="97">
        <f>SUM(K319:K323)</f>
        <v>2987.7</v>
      </c>
      <c r="L318" s="274"/>
    </row>
    <row r="319" spans="1:12" ht="75" customHeight="1">
      <c r="A319" s="376"/>
      <c r="B319" s="376"/>
      <c r="C319" s="376"/>
      <c r="D319" s="377"/>
      <c r="E319" s="341"/>
      <c r="F319" s="398"/>
      <c r="G319" s="293" t="s">
        <v>421</v>
      </c>
      <c r="H319" s="98">
        <f>H200+H225</f>
        <v>23319.200000000001</v>
      </c>
      <c r="I319" s="98">
        <f>I200+I225</f>
        <v>17282.2</v>
      </c>
      <c r="J319" s="98">
        <f>J200+J225</f>
        <v>3049.3</v>
      </c>
      <c r="K319" s="98">
        <f>K200+K225</f>
        <v>2987.7</v>
      </c>
      <c r="L319" s="274"/>
    </row>
    <row r="320" spans="1:12" ht="223.5" customHeight="1">
      <c r="A320" s="376"/>
      <c r="B320" s="376"/>
      <c r="C320" s="376"/>
      <c r="D320" s="377"/>
      <c r="E320" s="341"/>
      <c r="F320" s="398"/>
      <c r="G320" s="271" t="s">
        <v>99</v>
      </c>
      <c r="H320" s="98">
        <f>H199</f>
        <v>14280.419000000002</v>
      </c>
      <c r="I320" s="98">
        <f>I199</f>
        <v>6609.6190000000006</v>
      </c>
      <c r="J320" s="98">
        <f>J199</f>
        <v>7670.8</v>
      </c>
      <c r="K320" s="98">
        <f>K199</f>
        <v>0</v>
      </c>
      <c r="L320" s="274"/>
    </row>
    <row r="321" spans="1:12" ht="173.25" customHeight="1">
      <c r="A321" s="376"/>
      <c r="B321" s="376"/>
      <c r="C321" s="376"/>
      <c r="D321" s="377"/>
      <c r="E321" s="341"/>
      <c r="F321" s="398"/>
      <c r="G321" s="271" t="s">
        <v>98</v>
      </c>
      <c r="H321" s="98">
        <f>H198</f>
        <v>1490.1</v>
      </c>
      <c r="I321" s="98">
        <f>I198</f>
        <v>1490.1</v>
      </c>
      <c r="J321" s="98">
        <f>J198</f>
        <v>0</v>
      </c>
      <c r="K321" s="98">
        <f>K198</f>
        <v>0</v>
      </c>
      <c r="L321" s="274"/>
    </row>
    <row r="322" spans="1:12" ht="75" customHeight="1">
      <c r="A322" s="376"/>
      <c r="B322" s="376"/>
      <c r="C322" s="376"/>
      <c r="D322" s="377"/>
      <c r="E322" s="341"/>
      <c r="F322" s="398"/>
      <c r="G322" s="279" t="s">
        <v>392</v>
      </c>
      <c r="H322" s="98">
        <f>H280</f>
        <v>3799.8</v>
      </c>
      <c r="I322" s="98">
        <f>I280</f>
        <v>799.7</v>
      </c>
      <c r="J322" s="98">
        <f>J280</f>
        <v>3000.1</v>
      </c>
      <c r="K322" s="98">
        <f>K280</f>
        <v>0</v>
      </c>
      <c r="L322" s="274"/>
    </row>
    <row r="323" spans="1:12" ht="75" customHeight="1">
      <c r="A323" s="378"/>
      <c r="B323" s="378"/>
      <c r="C323" s="378"/>
      <c r="D323" s="379"/>
      <c r="E323" s="342"/>
      <c r="F323" s="399"/>
      <c r="G323" s="271" t="s">
        <v>425</v>
      </c>
      <c r="H323" s="98">
        <f>H272</f>
        <v>42754.6</v>
      </c>
      <c r="I323" s="98">
        <f>I272</f>
        <v>19723.3</v>
      </c>
      <c r="J323" s="98">
        <f>J272</f>
        <v>23031.3</v>
      </c>
      <c r="K323" s="98">
        <f>K272</f>
        <v>0</v>
      </c>
      <c r="L323" s="280"/>
    </row>
    <row r="324" spans="1:12" ht="75" customHeight="1">
      <c r="A324" s="514" t="s">
        <v>248</v>
      </c>
      <c r="B324" s="514"/>
      <c r="C324" s="514"/>
      <c r="D324" s="514"/>
      <c r="E324" s="514"/>
      <c r="F324" s="514"/>
      <c r="G324" s="514"/>
      <c r="H324" s="514"/>
      <c r="I324" s="514"/>
      <c r="J324" s="514"/>
      <c r="K324" s="514"/>
      <c r="L324" s="515"/>
    </row>
    <row r="325" spans="1:12" ht="75" customHeight="1">
      <c r="A325" s="266" t="s">
        <v>250</v>
      </c>
      <c r="B325" s="516" t="s">
        <v>249</v>
      </c>
      <c r="C325" s="517"/>
      <c r="D325" s="517"/>
      <c r="E325" s="517"/>
      <c r="F325" s="518"/>
      <c r="G325" s="176" t="s">
        <v>84</v>
      </c>
      <c r="H325" s="97">
        <f>SUM(H326:H330)</f>
        <v>2035.825</v>
      </c>
      <c r="I325" s="97">
        <f>SUM(I326:I330)</f>
        <v>729.5</v>
      </c>
      <c r="J325" s="97">
        <f>SUM(J326:J330)</f>
        <v>630.9</v>
      </c>
      <c r="K325" s="97">
        <f>SUM(K326:K330)</f>
        <v>675.42499999999995</v>
      </c>
      <c r="L325" s="343" t="s">
        <v>251</v>
      </c>
    </row>
    <row r="326" spans="1:12" ht="75" customHeight="1">
      <c r="A326" s="539" t="s">
        <v>254</v>
      </c>
      <c r="B326" s="374"/>
      <c r="C326" s="374"/>
      <c r="D326" s="375"/>
      <c r="E326" s="267" t="s">
        <v>81</v>
      </c>
      <c r="F326" s="346"/>
      <c r="G326" s="389" t="s">
        <v>421</v>
      </c>
      <c r="H326" s="97">
        <f>I326+J326+K326</f>
        <v>76</v>
      </c>
      <c r="I326" s="98">
        <v>76</v>
      </c>
      <c r="J326" s="98">
        <v>0</v>
      </c>
      <c r="K326" s="98">
        <v>0</v>
      </c>
      <c r="L326" s="344"/>
    </row>
    <row r="327" spans="1:12" ht="75" customHeight="1">
      <c r="A327" s="540"/>
      <c r="B327" s="376"/>
      <c r="C327" s="376"/>
      <c r="D327" s="377"/>
      <c r="E327" s="267" t="s">
        <v>75</v>
      </c>
      <c r="F327" s="347"/>
      <c r="G327" s="390"/>
      <c r="H327" s="97">
        <f>I327+J327+K327</f>
        <v>510.50000000000006</v>
      </c>
      <c r="I327" s="98">
        <f>24.3+148</f>
        <v>172.3</v>
      </c>
      <c r="J327" s="98">
        <v>163.4</v>
      </c>
      <c r="K327" s="98">
        <v>174.8</v>
      </c>
      <c r="L327" s="344"/>
    </row>
    <row r="328" spans="1:12" ht="75" customHeight="1">
      <c r="A328" s="540"/>
      <c r="B328" s="376"/>
      <c r="C328" s="376"/>
      <c r="D328" s="377"/>
      <c r="E328" s="267" t="s">
        <v>76</v>
      </c>
      <c r="F328" s="347"/>
      <c r="G328" s="390"/>
      <c r="H328" s="97">
        <f>I328+J328+K328</f>
        <v>41.5</v>
      </c>
      <c r="I328" s="98">
        <v>41.5</v>
      </c>
      <c r="J328" s="98">
        <v>0</v>
      </c>
      <c r="K328" s="98">
        <v>0</v>
      </c>
      <c r="L328" s="344"/>
    </row>
    <row r="329" spans="1:12" ht="75" customHeight="1">
      <c r="A329" s="540"/>
      <c r="B329" s="376"/>
      <c r="C329" s="376"/>
      <c r="D329" s="377"/>
      <c r="E329" s="267" t="s">
        <v>78</v>
      </c>
      <c r="F329" s="347"/>
      <c r="G329" s="390"/>
      <c r="H329" s="97">
        <f>I329+J329+K329</f>
        <v>9.5</v>
      </c>
      <c r="I329" s="98">
        <v>9.5</v>
      </c>
      <c r="J329" s="98">
        <v>0</v>
      </c>
      <c r="K329" s="98">
        <v>0</v>
      </c>
      <c r="L329" s="344"/>
    </row>
    <row r="330" spans="1:12" ht="75" customHeight="1">
      <c r="A330" s="541"/>
      <c r="B330" s="378"/>
      <c r="C330" s="378"/>
      <c r="D330" s="379"/>
      <c r="E330" s="262" t="s">
        <v>77</v>
      </c>
      <c r="F330" s="348"/>
      <c r="G330" s="391"/>
      <c r="H330" s="97">
        <f>I330+J330+K330</f>
        <v>1398.325</v>
      </c>
      <c r="I330" s="98">
        <v>430.2</v>
      </c>
      <c r="J330" s="98">
        <f>430+37.5</f>
        <v>467.5</v>
      </c>
      <c r="K330" s="98">
        <f>460+40.625</f>
        <v>500.625</v>
      </c>
      <c r="L330" s="345"/>
    </row>
    <row r="331" spans="1:12" ht="75" customHeight="1">
      <c r="A331" s="177" t="s">
        <v>277</v>
      </c>
      <c r="B331" s="435" t="s">
        <v>252</v>
      </c>
      <c r="C331" s="436"/>
      <c r="D331" s="436"/>
      <c r="E331" s="436"/>
      <c r="F331" s="437"/>
      <c r="G331" s="176" t="s">
        <v>84</v>
      </c>
      <c r="H331" s="97">
        <f>H336+H337+H338+H339+H333+H332</f>
        <v>34185.597000000002</v>
      </c>
      <c r="I331" s="97">
        <f>I336+I337+I338+I339+I333+I332</f>
        <v>21897.487000000001</v>
      </c>
      <c r="J331" s="97">
        <f>J336+J337+J338+J339+J333+J332+J334+J335</f>
        <v>7458.47</v>
      </c>
      <c r="K331" s="97">
        <f>K336+K337+K338+K339+K333+K332</f>
        <v>10129.64</v>
      </c>
      <c r="L331" s="178"/>
    </row>
    <row r="332" spans="1:12" ht="75" customHeight="1">
      <c r="A332" s="416" t="s">
        <v>254</v>
      </c>
      <c r="B332" s="417"/>
      <c r="C332" s="417"/>
      <c r="D332" s="418"/>
      <c r="E332" s="267" t="s">
        <v>81</v>
      </c>
      <c r="F332" s="265"/>
      <c r="G332" s="271" t="s">
        <v>421</v>
      </c>
      <c r="H332" s="97">
        <f t="shared" ref="H332:H339" si="25">I332+J332+K332</f>
        <v>117.64</v>
      </c>
      <c r="I332" s="97"/>
      <c r="J332" s="97"/>
      <c r="K332" s="97">
        <f>90.64+15+12</f>
        <v>117.64</v>
      </c>
      <c r="L332" s="179"/>
    </row>
    <row r="333" spans="1:12" ht="75" customHeight="1">
      <c r="A333" s="419"/>
      <c r="B333" s="420"/>
      <c r="C333" s="420"/>
      <c r="D333" s="421"/>
      <c r="E333" s="267" t="s">
        <v>81</v>
      </c>
      <c r="F333" s="265"/>
      <c r="G333" s="271" t="s">
        <v>425</v>
      </c>
      <c r="H333" s="97">
        <f t="shared" si="25"/>
        <v>10049.6</v>
      </c>
      <c r="I333" s="97">
        <v>49.6</v>
      </c>
      <c r="J333" s="97"/>
      <c r="K333" s="97">
        <v>10000</v>
      </c>
      <c r="L333" s="179"/>
    </row>
    <row r="334" spans="1:12" ht="75" customHeight="1">
      <c r="A334" s="419"/>
      <c r="B334" s="420"/>
      <c r="C334" s="420"/>
      <c r="D334" s="421"/>
      <c r="E334" s="262" t="s">
        <v>78</v>
      </c>
      <c r="F334" s="260"/>
      <c r="G334" s="271" t="s">
        <v>421</v>
      </c>
      <c r="H334" s="97"/>
      <c r="I334" s="97"/>
      <c r="J334" s="98">
        <v>15</v>
      </c>
      <c r="K334" s="97"/>
      <c r="L334" s="179"/>
    </row>
    <row r="335" spans="1:12" ht="79.5" customHeight="1">
      <c r="A335" s="419"/>
      <c r="B335" s="420"/>
      <c r="C335" s="420"/>
      <c r="D335" s="421"/>
      <c r="E335" s="262" t="s">
        <v>78</v>
      </c>
      <c r="F335" s="260"/>
      <c r="G335" s="271" t="s">
        <v>425</v>
      </c>
      <c r="H335" s="97"/>
      <c r="I335" s="97"/>
      <c r="J335" s="98">
        <v>5285</v>
      </c>
      <c r="K335" s="97"/>
      <c r="L335" s="179"/>
    </row>
    <row r="336" spans="1:12" ht="75" customHeight="1">
      <c r="A336" s="419"/>
      <c r="B336" s="420"/>
      <c r="C336" s="420"/>
      <c r="D336" s="421"/>
      <c r="E336" s="343" t="s">
        <v>74</v>
      </c>
      <c r="F336" s="346"/>
      <c r="G336" s="271" t="s">
        <v>421</v>
      </c>
      <c r="H336" s="97">
        <f t="shared" si="25"/>
        <v>347.5</v>
      </c>
      <c r="I336" s="98">
        <f>199+30</f>
        <v>229</v>
      </c>
      <c r="J336" s="98">
        <v>106.5</v>
      </c>
      <c r="K336" s="98">
        <v>12</v>
      </c>
      <c r="L336" s="343" t="s">
        <v>253</v>
      </c>
    </row>
    <row r="337" spans="1:12" ht="75" customHeight="1">
      <c r="A337" s="419"/>
      <c r="B337" s="420"/>
      <c r="C337" s="420"/>
      <c r="D337" s="421"/>
      <c r="E337" s="344"/>
      <c r="F337" s="347"/>
      <c r="G337" s="271" t="s">
        <v>425</v>
      </c>
      <c r="H337" s="97">
        <f t="shared" si="25"/>
        <v>6599.6870000000008</v>
      </c>
      <c r="I337" s="98">
        <f>7269.3-500+49.587-799.7</f>
        <v>6019.1870000000008</v>
      </c>
      <c r="J337" s="98">
        <f>130+410+40.5</f>
        <v>580.5</v>
      </c>
      <c r="K337" s="104"/>
      <c r="L337" s="344"/>
    </row>
    <row r="338" spans="1:12" ht="75" customHeight="1">
      <c r="A338" s="419"/>
      <c r="B338" s="420"/>
      <c r="C338" s="420"/>
      <c r="D338" s="421"/>
      <c r="E338" s="344"/>
      <c r="F338" s="347"/>
      <c r="G338" s="278" t="s">
        <v>378</v>
      </c>
      <c r="H338" s="99">
        <f t="shared" si="25"/>
        <v>16186.17</v>
      </c>
      <c r="I338" s="100">
        <v>14714.7</v>
      </c>
      <c r="J338" s="100">
        <v>1471.47</v>
      </c>
      <c r="K338" s="99"/>
      <c r="L338" s="344"/>
    </row>
    <row r="339" spans="1:12" ht="75" customHeight="1">
      <c r="A339" s="422"/>
      <c r="B339" s="423"/>
      <c r="C339" s="423"/>
      <c r="D339" s="424"/>
      <c r="E339" s="345"/>
      <c r="F339" s="291"/>
      <c r="G339" s="271" t="s">
        <v>83</v>
      </c>
      <c r="H339" s="97">
        <f t="shared" si="25"/>
        <v>885</v>
      </c>
      <c r="I339" s="98">
        <v>885</v>
      </c>
      <c r="J339" s="98">
        <v>0</v>
      </c>
      <c r="K339" s="98">
        <v>0</v>
      </c>
      <c r="L339" s="344"/>
    </row>
    <row r="340" spans="1:12" ht="75" customHeight="1">
      <c r="A340" s="177" t="s">
        <v>278</v>
      </c>
      <c r="B340" s="349" t="s">
        <v>479</v>
      </c>
      <c r="C340" s="349"/>
      <c r="D340" s="349"/>
      <c r="E340" s="349"/>
      <c r="F340" s="349"/>
      <c r="G340" s="291" t="s">
        <v>84</v>
      </c>
      <c r="H340" s="97">
        <f>H341</f>
        <v>26831.5</v>
      </c>
      <c r="I340" s="97">
        <f>I341</f>
        <v>6238.8</v>
      </c>
      <c r="J340" s="97">
        <f t="shared" ref="I340:K342" si="26">J341</f>
        <v>20592.7</v>
      </c>
      <c r="K340" s="97">
        <f t="shared" si="26"/>
        <v>0</v>
      </c>
      <c r="L340" s="343" t="s">
        <v>60</v>
      </c>
    </row>
    <row r="341" spans="1:12" ht="75" customHeight="1">
      <c r="A341" s="363" t="s">
        <v>254</v>
      </c>
      <c r="B341" s="364"/>
      <c r="C341" s="364"/>
      <c r="D341" s="365"/>
      <c r="E341" s="267" t="s">
        <v>74</v>
      </c>
      <c r="F341" s="291"/>
      <c r="G341" s="271" t="s">
        <v>103</v>
      </c>
      <c r="H341" s="97">
        <f>I341+J341+K341</f>
        <v>26831.5</v>
      </c>
      <c r="I341" s="98">
        <v>6238.8</v>
      </c>
      <c r="J341" s="98">
        <v>20592.7</v>
      </c>
      <c r="K341" s="98">
        <v>0</v>
      </c>
      <c r="L341" s="345"/>
    </row>
    <row r="342" spans="1:12" ht="114.75" customHeight="1">
      <c r="A342" s="177" t="s">
        <v>279</v>
      </c>
      <c r="B342" s="349" t="s">
        <v>478</v>
      </c>
      <c r="C342" s="349"/>
      <c r="D342" s="349"/>
      <c r="E342" s="349"/>
      <c r="F342" s="349"/>
      <c r="G342" s="291" t="s">
        <v>84</v>
      </c>
      <c r="H342" s="97">
        <f>H343</f>
        <v>6848</v>
      </c>
      <c r="I342" s="97">
        <f t="shared" si="26"/>
        <v>6848</v>
      </c>
      <c r="J342" s="97">
        <f t="shared" si="26"/>
        <v>0</v>
      </c>
      <c r="K342" s="97">
        <f t="shared" si="26"/>
        <v>0</v>
      </c>
      <c r="L342" s="343" t="s">
        <v>396</v>
      </c>
    </row>
    <row r="343" spans="1:12" ht="144" customHeight="1">
      <c r="A343" s="363" t="s">
        <v>254</v>
      </c>
      <c r="B343" s="364"/>
      <c r="C343" s="364"/>
      <c r="D343" s="365"/>
      <c r="E343" s="267"/>
      <c r="F343" s="291"/>
      <c r="G343" s="271" t="s">
        <v>394</v>
      </c>
      <c r="H343" s="97">
        <f>I343+J343+K343</f>
        <v>6848</v>
      </c>
      <c r="I343" s="98">
        <v>6848</v>
      </c>
      <c r="J343" s="98">
        <v>0</v>
      </c>
      <c r="K343" s="98">
        <v>0</v>
      </c>
      <c r="L343" s="345"/>
    </row>
    <row r="344" spans="1:12" ht="75" customHeight="1">
      <c r="A344" s="266" t="s">
        <v>280</v>
      </c>
      <c r="B344" s="349" t="s">
        <v>255</v>
      </c>
      <c r="C344" s="349"/>
      <c r="D344" s="349"/>
      <c r="E344" s="349"/>
      <c r="F344" s="349"/>
      <c r="G344" s="291" t="s">
        <v>84</v>
      </c>
      <c r="H344" s="97">
        <f>H345</f>
        <v>15454.899999999998</v>
      </c>
      <c r="I344" s="97">
        <f>I345</f>
        <v>12454.899999999998</v>
      </c>
      <c r="J344" s="97">
        <f>J345</f>
        <v>3000</v>
      </c>
      <c r="K344" s="97">
        <f>K345</f>
        <v>0</v>
      </c>
      <c r="L344" s="343" t="s">
        <v>60</v>
      </c>
    </row>
    <row r="345" spans="1:12" ht="145.5" customHeight="1">
      <c r="A345" s="538"/>
      <c r="B345" s="538"/>
      <c r="C345" s="538"/>
      <c r="D345" s="538"/>
      <c r="E345" s="267" t="s">
        <v>85</v>
      </c>
      <c r="F345" s="296"/>
      <c r="G345" s="389" t="s">
        <v>425</v>
      </c>
      <c r="H345" s="97">
        <f>H346+H347+H348+H349</f>
        <v>15454.899999999998</v>
      </c>
      <c r="I345" s="97">
        <f>I346+I347+I348+I349</f>
        <v>12454.899999999998</v>
      </c>
      <c r="J345" s="97">
        <f>J346+J347+J348+J349</f>
        <v>3000</v>
      </c>
      <c r="K345" s="97">
        <f>K346+K347+K348+K349</f>
        <v>0</v>
      </c>
      <c r="L345" s="344"/>
    </row>
    <row r="346" spans="1:12" ht="75" customHeight="1">
      <c r="A346" s="575" t="s">
        <v>254</v>
      </c>
      <c r="B346" s="576"/>
      <c r="C346" s="576"/>
      <c r="D346" s="576"/>
      <c r="E346" s="267" t="s">
        <v>75</v>
      </c>
      <c r="F346" s="296"/>
      <c r="G346" s="390"/>
      <c r="H346" s="97">
        <f>I346+J346+K346</f>
        <v>14713.3</v>
      </c>
      <c r="I346" s="285">
        <v>11713.3</v>
      </c>
      <c r="J346" s="98">
        <v>3000</v>
      </c>
      <c r="K346" s="98">
        <v>0</v>
      </c>
      <c r="L346" s="344"/>
    </row>
    <row r="347" spans="1:12" ht="70.5" customHeight="1">
      <c r="A347" s="577"/>
      <c r="B347" s="578"/>
      <c r="C347" s="578"/>
      <c r="D347" s="578"/>
      <c r="E347" s="267" t="s">
        <v>76</v>
      </c>
      <c r="F347" s="296"/>
      <c r="G347" s="390"/>
      <c r="H347" s="97">
        <f>I347+J347+K347</f>
        <v>204.3</v>
      </c>
      <c r="I347" s="98">
        <v>204.3</v>
      </c>
      <c r="J347" s="98">
        <v>0</v>
      </c>
      <c r="K347" s="98">
        <v>0</v>
      </c>
      <c r="L347" s="344"/>
    </row>
    <row r="348" spans="1:12" ht="96" customHeight="1">
      <c r="A348" s="577"/>
      <c r="B348" s="578"/>
      <c r="C348" s="578"/>
      <c r="D348" s="578"/>
      <c r="E348" s="262" t="s">
        <v>78</v>
      </c>
      <c r="F348" s="296"/>
      <c r="G348" s="390"/>
      <c r="H348" s="97">
        <f>I348+J348+K348</f>
        <v>537.29999999999995</v>
      </c>
      <c r="I348" s="285">
        <v>537.29999999999995</v>
      </c>
      <c r="J348" s="98">
        <v>0</v>
      </c>
      <c r="K348" s="98">
        <v>0</v>
      </c>
      <c r="L348" s="344"/>
    </row>
    <row r="349" spans="1:12" ht="75" customHeight="1">
      <c r="A349" s="298"/>
      <c r="B349" s="299"/>
      <c r="C349" s="299"/>
      <c r="D349" s="299"/>
      <c r="E349" s="267" t="s">
        <v>74</v>
      </c>
      <c r="F349" s="180"/>
      <c r="G349" s="391"/>
      <c r="H349" s="97">
        <f>I349+J349+K349</f>
        <v>0</v>
      </c>
      <c r="I349" s="101"/>
      <c r="J349" s="101"/>
      <c r="K349" s="101"/>
      <c r="L349" s="263"/>
    </row>
    <row r="350" spans="1:12" ht="75" customHeight="1">
      <c r="A350" s="181" t="s">
        <v>281</v>
      </c>
      <c r="B350" s="527" t="s">
        <v>256</v>
      </c>
      <c r="C350" s="528"/>
      <c r="D350" s="528"/>
      <c r="E350" s="528"/>
      <c r="F350" s="182"/>
      <c r="G350" s="291" t="s">
        <v>84</v>
      </c>
      <c r="H350" s="119">
        <f>SUM(H351:H360)</f>
        <v>1690105.9175197</v>
      </c>
      <c r="I350" s="119">
        <f>SUM(I351:I360)</f>
        <v>500635.6</v>
      </c>
      <c r="J350" s="119">
        <f>SUM(J351:J360)</f>
        <v>647450.38469999994</v>
      </c>
      <c r="K350" s="119">
        <f>SUM(K351:K360)</f>
        <v>542019.93281969998</v>
      </c>
      <c r="L350" s="343" t="s">
        <v>87</v>
      </c>
    </row>
    <row r="351" spans="1:12" ht="75" customHeight="1">
      <c r="A351" s="529" t="s">
        <v>254</v>
      </c>
      <c r="B351" s="530"/>
      <c r="C351" s="530"/>
      <c r="D351" s="531"/>
      <c r="E351" s="267" t="s">
        <v>81</v>
      </c>
      <c r="F351" s="291"/>
      <c r="G351" s="389" t="s">
        <v>86</v>
      </c>
      <c r="H351" s="97">
        <f>I351+J351+K351</f>
        <v>308609.45589119999</v>
      </c>
      <c r="I351" s="98">
        <v>97670.399999999994</v>
      </c>
      <c r="J351" s="98">
        <f>I351*1.053</f>
        <v>102846.93119999999</v>
      </c>
      <c r="K351" s="98">
        <f>J351*1.051</f>
        <v>108092.12469119999</v>
      </c>
      <c r="L351" s="344"/>
    </row>
    <row r="352" spans="1:12" ht="75" customHeight="1">
      <c r="A352" s="532"/>
      <c r="B352" s="533"/>
      <c r="C352" s="533"/>
      <c r="D352" s="534"/>
      <c r="E352" s="267" t="s">
        <v>75</v>
      </c>
      <c r="F352" s="291"/>
      <c r="G352" s="390"/>
      <c r="H352" s="97">
        <f t="shared" ref="H352:H360" si="27">I352+J352+K352</f>
        <v>132625.60000000001</v>
      </c>
      <c r="I352" s="98">
        <v>37455.599999999999</v>
      </c>
      <c r="J352" s="98">
        <v>49373</v>
      </c>
      <c r="K352" s="98">
        <v>45797</v>
      </c>
      <c r="L352" s="344"/>
    </row>
    <row r="353" spans="1:12" ht="75" customHeight="1">
      <c r="A353" s="532"/>
      <c r="B353" s="533"/>
      <c r="C353" s="533"/>
      <c r="D353" s="534"/>
      <c r="E353" s="267" t="s">
        <v>76</v>
      </c>
      <c r="F353" s="291"/>
      <c r="G353" s="390"/>
      <c r="H353" s="97">
        <f t="shared" si="27"/>
        <v>425093.5</v>
      </c>
      <c r="I353" s="98">
        <v>117838.5</v>
      </c>
      <c r="J353" s="98">
        <v>209889.5</v>
      </c>
      <c r="K353" s="98">
        <v>97365.5</v>
      </c>
      <c r="L353" s="344"/>
    </row>
    <row r="354" spans="1:12" ht="75" customHeight="1">
      <c r="A354" s="532"/>
      <c r="B354" s="533"/>
      <c r="C354" s="533"/>
      <c r="D354" s="534"/>
      <c r="E354" s="267" t="s">
        <v>74</v>
      </c>
      <c r="F354" s="291"/>
      <c r="G354" s="390"/>
      <c r="H354" s="97">
        <f t="shared" si="27"/>
        <v>241584.30000000002</v>
      </c>
      <c r="I354" s="98">
        <v>70008.100000000006</v>
      </c>
      <c r="J354" s="98">
        <v>83168.3</v>
      </c>
      <c r="K354" s="98">
        <v>88407.9</v>
      </c>
      <c r="L354" s="344"/>
    </row>
    <row r="355" spans="1:12" ht="93.75" customHeight="1">
      <c r="A355" s="532"/>
      <c r="B355" s="533"/>
      <c r="C355" s="533"/>
      <c r="D355" s="534"/>
      <c r="E355" s="262" t="s">
        <v>78</v>
      </c>
      <c r="F355" s="264"/>
      <c r="G355" s="390"/>
      <c r="H355" s="97">
        <f t="shared" si="27"/>
        <v>151724.92559999999</v>
      </c>
      <c r="I355" s="104">
        <v>36775.4</v>
      </c>
      <c r="J355" s="98">
        <v>56045.599999999999</v>
      </c>
      <c r="K355" s="98">
        <f t="shared" ref="K355:K360" si="28">J355*1.051</f>
        <v>58903.925599999995</v>
      </c>
      <c r="L355" s="344"/>
    </row>
    <row r="356" spans="1:12" ht="75" customHeight="1">
      <c r="A356" s="532"/>
      <c r="B356" s="533"/>
      <c r="C356" s="533"/>
      <c r="D356" s="534"/>
      <c r="E356" s="262" t="s">
        <v>77</v>
      </c>
      <c r="F356" s="291"/>
      <c r="G356" s="390"/>
      <c r="H356" s="97">
        <f t="shared" si="27"/>
        <v>3457.1846999999998</v>
      </c>
      <c r="I356" s="98">
        <v>1817</v>
      </c>
      <c r="J356" s="98">
        <v>799.7</v>
      </c>
      <c r="K356" s="98">
        <f t="shared" si="28"/>
        <v>840.48469999999998</v>
      </c>
      <c r="L356" s="344"/>
    </row>
    <row r="357" spans="1:12" ht="75" customHeight="1">
      <c r="A357" s="532"/>
      <c r="B357" s="533"/>
      <c r="C357" s="533"/>
      <c r="D357" s="534"/>
      <c r="E357" s="267" t="s">
        <v>79</v>
      </c>
      <c r="F357" s="291"/>
      <c r="G357" s="390"/>
      <c r="H357" s="97">
        <f t="shared" si="27"/>
        <v>216311.68752849998</v>
      </c>
      <c r="I357" s="98">
        <v>68459.5</v>
      </c>
      <c r="J357" s="98">
        <f>I357*1.053</f>
        <v>72087.853499999997</v>
      </c>
      <c r="K357" s="98">
        <f t="shared" si="28"/>
        <v>75764.334028499987</v>
      </c>
      <c r="L357" s="344"/>
    </row>
    <row r="358" spans="1:12" ht="75" customHeight="1">
      <c r="A358" s="532"/>
      <c r="B358" s="533"/>
      <c r="C358" s="533"/>
      <c r="D358" s="534"/>
      <c r="E358" s="267" t="s">
        <v>80</v>
      </c>
      <c r="F358" s="291"/>
      <c r="G358" s="390"/>
      <c r="H358" s="97">
        <f t="shared" si="27"/>
        <v>192325.35250000001</v>
      </c>
      <c r="I358" s="98">
        <v>66381.5</v>
      </c>
      <c r="J358" s="98">
        <v>66343.199999999997</v>
      </c>
      <c r="K358" s="98">
        <f>63675.5+152.8-K360</f>
        <v>59600.652500000004</v>
      </c>
      <c r="L358" s="344"/>
    </row>
    <row r="359" spans="1:12" ht="96" customHeight="1">
      <c r="A359" s="532"/>
      <c r="B359" s="533"/>
      <c r="C359" s="533"/>
      <c r="D359" s="534"/>
      <c r="E359" s="267" t="s">
        <v>333</v>
      </c>
      <c r="F359" s="291"/>
      <c r="G359" s="390"/>
      <c r="H359" s="97">
        <f t="shared" si="27"/>
        <v>7096.1638000000003</v>
      </c>
      <c r="I359" s="98">
        <v>1202</v>
      </c>
      <c r="J359" s="98">
        <v>2873.8</v>
      </c>
      <c r="K359" s="98">
        <f t="shared" si="28"/>
        <v>3020.3638000000001</v>
      </c>
      <c r="L359" s="344"/>
    </row>
    <row r="360" spans="1:12" ht="104.25" customHeight="1">
      <c r="A360" s="535"/>
      <c r="B360" s="536"/>
      <c r="C360" s="536"/>
      <c r="D360" s="537"/>
      <c r="E360" s="267" t="s">
        <v>334</v>
      </c>
      <c r="F360" s="291"/>
      <c r="G360" s="391"/>
      <c r="H360" s="97">
        <f t="shared" si="27"/>
        <v>11277.747500000001</v>
      </c>
      <c r="I360" s="98">
        <v>3027.6</v>
      </c>
      <c r="J360" s="98">
        <v>4022.5</v>
      </c>
      <c r="K360" s="98">
        <f t="shared" si="28"/>
        <v>4227.6475</v>
      </c>
      <c r="L360" s="345"/>
    </row>
    <row r="361" spans="1:12" ht="75" customHeight="1">
      <c r="A361" s="181" t="s">
        <v>395</v>
      </c>
      <c r="B361" s="183" t="s">
        <v>257</v>
      </c>
      <c r="C361" s="184"/>
      <c r="D361" s="182"/>
      <c r="E361" s="184"/>
      <c r="F361" s="182"/>
      <c r="G361" s="291" t="s">
        <v>84</v>
      </c>
      <c r="H361" s="119">
        <f>SUM(H362:H366)</f>
        <v>75152.0386</v>
      </c>
      <c r="I361" s="119">
        <f>SUM(I362:I366)</f>
        <v>22375.3</v>
      </c>
      <c r="J361" s="119">
        <f>SUM(J362:J366)</f>
        <v>25731.800000000003</v>
      </c>
      <c r="K361" s="119">
        <f>SUM(K362:K366)</f>
        <v>27044.938600000001</v>
      </c>
      <c r="L361" s="343" t="s">
        <v>104</v>
      </c>
    </row>
    <row r="362" spans="1:12" ht="75" customHeight="1">
      <c r="A362" s="544" t="s">
        <v>254</v>
      </c>
      <c r="B362" s="545"/>
      <c r="C362" s="545"/>
      <c r="D362" s="546"/>
      <c r="E362" s="267" t="s">
        <v>81</v>
      </c>
      <c r="F362" s="542"/>
      <c r="G362" s="389" t="s">
        <v>92</v>
      </c>
      <c r="H362" s="97">
        <f>I362+J362+K362</f>
        <v>14988.7772</v>
      </c>
      <c r="I362" s="98">
        <v>4083.2</v>
      </c>
      <c r="J362" s="98">
        <v>5317.2</v>
      </c>
      <c r="K362" s="98">
        <f>J362*1.051</f>
        <v>5588.3771999999999</v>
      </c>
      <c r="L362" s="344"/>
    </row>
    <row r="363" spans="1:12" ht="75" customHeight="1">
      <c r="A363" s="547"/>
      <c r="B363" s="548"/>
      <c r="C363" s="548"/>
      <c r="D363" s="549"/>
      <c r="E363" s="267" t="s">
        <v>75</v>
      </c>
      <c r="F363" s="542"/>
      <c r="G363" s="390"/>
      <c r="H363" s="97">
        <f>I363+J363+K363</f>
        <v>29582.1</v>
      </c>
      <c r="I363" s="98">
        <v>9433.9</v>
      </c>
      <c r="J363" s="98">
        <v>9823.2000000000007</v>
      </c>
      <c r="K363" s="98">
        <v>10325</v>
      </c>
      <c r="L363" s="344"/>
    </row>
    <row r="364" spans="1:12" ht="75" customHeight="1">
      <c r="A364" s="547"/>
      <c r="B364" s="548"/>
      <c r="C364" s="548"/>
      <c r="D364" s="549"/>
      <c r="E364" s="267" t="s">
        <v>76</v>
      </c>
      <c r="F364" s="542"/>
      <c r="G364" s="390"/>
      <c r="H364" s="97">
        <f>I364+J364+K364</f>
        <v>3139.2442000000001</v>
      </c>
      <c r="I364" s="98">
        <v>1018.1</v>
      </c>
      <c r="J364" s="98">
        <v>1034.2</v>
      </c>
      <c r="K364" s="98">
        <f>J364*1.051</f>
        <v>1086.9441999999999</v>
      </c>
      <c r="L364" s="344"/>
    </row>
    <row r="365" spans="1:12" ht="108" customHeight="1">
      <c r="A365" s="547"/>
      <c r="B365" s="548"/>
      <c r="C365" s="548"/>
      <c r="D365" s="549"/>
      <c r="E365" s="267" t="s">
        <v>78</v>
      </c>
      <c r="F365" s="542"/>
      <c r="G365" s="390"/>
      <c r="H365" s="97">
        <f>I365+J365+K365</f>
        <v>4047.5172000000002</v>
      </c>
      <c r="I365" s="104">
        <v>853.7</v>
      </c>
      <c r="J365" s="98">
        <v>1557.2</v>
      </c>
      <c r="K365" s="98">
        <f>J365*1.051</f>
        <v>1636.6171999999999</v>
      </c>
      <c r="L365" s="344"/>
    </row>
    <row r="366" spans="1:12" ht="50.25" customHeight="1">
      <c r="A366" s="550"/>
      <c r="B366" s="551"/>
      <c r="C366" s="551"/>
      <c r="D366" s="552"/>
      <c r="E366" s="267" t="s">
        <v>77</v>
      </c>
      <c r="F366" s="543"/>
      <c r="G366" s="390"/>
      <c r="H366" s="97">
        <f>I366+J366+K366</f>
        <v>23394.400000000001</v>
      </c>
      <c r="I366" s="98">
        <v>6986.4</v>
      </c>
      <c r="J366" s="98">
        <v>8000</v>
      </c>
      <c r="K366" s="98">
        <f>J366*1.051</f>
        <v>8408</v>
      </c>
      <c r="L366" s="345"/>
    </row>
    <row r="367" spans="1:12" ht="35.25" hidden="1" customHeight="1">
      <c r="A367" s="177"/>
      <c r="B367" s="349"/>
      <c r="C367" s="349"/>
      <c r="D367" s="349"/>
      <c r="E367" s="349"/>
      <c r="F367" s="349"/>
      <c r="G367" s="227"/>
      <c r="H367" s="97"/>
      <c r="I367" s="97"/>
      <c r="J367" s="97"/>
      <c r="K367" s="97"/>
      <c r="L367" s="343"/>
    </row>
    <row r="368" spans="1:12" ht="35.25" hidden="1" customHeight="1">
      <c r="A368" s="363"/>
      <c r="B368" s="364"/>
      <c r="C368" s="364"/>
      <c r="D368" s="365"/>
      <c r="E368" s="226"/>
      <c r="F368" s="227"/>
      <c r="G368" s="225"/>
      <c r="H368" s="97"/>
      <c r="I368" s="98"/>
      <c r="J368" s="98"/>
      <c r="K368" s="98"/>
      <c r="L368" s="345"/>
    </row>
    <row r="369" spans="1:12" ht="50.25" customHeight="1">
      <c r="A369" s="516" t="s">
        <v>88</v>
      </c>
      <c r="B369" s="517"/>
      <c r="C369" s="517"/>
      <c r="D369" s="517"/>
      <c r="E369" s="517"/>
      <c r="F369" s="518"/>
      <c r="G369" s="172"/>
      <c r="H369" s="97">
        <f>H273+H325+H331+H340+H344+H350+H361+H342</f>
        <v>2423479.0484197</v>
      </c>
      <c r="I369" s="97">
        <f>I273+I325+I331+I340+I344+I350+I361+I342</f>
        <v>862271.41800000006</v>
      </c>
      <c r="J369" s="97">
        <f>J273+J325+J331+J340+J344+J350+J361+J342</f>
        <v>898776.86470000003</v>
      </c>
      <c r="K369" s="97">
        <f t="shared" ref="K369" si="29">K273+K325+K331+K340+K344+K350+K361+K342</f>
        <v>667890.8657197</v>
      </c>
      <c r="L369" s="372"/>
    </row>
    <row r="370" spans="1:12" ht="75" customHeight="1">
      <c r="A370" s="553" t="s">
        <v>91</v>
      </c>
      <c r="B370" s="359"/>
      <c r="C370" s="359"/>
      <c r="D370" s="359"/>
      <c r="E370" s="359"/>
      <c r="F370" s="392"/>
      <c r="G370" s="271" t="s">
        <v>421</v>
      </c>
      <c r="H370" s="98">
        <f>H274+H325+H336</f>
        <v>264021.95730000001</v>
      </c>
      <c r="I370" s="98">
        <f>I274+I325+I336</f>
        <v>125824.62299999998</v>
      </c>
      <c r="J370" s="98">
        <f>J274+J325+J336</f>
        <v>70988.87999999999</v>
      </c>
      <c r="K370" s="98">
        <f>K274+K325+K336</f>
        <v>68708.354299999992</v>
      </c>
      <c r="L370" s="373"/>
    </row>
    <row r="371" spans="1:12" ht="75" customHeight="1">
      <c r="A371" s="554"/>
      <c r="B371" s="393"/>
      <c r="C371" s="393"/>
      <c r="D371" s="393"/>
      <c r="E371" s="393"/>
      <c r="F371" s="394"/>
      <c r="G371" s="271" t="s">
        <v>425</v>
      </c>
      <c r="H371" s="98">
        <f>H275+H337+H345</f>
        <v>251876.94300000003</v>
      </c>
      <c r="I371" s="98">
        <f>I275+I337+I345</f>
        <v>115306.31299999999</v>
      </c>
      <c r="J371" s="98">
        <f>J275+J337+J345</f>
        <v>116570.63</v>
      </c>
      <c r="K371" s="98">
        <f>K275+K337+K345</f>
        <v>20000</v>
      </c>
      <c r="L371" s="373"/>
    </row>
    <row r="372" spans="1:12" ht="75" customHeight="1">
      <c r="A372" s="554"/>
      <c r="B372" s="393"/>
      <c r="C372" s="393"/>
      <c r="D372" s="393"/>
      <c r="E372" s="393"/>
      <c r="F372" s="394"/>
      <c r="G372" s="278" t="s">
        <v>95</v>
      </c>
      <c r="H372" s="98">
        <f>H276</f>
        <v>52689.700000000004</v>
      </c>
      <c r="I372" s="98">
        <f>I276</f>
        <v>52689.700000000004</v>
      </c>
      <c r="J372" s="98">
        <f>J276</f>
        <v>0</v>
      </c>
      <c r="K372" s="98">
        <f>K276</f>
        <v>0</v>
      </c>
      <c r="L372" s="373"/>
    </row>
    <row r="373" spans="1:12" ht="174.75" customHeight="1">
      <c r="A373" s="554"/>
      <c r="B373" s="393"/>
      <c r="C373" s="393"/>
      <c r="D373" s="393"/>
      <c r="E373" s="393"/>
      <c r="F373" s="394"/>
      <c r="G373" s="278" t="s">
        <v>98</v>
      </c>
      <c r="H373" s="98">
        <f>H278</f>
        <v>4468.2</v>
      </c>
      <c r="I373" s="98">
        <f>I278</f>
        <v>4468.2</v>
      </c>
      <c r="J373" s="98">
        <f>J278</f>
        <v>0</v>
      </c>
      <c r="K373" s="98">
        <f>K278</f>
        <v>0</v>
      </c>
      <c r="L373" s="373"/>
    </row>
    <row r="374" spans="1:12" ht="227.25" customHeight="1">
      <c r="A374" s="554"/>
      <c r="B374" s="393"/>
      <c r="C374" s="393"/>
      <c r="D374" s="393"/>
      <c r="E374" s="393"/>
      <c r="F374" s="394"/>
      <c r="G374" s="175" t="s">
        <v>99</v>
      </c>
      <c r="H374" s="98">
        <f>H277</f>
        <v>14282.919000000002</v>
      </c>
      <c r="I374" s="98">
        <f>I277</f>
        <v>6612.1190000000006</v>
      </c>
      <c r="J374" s="98">
        <f>J277</f>
        <v>7670.8</v>
      </c>
      <c r="K374" s="98">
        <f>K277</f>
        <v>0</v>
      </c>
      <c r="L374" s="373"/>
    </row>
    <row r="375" spans="1:12" ht="154.5" customHeight="1">
      <c r="A375" s="554"/>
      <c r="B375" s="393"/>
      <c r="C375" s="393"/>
      <c r="D375" s="393"/>
      <c r="E375" s="393"/>
      <c r="F375" s="394"/>
      <c r="G375" s="278" t="s">
        <v>202</v>
      </c>
      <c r="H375" s="98">
        <f>H279</f>
        <v>4763.7630000000008</v>
      </c>
      <c r="I375" s="98">
        <f>I279</f>
        <v>4763.7630000000008</v>
      </c>
      <c r="J375" s="98">
        <f>J279</f>
        <v>0</v>
      </c>
      <c r="K375" s="98">
        <f>K279</f>
        <v>0</v>
      </c>
      <c r="L375" s="373"/>
    </row>
    <row r="376" spans="1:12" ht="75" customHeight="1">
      <c r="A376" s="554"/>
      <c r="B376" s="393"/>
      <c r="C376" s="393"/>
      <c r="D376" s="393"/>
      <c r="E376" s="393"/>
      <c r="F376" s="394"/>
      <c r="G376" s="271" t="s">
        <v>326</v>
      </c>
      <c r="H376" s="98">
        <f>H281</f>
        <v>60</v>
      </c>
      <c r="I376" s="98">
        <f>I281</f>
        <v>60</v>
      </c>
      <c r="J376" s="98">
        <f>J281</f>
        <v>0</v>
      </c>
      <c r="K376" s="98">
        <f>K281</f>
        <v>0</v>
      </c>
      <c r="L376" s="373"/>
    </row>
    <row r="377" spans="1:12" ht="75" customHeight="1">
      <c r="A377" s="554"/>
      <c r="B377" s="393"/>
      <c r="C377" s="393"/>
      <c r="D377" s="393"/>
      <c r="E377" s="393"/>
      <c r="F377" s="394"/>
      <c r="G377" s="279" t="s">
        <v>392</v>
      </c>
      <c r="H377" s="98">
        <f>H280</f>
        <v>3799.8</v>
      </c>
      <c r="I377" s="98">
        <f>I280</f>
        <v>799.7</v>
      </c>
      <c r="J377" s="98">
        <f>J280</f>
        <v>3000.1</v>
      </c>
      <c r="K377" s="98">
        <f>K280</f>
        <v>0</v>
      </c>
      <c r="L377" s="373"/>
    </row>
    <row r="378" spans="1:12" ht="102" customHeight="1">
      <c r="A378" s="554"/>
      <c r="B378" s="393"/>
      <c r="C378" s="393"/>
      <c r="D378" s="393"/>
      <c r="E378" s="393"/>
      <c r="F378" s="394"/>
      <c r="G378" s="271" t="s">
        <v>394</v>
      </c>
      <c r="H378" s="98">
        <f>H343</f>
        <v>6848</v>
      </c>
      <c r="I378" s="98">
        <f>I343</f>
        <v>6848</v>
      </c>
      <c r="J378" s="98">
        <f>J343</f>
        <v>0</v>
      </c>
      <c r="K378" s="98">
        <f>K343</f>
        <v>0</v>
      </c>
      <c r="L378" s="373"/>
    </row>
    <row r="379" spans="1:12" ht="99.75" customHeight="1">
      <c r="A379" s="554"/>
      <c r="B379" s="393"/>
      <c r="C379" s="393"/>
      <c r="D379" s="393"/>
      <c r="E379" s="393"/>
      <c r="F379" s="394"/>
      <c r="G379" s="293" t="s">
        <v>82</v>
      </c>
      <c r="H379" s="98">
        <f t="shared" ref="H379:K380" si="30">H338</f>
        <v>16186.17</v>
      </c>
      <c r="I379" s="98">
        <f t="shared" si="30"/>
        <v>14714.7</v>
      </c>
      <c r="J379" s="98">
        <f t="shared" si="30"/>
        <v>1471.47</v>
      </c>
      <c r="K379" s="98">
        <f t="shared" si="30"/>
        <v>0</v>
      </c>
      <c r="L379" s="373"/>
    </row>
    <row r="380" spans="1:12" ht="75" customHeight="1">
      <c r="A380" s="554"/>
      <c r="B380" s="393"/>
      <c r="C380" s="393"/>
      <c r="D380" s="393"/>
      <c r="E380" s="393"/>
      <c r="F380" s="394"/>
      <c r="G380" s="293" t="s">
        <v>83</v>
      </c>
      <c r="H380" s="98">
        <f t="shared" si="30"/>
        <v>885</v>
      </c>
      <c r="I380" s="98">
        <f t="shared" si="30"/>
        <v>885</v>
      </c>
      <c r="J380" s="98">
        <f t="shared" si="30"/>
        <v>0</v>
      </c>
      <c r="K380" s="98">
        <f t="shared" si="30"/>
        <v>0</v>
      </c>
      <c r="L380" s="373"/>
    </row>
    <row r="381" spans="1:12" ht="75" customHeight="1">
      <c r="A381" s="554"/>
      <c r="B381" s="393"/>
      <c r="C381" s="393"/>
      <c r="D381" s="393"/>
      <c r="E381" s="393"/>
      <c r="F381" s="394"/>
      <c r="G381" s="293" t="s">
        <v>103</v>
      </c>
      <c r="H381" s="98">
        <f>H341</f>
        <v>26831.5</v>
      </c>
      <c r="I381" s="98">
        <f>I341</f>
        <v>6238.8</v>
      </c>
      <c r="J381" s="98">
        <f>J341</f>
        <v>20592.7</v>
      </c>
      <c r="K381" s="98">
        <f>K341</f>
        <v>0</v>
      </c>
      <c r="L381" s="373"/>
    </row>
    <row r="382" spans="1:12" ht="75" customHeight="1">
      <c r="A382" s="554"/>
      <c r="B382" s="393"/>
      <c r="C382" s="393"/>
      <c r="D382" s="393"/>
      <c r="E382" s="393"/>
      <c r="F382" s="394"/>
      <c r="G382" s="271" t="s">
        <v>86</v>
      </c>
      <c r="H382" s="98">
        <f>H350</f>
        <v>1690105.9175197</v>
      </c>
      <c r="I382" s="98">
        <f>I350</f>
        <v>500635.6</v>
      </c>
      <c r="J382" s="98">
        <f>J350</f>
        <v>647450.38469999994</v>
      </c>
      <c r="K382" s="98">
        <f>K350</f>
        <v>542019.93281969998</v>
      </c>
      <c r="L382" s="373"/>
    </row>
    <row r="383" spans="1:12" ht="91.5" customHeight="1">
      <c r="A383" s="555"/>
      <c r="B383" s="395"/>
      <c r="C383" s="395"/>
      <c r="D383" s="395"/>
      <c r="E383" s="395"/>
      <c r="F383" s="396"/>
      <c r="G383" s="271" t="s">
        <v>90</v>
      </c>
      <c r="H383" s="98">
        <f>H361</f>
        <v>75152.0386</v>
      </c>
      <c r="I383" s="98">
        <f>I361</f>
        <v>22375.3</v>
      </c>
      <c r="J383" s="98">
        <f>J361</f>
        <v>25731.800000000003</v>
      </c>
      <c r="K383" s="98">
        <f>K361</f>
        <v>27044.938600000001</v>
      </c>
      <c r="L383" s="373"/>
    </row>
    <row r="384" spans="1:12" ht="75" customHeight="1">
      <c r="A384" s="553" t="s">
        <v>94</v>
      </c>
      <c r="B384" s="359"/>
      <c r="C384" s="359"/>
      <c r="D384" s="392"/>
      <c r="E384" s="349" t="s">
        <v>81</v>
      </c>
      <c r="F384" s="526"/>
      <c r="G384" s="296" t="s">
        <v>89</v>
      </c>
      <c r="H384" s="97">
        <f>SUM(H385:H392)</f>
        <v>403321.46309120004</v>
      </c>
      <c r="I384" s="97">
        <f>SUM(I385:I392)</f>
        <v>143801.62</v>
      </c>
      <c r="J384" s="97">
        <f>SUM(J385:J392)</f>
        <v>135432.8412</v>
      </c>
      <c r="K384" s="97">
        <f>SUM(K385:K392)</f>
        <v>124087.00189119999</v>
      </c>
      <c r="L384" s="373"/>
    </row>
    <row r="385" spans="1:12" ht="75" customHeight="1">
      <c r="A385" s="554"/>
      <c r="B385" s="393"/>
      <c r="C385" s="393"/>
      <c r="D385" s="394"/>
      <c r="E385" s="349"/>
      <c r="F385" s="526"/>
      <c r="G385" s="271" t="s">
        <v>421</v>
      </c>
      <c r="H385" s="98">
        <f>H283+H326</f>
        <v>29553.94</v>
      </c>
      <c r="I385" s="98">
        <f>I283+I326</f>
        <v>15981.439999999999</v>
      </c>
      <c r="J385" s="98">
        <f>J283+J326</f>
        <v>8166</v>
      </c>
      <c r="K385" s="98">
        <f>K283+K326</f>
        <v>5406.5</v>
      </c>
      <c r="L385" s="373"/>
    </row>
    <row r="386" spans="1:12" ht="75" customHeight="1">
      <c r="A386" s="554"/>
      <c r="B386" s="393"/>
      <c r="C386" s="393"/>
      <c r="D386" s="394"/>
      <c r="E386" s="349"/>
      <c r="F386" s="526"/>
      <c r="G386" s="278" t="s">
        <v>95</v>
      </c>
      <c r="H386" s="98">
        <f t="shared" ref="H386:K389" si="31">H284</f>
        <v>12485.6</v>
      </c>
      <c r="I386" s="98">
        <f t="shared" si="31"/>
        <v>12485.6</v>
      </c>
      <c r="J386" s="98">
        <f t="shared" si="31"/>
        <v>0</v>
      </c>
      <c r="K386" s="98">
        <f t="shared" si="31"/>
        <v>0</v>
      </c>
      <c r="L386" s="373"/>
    </row>
    <row r="387" spans="1:12" ht="174.75" customHeight="1">
      <c r="A387" s="554"/>
      <c r="B387" s="393"/>
      <c r="C387" s="393"/>
      <c r="D387" s="394"/>
      <c r="E387" s="349"/>
      <c r="F387" s="526"/>
      <c r="G387" s="278" t="s">
        <v>98</v>
      </c>
      <c r="H387" s="98">
        <f t="shared" si="31"/>
        <v>147.79999999999998</v>
      </c>
      <c r="I387" s="98">
        <f t="shared" si="31"/>
        <v>147.79999999999998</v>
      </c>
      <c r="J387" s="98">
        <f t="shared" si="31"/>
        <v>0</v>
      </c>
      <c r="K387" s="98">
        <f t="shared" si="31"/>
        <v>0</v>
      </c>
      <c r="L387" s="373"/>
    </row>
    <row r="388" spans="1:12" ht="150" customHeight="1">
      <c r="A388" s="554"/>
      <c r="B388" s="393"/>
      <c r="C388" s="393"/>
      <c r="D388" s="394"/>
      <c r="E388" s="349"/>
      <c r="F388" s="526"/>
      <c r="G388" s="278" t="s">
        <v>202</v>
      </c>
      <c r="H388" s="98">
        <f t="shared" si="31"/>
        <v>249.81</v>
      </c>
      <c r="I388" s="98">
        <f t="shared" si="31"/>
        <v>249.81</v>
      </c>
      <c r="J388" s="98">
        <f t="shared" si="31"/>
        <v>0</v>
      </c>
      <c r="K388" s="98">
        <f t="shared" si="31"/>
        <v>0</v>
      </c>
      <c r="L388" s="373"/>
    </row>
    <row r="389" spans="1:12" ht="75" customHeight="1">
      <c r="A389" s="554"/>
      <c r="B389" s="393"/>
      <c r="C389" s="393"/>
      <c r="D389" s="394"/>
      <c r="E389" s="349"/>
      <c r="F389" s="526"/>
      <c r="G389" s="271" t="s">
        <v>326</v>
      </c>
      <c r="H389" s="98">
        <f t="shared" si="31"/>
        <v>60</v>
      </c>
      <c r="I389" s="98">
        <f t="shared" si="31"/>
        <v>60</v>
      </c>
      <c r="J389" s="98">
        <f t="shared" si="31"/>
        <v>0</v>
      </c>
      <c r="K389" s="98">
        <f t="shared" si="31"/>
        <v>0</v>
      </c>
      <c r="L389" s="373"/>
    </row>
    <row r="390" spans="1:12" ht="75" customHeight="1">
      <c r="A390" s="554"/>
      <c r="B390" s="393"/>
      <c r="C390" s="393"/>
      <c r="D390" s="394"/>
      <c r="E390" s="349"/>
      <c r="F390" s="526"/>
      <c r="G390" s="271" t="s">
        <v>86</v>
      </c>
      <c r="H390" s="98">
        <f>H351</f>
        <v>308609.45589119999</v>
      </c>
      <c r="I390" s="98">
        <f>I351</f>
        <v>97670.399999999994</v>
      </c>
      <c r="J390" s="98">
        <f>J351</f>
        <v>102846.93119999999</v>
      </c>
      <c r="K390" s="98">
        <f>K351</f>
        <v>108092.12469119999</v>
      </c>
      <c r="L390" s="373"/>
    </row>
    <row r="391" spans="1:12" ht="75" customHeight="1">
      <c r="A391" s="554"/>
      <c r="B391" s="393"/>
      <c r="C391" s="393"/>
      <c r="D391" s="394"/>
      <c r="E391" s="349"/>
      <c r="F391" s="526"/>
      <c r="G391" s="271" t="s">
        <v>425</v>
      </c>
      <c r="H391" s="98">
        <f>H288</f>
        <v>37226.080000000002</v>
      </c>
      <c r="I391" s="98">
        <f>I288</f>
        <v>13123.369999999999</v>
      </c>
      <c r="J391" s="98">
        <f>J288</f>
        <v>19102.71</v>
      </c>
      <c r="K391" s="98">
        <f>K288</f>
        <v>5000</v>
      </c>
      <c r="L391" s="373"/>
    </row>
    <row r="392" spans="1:12" ht="87.75" customHeight="1">
      <c r="A392" s="554"/>
      <c r="B392" s="393"/>
      <c r="C392" s="393"/>
      <c r="D392" s="394"/>
      <c r="E392" s="349"/>
      <c r="F392" s="526"/>
      <c r="G392" s="271" t="s">
        <v>90</v>
      </c>
      <c r="H392" s="98">
        <f>H362</f>
        <v>14988.7772</v>
      </c>
      <c r="I392" s="98">
        <f>I362</f>
        <v>4083.2</v>
      </c>
      <c r="J392" s="98">
        <f>J362</f>
        <v>5317.2</v>
      </c>
      <c r="K392" s="98">
        <f>K362</f>
        <v>5588.3771999999999</v>
      </c>
      <c r="L392" s="373"/>
    </row>
    <row r="393" spans="1:12" ht="75" customHeight="1">
      <c r="A393" s="554"/>
      <c r="B393" s="393"/>
      <c r="C393" s="393"/>
      <c r="D393" s="394"/>
      <c r="E393" s="349" t="s">
        <v>75</v>
      </c>
      <c r="F393" s="526"/>
      <c r="G393" s="296" t="s">
        <v>89</v>
      </c>
      <c r="H393" s="97">
        <f>SUM(H394:H398)</f>
        <v>223420.68000000002</v>
      </c>
      <c r="I393" s="97">
        <f>SUM(I394:I398)</f>
        <v>80727.12999999999</v>
      </c>
      <c r="J393" s="97">
        <f>SUM(J394:J398)</f>
        <v>82767.799999999988</v>
      </c>
      <c r="K393" s="97">
        <f>SUM(K394:K398)</f>
        <v>69427.399999999994</v>
      </c>
      <c r="L393" s="373"/>
    </row>
    <row r="394" spans="1:12" ht="75" customHeight="1">
      <c r="A394" s="554"/>
      <c r="B394" s="393"/>
      <c r="C394" s="393"/>
      <c r="D394" s="394"/>
      <c r="E394" s="349"/>
      <c r="F394" s="526"/>
      <c r="G394" s="271" t="s">
        <v>421</v>
      </c>
      <c r="H394" s="98">
        <f>H290+H327</f>
        <v>34232.28</v>
      </c>
      <c r="I394" s="98">
        <f>I290+I327</f>
        <v>13363.099999999997</v>
      </c>
      <c r="J394" s="98">
        <f>J290+J327</f>
        <v>10104.48</v>
      </c>
      <c r="K394" s="98">
        <f>K290+K327</f>
        <v>10805.399999999998</v>
      </c>
      <c r="L394" s="373"/>
    </row>
    <row r="395" spans="1:12" ht="75" customHeight="1">
      <c r="A395" s="554"/>
      <c r="B395" s="393"/>
      <c r="C395" s="393"/>
      <c r="D395" s="394"/>
      <c r="E395" s="349"/>
      <c r="F395" s="526"/>
      <c r="G395" s="278" t="s">
        <v>95</v>
      </c>
      <c r="H395" s="98">
        <f>H291</f>
        <v>8160.1</v>
      </c>
      <c r="I395" s="98">
        <f>I291</f>
        <v>8160.1</v>
      </c>
      <c r="J395" s="98">
        <f>J291</f>
        <v>0</v>
      </c>
      <c r="K395" s="98">
        <f>K291</f>
        <v>0</v>
      </c>
      <c r="L395" s="373"/>
    </row>
    <row r="396" spans="1:12" ht="75" customHeight="1">
      <c r="A396" s="554"/>
      <c r="B396" s="393"/>
      <c r="C396" s="393"/>
      <c r="D396" s="394"/>
      <c r="E396" s="349"/>
      <c r="F396" s="526"/>
      <c r="G396" s="293" t="s">
        <v>86</v>
      </c>
      <c r="H396" s="98">
        <f>H352</f>
        <v>132625.60000000001</v>
      </c>
      <c r="I396" s="98">
        <f>I352</f>
        <v>37455.599999999999</v>
      </c>
      <c r="J396" s="98">
        <f>J352</f>
        <v>49373</v>
      </c>
      <c r="K396" s="98">
        <f>K352</f>
        <v>45797</v>
      </c>
      <c r="L396" s="373"/>
    </row>
    <row r="397" spans="1:12" ht="75" customHeight="1">
      <c r="A397" s="554"/>
      <c r="B397" s="393"/>
      <c r="C397" s="393"/>
      <c r="D397" s="394"/>
      <c r="E397" s="349"/>
      <c r="F397" s="526"/>
      <c r="G397" s="271" t="s">
        <v>425</v>
      </c>
      <c r="H397" s="98">
        <f>H292+H346</f>
        <v>18820.599999999999</v>
      </c>
      <c r="I397" s="98">
        <f>I292+I346</f>
        <v>12314.429999999998</v>
      </c>
      <c r="J397" s="98">
        <f>J292+J346</f>
        <v>13467.119999999999</v>
      </c>
      <c r="K397" s="98">
        <f>K292+K346</f>
        <v>2500</v>
      </c>
      <c r="L397" s="373"/>
    </row>
    <row r="398" spans="1:12" ht="75" customHeight="1">
      <c r="A398" s="554"/>
      <c r="B398" s="393"/>
      <c r="C398" s="393"/>
      <c r="D398" s="394"/>
      <c r="E398" s="349"/>
      <c r="F398" s="526"/>
      <c r="G398" s="271" t="s">
        <v>90</v>
      </c>
      <c r="H398" s="98">
        <f>H363</f>
        <v>29582.1</v>
      </c>
      <c r="I398" s="98">
        <f>I363</f>
        <v>9433.9</v>
      </c>
      <c r="J398" s="98">
        <f>J363</f>
        <v>9823.2000000000007</v>
      </c>
      <c r="K398" s="98">
        <f>K363</f>
        <v>10325</v>
      </c>
      <c r="L398" s="373"/>
    </row>
    <row r="399" spans="1:12" ht="75" customHeight="1">
      <c r="A399" s="554"/>
      <c r="B399" s="393"/>
      <c r="C399" s="393"/>
      <c r="D399" s="394"/>
      <c r="E399" s="349" t="s">
        <v>76</v>
      </c>
      <c r="F399" s="526"/>
      <c r="G399" s="296" t="s">
        <v>89</v>
      </c>
      <c r="H399" s="97">
        <f>SUM(H400:H405)</f>
        <v>527919.95819999999</v>
      </c>
      <c r="I399" s="97">
        <f>SUM(I400:I405)</f>
        <v>175417.25400000002</v>
      </c>
      <c r="J399" s="97">
        <f>SUM(J400:J405)</f>
        <v>241239.27000000002</v>
      </c>
      <c r="K399" s="97">
        <f>SUM(K400:K405)</f>
        <v>111362.4342</v>
      </c>
      <c r="L399" s="373"/>
    </row>
    <row r="400" spans="1:12" ht="75" customHeight="1">
      <c r="A400" s="554"/>
      <c r="B400" s="393"/>
      <c r="C400" s="393"/>
      <c r="D400" s="394"/>
      <c r="E400" s="349"/>
      <c r="F400" s="526"/>
      <c r="G400" s="271" t="s">
        <v>421</v>
      </c>
      <c r="H400" s="98">
        <f>H294+H328</f>
        <v>38712.76</v>
      </c>
      <c r="I400" s="98">
        <f>I294+I328</f>
        <v>23086.199999999997</v>
      </c>
      <c r="J400" s="98">
        <f>J294+J328</f>
        <v>7815.57</v>
      </c>
      <c r="K400" s="98">
        <f>K294+K328</f>
        <v>7909.99</v>
      </c>
      <c r="L400" s="373"/>
    </row>
    <row r="401" spans="1:12" ht="75" customHeight="1">
      <c r="A401" s="554"/>
      <c r="B401" s="393"/>
      <c r="C401" s="393"/>
      <c r="D401" s="394"/>
      <c r="E401" s="349"/>
      <c r="F401" s="526"/>
      <c r="G401" s="278" t="s">
        <v>95</v>
      </c>
      <c r="H401" s="98">
        <f t="shared" ref="H401:K402" si="32">H295</f>
        <v>12866.2</v>
      </c>
      <c r="I401" s="98">
        <f t="shared" si="32"/>
        <v>12866.2</v>
      </c>
      <c r="J401" s="98">
        <f t="shared" si="32"/>
        <v>0</v>
      </c>
      <c r="K401" s="98">
        <f t="shared" si="32"/>
        <v>0</v>
      </c>
      <c r="L401" s="373"/>
    </row>
    <row r="402" spans="1:12" ht="171" customHeight="1">
      <c r="A402" s="554"/>
      <c r="B402" s="393"/>
      <c r="C402" s="393"/>
      <c r="D402" s="394"/>
      <c r="E402" s="349"/>
      <c r="F402" s="526"/>
      <c r="G402" s="278" t="s">
        <v>98</v>
      </c>
      <c r="H402" s="98">
        <f t="shared" si="32"/>
        <v>2680.3</v>
      </c>
      <c r="I402" s="98">
        <f t="shared" si="32"/>
        <v>2680.3</v>
      </c>
      <c r="J402" s="98">
        <f t="shared" si="32"/>
        <v>0</v>
      </c>
      <c r="K402" s="98">
        <f t="shared" si="32"/>
        <v>0</v>
      </c>
      <c r="L402" s="373"/>
    </row>
    <row r="403" spans="1:12" ht="75" customHeight="1">
      <c r="A403" s="554"/>
      <c r="B403" s="393"/>
      <c r="C403" s="393"/>
      <c r="D403" s="394"/>
      <c r="E403" s="349"/>
      <c r="F403" s="526"/>
      <c r="G403" s="293" t="s">
        <v>86</v>
      </c>
      <c r="H403" s="98">
        <f>H353</f>
        <v>425093.5</v>
      </c>
      <c r="I403" s="98">
        <f>I353</f>
        <v>117838.5</v>
      </c>
      <c r="J403" s="98">
        <f>J353</f>
        <v>209889.5</v>
      </c>
      <c r="K403" s="98">
        <f>K353</f>
        <v>97365.5</v>
      </c>
      <c r="L403" s="373"/>
    </row>
    <row r="404" spans="1:12" ht="75" customHeight="1">
      <c r="A404" s="554"/>
      <c r="B404" s="393"/>
      <c r="C404" s="393"/>
      <c r="D404" s="394"/>
      <c r="E404" s="349"/>
      <c r="F404" s="526"/>
      <c r="G404" s="271" t="s">
        <v>425</v>
      </c>
      <c r="H404" s="98">
        <f>H297+H347</f>
        <v>45427.953999999998</v>
      </c>
      <c r="I404" s="98">
        <f>I297+I347</f>
        <v>17927.954000000002</v>
      </c>
      <c r="J404" s="98">
        <f>J297+J347</f>
        <v>22500</v>
      </c>
      <c r="K404" s="98">
        <f>K297+K347</f>
        <v>5000</v>
      </c>
      <c r="L404" s="373"/>
    </row>
    <row r="405" spans="1:12" ht="75" customHeight="1">
      <c r="A405" s="554"/>
      <c r="B405" s="393"/>
      <c r="C405" s="393"/>
      <c r="D405" s="394"/>
      <c r="E405" s="349"/>
      <c r="F405" s="526"/>
      <c r="G405" s="271" t="s">
        <v>90</v>
      </c>
      <c r="H405" s="98">
        <f>H364</f>
        <v>3139.2442000000001</v>
      </c>
      <c r="I405" s="98">
        <f>I364</f>
        <v>1018.1</v>
      </c>
      <c r="J405" s="98">
        <f>J364</f>
        <v>1034.2</v>
      </c>
      <c r="K405" s="98">
        <f>K364</f>
        <v>1086.9441999999999</v>
      </c>
      <c r="L405" s="373"/>
    </row>
    <row r="406" spans="1:12" ht="75" customHeight="1">
      <c r="A406" s="554"/>
      <c r="B406" s="393"/>
      <c r="C406" s="393"/>
      <c r="D406" s="394"/>
      <c r="E406" s="340" t="s">
        <v>74</v>
      </c>
      <c r="F406" s="526"/>
      <c r="G406" s="296" t="s">
        <v>89</v>
      </c>
      <c r="H406" s="97">
        <f>SUM(H407:H414)</f>
        <v>406333.51700000005</v>
      </c>
      <c r="I406" s="97">
        <f>SUM(I407:I414)</f>
        <v>160944.32500000001</v>
      </c>
      <c r="J406" s="97">
        <f>SUM(J407:J414)</f>
        <v>142846.1</v>
      </c>
      <c r="K406" s="97">
        <f>SUM(K407:K414)</f>
        <v>102642.09199999999</v>
      </c>
      <c r="L406" s="373"/>
    </row>
    <row r="407" spans="1:12" ht="75" customHeight="1">
      <c r="A407" s="554"/>
      <c r="B407" s="393"/>
      <c r="C407" s="393"/>
      <c r="D407" s="394"/>
      <c r="E407" s="341"/>
      <c r="F407" s="526"/>
      <c r="G407" s="293" t="s">
        <v>421</v>
      </c>
      <c r="H407" s="98">
        <f>H299+H336</f>
        <v>43580.705000000002</v>
      </c>
      <c r="I407" s="98">
        <f>I299+I336</f>
        <v>23201.383000000002</v>
      </c>
      <c r="J407" s="98">
        <f>J299+J336</f>
        <v>11244.13</v>
      </c>
      <c r="K407" s="98">
        <f>K299+K336</f>
        <v>9234.1920000000009</v>
      </c>
      <c r="L407" s="373"/>
    </row>
    <row r="408" spans="1:12" ht="75" customHeight="1">
      <c r="A408" s="554"/>
      <c r="B408" s="393"/>
      <c r="C408" s="393"/>
      <c r="D408" s="394"/>
      <c r="E408" s="341"/>
      <c r="F408" s="526"/>
      <c r="G408" s="278" t="s">
        <v>95</v>
      </c>
      <c r="H408" s="98">
        <f t="shared" ref="H408:K409" si="33">H300</f>
        <v>11698</v>
      </c>
      <c r="I408" s="98">
        <f t="shared" si="33"/>
        <v>11698</v>
      </c>
      <c r="J408" s="98">
        <f t="shared" si="33"/>
        <v>0</v>
      </c>
      <c r="K408" s="98">
        <f t="shared" si="33"/>
        <v>0</v>
      </c>
      <c r="L408" s="373"/>
    </row>
    <row r="409" spans="1:12" ht="162.75" customHeight="1">
      <c r="A409" s="554"/>
      <c r="B409" s="393"/>
      <c r="C409" s="393"/>
      <c r="D409" s="394"/>
      <c r="E409" s="341"/>
      <c r="F409" s="526"/>
      <c r="G409" s="278" t="s">
        <v>202</v>
      </c>
      <c r="H409" s="98">
        <f t="shared" si="33"/>
        <v>1187.9530000000004</v>
      </c>
      <c r="I409" s="98">
        <f t="shared" si="33"/>
        <v>1187.9530000000004</v>
      </c>
      <c r="J409" s="98">
        <f t="shared" si="33"/>
        <v>0</v>
      </c>
      <c r="K409" s="98">
        <f t="shared" si="33"/>
        <v>0</v>
      </c>
      <c r="L409" s="373"/>
    </row>
    <row r="410" spans="1:12" ht="75" customHeight="1">
      <c r="A410" s="554"/>
      <c r="B410" s="393"/>
      <c r="C410" s="393"/>
      <c r="D410" s="394"/>
      <c r="E410" s="341"/>
      <c r="F410" s="526"/>
      <c r="G410" s="293" t="s">
        <v>86</v>
      </c>
      <c r="H410" s="98">
        <f>H354</f>
        <v>241584.30000000002</v>
      </c>
      <c r="I410" s="98">
        <f>I354</f>
        <v>70008.100000000006</v>
      </c>
      <c r="J410" s="98">
        <f>J354</f>
        <v>83168.3</v>
      </c>
      <c r="K410" s="98">
        <f>K354</f>
        <v>88407.9</v>
      </c>
      <c r="L410" s="373"/>
    </row>
    <row r="411" spans="1:12" ht="75" customHeight="1">
      <c r="A411" s="554"/>
      <c r="B411" s="393"/>
      <c r="C411" s="393"/>
      <c r="D411" s="394"/>
      <c r="E411" s="341"/>
      <c r="F411" s="526"/>
      <c r="G411" s="271" t="s">
        <v>425</v>
      </c>
      <c r="H411" s="98">
        <f>H302+H337</f>
        <v>64379.889000000003</v>
      </c>
      <c r="I411" s="98">
        <f>I302+I337</f>
        <v>33010.389000000003</v>
      </c>
      <c r="J411" s="98">
        <f>J302+J337</f>
        <v>26369.5</v>
      </c>
      <c r="K411" s="98">
        <f>K302+K337</f>
        <v>5000</v>
      </c>
      <c r="L411" s="373"/>
    </row>
    <row r="412" spans="1:12" ht="75" customHeight="1">
      <c r="A412" s="554"/>
      <c r="B412" s="393"/>
      <c r="C412" s="393"/>
      <c r="D412" s="394"/>
      <c r="E412" s="341"/>
      <c r="F412" s="526"/>
      <c r="G412" s="293" t="s">
        <v>378</v>
      </c>
      <c r="H412" s="98">
        <f t="shared" ref="H412:K413" si="34">H338</f>
        <v>16186.17</v>
      </c>
      <c r="I412" s="98">
        <f t="shared" si="34"/>
        <v>14714.7</v>
      </c>
      <c r="J412" s="98">
        <f t="shared" si="34"/>
        <v>1471.47</v>
      </c>
      <c r="K412" s="98">
        <f t="shared" si="34"/>
        <v>0</v>
      </c>
      <c r="L412" s="373"/>
    </row>
    <row r="413" spans="1:12" ht="75" customHeight="1">
      <c r="A413" s="554"/>
      <c r="B413" s="393"/>
      <c r="C413" s="393"/>
      <c r="D413" s="394"/>
      <c r="E413" s="341"/>
      <c r="F413" s="526"/>
      <c r="G413" s="293" t="s">
        <v>83</v>
      </c>
      <c r="H413" s="98">
        <f t="shared" si="34"/>
        <v>885</v>
      </c>
      <c r="I413" s="98">
        <f t="shared" si="34"/>
        <v>885</v>
      </c>
      <c r="J413" s="98">
        <f t="shared" si="34"/>
        <v>0</v>
      </c>
      <c r="K413" s="98">
        <f t="shared" si="34"/>
        <v>0</v>
      </c>
      <c r="L413" s="373"/>
    </row>
    <row r="414" spans="1:12" ht="75" customHeight="1">
      <c r="A414" s="554"/>
      <c r="B414" s="393"/>
      <c r="C414" s="393"/>
      <c r="D414" s="394"/>
      <c r="E414" s="342"/>
      <c r="F414" s="526"/>
      <c r="G414" s="293" t="s">
        <v>103</v>
      </c>
      <c r="H414" s="98">
        <f>H341</f>
        <v>26831.5</v>
      </c>
      <c r="I414" s="98">
        <f>I341</f>
        <v>6238.8</v>
      </c>
      <c r="J414" s="98">
        <f>J341</f>
        <v>20592.7</v>
      </c>
      <c r="K414" s="98">
        <f>K341</f>
        <v>0</v>
      </c>
      <c r="L414" s="373"/>
    </row>
    <row r="415" spans="1:12" ht="75" customHeight="1">
      <c r="A415" s="554"/>
      <c r="B415" s="393"/>
      <c r="C415" s="393"/>
      <c r="D415" s="394"/>
      <c r="E415" s="349" t="s">
        <v>78</v>
      </c>
      <c r="F415" s="526"/>
      <c r="G415" s="296" t="s">
        <v>89</v>
      </c>
      <c r="H415" s="97">
        <f>SUM(H416:H421)</f>
        <v>206148.53279999999</v>
      </c>
      <c r="I415" s="97">
        <f>SUM(I416:I421)</f>
        <v>69132.47</v>
      </c>
      <c r="J415" s="97">
        <f>SUM(J416:J421)</f>
        <v>73020.399999999994</v>
      </c>
      <c r="K415" s="97">
        <f>SUM(K416:K421)</f>
        <v>64054.462799999994</v>
      </c>
      <c r="L415" s="373"/>
    </row>
    <row r="416" spans="1:12" ht="75" customHeight="1">
      <c r="A416" s="554"/>
      <c r="B416" s="393"/>
      <c r="C416" s="393"/>
      <c r="D416" s="394"/>
      <c r="E416" s="349"/>
      <c r="F416" s="526"/>
      <c r="G416" s="293" t="s">
        <v>421</v>
      </c>
      <c r="H416" s="98">
        <f>H304+H329</f>
        <v>13045.62</v>
      </c>
      <c r="I416" s="98">
        <f>I304+I329</f>
        <v>6272.9000000000005</v>
      </c>
      <c r="J416" s="98">
        <f>J304+J329</f>
        <v>3317.6000000000004</v>
      </c>
      <c r="K416" s="98">
        <f>K304+K329</f>
        <v>3513.92</v>
      </c>
      <c r="L416" s="373"/>
    </row>
    <row r="417" spans="1:12" ht="154.5" customHeight="1">
      <c r="A417" s="554"/>
      <c r="B417" s="393"/>
      <c r="C417" s="393"/>
      <c r="D417" s="394"/>
      <c r="E417" s="349"/>
      <c r="F417" s="526"/>
      <c r="G417" s="278" t="s">
        <v>202</v>
      </c>
      <c r="H417" s="98">
        <f>H306</f>
        <v>926</v>
      </c>
      <c r="I417" s="98">
        <f>I306</f>
        <v>926</v>
      </c>
      <c r="J417" s="98">
        <f>J306</f>
        <v>0</v>
      </c>
      <c r="K417" s="98">
        <f>K306</f>
        <v>0</v>
      </c>
      <c r="L417" s="373"/>
    </row>
    <row r="418" spans="1:12" ht="75" customHeight="1">
      <c r="A418" s="554"/>
      <c r="B418" s="393"/>
      <c r="C418" s="393"/>
      <c r="D418" s="394"/>
      <c r="E418" s="349"/>
      <c r="F418" s="526"/>
      <c r="G418" s="278" t="s">
        <v>95</v>
      </c>
      <c r="H418" s="98">
        <f>H305</f>
        <v>6347.6</v>
      </c>
      <c r="I418" s="98">
        <f>I305</f>
        <v>6347.6</v>
      </c>
      <c r="J418" s="98">
        <f>J305</f>
        <v>0</v>
      </c>
      <c r="K418" s="98">
        <f>K305</f>
        <v>0</v>
      </c>
      <c r="L418" s="373"/>
    </row>
    <row r="419" spans="1:12" ht="75" customHeight="1">
      <c r="A419" s="554"/>
      <c r="B419" s="393"/>
      <c r="C419" s="393"/>
      <c r="D419" s="394"/>
      <c r="E419" s="349"/>
      <c r="F419" s="526"/>
      <c r="G419" s="293" t="s">
        <v>86</v>
      </c>
      <c r="H419" s="98">
        <f>H355</f>
        <v>151724.92559999999</v>
      </c>
      <c r="I419" s="98">
        <f>I355</f>
        <v>36775.4</v>
      </c>
      <c r="J419" s="98">
        <f>J355</f>
        <v>56045.599999999999</v>
      </c>
      <c r="K419" s="98">
        <f>K355</f>
        <v>58903.925599999995</v>
      </c>
      <c r="L419" s="373"/>
    </row>
    <row r="420" spans="1:12" ht="75" customHeight="1">
      <c r="A420" s="554"/>
      <c r="B420" s="393"/>
      <c r="C420" s="393"/>
      <c r="D420" s="394"/>
      <c r="E420" s="349"/>
      <c r="F420" s="526"/>
      <c r="G420" s="271" t="s">
        <v>425</v>
      </c>
      <c r="H420" s="98">
        <f>H307+H348</f>
        <v>30056.87</v>
      </c>
      <c r="I420" s="98">
        <f>I307+I348</f>
        <v>17956.87</v>
      </c>
      <c r="J420" s="98">
        <f>J307+J348</f>
        <v>12100</v>
      </c>
      <c r="K420" s="98">
        <f>K307+K348</f>
        <v>0</v>
      </c>
      <c r="L420" s="373"/>
    </row>
    <row r="421" spans="1:12" ht="75" customHeight="1">
      <c r="A421" s="554"/>
      <c r="B421" s="393"/>
      <c r="C421" s="393"/>
      <c r="D421" s="394"/>
      <c r="E421" s="349"/>
      <c r="F421" s="526"/>
      <c r="G421" s="271" t="s">
        <v>90</v>
      </c>
      <c r="H421" s="98">
        <f>H365</f>
        <v>4047.5172000000002</v>
      </c>
      <c r="I421" s="98">
        <f>I365</f>
        <v>853.7</v>
      </c>
      <c r="J421" s="98">
        <f>J365</f>
        <v>1557.2</v>
      </c>
      <c r="K421" s="98">
        <f>K365</f>
        <v>1636.6171999999999</v>
      </c>
      <c r="L421" s="373"/>
    </row>
    <row r="422" spans="1:12" ht="75" customHeight="1">
      <c r="A422" s="554"/>
      <c r="B422" s="393"/>
      <c r="C422" s="393"/>
      <c r="D422" s="394"/>
      <c r="E422" s="349" t="s">
        <v>77</v>
      </c>
      <c r="F422" s="526"/>
      <c r="G422" s="296" t="s">
        <v>89</v>
      </c>
      <c r="H422" s="97">
        <f>SUM(H423:H427)</f>
        <v>55984.484700000001</v>
      </c>
      <c r="I422" s="97">
        <f>SUM(I423:I427)</f>
        <v>18568.599999999999</v>
      </c>
      <c r="J422" s="97">
        <f>SUM(J423:J427)</f>
        <v>18171.800000000003</v>
      </c>
      <c r="K422" s="97">
        <f>SUM(K423:K427)</f>
        <v>19244.084699999999</v>
      </c>
      <c r="L422" s="373"/>
    </row>
    <row r="423" spans="1:12" ht="75" customHeight="1">
      <c r="A423" s="554"/>
      <c r="B423" s="393"/>
      <c r="C423" s="393"/>
      <c r="D423" s="394"/>
      <c r="E423" s="349"/>
      <c r="F423" s="526"/>
      <c r="G423" s="293" t="s">
        <v>421</v>
      </c>
      <c r="H423" s="98">
        <f>H309+H330</f>
        <v>26750.7</v>
      </c>
      <c r="I423" s="98">
        <f>I309+I330</f>
        <v>7383</v>
      </c>
      <c r="J423" s="98">
        <f>J309+J330</f>
        <v>9372.1</v>
      </c>
      <c r="K423" s="98">
        <f>K309+K330</f>
        <v>9995.6</v>
      </c>
      <c r="L423" s="373"/>
    </row>
    <row r="424" spans="1:12" ht="75" customHeight="1">
      <c r="A424" s="554"/>
      <c r="B424" s="393"/>
      <c r="C424" s="393"/>
      <c r="D424" s="394"/>
      <c r="E424" s="349"/>
      <c r="F424" s="526"/>
      <c r="G424" s="278" t="s">
        <v>95</v>
      </c>
      <c r="H424" s="98">
        <f>H310</f>
        <v>1132.2</v>
      </c>
      <c r="I424" s="98">
        <f>I310</f>
        <v>1132.2</v>
      </c>
      <c r="J424" s="98">
        <f>J310</f>
        <v>0</v>
      </c>
      <c r="K424" s="98">
        <f>K310</f>
        <v>0</v>
      </c>
      <c r="L424" s="373"/>
    </row>
    <row r="425" spans="1:12" ht="75" customHeight="1">
      <c r="A425" s="554"/>
      <c r="B425" s="393"/>
      <c r="C425" s="393"/>
      <c r="D425" s="394"/>
      <c r="E425" s="349"/>
      <c r="F425" s="526"/>
      <c r="G425" s="293" t="s">
        <v>86</v>
      </c>
      <c r="H425" s="98">
        <f>H356</f>
        <v>3457.1846999999998</v>
      </c>
      <c r="I425" s="98">
        <f>I356</f>
        <v>1817</v>
      </c>
      <c r="J425" s="98">
        <f>J356</f>
        <v>799.7</v>
      </c>
      <c r="K425" s="98">
        <f>K356</f>
        <v>840.48469999999998</v>
      </c>
      <c r="L425" s="373"/>
    </row>
    <row r="426" spans="1:12" ht="75" customHeight="1">
      <c r="A426" s="554"/>
      <c r="B426" s="393"/>
      <c r="C426" s="393"/>
      <c r="D426" s="394"/>
      <c r="E426" s="349"/>
      <c r="F426" s="526"/>
      <c r="G426" s="271" t="s">
        <v>425</v>
      </c>
      <c r="H426" s="98">
        <f>H311</f>
        <v>1250</v>
      </c>
      <c r="I426" s="98">
        <f>I311</f>
        <v>1250</v>
      </c>
      <c r="J426" s="98">
        <f>J311</f>
        <v>0</v>
      </c>
      <c r="K426" s="98">
        <f>K311</f>
        <v>0</v>
      </c>
      <c r="L426" s="373"/>
    </row>
    <row r="427" spans="1:12" ht="75" customHeight="1">
      <c r="A427" s="554"/>
      <c r="B427" s="393"/>
      <c r="C427" s="393"/>
      <c r="D427" s="394"/>
      <c r="E427" s="349"/>
      <c r="F427" s="526"/>
      <c r="G427" s="271" t="s">
        <v>90</v>
      </c>
      <c r="H427" s="98">
        <f>H366</f>
        <v>23394.400000000001</v>
      </c>
      <c r="I427" s="98">
        <f>I366</f>
        <v>6986.4</v>
      </c>
      <c r="J427" s="98">
        <f>J366</f>
        <v>8000</v>
      </c>
      <c r="K427" s="98">
        <f>K366</f>
        <v>8408</v>
      </c>
      <c r="L427" s="373"/>
    </row>
    <row r="428" spans="1:12" ht="75" customHeight="1">
      <c r="A428" s="554"/>
      <c r="B428" s="393"/>
      <c r="C428" s="393"/>
      <c r="D428" s="394"/>
      <c r="E428" s="340" t="s">
        <v>79</v>
      </c>
      <c r="F428" s="526"/>
      <c r="G428" s="296" t="s">
        <v>89</v>
      </c>
      <c r="H428" s="97">
        <f>SUM(H429:H431)</f>
        <v>248056.66132849999</v>
      </c>
      <c r="I428" s="97">
        <f>SUM(I429:I431)</f>
        <v>77268.91</v>
      </c>
      <c r="J428" s="97">
        <f>SUM(J429:J431)</f>
        <v>83245.253499999992</v>
      </c>
      <c r="K428" s="97">
        <f>SUM(K429:K431)</f>
        <v>87590.497828499996</v>
      </c>
      <c r="L428" s="373"/>
    </row>
    <row r="429" spans="1:12" ht="75" customHeight="1">
      <c r="A429" s="554"/>
      <c r="B429" s="393"/>
      <c r="C429" s="393"/>
      <c r="D429" s="394"/>
      <c r="E429" s="341"/>
      <c r="F429" s="526"/>
      <c r="G429" s="293" t="s">
        <v>421</v>
      </c>
      <c r="H429" s="98">
        <f t="shared" ref="H429:K430" si="35">H313</f>
        <v>24646.31</v>
      </c>
      <c r="I429" s="98">
        <f t="shared" si="35"/>
        <v>7604.91</v>
      </c>
      <c r="J429" s="98">
        <f t="shared" si="35"/>
        <v>8283.5999999999985</v>
      </c>
      <c r="K429" s="98">
        <f t="shared" si="35"/>
        <v>8805.7999999999993</v>
      </c>
      <c r="L429" s="373"/>
    </row>
    <row r="430" spans="1:12" ht="204" customHeight="1">
      <c r="A430" s="554"/>
      <c r="B430" s="393"/>
      <c r="C430" s="393"/>
      <c r="D430" s="394"/>
      <c r="E430" s="341"/>
      <c r="F430" s="526"/>
      <c r="G430" s="175" t="s">
        <v>99</v>
      </c>
      <c r="H430" s="98">
        <f t="shared" si="35"/>
        <v>2.5</v>
      </c>
      <c r="I430" s="98">
        <f t="shared" si="35"/>
        <v>2.5</v>
      </c>
      <c r="J430" s="98">
        <f t="shared" si="35"/>
        <v>0</v>
      </c>
      <c r="K430" s="98">
        <f t="shared" si="35"/>
        <v>0</v>
      </c>
      <c r="L430" s="373"/>
    </row>
    <row r="431" spans="1:12" ht="75" customHeight="1">
      <c r="A431" s="554"/>
      <c r="B431" s="393"/>
      <c r="C431" s="393"/>
      <c r="D431" s="394"/>
      <c r="E431" s="342"/>
      <c r="F431" s="526"/>
      <c r="G431" s="146" t="s">
        <v>86</v>
      </c>
      <c r="H431" s="98">
        <f>H357+H359</f>
        <v>223407.85132849999</v>
      </c>
      <c r="I431" s="98">
        <f>I357+I359</f>
        <v>69661.5</v>
      </c>
      <c r="J431" s="98">
        <f>J357+J359</f>
        <v>74961.6535</v>
      </c>
      <c r="K431" s="98">
        <f>K357+K359</f>
        <v>78784.697828499993</v>
      </c>
      <c r="L431" s="373"/>
    </row>
    <row r="432" spans="1:12" ht="75" customHeight="1">
      <c r="A432" s="554"/>
      <c r="B432" s="393"/>
      <c r="C432" s="393"/>
      <c r="D432" s="394"/>
      <c r="E432" s="349" t="s">
        <v>80</v>
      </c>
      <c r="F432" s="526"/>
      <c r="G432" s="296" t="s">
        <v>89</v>
      </c>
      <c r="H432" s="97">
        <f>SUM(H433:H434)</f>
        <v>231731.24230000001</v>
      </c>
      <c r="I432" s="97">
        <f>SUM(I433:I434)</f>
        <v>77851.790000000008</v>
      </c>
      <c r="J432" s="97">
        <f>SUM(J433:J434)</f>
        <v>80001.899999999994</v>
      </c>
      <c r="K432" s="97">
        <f>SUM(K433:K434)</f>
        <v>73877.55230000001</v>
      </c>
      <c r="L432" s="373"/>
    </row>
    <row r="433" spans="1:12" ht="75" customHeight="1">
      <c r="A433" s="554"/>
      <c r="B433" s="393"/>
      <c r="C433" s="393"/>
      <c r="D433" s="394"/>
      <c r="E433" s="349"/>
      <c r="F433" s="526"/>
      <c r="G433" s="293" t="s">
        <v>421</v>
      </c>
      <c r="H433" s="98">
        <f>H316</f>
        <v>28128.1423</v>
      </c>
      <c r="I433" s="98">
        <f>I316</f>
        <v>8442.69</v>
      </c>
      <c r="J433" s="98">
        <f>J316</f>
        <v>9636.2000000000007</v>
      </c>
      <c r="K433" s="98">
        <f>K316</f>
        <v>10049.2523</v>
      </c>
      <c r="L433" s="373"/>
    </row>
    <row r="434" spans="1:12" ht="75" customHeight="1">
      <c r="A434" s="554"/>
      <c r="B434" s="393"/>
      <c r="C434" s="393"/>
      <c r="D434" s="394"/>
      <c r="E434" s="349"/>
      <c r="F434" s="526"/>
      <c r="G434" s="146" t="s">
        <v>86</v>
      </c>
      <c r="H434" s="98">
        <f>H358+H360</f>
        <v>203603.1</v>
      </c>
      <c r="I434" s="98">
        <f>I358+I360</f>
        <v>69409.100000000006</v>
      </c>
      <c r="J434" s="98">
        <f>J358+J360</f>
        <v>70365.7</v>
      </c>
      <c r="K434" s="98">
        <f>K358+K360</f>
        <v>63828.3</v>
      </c>
      <c r="L434" s="373"/>
    </row>
    <row r="435" spans="1:12" ht="75" customHeight="1">
      <c r="A435" s="554"/>
      <c r="B435" s="393"/>
      <c r="C435" s="393"/>
      <c r="D435" s="394"/>
      <c r="E435" s="265" t="s">
        <v>401</v>
      </c>
      <c r="F435" s="526"/>
      <c r="G435" s="293" t="s">
        <v>421</v>
      </c>
      <c r="H435" s="97">
        <f>H317</f>
        <v>3000</v>
      </c>
      <c r="I435" s="97">
        <f>I317</f>
        <v>3000</v>
      </c>
      <c r="J435" s="97">
        <f>J317</f>
        <v>0</v>
      </c>
      <c r="K435" s="97">
        <f>K317</f>
        <v>0</v>
      </c>
      <c r="L435" s="373"/>
    </row>
    <row r="436" spans="1:12" ht="75" customHeight="1">
      <c r="A436" s="554"/>
      <c r="B436" s="393"/>
      <c r="C436" s="393"/>
      <c r="D436" s="394"/>
      <c r="E436" s="349" t="s">
        <v>449</v>
      </c>
      <c r="F436" s="526"/>
      <c r="G436" s="296" t="s">
        <v>89</v>
      </c>
      <c r="H436" s="97">
        <f>SUM(H437:H442)</f>
        <v>92492.119000000006</v>
      </c>
      <c r="I436" s="97">
        <f>SUM(I437:I442)</f>
        <v>52752.919000000009</v>
      </c>
      <c r="J436" s="97">
        <f>SUM(J437:J442)</f>
        <v>36751.5</v>
      </c>
      <c r="K436" s="97">
        <f>SUM(K437:K442)</f>
        <v>2987.7</v>
      </c>
      <c r="L436" s="373"/>
    </row>
    <row r="437" spans="1:12" ht="75" customHeight="1">
      <c r="A437" s="554"/>
      <c r="B437" s="393"/>
      <c r="C437" s="393"/>
      <c r="D437" s="394"/>
      <c r="E437" s="349"/>
      <c r="F437" s="526"/>
      <c r="G437" s="293" t="s">
        <v>421</v>
      </c>
      <c r="H437" s="98">
        <f>H319</f>
        <v>23319.200000000001</v>
      </c>
      <c r="I437" s="98">
        <f>I319</f>
        <v>17282.2</v>
      </c>
      <c r="J437" s="98">
        <f>J319</f>
        <v>3049.3</v>
      </c>
      <c r="K437" s="98">
        <f>K319</f>
        <v>2987.7</v>
      </c>
      <c r="L437" s="373"/>
    </row>
    <row r="438" spans="1:12" ht="227.25" customHeight="1">
      <c r="A438" s="554"/>
      <c r="B438" s="393"/>
      <c r="C438" s="393"/>
      <c r="D438" s="394"/>
      <c r="E438" s="349"/>
      <c r="F438" s="526"/>
      <c r="G438" s="278" t="s">
        <v>98</v>
      </c>
      <c r="H438" s="98">
        <f>H321</f>
        <v>1490.1</v>
      </c>
      <c r="I438" s="98">
        <f>I321</f>
        <v>1490.1</v>
      </c>
      <c r="J438" s="98">
        <f>J321</f>
        <v>0</v>
      </c>
      <c r="K438" s="98">
        <f>K321</f>
        <v>0</v>
      </c>
      <c r="L438" s="373"/>
    </row>
    <row r="439" spans="1:12" ht="260.25" customHeight="1">
      <c r="A439" s="554"/>
      <c r="B439" s="393"/>
      <c r="C439" s="393"/>
      <c r="D439" s="394"/>
      <c r="E439" s="349"/>
      <c r="F439" s="526"/>
      <c r="G439" s="175" t="s">
        <v>99</v>
      </c>
      <c r="H439" s="98">
        <f>H320</f>
        <v>14280.419000000002</v>
      </c>
      <c r="I439" s="98">
        <f>I320</f>
        <v>6609.6190000000006</v>
      </c>
      <c r="J439" s="98">
        <f>J320</f>
        <v>7670.8</v>
      </c>
      <c r="K439" s="98">
        <f>K320</f>
        <v>0</v>
      </c>
      <c r="L439" s="373"/>
    </row>
    <row r="440" spans="1:12" ht="75" customHeight="1">
      <c r="A440" s="554"/>
      <c r="B440" s="393"/>
      <c r="C440" s="393"/>
      <c r="D440" s="394"/>
      <c r="E440" s="349"/>
      <c r="F440" s="526"/>
      <c r="G440" s="279" t="s">
        <v>392</v>
      </c>
      <c r="H440" s="98">
        <f>H271</f>
        <v>3799.8</v>
      </c>
      <c r="I440" s="98">
        <f>I271</f>
        <v>799.7</v>
      </c>
      <c r="J440" s="98">
        <f>J271</f>
        <v>3000.1</v>
      </c>
      <c r="K440" s="98">
        <f>K271</f>
        <v>0</v>
      </c>
      <c r="L440" s="373"/>
    </row>
    <row r="441" spans="1:12" ht="126.75" customHeight="1">
      <c r="A441" s="554"/>
      <c r="B441" s="393"/>
      <c r="C441" s="393"/>
      <c r="D441" s="394"/>
      <c r="E441" s="349"/>
      <c r="F441" s="526"/>
      <c r="G441" s="271" t="s">
        <v>394</v>
      </c>
      <c r="H441" s="98">
        <f>H343</f>
        <v>6848</v>
      </c>
      <c r="I441" s="98">
        <f>I343</f>
        <v>6848</v>
      </c>
      <c r="J441" s="98">
        <f>J343</f>
        <v>0</v>
      </c>
      <c r="K441" s="98">
        <f>K343</f>
        <v>0</v>
      </c>
      <c r="L441" s="373"/>
    </row>
    <row r="442" spans="1:12" ht="75" customHeight="1">
      <c r="A442" s="555"/>
      <c r="B442" s="395"/>
      <c r="C442" s="395"/>
      <c r="D442" s="396"/>
      <c r="E442" s="349"/>
      <c r="F442" s="526"/>
      <c r="G442" s="271" t="s">
        <v>425</v>
      </c>
      <c r="H442" s="98">
        <f>H323</f>
        <v>42754.6</v>
      </c>
      <c r="I442" s="98">
        <f>I323</f>
        <v>19723.3</v>
      </c>
      <c r="J442" s="98">
        <f>J323</f>
        <v>23031.3</v>
      </c>
      <c r="K442" s="98">
        <f>K323</f>
        <v>0</v>
      </c>
      <c r="L442" s="406"/>
    </row>
    <row r="443" spans="1:12" s="241" customFormat="1" ht="75" customHeight="1">
      <c r="A443" s="240"/>
      <c r="B443" s="241" t="s">
        <v>480</v>
      </c>
      <c r="C443" s="242"/>
      <c r="D443" s="243"/>
      <c r="E443" s="243"/>
      <c r="F443" s="240"/>
      <c r="G443" s="244"/>
      <c r="H443" s="244"/>
      <c r="I443" s="240" t="s">
        <v>481</v>
      </c>
      <c r="J443" s="244"/>
      <c r="K443" s="244"/>
      <c r="L443" s="245"/>
    </row>
    <row r="444" spans="1:12" s="241" customFormat="1" ht="75" customHeight="1">
      <c r="A444" s="240"/>
      <c r="C444" s="242"/>
      <c r="D444" s="243"/>
      <c r="E444" s="243"/>
      <c r="F444" s="240"/>
      <c r="G444" s="244"/>
      <c r="H444" s="244"/>
      <c r="I444" s="240"/>
      <c r="J444" s="244"/>
      <c r="K444" s="244"/>
      <c r="L444" s="245"/>
    </row>
    <row r="445" spans="1:12" ht="75" customHeight="1">
      <c r="A445" s="247" t="s">
        <v>27</v>
      </c>
      <c r="B445" s="246"/>
    </row>
    <row r="447" spans="1:12" s="91" customFormat="1" ht="75" customHeight="1">
      <c r="C447" s="92"/>
      <c r="D447" s="93"/>
      <c r="F447" s="94"/>
      <c r="G447" s="94"/>
      <c r="H447" s="94"/>
      <c r="I447" s="95"/>
      <c r="J447" s="94"/>
      <c r="K447" s="122"/>
      <c r="L447" s="185"/>
    </row>
    <row r="448" spans="1:12" ht="75" customHeight="1">
      <c r="A448" s="28"/>
      <c r="B448" s="28"/>
      <c r="C448" s="34"/>
      <c r="D448" s="29"/>
      <c r="E448" s="35"/>
      <c r="F448" s="30"/>
      <c r="G448" s="27"/>
      <c r="H448" s="30"/>
      <c r="I448" s="31"/>
      <c r="J448" s="30"/>
    </row>
    <row r="449" spans="1:10" ht="75" customHeight="1">
      <c r="A449" s="28"/>
      <c r="B449" s="28"/>
      <c r="C449" s="34"/>
      <c r="D449" s="29"/>
      <c r="E449" s="35"/>
      <c r="F449" s="30"/>
      <c r="G449" s="27"/>
      <c r="H449" s="30"/>
      <c r="I449" s="31"/>
      <c r="J449" s="30"/>
    </row>
    <row r="450" spans="1:10" ht="75" customHeight="1">
      <c r="A450" s="28"/>
      <c r="B450" s="28"/>
      <c r="C450" s="34"/>
      <c r="D450" s="29"/>
      <c r="E450" s="35"/>
      <c r="F450" s="30"/>
      <c r="G450" s="27"/>
      <c r="H450" s="30"/>
      <c r="I450" s="31"/>
      <c r="J450" s="30"/>
    </row>
    <row r="451" spans="1:10" ht="75" customHeight="1">
      <c r="A451" s="96"/>
      <c r="B451" s="28"/>
      <c r="D451" s="29"/>
      <c r="E451" s="35"/>
      <c r="F451" s="30"/>
      <c r="G451" s="27"/>
      <c r="H451" s="30"/>
      <c r="I451" s="30"/>
      <c r="J451" s="30"/>
    </row>
  </sheetData>
  <autoFilter ref="A7:L442">
    <filterColumn colId="3">
      <filters>
        <filter val="0712152"/>
      </filters>
    </filterColumn>
    <filterColumn colId="7" showButton="0"/>
    <filterColumn colId="8" showButton="0"/>
    <filterColumn colId="9" showButton="0"/>
  </autoFilter>
  <mergeCells count="291">
    <mergeCell ref="A127:G127"/>
    <mergeCell ref="F132:F156"/>
    <mergeCell ref="A128:F131"/>
    <mergeCell ref="E132:E136"/>
    <mergeCell ref="E151:E153"/>
    <mergeCell ref="A219:F219"/>
    <mergeCell ref="B367:F367"/>
    <mergeCell ref="L367:L368"/>
    <mergeCell ref="A368:D368"/>
    <mergeCell ref="G181:G183"/>
    <mergeCell ref="F171:F172"/>
    <mergeCell ref="G171:G172"/>
    <mergeCell ref="D165:G165"/>
    <mergeCell ref="D178:G178"/>
    <mergeCell ref="L336:L339"/>
    <mergeCell ref="L219:L229"/>
    <mergeCell ref="A282:D323"/>
    <mergeCell ref="A258:D272"/>
    <mergeCell ref="A201:L201"/>
    <mergeCell ref="A184:F184"/>
    <mergeCell ref="A185:B185"/>
    <mergeCell ref="B216:D216"/>
    <mergeCell ref="A206:A216"/>
    <mergeCell ref="A346:D348"/>
    <mergeCell ref="L110:L115"/>
    <mergeCell ref="L87:L107"/>
    <mergeCell ref="L120:L123"/>
    <mergeCell ref="L117:L119"/>
    <mergeCell ref="E117:E119"/>
    <mergeCell ref="L170:L172"/>
    <mergeCell ref="F117:F119"/>
    <mergeCell ref="E101:F104"/>
    <mergeCell ref="D120:G120"/>
    <mergeCell ref="E121:E122"/>
    <mergeCell ref="D121:D122"/>
    <mergeCell ref="L124:L126"/>
    <mergeCell ref="L161:L163"/>
    <mergeCell ref="F162:F163"/>
    <mergeCell ref="D170:G170"/>
    <mergeCell ref="F166:F169"/>
    <mergeCell ref="L158:L160"/>
    <mergeCell ref="L127:L156"/>
    <mergeCell ref="D161:G161"/>
    <mergeCell ref="D158:G158"/>
    <mergeCell ref="A157:L157"/>
    <mergeCell ref="G166:G169"/>
    <mergeCell ref="C165:C168"/>
    <mergeCell ref="E144:E147"/>
    <mergeCell ref="L369:L442"/>
    <mergeCell ref="A370:F383"/>
    <mergeCell ref="A384:D442"/>
    <mergeCell ref="E384:E392"/>
    <mergeCell ref="F384:F442"/>
    <mergeCell ref="E393:E398"/>
    <mergeCell ref="E399:E405"/>
    <mergeCell ref="E406:E414"/>
    <mergeCell ref="E415:E421"/>
    <mergeCell ref="E422:E427"/>
    <mergeCell ref="E428:E431"/>
    <mergeCell ref="E432:E434"/>
    <mergeCell ref="E436:E442"/>
    <mergeCell ref="A341:D341"/>
    <mergeCell ref="B344:F344"/>
    <mergeCell ref="A345:D345"/>
    <mergeCell ref="A332:D339"/>
    <mergeCell ref="A369:F369"/>
    <mergeCell ref="A326:D330"/>
    <mergeCell ref="F326:F330"/>
    <mergeCell ref="B331:F331"/>
    <mergeCell ref="E336:E339"/>
    <mergeCell ref="F362:F366"/>
    <mergeCell ref="A362:D366"/>
    <mergeCell ref="B340:F340"/>
    <mergeCell ref="F336:F338"/>
    <mergeCell ref="L361:L366"/>
    <mergeCell ref="L350:L360"/>
    <mergeCell ref="L340:L341"/>
    <mergeCell ref="A324:L324"/>
    <mergeCell ref="B325:F325"/>
    <mergeCell ref="L325:L330"/>
    <mergeCell ref="G362:G366"/>
    <mergeCell ref="F246:F253"/>
    <mergeCell ref="A254:G254"/>
    <mergeCell ref="L254:L272"/>
    <mergeCell ref="A255:F257"/>
    <mergeCell ref="E258:E260"/>
    <mergeCell ref="F258:F272"/>
    <mergeCell ref="G261:G262"/>
    <mergeCell ref="E266:E268"/>
    <mergeCell ref="A273:F273"/>
    <mergeCell ref="L344:L348"/>
    <mergeCell ref="G345:G349"/>
    <mergeCell ref="G326:G330"/>
    <mergeCell ref="G351:G360"/>
    <mergeCell ref="B350:E350"/>
    <mergeCell ref="E263:E265"/>
    <mergeCell ref="A351:D360"/>
    <mergeCell ref="B342:F342"/>
    <mergeCell ref="L30:L43"/>
    <mergeCell ref="E50:E51"/>
    <mergeCell ref="L49:L54"/>
    <mergeCell ref="D50:D51"/>
    <mergeCell ref="G39:G43"/>
    <mergeCell ref="G75:G86"/>
    <mergeCell ref="L79:L86"/>
    <mergeCell ref="C44:C48"/>
    <mergeCell ref="D44:G44"/>
    <mergeCell ref="F50:F54"/>
    <mergeCell ref="G52:G54"/>
    <mergeCell ref="C49:C54"/>
    <mergeCell ref="F45:F48"/>
    <mergeCell ref="C58:C60"/>
    <mergeCell ref="C61:C64"/>
    <mergeCell ref="C74:C76"/>
    <mergeCell ref="C65:C69"/>
    <mergeCell ref="D59:D60"/>
    <mergeCell ref="F62:F64"/>
    <mergeCell ref="L65:L69"/>
    <mergeCell ref="F66:F69"/>
    <mergeCell ref="L74:L76"/>
    <mergeCell ref="G36:G37"/>
    <mergeCell ref="A5:L5"/>
    <mergeCell ref="A7:A9"/>
    <mergeCell ref="B7:B9"/>
    <mergeCell ref="C7:C9"/>
    <mergeCell ref="D7:D9"/>
    <mergeCell ref="E7:E9"/>
    <mergeCell ref="F7:F9"/>
    <mergeCell ref="G7:G9"/>
    <mergeCell ref="H7:K7"/>
    <mergeCell ref="L7:L9"/>
    <mergeCell ref="H8:H9"/>
    <mergeCell ref="I8:K8"/>
    <mergeCell ref="A11:L11"/>
    <mergeCell ref="F13:F14"/>
    <mergeCell ref="G13:G14"/>
    <mergeCell ref="F19:F20"/>
    <mergeCell ref="G19:G20"/>
    <mergeCell ref="D39:E39"/>
    <mergeCell ref="L44:L48"/>
    <mergeCell ref="L12:L17"/>
    <mergeCell ref="D58:G58"/>
    <mergeCell ref="C12:C14"/>
    <mergeCell ref="C15:C17"/>
    <mergeCell ref="C18:C20"/>
    <mergeCell ref="D12:G12"/>
    <mergeCell ref="D15:G15"/>
    <mergeCell ref="D18:G18"/>
    <mergeCell ref="G16:G17"/>
    <mergeCell ref="A27:D29"/>
    <mergeCell ref="E27:G27"/>
    <mergeCell ref="F28:F29"/>
    <mergeCell ref="D24:G24"/>
    <mergeCell ref="C24:C26"/>
    <mergeCell ref="F25:F26"/>
    <mergeCell ref="G25:G26"/>
    <mergeCell ref="B12:B26"/>
    <mergeCell ref="A110:A115"/>
    <mergeCell ref="B120:B123"/>
    <mergeCell ref="C110:C112"/>
    <mergeCell ref="D110:G110"/>
    <mergeCell ref="B30:B76"/>
    <mergeCell ref="F111:F116"/>
    <mergeCell ref="B110:B116"/>
    <mergeCell ref="G62:G64"/>
    <mergeCell ref="A117:D119"/>
    <mergeCell ref="C120:C122"/>
    <mergeCell ref="D111:D112"/>
    <mergeCell ref="E111:E112"/>
    <mergeCell ref="E109:F109"/>
    <mergeCell ref="A87:D109"/>
    <mergeCell ref="C79:C80"/>
    <mergeCell ref="D79:E79"/>
    <mergeCell ref="F75:F86"/>
    <mergeCell ref="E87:F91"/>
    <mergeCell ref="E92:F92"/>
    <mergeCell ref="E93:F97"/>
    <mergeCell ref="E98:F100"/>
    <mergeCell ref="E105:F108"/>
    <mergeCell ref="A12:A26"/>
    <mergeCell ref="L59:L60"/>
    <mergeCell ref="A30:A76"/>
    <mergeCell ref="D49:G49"/>
    <mergeCell ref="F16:F17"/>
    <mergeCell ref="D30:G30"/>
    <mergeCell ref="C30:C43"/>
    <mergeCell ref="G32:G35"/>
    <mergeCell ref="F59:F60"/>
    <mergeCell ref="D61:G61"/>
    <mergeCell ref="F22:F23"/>
    <mergeCell ref="G22:G23"/>
    <mergeCell ref="D21:G21"/>
    <mergeCell ref="C21:C23"/>
    <mergeCell ref="L27:L29"/>
    <mergeCell ref="G28:G29"/>
    <mergeCell ref="L18:L20"/>
    <mergeCell ref="F32:F43"/>
    <mergeCell ref="D74:G74"/>
    <mergeCell ref="E59:E60"/>
    <mergeCell ref="D65:G65"/>
    <mergeCell ref="G45:G48"/>
    <mergeCell ref="G66:G69"/>
    <mergeCell ref="L61:L64"/>
    <mergeCell ref="F124:F126"/>
    <mergeCell ref="F121:F123"/>
    <mergeCell ref="A132:D156"/>
    <mergeCell ref="G162:G163"/>
    <mergeCell ref="G159:G160"/>
    <mergeCell ref="C174:C177"/>
    <mergeCell ref="C178:C183"/>
    <mergeCell ref="L164:L169"/>
    <mergeCell ref="F241:F244"/>
    <mergeCell ref="G241:G244"/>
    <mergeCell ref="D171:D172"/>
    <mergeCell ref="A120:A123"/>
    <mergeCell ref="A124:D126"/>
    <mergeCell ref="E124:E126"/>
    <mergeCell ref="E148:E150"/>
    <mergeCell ref="E137:E139"/>
    <mergeCell ref="E140:E143"/>
    <mergeCell ref="L178:L183"/>
    <mergeCell ref="D207:G207"/>
    <mergeCell ref="D174:G174"/>
    <mergeCell ref="C161:C163"/>
    <mergeCell ref="L174:L177"/>
    <mergeCell ref="D175:D177"/>
    <mergeCell ref="E175:E177"/>
    <mergeCell ref="G246:G252"/>
    <mergeCell ref="L231:L252"/>
    <mergeCell ref="B204:D204"/>
    <mergeCell ref="B202:B203"/>
    <mergeCell ref="E192:F192"/>
    <mergeCell ref="G191:G196"/>
    <mergeCell ref="A230:L230"/>
    <mergeCell ref="E193:F193"/>
    <mergeCell ref="E194:F194"/>
    <mergeCell ref="E195:F195"/>
    <mergeCell ref="E196:F196"/>
    <mergeCell ref="E197:F200"/>
    <mergeCell ref="L207:L215"/>
    <mergeCell ref="G210:G215"/>
    <mergeCell ref="L184:L200"/>
    <mergeCell ref="E191:F191"/>
    <mergeCell ref="A202:A203"/>
    <mergeCell ref="E188:F190"/>
    <mergeCell ref="L216:L218"/>
    <mergeCell ref="A217:F218"/>
    <mergeCell ref="F210:F215"/>
    <mergeCell ref="C207:C215"/>
    <mergeCell ref="D209:G209"/>
    <mergeCell ref="B206:B215"/>
    <mergeCell ref="L342:L343"/>
    <mergeCell ref="A343:D343"/>
    <mergeCell ref="D240:G240"/>
    <mergeCell ref="D232:G232"/>
    <mergeCell ref="F233:F239"/>
    <mergeCell ref="L273:L281"/>
    <mergeCell ref="A274:F281"/>
    <mergeCell ref="E270:E272"/>
    <mergeCell ref="G225:G229"/>
    <mergeCell ref="C231:C243"/>
    <mergeCell ref="D231:G231"/>
    <mergeCell ref="C245:C251"/>
    <mergeCell ref="D245:G245"/>
    <mergeCell ref="G233:G239"/>
    <mergeCell ref="A222:D229"/>
    <mergeCell ref="E282:E288"/>
    <mergeCell ref="F282:F323"/>
    <mergeCell ref="E289:E292"/>
    <mergeCell ref="E293:E297"/>
    <mergeCell ref="E298:E302"/>
    <mergeCell ref="E303:E307"/>
    <mergeCell ref="E308:E311"/>
    <mergeCell ref="E312:E314"/>
    <mergeCell ref="E315:E316"/>
    <mergeCell ref="E318:E323"/>
    <mergeCell ref="E222:E224"/>
    <mergeCell ref="F222:F229"/>
    <mergeCell ref="A188:D200"/>
    <mergeCell ref="A231:A253"/>
    <mergeCell ref="B231:B253"/>
    <mergeCell ref="D179:D180"/>
    <mergeCell ref="A158:A183"/>
    <mergeCell ref="B158:B183"/>
    <mergeCell ref="C158:C160"/>
    <mergeCell ref="F179:F183"/>
    <mergeCell ref="A220:B220"/>
    <mergeCell ref="F175:F177"/>
    <mergeCell ref="E179:E180"/>
    <mergeCell ref="C170:C172"/>
    <mergeCell ref="F159:F160"/>
  </mergeCells>
  <pageMargins left="0.78740157480314965" right="0.19685039370078741" top="0.19685039370078741" bottom="0.19685039370078741" header="0.31496062992125984" footer="0.31496062992125984"/>
  <pageSetup paperSize="9" scale="32" fitToHeight="25" orientation="landscape" r:id="rId1"/>
  <rowBreaks count="24" manualBreakCount="24">
    <brk id="23" max="11" man="1"/>
    <brk id="39" max="11" man="1"/>
    <brk id="55" max="11" man="1"/>
    <brk id="69" max="11" man="1"/>
    <brk id="81" max="11" man="1"/>
    <brk id="101" max="11" man="1"/>
    <brk id="116" max="11" man="1"/>
    <brk id="133" max="11" man="1"/>
    <brk id="149" max="11" man="1"/>
    <brk id="163" max="11" man="1"/>
    <brk id="176" max="11" man="1"/>
    <brk id="191" max="11" man="1"/>
    <brk id="204" max="11" man="1"/>
    <brk id="217" max="11" man="1"/>
    <brk id="230" max="11" man="1"/>
    <brk id="249" max="11" man="1"/>
    <brk id="261" max="11" man="1"/>
    <brk id="276" max="11" man="1"/>
    <brk id="289" max="11" man="1"/>
    <brk id="305" max="11" man="1"/>
    <brk id="319" max="11" man="1"/>
    <brk id="335" max="11" man="1"/>
    <brk id="352" max="11" man="1"/>
    <brk id="372" max="11" man="1"/>
  </rowBreaks>
</worksheet>
</file>

<file path=xl/worksheets/sheet4.xml><?xml version="1.0" encoding="utf-8"?>
<worksheet xmlns="http://schemas.openxmlformats.org/spreadsheetml/2006/main" xmlns:r="http://schemas.openxmlformats.org/officeDocument/2006/relationships">
  <dimension ref="A1:K370"/>
  <sheetViews>
    <sheetView view="pageBreakPreview" zoomScale="50" zoomScaleNormal="61" zoomScaleSheetLayoutView="50" workbookViewId="0">
      <pane ySplit="10" topLeftCell="A98" activePane="bottomLeft" state="frozen"/>
      <selection pane="bottomLeft" activeCell="H4" sqref="H4"/>
    </sheetView>
  </sheetViews>
  <sheetFormatPr defaultColWidth="9.140625" defaultRowHeight="20.25"/>
  <cols>
    <col min="1" max="1" width="87.140625" style="47" customWidth="1"/>
    <col min="2" max="2" width="23.42578125" style="47" customWidth="1"/>
    <col min="3" max="3" width="23.5703125" style="47" customWidth="1"/>
    <col min="4" max="4" width="20.5703125" style="47" customWidth="1"/>
    <col min="5" max="5" width="21.140625" style="47" customWidth="1"/>
    <col min="6" max="6" width="22.28515625" style="47" customWidth="1"/>
    <col min="7" max="7" width="19.7109375" style="47" customWidth="1"/>
    <col min="8" max="8" width="20.42578125" style="47" customWidth="1"/>
    <col min="9" max="9" width="19.140625" style="47" customWidth="1"/>
    <col min="10" max="10" width="21.140625" style="47" customWidth="1"/>
    <col min="11" max="11" width="20" style="47" customWidth="1"/>
    <col min="12" max="16384" width="9.140625" style="47"/>
  </cols>
  <sheetData>
    <row r="1" spans="1:11" ht="27.75">
      <c r="H1" s="84" t="s">
        <v>427</v>
      </c>
    </row>
    <row r="2" spans="1:11" ht="171" customHeight="1">
      <c r="H2" s="603" t="s">
        <v>429</v>
      </c>
      <c r="I2" s="603"/>
      <c r="J2" s="603"/>
      <c r="K2" s="603"/>
    </row>
    <row r="3" spans="1:11" ht="30.75" customHeight="1">
      <c r="A3" s="48"/>
      <c r="H3" s="604" t="s">
        <v>500</v>
      </c>
      <c r="I3" s="604"/>
      <c r="J3" s="604"/>
      <c r="K3" s="604"/>
    </row>
    <row r="4" spans="1:11" ht="26.25" customHeight="1">
      <c r="H4" s="84"/>
      <c r="I4" s="84"/>
      <c r="J4" s="84"/>
      <c r="K4" s="85"/>
    </row>
    <row r="5" spans="1:11" ht="82.5" customHeight="1">
      <c r="A5" s="605" t="s">
        <v>411</v>
      </c>
      <c r="B5" s="605"/>
      <c r="C5" s="605"/>
      <c r="D5" s="605"/>
      <c r="E5" s="605"/>
      <c r="F5" s="605"/>
      <c r="G5" s="605"/>
      <c r="H5" s="605"/>
      <c r="I5" s="605"/>
      <c r="J5" s="605"/>
      <c r="K5" s="605"/>
    </row>
    <row r="6" spans="1:11" ht="15.75" customHeight="1">
      <c r="A6" s="49"/>
    </row>
    <row r="7" spans="1:11">
      <c r="A7" s="606" t="s">
        <v>109</v>
      </c>
      <c r="B7" s="606" t="s">
        <v>89</v>
      </c>
      <c r="C7" s="606" t="s">
        <v>110</v>
      </c>
      <c r="D7" s="606"/>
      <c r="E7" s="606"/>
      <c r="F7" s="606" t="s">
        <v>430</v>
      </c>
      <c r="G7" s="606"/>
      <c r="H7" s="606"/>
      <c r="I7" s="606" t="s">
        <v>111</v>
      </c>
      <c r="J7" s="606"/>
      <c r="K7" s="606"/>
    </row>
    <row r="8" spans="1:11">
      <c r="A8" s="606"/>
      <c r="B8" s="606"/>
      <c r="C8" s="606"/>
      <c r="D8" s="606"/>
      <c r="E8" s="606"/>
      <c r="F8" s="606"/>
      <c r="G8" s="606"/>
      <c r="H8" s="606"/>
      <c r="I8" s="606"/>
      <c r="J8" s="606"/>
      <c r="K8" s="606"/>
    </row>
    <row r="9" spans="1:11">
      <c r="A9" s="606"/>
      <c r="B9" s="606"/>
      <c r="C9" s="607" t="s">
        <v>97</v>
      </c>
      <c r="D9" s="607" t="s">
        <v>112</v>
      </c>
      <c r="E9" s="607"/>
      <c r="F9" s="607" t="s">
        <v>97</v>
      </c>
      <c r="G9" s="607" t="s">
        <v>112</v>
      </c>
      <c r="H9" s="607"/>
      <c r="I9" s="607" t="s">
        <v>97</v>
      </c>
      <c r="J9" s="607" t="s">
        <v>112</v>
      </c>
      <c r="K9" s="607"/>
    </row>
    <row r="10" spans="1:11" ht="40.5">
      <c r="A10" s="606"/>
      <c r="B10" s="606"/>
      <c r="C10" s="607"/>
      <c r="D10" s="224" t="s">
        <v>113</v>
      </c>
      <c r="E10" s="224" t="s">
        <v>114</v>
      </c>
      <c r="F10" s="607"/>
      <c r="G10" s="224" t="s">
        <v>113</v>
      </c>
      <c r="H10" s="224" t="s">
        <v>114</v>
      </c>
      <c r="I10" s="607"/>
      <c r="J10" s="224" t="s">
        <v>113</v>
      </c>
      <c r="K10" s="224" t="s">
        <v>114</v>
      </c>
    </row>
    <row r="11" spans="1:11">
      <c r="A11" s="223">
        <v>1</v>
      </c>
      <c r="B11" s="50">
        <v>2</v>
      </c>
      <c r="C11" s="224">
        <v>3</v>
      </c>
      <c r="D11" s="224">
        <v>4</v>
      </c>
      <c r="E11" s="224">
        <v>5</v>
      </c>
      <c r="F11" s="224">
        <v>6</v>
      </c>
      <c r="G11" s="224">
        <v>7</v>
      </c>
      <c r="H11" s="224">
        <v>8</v>
      </c>
      <c r="I11" s="224">
        <v>9</v>
      </c>
      <c r="J11" s="224">
        <v>10</v>
      </c>
      <c r="K11" s="224">
        <v>11</v>
      </c>
    </row>
    <row r="12" spans="1:11" ht="46.5">
      <c r="A12" s="51" t="s">
        <v>324</v>
      </c>
      <c r="B12" s="42">
        <f t="shared" ref="B12:K12" si="0">B15+B205+B291+B333</f>
        <v>572865270.29999995</v>
      </c>
      <c r="C12" s="42">
        <f t="shared" si="0"/>
        <v>291091831</v>
      </c>
      <c r="D12" s="42">
        <f t="shared" si="0"/>
        <v>188696142</v>
      </c>
      <c r="E12" s="42">
        <f t="shared" si="0"/>
        <v>102395689</v>
      </c>
      <c r="F12" s="42">
        <f t="shared" si="0"/>
        <v>193912610</v>
      </c>
      <c r="G12" s="42">
        <f t="shared" si="0"/>
        <v>77922380</v>
      </c>
      <c r="H12" s="42">
        <f t="shared" si="0"/>
        <v>115990230</v>
      </c>
      <c r="I12" s="42">
        <f t="shared" si="0"/>
        <v>88020929.299999997</v>
      </c>
      <c r="J12" s="42">
        <f t="shared" si="0"/>
        <v>68020929.299999997</v>
      </c>
      <c r="K12" s="42">
        <f t="shared" si="0"/>
        <v>20000000</v>
      </c>
    </row>
    <row r="13" spans="1:11" ht="45.75" customHeight="1">
      <c r="A13" s="592" t="s">
        <v>151</v>
      </c>
      <c r="B13" s="592"/>
      <c r="C13" s="592"/>
      <c r="D13" s="592"/>
      <c r="E13" s="592"/>
      <c r="F13" s="592"/>
      <c r="G13" s="592"/>
      <c r="H13" s="592"/>
      <c r="I13" s="592"/>
      <c r="J13" s="592"/>
      <c r="K13" s="592"/>
    </row>
    <row r="14" spans="1:11" ht="22.5">
      <c r="A14" s="587" t="s">
        <v>264</v>
      </c>
      <c r="B14" s="587"/>
      <c r="C14" s="587"/>
      <c r="D14" s="587"/>
      <c r="E14" s="587"/>
      <c r="F14" s="587"/>
      <c r="G14" s="587"/>
      <c r="H14" s="587"/>
      <c r="I14" s="587"/>
      <c r="J14" s="587"/>
      <c r="K14" s="587"/>
    </row>
    <row r="15" spans="1:11" ht="22.5">
      <c r="A15" s="52" t="s">
        <v>300</v>
      </c>
      <c r="B15" s="42">
        <f>B19+B24+B29+B55+B60+B65+B70+B79+B94+B103+B111+B122+B129+B142+B154+B164+B188+B201+B136+B38+B171+B180</f>
        <v>231605730</v>
      </c>
      <c r="C15" s="42">
        <f>C19+C24+C29+C55+C60+C65+C70+C79+C94+C103+C111+C122+C129+C142+C154+C164+C188+C201+C136+C38</f>
        <v>136386123</v>
      </c>
      <c r="D15" s="42">
        <f>D19+D24+D29+D55+D60+D65+D70+D79+D94+D103+D111+D122+D129+D142+D154+D164+D188+D201+D136</f>
        <v>136386123</v>
      </c>
      <c r="E15" s="42">
        <f>E19+E24+E29+E55+E60+E65+E70+E79+E94+E103+E111+E122+E129+E142+E154+E164+E188+E201+E136</f>
        <v>0</v>
      </c>
      <c r="F15" s="42">
        <f>F19+F24+F29+F55+F60+F65+F70+F79+F94+F103+F111+F122+F129+F142+F154+F164+F188+F201+F136+F38+F171+F180+F47+F193</f>
        <v>49364680</v>
      </c>
      <c r="G15" s="42">
        <f>G19+G24+G29+G55+G60+G65+G70+G79+G94+G103+G111+G122+G129+G142+G154+G164+G188+G201+G136+G38+G171+G180+G47+G193</f>
        <v>49364680</v>
      </c>
      <c r="H15" s="42">
        <f>H19+H24+H29+H55+H60+H65+H70+H79+H94+H103+H111+H122+H129+H142+H154+H164+H188+H201+H136</f>
        <v>0</v>
      </c>
      <c r="I15" s="42">
        <f>I19+I24+I29+I55+I60+I65+I70+I79+I94+I103+I111+I122+I129+I142+I154+I164+I188+I201+I136+I38</f>
        <v>46015027</v>
      </c>
      <c r="J15" s="42">
        <f>J19+J24+J29+J55+J60+J65+J70+J79+J94+J103+J111+J122+J129+J142+J154+J164+J188+J201+J136+J38</f>
        <v>46015027</v>
      </c>
      <c r="K15" s="42">
        <f>K19+K24+K29+K55+K60+K65+K70+K79+K94+K103+K111+K122+K129+K142+K154+K164+K188+K201+K136</f>
        <v>0</v>
      </c>
    </row>
    <row r="16" spans="1:11" ht="22.5">
      <c r="A16" s="52" t="s">
        <v>117</v>
      </c>
      <c r="B16" s="588"/>
      <c r="C16" s="589"/>
      <c r="D16" s="589"/>
      <c r="E16" s="589"/>
      <c r="F16" s="589"/>
      <c r="G16" s="589"/>
      <c r="H16" s="589"/>
      <c r="I16" s="589"/>
      <c r="J16" s="589"/>
      <c r="K16" s="590"/>
    </row>
    <row r="17" spans="1:11" ht="23.25">
      <c r="A17" s="53" t="s">
        <v>115</v>
      </c>
      <c r="B17" s="596" t="s">
        <v>282</v>
      </c>
      <c r="C17" s="596"/>
      <c r="D17" s="596"/>
      <c r="E17" s="596"/>
      <c r="F17" s="596"/>
      <c r="G17" s="596"/>
      <c r="H17" s="596"/>
      <c r="I17" s="596"/>
      <c r="J17" s="596"/>
      <c r="K17" s="596"/>
    </row>
    <row r="18" spans="1:11" ht="20.25" customHeight="1">
      <c r="A18" s="186" t="s">
        <v>160</v>
      </c>
      <c r="B18" s="579" t="s">
        <v>161</v>
      </c>
      <c r="C18" s="580"/>
      <c r="D18" s="580"/>
      <c r="E18" s="580"/>
      <c r="F18" s="580"/>
      <c r="G18" s="580"/>
      <c r="H18" s="580"/>
      <c r="I18" s="580"/>
      <c r="J18" s="580"/>
      <c r="K18" s="581"/>
    </row>
    <row r="19" spans="1:11" ht="22.5">
      <c r="A19" s="222" t="s">
        <v>120</v>
      </c>
      <c r="B19" s="42">
        <f>C19+F19+I19</f>
        <v>260000</v>
      </c>
      <c r="C19" s="43">
        <f>D19+E19</f>
        <v>240000</v>
      </c>
      <c r="D19" s="43">
        <f>'Додаток 3'!I12*1000</f>
        <v>240000</v>
      </c>
      <c r="E19" s="43">
        <v>0</v>
      </c>
      <c r="F19" s="43">
        <f>G19+H19</f>
        <v>20000</v>
      </c>
      <c r="G19" s="43">
        <f>'Додаток 3'!J12*1000</f>
        <v>20000</v>
      </c>
      <c r="H19" s="43">
        <v>0</v>
      </c>
      <c r="I19" s="43">
        <f>J19+K19</f>
        <v>0</v>
      </c>
      <c r="J19" s="43">
        <v>0</v>
      </c>
      <c r="K19" s="43">
        <v>0</v>
      </c>
    </row>
    <row r="20" spans="1:11" ht="23.25">
      <c r="A20" s="222" t="s">
        <v>362</v>
      </c>
      <c r="B20" s="42"/>
      <c r="C20" s="44">
        <v>2</v>
      </c>
      <c r="D20" s="44">
        <v>2</v>
      </c>
      <c r="E20" s="43"/>
      <c r="F20" s="44">
        <v>2</v>
      </c>
      <c r="G20" s="44">
        <v>2</v>
      </c>
      <c r="H20" s="44"/>
      <c r="I20" s="44"/>
      <c r="J20" s="43"/>
      <c r="K20" s="43"/>
    </row>
    <row r="21" spans="1:11" ht="46.5">
      <c r="A21" s="222" t="s">
        <v>363</v>
      </c>
      <c r="B21" s="46"/>
      <c r="C21" s="44">
        <f>C19/C20</f>
        <v>120000</v>
      </c>
      <c r="D21" s="44">
        <f>D19/D20</f>
        <v>120000</v>
      </c>
      <c r="E21" s="44"/>
      <c r="F21" s="44">
        <f>F19/F20</f>
        <v>10000</v>
      </c>
      <c r="G21" s="44">
        <f>G19/G20</f>
        <v>10000</v>
      </c>
      <c r="H21" s="44"/>
      <c r="I21" s="44"/>
      <c r="J21" s="44"/>
      <c r="K21" s="43"/>
    </row>
    <row r="22" spans="1:11" ht="23.25">
      <c r="A22" s="53" t="s">
        <v>115</v>
      </c>
      <c r="B22" s="596" t="s">
        <v>283</v>
      </c>
      <c r="C22" s="596"/>
      <c r="D22" s="596"/>
      <c r="E22" s="596"/>
      <c r="F22" s="596"/>
      <c r="G22" s="596"/>
      <c r="H22" s="596"/>
      <c r="I22" s="596"/>
      <c r="J22" s="596"/>
      <c r="K22" s="596"/>
    </row>
    <row r="23" spans="1:11" ht="20.25" customHeight="1">
      <c r="A23" s="186" t="s">
        <v>160</v>
      </c>
      <c r="B23" s="579" t="s">
        <v>161</v>
      </c>
      <c r="C23" s="580"/>
      <c r="D23" s="580"/>
      <c r="E23" s="580"/>
      <c r="F23" s="580"/>
      <c r="G23" s="580"/>
      <c r="H23" s="580"/>
      <c r="I23" s="580"/>
      <c r="J23" s="580"/>
      <c r="K23" s="581"/>
    </row>
    <row r="24" spans="1:11" ht="22.5">
      <c r="A24" s="222" t="s">
        <v>120</v>
      </c>
      <c r="B24" s="42">
        <f>C24+F24+I24</f>
        <v>7016410</v>
      </c>
      <c r="C24" s="43">
        <f>D24+E24</f>
        <v>1577810</v>
      </c>
      <c r="D24" s="43">
        <f>'Додаток 3'!I15*1000</f>
        <v>1577810</v>
      </c>
      <c r="E24" s="43">
        <v>0</v>
      </c>
      <c r="F24" s="43">
        <f>G24+H24</f>
        <v>2614700</v>
      </c>
      <c r="G24" s="43">
        <f>'Додаток 3'!J15*1000</f>
        <v>2614700</v>
      </c>
      <c r="H24" s="43">
        <v>0</v>
      </c>
      <c r="I24" s="43">
        <f>J24+K24</f>
        <v>2823899.9999999995</v>
      </c>
      <c r="J24" s="43">
        <f>'Додаток 3'!K15*1000</f>
        <v>2823899.9999999995</v>
      </c>
      <c r="K24" s="43">
        <v>0</v>
      </c>
    </row>
    <row r="25" spans="1:11" ht="23.25">
      <c r="A25" s="222" t="s">
        <v>362</v>
      </c>
      <c r="B25" s="42"/>
      <c r="C25" s="44">
        <v>2</v>
      </c>
      <c r="D25" s="44">
        <v>2</v>
      </c>
      <c r="E25" s="43"/>
      <c r="F25" s="44">
        <v>2</v>
      </c>
      <c r="G25" s="44">
        <v>2</v>
      </c>
      <c r="H25" s="44"/>
      <c r="I25" s="44">
        <v>2</v>
      </c>
      <c r="J25" s="44">
        <v>2</v>
      </c>
      <c r="K25" s="43"/>
    </row>
    <row r="26" spans="1:11" ht="46.5">
      <c r="A26" s="222" t="s">
        <v>363</v>
      </c>
      <c r="B26" s="46"/>
      <c r="C26" s="44">
        <f>C24/C25</f>
        <v>788905</v>
      </c>
      <c r="D26" s="44">
        <f>D24/D25</f>
        <v>788905</v>
      </c>
      <c r="E26" s="44"/>
      <c r="F26" s="44">
        <f>F24/F25</f>
        <v>1307350</v>
      </c>
      <c r="G26" s="44">
        <f>G24/G25</f>
        <v>1307350</v>
      </c>
      <c r="H26" s="44"/>
      <c r="I26" s="44">
        <f>I24/I25</f>
        <v>1411949.9999999998</v>
      </c>
      <c r="J26" s="44">
        <f>J24/J25</f>
        <v>1411949.9999999998</v>
      </c>
      <c r="K26" s="43"/>
    </row>
    <row r="27" spans="1:11" ht="23.25">
      <c r="A27" s="53" t="s">
        <v>115</v>
      </c>
      <c r="B27" s="596" t="s">
        <v>379</v>
      </c>
      <c r="C27" s="596"/>
      <c r="D27" s="596"/>
      <c r="E27" s="596"/>
      <c r="F27" s="596"/>
      <c r="G27" s="596"/>
      <c r="H27" s="596"/>
      <c r="I27" s="596"/>
      <c r="J27" s="596"/>
      <c r="K27" s="596"/>
    </row>
    <row r="28" spans="1:11" ht="20.25" customHeight="1">
      <c r="A28" s="186" t="s">
        <v>147</v>
      </c>
      <c r="B28" s="592" t="s">
        <v>412</v>
      </c>
      <c r="C28" s="592"/>
      <c r="D28" s="592"/>
      <c r="E28" s="592"/>
      <c r="F28" s="592"/>
      <c r="G28" s="592"/>
      <c r="H28" s="592"/>
      <c r="I28" s="592"/>
      <c r="J28" s="592"/>
      <c r="K28" s="592"/>
    </row>
    <row r="29" spans="1:11" ht="22.5">
      <c r="A29" s="222" t="s">
        <v>120</v>
      </c>
      <c r="B29" s="42">
        <f>C29+F29+I29</f>
        <v>3495100</v>
      </c>
      <c r="C29" s="43">
        <f>D29+E29</f>
        <v>1081800</v>
      </c>
      <c r="D29" s="43">
        <f>'Додаток 3'!I18*1000</f>
        <v>1081800</v>
      </c>
      <c r="E29" s="43">
        <v>0</v>
      </c>
      <c r="F29" s="43">
        <f>G29+H29</f>
        <v>1169300</v>
      </c>
      <c r="G29" s="43">
        <f>'Додаток 3'!J18*1000</f>
        <v>1169300</v>
      </c>
      <c r="H29" s="43">
        <v>0</v>
      </c>
      <c r="I29" s="43">
        <f>J29+K29</f>
        <v>1244000</v>
      </c>
      <c r="J29" s="43">
        <f>'Додаток 3'!K18*1000</f>
        <v>1244000</v>
      </c>
      <c r="K29" s="43">
        <v>0</v>
      </c>
    </row>
    <row r="30" spans="1:11" ht="23.25">
      <c r="A30" s="222" t="s">
        <v>285</v>
      </c>
      <c r="B30" s="42"/>
      <c r="C30" s="44"/>
      <c r="D30" s="43"/>
      <c r="E30" s="43"/>
      <c r="F30" s="44"/>
      <c r="G30" s="44"/>
      <c r="H30" s="44"/>
      <c r="I30" s="44"/>
      <c r="J30" s="43"/>
      <c r="K30" s="43"/>
    </row>
    <row r="31" spans="1:11" ht="26.25" customHeight="1">
      <c r="A31" s="54" t="s">
        <v>286</v>
      </c>
      <c r="B31" s="42"/>
      <c r="C31" s="44">
        <v>30486</v>
      </c>
      <c r="D31" s="44">
        <v>30486</v>
      </c>
      <c r="E31" s="43"/>
      <c r="F31" s="44">
        <v>36796</v>
      </c>
      <c r="G31" s="44">
        <v>36796</v>
      </c>
      <c r="H31" s="44"/>
      <c r="I31" s="44">
        <v>42186</v>
      </c>
      <c r="J31" s="44">
        <v>42186</v>
      </c>
      <c r="K31" s="43"/>
    </row>
    <row r="32" spans="1:11" ht="23.25">
      <c r="A32" s="54" t="s">
        <v>287</v>
      </c>
      <c r="B32" s="42"/>
      <c r="C32" s="44">
        <v>30486</v>
      </c>
      <c r="D32" s="44">
        <v>30486</v>
      </c>
      <c r="E32" s="43"/>
      <c r="F32" s="44">
        <v>36796</v>
      </c>
      <c r="G32" s="44">
        <v>36796</v>
      </c>
      <c r="H32" s="44"/>
      <c r="I32" s="44">
        <v>42186</v>
      </c>
      <c r="J32" s="44">
        <v>42186</v>
      </c>
      <c r="K32" s="43"/>
    </row>
    <row r="33" spans="1:11" ht="23.25">
      <c r="A33" s="222" t="s">
        <v>284</v>
      </c>
      <c r="B33" s="42"/>
      <c r="C33" s="44"/>
      <c r="D33" s="44"/>
      <c r="E33" s="44"/>
      <c r="F33" s="44"/>
      <c r="G33" s="44"/>
      <c r="H33" s="44"/>
      <c r="I33" s="44"/>
      <c r="J33" s="44"/>
      <c r="K33" s="43"/>
    </row>
    <row r="34" spans="1:11" ht="23.25">
      <c r="A34" s="54" t="s">
        <v>288</v>
      </c>
      <c r="B34" s="42"/>
      <c r="C34" s="44">
        <v>30.73</v>
      </c>
      <c r="D34" s="44">
        <v>30.73</v>
      </c>
      <c r="E34" s="44"/>
      <c r="F34" s="44">
        <v>31.78</v>
      </c>
      <c r="G34" s="44">
        <v>31.78</v>
      </c>
      <c r="H34" s="44"/>
      <c r="I34" s="44">
        <f>J29/I31</f>
        <v>29.488455885838903</v>
      </c>
      <c r="J34" s="44">
        <f>K29/J31</f>
        <v>0</v>
      </c>
      <c r="K34" s="43"/>
    </row>
    <row r="35" spans="1:11" ht="23.25" customHeight="1">
      <c r="A35" s="54" t="s">
        <v>181</v>
      </c>
      <c r="B35" s="46"/>
      <c r="C35" s="44">
        <f>C32/C31*100</f>
        <v>100</v>
      </c>
      <c r="D35" s="44">
        <f>D32/D31*100</f>
        <v>100</v>
      </c>
      <c r="E35" s="44"/>
      <c r="F35" s="44">
        <f>F32/F31*100</f>
        <v>100</v>
      </c>
      <c r="G35" s="44">
        <f>G32/G31*100</f>
        <v>100</v>
      </c>
      <c r="H35" s="44"/>
      <c r="I35" s="44">
        <f>I32/I31*100</f>
        <v>100</v>
      </c>
      <c r="J35" s="44">
        <f>J32/J31*100</f>
        <v>100</v>
      </c>
      <c r="K35" s="43"/>
    </row>
    <row r="36" spans="1:11" ht="23.25" customHeight="1">
      <c r="A36" s="194" t="s">
        <v>431</v>
      </c>
      <c r="B36" s="597" t="s">
        <v>432</v>
      </c>
      <c r="C36" s="598"/>
      <c r="D36" s="598"/>
      <c r="E36" s="598"/>
      <c r="F36" s="598"/>
      <c r="G36" s="598"/>
      <c r="H36" s="598"/>
      <c r="I36" s="598"/>
      <c r="J36" s="598"/>
      <c r="K36" s="599"/>
    </row>
    <row r="37" spans="1:11" ht="23.25" customHeight="1">
      <c r="A37" s="186" t="s">
        <v>147</v>
      </c>
      <c r="B37" s="592" t="s">
        <v>412</v>
      </c>
      <c r="C37" s="592"/>
      <c r="D37" s="592"/>
      <c r="E37" s="592"/>
      <c r="F37" s="592"/>
      <c r="G37" s="592"/>
      <c r="H37" s="592"/>
      <c r="I37" s="592"/>
      <c r="J37" s="592"/>
      <c r="K37" s="592"/>
    </row>
    <row r="38" spans="1:11" ht="23.25" customHeight="1">
      <c r="A38" s="222" t="s">
        <v>120</v>
      </c>
      <c r="B38" s="46">
        <f>C38+F38+I38</f>
        <v>1522000</v>
      </c>
      <c r="C38" s="44">
        <f>D38+E38</f>
        <v>0</v>
      </c>
      <c r="D38" s="44"/>
      <c r="E38" s="44">
        <v>0</v>
      </c>
      <c r="F38" s="44">
        <f>G38+H38</f>
        <v>813800.00000000012</v>
      </c>
      <c r="G38" s="45">
        <f>'Додаток 3'!J21*1000</f>
        <v>813800.00000000012</v>
      </c>
      <c r="H38" s="44">
        <v>0</v>
      </c>
      <c r="I38" s="44">
        <f>J38+K38</f>
        <v>708200</v>
      </c>
      <c r="J38" s="45">
        <f>'Додаток 3'!K21*1000</f>
        <v>708200</v>
      </c>
      <c r="K38" s="43">
        <v>0</v>
      </c>
    </row>
    <row r="39" spans="1:11" ht="23.25" customHeight="1">
      <c r="A39" s="222" t="s">
        <v>285</v>
      </c>
      <c r="B39" s="46"/>
      <c r="C39" s="44"/>
      <c r="D39" s="44"/>
      <c r="E39" s="44"/>
      <c r="F39" s="45"/>
      <c r="G39" s="45"/>
      <c r="H39" s="44"/>
      <c r="I39" s="45"/>
      <c r="J39" s="45"/>
      <c r="K39" s="43"/>
    </row>
    <row r="40" spans="1:11" ht="44.25" customHeight="1">
      <c r="A40" s="204" t="s">
        <v>433</v>
      </c>
      <c r="B40" s="46"/>
      <c r="C40" s="44"/>
      <c r="D40" s="44"/>
      <c r="E40" s="44"/>
      <c r="F40" s="62">
        <v>4</v>
      </c>
      <c r="G40" s="62">
        <v>4</v>
      </c>
      <c r="H40" s="44"/>
      <c r="I40" s="62">
        <v>4</v>
      </c>
      <c r="J40" s="62">
        <v>4</v>
      </c>
      <c r="K40" s="43"/>
    </row>
    <row r="41" spans="1:11" ht="56.25" customHeight="1">
      <c r="A41" s="204" t="s">
        <v>434</v>
      </c>
      <c r="B41" s="46"/>
      <c r="C41" s="44"/>
      <c r="D41" s="44"/>
      <c r="E41" s="44"/>
      <c r="F41" s="62">
        <v>26</v>
      </c>
      <c r="G41" s="62">
        <v>26</v>
      </c>
      <c r="H41" s="44"/>
      <c r="I41" s="62">
        <v>26</v>
      </c>
      <c r="J41" s="62">
        <v>26</v>
      </c>
      <c r="K41" s="43"/>
    </row>
    <row r="42" spans="1:11" ht="23.25" customHeight="1">
      <c r="A42" s="222" t="s">
        <v>284</v>
      </c>
      <c r="B42" s="46"/>
      <c r="C42" s="44"/>
      <c r="D42" s="44"/>
      <c r="E42" s="44"/>
      <c r="F42" s="62"/>
      <c r="G42" s="62"/>
      <c r="H42" s="44"/>
      <c r="I42" s="62"/>
      <c r="J42" s="62"/>
      <c r="K42" s="43"/>
    </row>
    <row r="43" spans="1:11" ht="23.25" customHeight="1">
      <c r="A43" s="209" t="s">
        <v>435</v>
      </c>
      <c r="B43" s="46"/>
      <c r="C43" s="44"/>
      <c r="D43" s="44"/>
      <c r="E43" s="44"/>
      <c r="F43" s="205">
        <v>142500</v>
      </c>
      <c r="G43" s="62">
        <v>142500</v>
      </c>
      <c r="H43" s="44"/>
      <c r="I43" s="62">
        <v>116000</v>
      </c>
      <c r="J43" s="62">
        <v>116000</v>
      </c>
      <c r="K43" s="43"/>
    </row>
    <row r="44" spans="1:11" ht="23.25" customHeight="1">
      <c r="A44" s="209" t="s">
        <v>436</v>
      </c>
      <c r="B44" s="46"/>
      <c r="C44" s="44"/>
      <c r="D44" s="44"/>
      <c r="E44" s="44"/>
      <c r="F44" s="62">
        <v>7838.4615384615381</v>
      </c>
      <c r="G44" s="62">
        <v>7838</v>
      </c>
      <c r="H44" s="44"/>
      <c r="I44" s="62">
        <v>7838.4615384615381</v>
      </c>
      <c r="J44" s="62">
        <v>7838</v>
      </c>
      <c r="K44" s="43"/>
    </row>
    <row r="45" spans="1:11" ht="23.25" customHeight="1">
      <c r="A45" s="194" t="s">
        <v>431</v>
      </c>
      <c r="B45" s="597" t="s">
        <v>465</v>
      </c>
      <c r="C45" s="598"/>
      <c r="D45" s="598"/>
      <c r="E45" s="598"/>
      <c r="F45" s="598"/>
      <c r="G45" s="598"/>
      <c r="H45" s="598"/>
      <c r="I45" s="598"/>
      <c r="J45" s="598"/>
      <c r="K45" s="599"/>
    </row>
    <row r="46" spans="1:11" ht="23.25" customHeight="1">
      <c r="A46" s="186" t="s">
        <v>160</v>
      </c>
      <c r="B46" s="579" t="s">
        <v>161</v>
      </c>
      <c r="C46" s="580"/>
      <c r="D46" s="580"/>
      <c r="E46" s="580"/>
      <c r="F46" s="580"/>
      <c r="G46" s="580"/>
      <c r="H46" s="580"/>
      <c r="I46" s="580"/>
      <c r="J46" s="580"/>
      <c r="K46" s="581"/>
    </row>
    <row r="47" spans="1:11" ht="23.25" customHeight="1">
      <c r="A47" s="222" t="s">
        <v>120</v>
      </c>
      <c r="B47" s="221">
        <f>C47+F47+I47</f>
        <v>101300</v>
      </c>
      <c r="C47" s="221">
        <f>D47</f>
        <v>0</v>
      </c>
      <c r="D47" s="221"/>
      <c r="E47" s="221"/>
      <c r="F47" s="221">
        <f>G47</f>
        <v>101300</v>
      </c>
      <c r="G47" s="221">
        <f>'Додаток 3'!J24*1000</f>
        <v>101300</v>
      </c>
      <c r="H47" s="221"/>
      <c r="I47" s="221">
        <f>J47</f>
        <v>0</v>
      </c>
      <c r="J47" s="221"/>
      <c r="K47" s="221"/>
    </row>
    <row r="48" spans="1:11" ht="23.25" customHeight="1">
      <c r="A48" s="206" t="s">
        <v>122</v>
      </c>
      <c r="B48" s="221"/>
      <c r="C48" s="44"/>
      <c r="D48" s="44"/>
      <c r="E48" s="44"/>
      <c r="F48" s="221"/>
      <c r="G48" s="62"/>
      <c r="H48" s="44"/>
      <c r="I48" s="62"/>
      <c r="J48" s="62"/>
      <c r="K48" s="43"/>
    </row>
    <row r="49" spans="1:11" ht="23.25" customHeight="1">
      <c r="A49" s="213" t="s">
        <v>467</v>
      </c>
      <c r="B49" s="221"/>
      <c r="C49" s="44"/>
      <c r="D49" s="44"/>
      <c r="E49" s="44"/>
      <c r="F49" s="221">
        <f t="shared" ref="F49:F52" si="1">G49</f>
        <v>5064</v>
      </c>
      <c r="G49" s="216">
        <v>5064</v>
      </c>
      <c r="H49" s="44"/>
      <c r="I49" s="62"/>
      <c r="J49" s="62"/>
      <c r="K49" s="43"/>
    </row>
    <row r="50" spans="1:11" ht="23.25" customHeight="1">
      <c r="A50" s="213" t="s">
        <v>441</v>
      </c>
      <c r="B50" s="221"/>
      <c r="C50" s="44"/>
      <c r="D50" s="44"/>
      <c r="E50" s="44"/>
      <c r="F50" s="221">
        <f t="shared" si="1"/>
        <v>1688</v>
      </c>
      <c r="G50" s="212">
        <v>1688</v>
      </c>
      <c r="H50" s="44"/>
      <c r="I50" s="62"/>
      <c r="J50" s="62"/>
      <c r="K50" s="43"/>
    </row>
    <row r="51" spans="1:11" ht="23.25" customHeight="1">
      <c r="A51" s="206" t="s">
        <v>123</v>
      </c>
      <c r="B51" s="221"/>
      <c r="C51" s="44"/>
      <c r="D51" s="44"/>
      <c r="E51" s="44"/>
      <c r="F51" s="221"/>
      <c r="G51" s="62"/>
      <c r="H51" s="44"/>
      <c r="I51" s="62"/>
      <c r="J51" s="62"/>
      <c r="K51" s="43"/>
    </row>
    <row r="52" spans="1:11" ht="23.25" customHeight="1">
      <c r="A52" s="217" t="s">
        <v>442</v>
      </c>
      <c r="B52" s="221"/>
      <c r="C52" s="44"/>
      <c r="D52" s="44"/>
      <c r="E52" s="44"/>
      <c r="F52" s="221">
        <f t="shared" si="1"/>
        <v>60.011848341232231</v>
      </c>
      <c r="G52" s="62">
        <f>G47/G50</f>
        <v>60.011848341232231</v>
      </c>
      <c r="H52" s="44"/>
      <c r="I52" s="62"/>
      <c r="J52" s="62"/>
      <c r="K52" s="43"/>
    </row>
    <row r="53" spans="1:11" ht="23.25">
      <c r="A53" s="53" t="s">
        <v>115</v>
      </c>
      <c r="B53" s="596" t="s">
        <v>289</v>
      </c>
      <c r="C53" s="596"/>
      <c r="D53" s="596"/>
      <c r="E53" s="596"/>
      <c r="F53" s="596"/>
      <c r="G53" s="596"/>
      <c r="H53" s="596"/>
      <c r="I53" s="596"/>
      <c r="J53" s="596"/>
      <c r="K53" s="596"/>
    </row>
    <row r="54" spans="1:11" ht="22.5">
      <c r="A54" s="186" t="s">
        <v>118</v>
      </c>
      <c r="B54" s="592" t="s">
        <v>119</v>
      </c>
      <c r="C54" s="592"/>
      <c r="D54" s="592"/>
      <c r="E54" s="592"/>
      <c r="F54" s="592"/>
      <c r="G54" s="592"/>
      <c r="H54" s="592"/>
      <c r="I54" s="592"/>
      <c r="J54" s="592"/>
      <c r="K54" s="592"/>
    </row>
    <row r="55" spans="1:11" ht="22.5">
      <c r="A55" s="222" t="s">
        <v>120</v>
      </c>
      <c r="B55" s="42">
        <f>C55+F55+I55</f>
        <v>76643730</v>
      </c>
      <c r="C55" s="43">
        <f>D55+E55</f>
        <v>72386530</v>
      </c>
      <c r="D55" s="43">
        <f>'Додаток 3'!I30*1000</f>
        <v>72386530</v>
      </c>
      <c r="E55" s="43">
        <v>0</v>
      </c>
      <c r="F55" s="43">
        <f>G55+H55</f>
        <v>4257200</v>
      </c>
      <c r="G55" s="43">
        <f>'Додаток 3'!J30*1000</f>
        <v>4257200</v>
      </c>
      <c r="H55" s="43">
        <v>0</v>
      </c>
      <c r="I55" s="43">
        <v>0</v>
      </c>
      <c r="J55" s="43">
        <v>0</v>
      </c>
      <c r="K55" s="43">
        <v>0</v>
      </c>
    </row>
    <row r="56" spans="1:11" ht="23.25">
      <c r="A56" s="222" t="s">
        <v>362</v>
      </c>
      <c r="B56" s="42"/>
      <c r="C56" s="44">
        <v>4</v>
      </c>
      <c r="D56" s="44">
        <v>4</v>
      </c>
      <c r="E56" s="43"/>
      <c r="F56" s="44">
        <v>4</v>
      </c>
      <c r="G56" s="44">
        <v>4</v>
      </c>
      <c r="H56" s="44"/>
      <c r="I56" s="44"/>
      <c r="J56" s="43"/>
      <c r="K56" s="43"/>
    </row>
    <row r="57" spans="1:11" ht="46.5">
      <c r="A57" s="222" t="s">
        <v>363</v>
      </c>
      <c r="B57" s="46"/>
      <c r="C57" s="44">
        <f>C55/C56</f>
        <v>18096632.5</v>
      </c>
      <c r="D57" s="44">
        <f>D55/D56</f>
        <v>18096632.5</v>
      </c>
      <c r="E57" s="44"/>
      <c r="F57" s="44">
        <f>F55/F56</f>
        <v>1064300</v>
      </c>
      <c r="G57" s="44">
        <f>G55/G56</f>
        <v>1064300</v>
      </c>
      <c r="H57" s="44"/>
      <c r="I57" s="44"/>
      <c r="J57" s="44"/>
      <c r="K57" s="43"/>
    </row>
    <row r="58" spans="1:11" ht="23.25">
      <c r="A58" s="53" t="s">
        <v>115</v>
      </c>
      <c r="B58" s="596" t="s">
        <v>290</v>
      </c>
      <c r="C58" s="596"/>
      <c r="D58" s="596"/>
      <c r="E58" s="596"/>
      <c r="F58" s="596"/>
      <c r="G58" s="596"/>
      <c r="H58" s="596"/>
      <c r="I58" s="596"/>
      <c r="J58" s="596"/>
      <c r="K58" s="596"/>
    </row>
    <row r="59" spans="1:11" ht="22.5">
      <c r="A59" s="186" t="s">
        <v>118</v>
      </c>
      <c r="B59" s="592" t="s">
        <v>119</v>
      </c>
      <c r="C59" s="592"/>
      <c r="D59" s="592"/>
      <c r="E59" s="592"/>
      <c r="F59" s="592"/>
      <c r="G59" s="592"/>
      <c r="H59" s="592"/>
      <c r="I59" s="592"/>
      <c r="J59" s="592"/>
      <c r="K59" s="592"/>
    </row>
    <row r="60" spans="1:11" ht="22.5">
      <c r="A60" s="222" t="s">
        <v>120</v>
      </c>
      <c r="B60" s="42">
        <f>C60+F60+I60</f>
        <v>54849512</v>
      </c>
      <c r="C60" s="43">
        <f>D60+E60</f>
        <v>18275899.999999996</v>
      </c>
      <c r="D60" s="43">
        <f>'Додаток 3'!I44*1000</f>
        <v>18275899.999999996</v>
      </c>
      <c r="E60" s="43">
        <v>0</v>
      </c>
      <c r="F60" s="43">
        <f>G60+H60</f>
        <v>17583480</v>
      </c>
      <c r="G60" s="43">
        <f>'Додаток 3'!J44*1000</f>
        <v>17583480</v>
      </c>
      <c r="H60" s="43">
        <v>0</v>
      </c>
      <c r="I60" s="43">
        <f>J60</f>
        <v>18990131.999999996</v>
      </c>
      <c r="J60" s="43">
        <f>'Додаток 3'!K44*1000</f>
        <v>18990131.999999996</v>
      </c>
      <c r="K60" s="43">
        <v>0</v>
      </c>
    </row>
    <row r="61" spans="1:11" ht="23.25">
      <c r="A61" s="222" t="s">
        <v>362</v>
      </c>
      <c r="B61" s="42"/>
      <c r="C61" s="44">
        <v>4</v>
      </c>
      <c r="D61" s="44">
        <v>4</v>
      </c>
      <c r="E61" s="43"/>
      <c r="F61" s="44">
        <v>4</v>
      </c>
      <c r="G61" s="44">
        <v>4</v>
      </c>
      <c r="H61" s="44"/>
      <c r="I61" s="44">
        <v>4</v>
      </c>
      <c r="J61" s="44">
        <v>4</v>
      </c>
      <c r="K61" s="43"/>
    </row>
    <row r="62" spans="1:11" ht="46.5">
      <c r="A62" s="222" t="s">
        <v>363</v>
      </c>
      <c r="B62" s="46"/>
      <c r="C62" s="44">
        <f>C60/C61</f>
        <v>4568974.9999999991</v>
      </c>
      <c r="D62" s="44">
        <f>D60/D61</f>
        <v>4568974.9999999991</v>
      </c>
      <c r="E62" s="44"/>
      <c r="F62" s="44">
        <f>G60/F61</f>
        <v>4395870</v>
      </c>
      <c r="G62" s="44">
        <f>H60/G61</f>
        <v>0</v>
      </c>
      <c r="H62" s="44"/>
      <c r="I62" s="44">
        <f>J60/I61</f>
        <v>4747532.9999999991</v>
      </c>
      <c r="J62" s="44">
        <f>K60/J61</f>
        <v>0</v>
      </c>
      <c r="K62" s="43"/>
    </row>
    <row r="63" spans="1:11" ht="23.25">
      <c r="A63" s="53" t="s">
        <v>115</v>
      </c>
      <c r="B63" s="596" t="s">
        <v>291</v>
      </c>
      <c r="C63" s="596"/>
      <c r="D63" s="596"/>
      <c r="E63" s="596"/>
      <c r="F63" s="596"/>
      <c r="G63" s="596"/>
      <c r="H63" s="596"/>
      <c r="I63" s="596"/>
      <c r="J63" s="596"/>
      <c r="K63" s="596"/>
    </row>
    <row r="64" spans="1:11" ht="22.5">
      <c r="A64" s="186" t="s">
        <v>118</v>
      </c>
      <c r="B64" s="592" t="s">
        <v>119</v>
      </c>
      <c r="C64" s="592"/>
      <c r="D64" s="592"/>
      <c r="E64" s="592"/>
      <c r="F64" s="592"/>
      <c r="G64" s="592"/>
      <c r="H64" s="592"/>
      <c r="I64" s="592"/>
      <c r="J64" s="592"/>
      <c r="K64" s="592"/>
    </row>
    <row r="65" spans="1:11" ht="22.5">
      <c r="A65" s="222" t="s">
        <v>120</v>
      </c>
      <c r="B65" s="42">
        <f>C65+F65+I65</f>
        <v>9972655</v>
      </c>
      <c r="C65" s="43">
        <f>D65+E65</f>
        <v>4584213</v>
      </c>
      <c r="D65" s="43">
        <f>'Додаток 3'!I49*1000</f>
        <v>4584213</v>
      </c>
      <c r="E65" s="43">
        <v>0</v>
      </c>
      <c r="F65" s="43">
        <f>G65+H65</f>
        <v>2606900</v>
      </c>
      <c r="G65" s="43">
        <f>'Додаток 3'!J49*1000</f>
        <v>2606900</v>
      </c>
      <c r="H65" s="43">
        <v>0</v>
      </c>
      <c r="I65" s="43">
        <f>J65+K65</f>
        <v>2781542</v>
      </c>
      <c r="J65" s="43">
        <f>'Додаток 3'!K49*1000</f>
        <v>2781542</v>
      </c>
      <c r="K65" s="43">
        <v>0</v>
      </c>
    </row>
    <row r="66" spans="1:11" ht="51" customHeight="1">
      <c r="A66" s="222" t="s">
        <v>469</v>
      </c>
      <c r="B66" s="42"/>
      <c r="C66" s="44">
        <v>439112</v>
      </c>
      <c r="D66" s="44">
        <v>439112</v>
      </c>
      <c r="E66" s="43"/>
      <c r="F66" s="44">
        <v>352641</v>
      </c>
      <c r="G66" s="44">
        <v>352641</v>
      </c>
      <c r="H66" s="44"/>
      <c r="I66" s="44">
        <v>352641</v>
      </c>
      <c r="J66" s="44">
        <v>352641</v>
      </c>
      <c r="K66" s="43"/>
    </row>
    <row r="67" spans="1:11" ht="51" customHeight="1">
      <c r="A67" s="222" t="s">
        <v>389</v>
      </c>
      <c r="B67" s="46"/>
      <c r="C67" s="44">
        <f>C65/C66</f>
        <v>10.43973519284374</v>
      </c>
      <c r="D67" s="44">
        <f>D65/D66</f>
        <v>10.43973519284374</v>
      </c>
      <c r="E67" s="44"/>
      <c r="F67" s="44">
        <f>F65/F66</f>
        <v>7.3925039913112771</v>
      </c>
      <c r="G67" s="44">
        <f>G65/G66</f>
        <v>7.3925039913112771</v>
      </c>
      <c r="H67" s="44"/>
      <c r="I67" s="44">
        <f>I65/I66</f>
        <v>7.8877441931029004</v>
      </c>
      <c r="J67" s="44">
        <f>J65/J66</f>
        <v>7.8877441931029004</v>
      </c>
      <c r="K67" s="43"/>
    </row>
    <row r="68" spans="1:11" ht="23.25">
      <c r="A68" s="53" t="s">
        <v>115</v>
      </c>
      <c r="B68" s="596" t="s">
        <v>51</v>
      </c>
      <c r="C68" s="596"/>
      <c r="D68" s="596"/>
      <c r="E68" s="596"/>
      <c r="F68" s="596"/>
      <c r="G68" s="596"/>
      <c r="H68" s="596"/>
      <c r="I68" s="596"/>
      <c r="J68" s="596"/>
      <c r="K68" s="596"/>
    </row>
    <row r="69" spans="1:11" ht="22.5">
      <c r="A69" s="186" t="s">
        <v>118</v>
      </c>
      <c r="B69" s="592" t="s">
        <v>119</v>
      </c>
      <c r="C69" s="592"/>
      <c r="D69" s="592"/>
      <c r="E69" s="592"/>
      <c r="F69" s="592"/>
      <c r="G69" s="592"/>
      <c r="H69" s="592"/>
      <c r="I69" s="592"/>
      <c r="J69" s="592"/>
      <c r="K69" s="592"/>
    </row>
    <row r="70" spans="1:11" ht="22.5">
      <c r="A70" s="222" t="s">
        <v>120</v>
      </c>
      <c r="B70" s="42">
        <f>C70+F70+I70</f>
        <v>1307300</v>
      </c>
      <c r="C70" s="43">
        <f>D70+E70</f>
        <v>690000</v>
      </c>
      <c r="D70" s="43">
        <f>'Додаток 3'!I55*1000</f>
        <v>690000</v>
      </c>
      <c r="E70" s="43">
        <v>0</v>
      </c>
      <c r="F70" s="43">
        <f>G70+H70</f>
        <v>300000</v>
      </c>
      <c r="G70" s="43">
        <f>'Додаток 3'!J55*1000</f>
        <v>300000</v>
      </c>
      <c r="H70" s="43">
        <v>0</v>
      </c>
      <c r="I70" s="43">
        <f>J70+K70</f>
        <v>317300</v>
      </c>
      <c r="J70" s="43">
        <f>'Додаток 3'!K55*1000</f>
        <v>317300</v>
      </c>
      <c r="K70" s="43">
        <v>0</v>
      </c>
    </row>
    <row r="71" spans="1:11" ht="24" customHeight="1">
      <c r="A71" s="222" t="s">
        <v>285</v>
      </c>
      <c r="B71" s="42"/>
      <c r="C71" s="44"/>
      <c r="D71" s="43"/>
      <c r="E71" s="43"/>
      <c r="F71" s="44"/>
      <c r="G71" s="44"/>
      <c r="H71" s="44"/>
      <c r="I71" s="44"/>
      <c r="J71" s="43"/>
      <c r="K71" s="43"/>
    </row>
    <row r="72" spans="1:11" ht="24" customHeight="1">
      <c r="A72" s="54" t="s">
        <v>471</v>
      </c>
      <c r="B72" s="42"/>
      <c r="C72" s="44">
        <v>170</v>
      </c>
      <c r="D72" s="44">
        <v>170</v>
      </c>
      <c r="E72" s="43"/>
      <c r="F72" s="44">
        <v>170</v>
      </c>
      <c r="G72" s="44">
        <v>170</v>
      </c>
      <c r="H72" s="44"/>
      <c r="I72" s="44">
        <v>170</v>
      </c>
      <c r="J72" s="44">
        <v>170</v>
      </c>
      <c r="K72" s="43"/>
    </row>
    <row r="73" spans="1:11" ht="24" customHeight="1">
      <c r="A73" s="54" t="s">
        <v>470</v>
      </c>
      <c r="B73" s="42"/>
      <c r="C73" s="44">
        <v>170</v>
      </c>
      <c r="D73" s="44">
        <v>170</v>
      </c>
      <c r="E73" s="43"/>
      <c r="F73" s="44">
        <v>170</v>
      </c>
      <c r="G73" s="44">
        <v>170</v>
      </c>
      <c r="H73" s="44"/>
      <c r="I73" s="44">
        <v>170</v>
      </c>
      <c r="J73" s="44">
        <v>170</v>
      </c>
      <c r="K73" s="43"/>
    </row>
    <row r="74" spans="1:11" ht="23.25">
      <c r="A74" s="222" t="s">
        <v>284</v>
      </c>
      <c r="B74" s="46"/>
      <c r="C74" s="44"/>
      <c r="D74" s="44"/>
      <c r="E74" s="44"/>
      <c r="F74" s="44"/>
      <c r="G74" s="44"/>
      <c r="H74" s="44"/>
      <c r="I74" s="44"/>
      <c r="J74" s="44"/>
      <c r="K74" s="43"/>
    </row>
    <row r="75" spans="1:11" ht="46.5">
      <c r="A75" s="54" t="s">
        <v>292</v>
      </c>
      <c r="B75" s="46"/>
      <c r="C75" s="44">
        <f>C70/C72</f>
        <v>4058.8235294117649</v>
      </c>
      <c r="D75" s="44">
        <f>D70/D72</f>
        <v>4058.8235294117649</v>
      </c>
      <c r="E75" s="44"/>
      <c r="F75" s="44">
        <f>F70/F72</f>
        <v>1764.7058823529412</v>
      </c>
      <c r="G75" s="44">
        <f>G70/G72</f>
        <v>1764.7058823529412</v>
      </c>
      <c r="H75" s="44"/>
      <c r="I75" s="44">
        <f>I70/I72</f>
        <v>1866.4705882352941</v>
      </c>
      <c r="J75" s="44">
        <f>J70/J72</f>
        <v>1866.4705882352941</v>
      </c>
      <c r="K75" s="43"/>
    </row>
    <row r="76" spans="1:11" ht="23.25" customHeight="1">
      <c r="A76" s="54" t="s">
        <v>293</v>
      </c>
      <c r="B76" s="46"/>
      <c r="C76" s="44">
        <f>C73/C72*100</f>
        <v>100</v>
      </c>
      <c r="D76" s="44">
        <f>D73/D72*100</f>
        <v>100</v>
      </c>
      <c r="E76" s="44"/>
      <c r="F76" s="44">
        <f>F73/F72*100</f>
        <v>100</v>
      </c>
      <c r="G76" s="44">
        <f>G73/G72*100</f>
        <v>100</v>
      </c>
      <c r="H76" s="44"/>
      <c r="I76" s="44">
        <f>I73/I72*100</f>
        <v>100</v>
      </c>
      <c r="J76" s="44">
        <f>J73/J72*100</f>
        <v>100</v>
      </c>
      <c r="K76" s="43"/>
    </row>
    <row r="77" spans="1:11" ht="23.25">
      <c r="A77" s="53" t="s">
        <v>115</v>
      </c>
      <c r="B77" s="596" t="s">
        <v>52</v>
      </c>
      <c r="C77" s="596"/>
      <c r="D77" s="596"/>
      <c r="E77" s="596"/>
      <c r="F77" s="596"/>
      <c r="G77" s="596"/>
      <c r="H77" s="596"/>
      <c r="I77" s="596"/>
      <c r="J77" s="596"/>
      <c r="K77" s="596"/>
    </row>
    <row r="78" spans="1:11" ht="22.5">
      <c r="A78" s="186" t="s">
        <v>118</v>
      </c>
      <c r="B78" s="592" t="s">
        <v>119</v>
      </c>
      <c r="C78" s="592"/>
      <c r="D78" s="592"/>
      <c r="E78" s="592"/>
      <c r="F78" s="592"/>
      <c r="G78" s="592"/>
      <c r="H78" s="592"/>
      <c r="I78" s="592"/>
      <c r="J78" s="592"/>
      <c r="K78" s="592"/>
    </row>
    <row r="79" spans="1:11" ht="22.5">
      <c r="A79" s="222" t="s">
        <v>120</v>
      </c>
      <c r="B79" s="42">
        <f>C79+F79+I79</f>
        <v>1200000</v>
      </c>
      <c r="C79" s="43">
        <f>D79+E79</f>
        <v>1200000</v>
      </c>
      <c r="D79" s="43">
        <f>'Додаток 3'!I56*1000</f>
        <v>1200000</v>
      </c>
      <c r="E79" s="43">
        <v>0</v>
      </c>
      <c r="F79" s="43">
        <f>G79+H79</f>
        <v>0</v>
      </c>
      <c r="G79" s="43">
        <f>'Додаток 3'!J56*1000</f>
        <v>0</v>
      </c>
      <c r="H79" s="43">
        <v>0</v>
      </c>
      <c r="I79" s="43">
        <f>J79+K79</f>
        <v>0</v>
      </c>
      <c r="J79" s="43">
        <f>'Додаток 3'!K56*1000</f>
        <v>0</v>
      </c>
      <c r="K79" s="43">
        <v>0</v>
      </c>
    </row>
    <row r="80" spans="1:11" ht="22.5" customHeight="1">
      <c r="A80" s="55" t="s">
        <v>131</v>
      </c>
      <c r="B80" s="42"/>
      <c r="C80" s="43">
        <v>200000</v>
      </c>
      <c r="D80" s="43">
        <v>200000</v>
      </c>
      <c r="E80" s="43"/>
      <c r="F80" s="43"/>
      <c r="G80" s="43"/>
      <c r="H80" s="43"/>
      <c r="I80" s="43"/>
      <c r="J80" s="43"/>
      <c r="K80" s="43"/>
    </row>
    <row r="81" spans="1:11" ht="46.5">
      <c r="A81" s="55" t="s">
        <v>132</v>
      </c>
      <c r="B81" s="42"/>
      <c r="C81" s="43">
        <v>1000000</v>
      </c>
      <c r="D81" s="43">
        <v>1000000</v>
      </c>
      <c r="E81" s="43"/>
      <c r="F81" s="43"/>
      <c r="G81" s="43"/>
      <c r="H81" s="43"/>
      <c r="I81" s="43"/>
      <c r="J81" s="43"/>
      <c r="K81" s="43"/>
    </row>
    <row r="82" spans="1:11" ht="24" customHeight="1">
      <c r="A82" s="222" t="s">
        <v>285</v>
      </c>
      <c r="B82" s="42"/>
      <c r="C82" s="44"/>
      <c r="D82" s="43"/>
      <c r="E82" s="43"/>
      <c r="F82" s="44"/>
      <c r="G82" s="44"/>
      <c r="H82" s="44"/>
      <c r="I82" s="44"/>
      <c r="J82" s="43"/>
      <c r="K82" s="43"/>
    </row>
    <row r="83" spans="1:11" ht="46.5">
      <c r="A83" s="55" t="s">
        <v>133</v>
      </c>
      <c r="B83" s="46"/>
      <c r="C83" s="187">
        <v>30</v>
      </c>
      <c r="D83" s="187">
        <v>30</v>
      </c>
      <c r="E83" s="44"/>
      <c r="F83" s="187"/>
      <c r="G83" s="44"/>
      <c r="H83" s="44"/>
      <c r="I83" s="187"/>
      <c r="J83" s="44"/>
      <c r="K83" s="43"/>
    </row>
    <row r="84" spans="1:11" ht="46.5">
      <c r="A84" s="55" t="s">
        <v>134</v>
      </c>
      <c r="B84" s="46"/>
      <c r="C84" s="187">
        <v>170</v>
      </c>
      <c r="D84" s="187">
        <v>170</v>
      </c>
      <c r="E84" s="44"/>
      <c r="F84" s="187"/>
      <c r="G84" s="44"/>
      <c r="H84" s="44"/>
      <c r="I84" s="187"/>
      <c r="J84" s="44"/>
      <c r="K84" s="43"/>
    </row>
    <row r="85" spans="1:11" ht="23.25" customHeight="1">
      <c r="A85" s="55" t="s">
        <v>135</v>
      </c>
      <c r="B85" s="46"/>
      <c r="C85" s="187">
        <v>30</v>
      </c>
      <c r="D85" s="187">
        <v>30</v>
      </c>
      <c r="E85" s="44"/>
      <c r="F85" s="187"/>
      <c r="G85" s="44"/>
      <c r="H85" s="44"/>
      <c r="I85" s="187"/>
      <c r="J85" s="44"/>
      <c r="K85" s="43"/>
    </row>
    <row r="86" spans="1:11" ht="46.5">
      <c r="A86" s="55" t="s">
        <v>136</v>
      </c>
      <c r="B86" s="46"/>
      <c r="C86" s="187">
        <v>55</v>
      </c>
      <c r="D86" s="187">
        <v>55</v>
      </c>
      <c r="E86" s="44"/>
      <c r="F86" s="187"/>
      <c r="G86" s="44"/>
      <c r="H86" s="44"/>
      <c r="I86" s="187"/>
      <c r="J86" s="44"/>
      <c r="K86" s="43"/>
    </row>
    <row r="87" spans="1:11" ht="23.25">
      <c r="A87" s="222" t="s">
        <v>123</v>
      </c>
      <c r="B87" s="46"/>
      <c r="C87" s="44"/>
      <c r="D87" s="44"/>
      <c r="E87" s="44"/>
      <c r="F87" s="44"/>
      <c r="G87" s="44"/>
      <c r="H87" s="44"/>
      <c r="I87" s="44"/>
      <c r="J87" s="44"/>
      <c r="K87" s="43"/>
    </row>
    <row r="88" spans="1:11" ht="23.25">
      <c r="A88" s="55" t="s">
        <v>137</v>
      </c>
      <c r="B88" s="46"/>
      <c r="C88" s="44">
        <f>C80/C83</f>
        <v>6666.666666666667</v>
      </c>
      <c r="D88" s="44">
        <f>D80/D83</f>
        <v>6666.666666666667</v>
      </c>
      <c r="E88" s="44"/>
      <c r="F88" s="44"/>
      <c r="G88" s="44"/>
      <c r="H88" s="44"/>
      <c r="I88" s="44"/>
      <c r="J88" s="44"/>
      <c r="K88" s="43"/>
    </row>
    <row r="89" spans="1:11" ht="46.5">
      <c r="A89" s="55" t="s">
        <v>138</v>
      </c>
      <c r="B89" s="46"/>
      <c r="C89" s="44">
        <f>C81/C86</f>
        <v>18181.81818181818</v>
      </c>
      <c r="D89" s="44">
        <f>D81/D86</f>
        <v>18181.81818181818</v>
      </c>
      <c r="E89" s="44"/>
      <c r="F89" s="44"/>
      <c r="G89" s="44"/>
      <c r="H89" s="44"/>
      <c r="I89" s="44"/>
      <c r="J89" s="44"/>
      <c r="K89" s="43"/>
    </row>
    <row r="90" spans="1:11" ht="46.5">
      <c r="A90" s="55" t="s">
        <v>139</v>
      </c>
      <c r="B90" s="46"/>
      <c r="C90" s="44">
        <f>C85/C83*100</f>
        <v>100</v>
      </c>
      <c r="D90" s="44">
        <f>D85/D83*100</f>
        <v>100</v>
      </c>
      <c r="E90" s="44"/>
      <c r="F90" s="44"/>
      <c r="G90" s="44"/>
      <c r="H90" s="44"/>
      <c r="I90" s="44"/>
      <c r="J90" s="44"/>
      <c r="K90" s="43"/>
    </row>
    <row r="91" spans="1:11" ht="46.5">
      <c r="A91" s="55" t="s">
        <v>140</v>
      </c>
      <c r="B91" s="46"/>
      <c r="C91" s="44">
        <f>C86/C84*100</f>
        <v>32.352941176470587</v>
      </c>
      <c r="D91" s="44">
        <f>D86/D84*100</f>
        <v>32.352941176470587</v>
      </c>
      <c r="E91" s="44"/>
      <c r="F91" s="44"/>
      <c r="G91" s="44"/>
      <c r="H91" s="44"/>
      <c r="I91" s="44"/>
      <c r="J91" s="44"/>
      <c r="K91" s="43"/>
    </row>
    <row r="92" spans="1:11" ht="23.25">
      <c r="A92" s="53" t="s">
        <v>115</v>
      </c>
      <c r="B92" s="596" t="s">
        <v>364</v>
      </c>
      <c r="C92" s="596"/>
      <c r="D92" s="596"/>
      <c r="E92" s="596"/>
      <c r="F92" s="596"/>
      <c r="G92" s="596"/>
      <c r="H92" s="596"/>
      <c r="I92" s="596"/>
      <c r="J92" s="596"/>
      <c r="K92" s="596"/>
    </row>
    <row r="93" spans="1:11" ht="22.5">
      <c r="A93" s="186" t="s">
        <v>118</v>
      </c>
      <c r="B93" s="592" t="s">
        <v>119</v>
      </c>
      <c r="C93" s="592"/>
      <c r="D93" s="592"/>
      <c r="E93" s="592"/>
      <c r="F93" s="592"/>
      <c r="G93" s="592"/>
      <c r="H93" s="592"/>
      <c r="I93" s="592"/>
      <c r="J93" s="592"/>
      <c r="K93" s="592"/>
    </row>
    <row r="94" spans="1:11" ht="22.5">
      <c r="A94" s="222" t="s">
        <v>120</v>
      </c>
      <c r="B94" s="42">
        <f>C94+F94+I94</f>
        <v>1300000</v>
      </c>
      <c r="C94" s="43">
        <f>D94+E94</f>
        <v>1000000</v>
      </c>
      <c r="D94" s="43">
        <f>'Додаток 3'!I57*1000</f>
        <v>1000000</v>
      </c>
      <c r="E94" s="43">
        <v>0</v>
      </c>
      <c r="F94" s="43">
        <f>G94+H94</f>
        <v>300000</v>
      </c>
      <c r="G94" s="43">
        <f>'Додаток 3'!J57*1000</f>
        <v>300000</v>
      </c>
      <c r="H94" s="43">
        <v>0</v>
      </c>
      <c r="I94" s="43">
        <f>J94+K94</f>
        <v>0</v>
      </c>
      <c r="J94" s="43">
        <f>'Додаток 3'!K57*1000</f>
        <v>0</v>
      </c>
      <c r="K94" s="43">
        <v>0</v>
      </c>
    </row>
    <row r="95" spans="1:11" ht="24" customHeight="1">
      <c r="A95" s="222" t="s">
        <v>285</v>
      </c>
      <c r="B95" s="42"/>
      <c r="C95" s="44"/>
      <c r="D95" s="43"/>
      <c r="E95" s="43"/>
      <c r="F95" s="44"/>
      <c r="G95" s="44"/>
      <c r="H95" s="44"/>
      <c r="I95" s="44"/>
      <c r="J95" s="43"/>
      <c r="K95" s="43"/>
    </row>
    <row r="96" spans="1:11" ht="46.5">
      <c r="A96" s="55" t="s">
        <v>141</v>
      </c>
      <c r="B96" s="46"/>
      <c r="C96" s="187">
        <v>750</v>
      </c>
      <c r="D96" s="187">
        <v>750</v>
      </c>
      <c r="E96" s="44"/>
      <c r="F96" s="187">
        <v>750</v>
      </c>
      <c r="G96" s="187">
        <v>750</v>
      </c>
      <c r="H96" s="44"/>
      <c r="I96" s="187"/>
      <c r="J96" s="44"/>
      <c r="K96" s="43"/>
    </row>
    <row r="97" spans="1:11" ht="23.25">
      <c r="A97" s="55" t="s">
        <v>142</v>
      </c>
      <c r="B97" s="46"/>
      <c r="C97" s="187">
        <v>37</v>
      </c>
      <c r="D97" s="187">
        <v>37</v>
      </c>
      <c r="E97" s="44"/>
      <c r="F97" s="187">
        <v>10</v>
      </c>
      <c r="G97" s="187">
        <v>10</v>
      </c>
      <c r="H97" s="44"/>
      <c r="I97" s="187"/>
      <c r="J97" s="44"/>
      <c r="K97" s="43"/>
    </row>
    <row r="98" spans="1:11" ht="23.25">
      <c r="A98" s="222" t="s">
        <v>123</v>
      </c>
      <c r="B98" s="46"/>
      <c r="C98" s="44"/>
      <c r="D98" s="44"/>
      <c r="E98" s="44"/>
      <c r="F98" s="44"/>
      <c r="G98" s="44"/>
      <c r="H98" s="44"/>
      <c r="I98" s="44"/>
      <c r="J98" s="44"/>
      <c r="K98" s="43"/>
    </row>
    <row r="99" spans="1:11" ht="26.25" customHeight="1">
      <c r="A99" s="55" t="s">
        <v>137</v>
      </c>
      <c r="B99" s="46"/>
      <c r="C99" s="44">
        <f>C94/C97</f>
        <v>27027.027027027027</v>
      </c>
      <c r="D99" s="44">
        <f>D94/D97</f>
        <v>27027.027027027027</v>
      </c>
      <c r="E99" s="44"/>
      <c r="F99" s="44">
        <f>F94/F97</f>
        <v>30000</v>
      </c>
      <c r="G99" s="44">
        <f>G94/G97</f>
        <v>30000</v>
      </c>
      <c r="H99" s="44"/>
      <c r="I99" s="44"/>
      <c r="J99" s="44"/>
      <c r="K99" s="43"/>
    </row>
    <row r="100" spans="1:11" ht="46.5">
      <c r="A100" s="55" t="s">
        <v>143</v>
      </c>
      <c r="B100" s="46"/>
      <c r="C100" s="44">
        <f>C97/C96*100</f>
        <v>4.9333333333333336</v>
      </c>
      <c r="D100" s="44">
        <f>D97/D96*100</f>
        <v>4.9333333333333336</v>
      </c>
      <c r="E100" s="44"/>
      <c r="F100" s="44">
        <f>F97/F96*100</f>
        <v>1.3333333333333335</v>
      </c>
      <c r="G100" s="44">
        <f>G97/G96*100</f>
        <v>1.3333333333333335</v>
      </c>
      <c r="H100" s="44"/>
      <c r="I100" s="44"/>
      <c r="J100" s="44"/>
      <c r="K100" s="43"/>
    </row>
    <row r="101" spans="1:11" ht="23.25">
      <c r="A101" s="53" t="s">
        <v>115</v>
      </c>
      <c r="B101" s="596" t="s">
        <v>388</v>
      </c>
      <c r="C101" s="596"/>
      <c r="D101" s="596"/>
      <c r="E101" s="596"/>
      <c r="F101" s="596"/>
      <c r="G101" s="596"/>
      <c r="H101" s="596"/>
      <c r="I101" s="596"/>
      <c r="J101" s="596"/>
      <c r="K101" s="596"/>
    </row>
    <row r="102" spans="1:11" ht="22.5">
      <c r="A102" s="186" t="s">
        <v>118</v>
      </c>
      <c r="B102" s="592" t="s">
        <v>119</v>
      </c>
      <c r="C102" s="592"/>
      <c r="D102" s="592"/>
      <c r="E102" s="592"/>
      <c r="F102" s="592"/>
      <c r="G102" s="592"/>
      <c r="H102" s="592"/>
      <c r="I102" s="592"/>
      <c r="J102" s="592"/>
      <c r="K102" s="592"/>
    </row>
    <row r="103" spans="1:11" ht="22.5">
      <c r="A103" s="222" t="s">
        <v>120</v>
      </c>
      <c r="B103" s="222">
        <f>C103+F103+I103</f>
        <v>3883000</v>
      </c>
      <c r="C103" s="43">
        <f>D103+E103</f>
        <v>3883000</v>
      </c>
      <c r="D103" s="43">
        <f>'Додаток 3'!I58*1000</f>
        <v>3883000</v>
      </c>
      <c r="E103" s="43">
        <v>0</v>
      </c>
      <c r="F103" s="43">
        <f>G103+H103</f>
        <v>0</v>
      </c>
      <c r="G103" s="43">
        <f>'Додаток 3'!J58*1000</f>
        <v>0</v>
      </c>
      <c r="H103" s="43">
        <v>0</v>
      </c>
      <c r="I103" s="43">
        <f>J103+K103</f>
        <v>0</v>
      </c>
      <c r="J103" s="43">
        <f>'Додаток 3'!K58*1000</f>
        <v>0</v>
      </c>
      <c r="K103" s="43">
        <v>0</v>
      </c>
    </row>
    <row r="104" spans="1:11" ht="24" customHeight="1">
      <c r="A104" s="222" t="s">
        <v>285</v>
      </c>
      <c r="B104" s="42"/>
      <c r="C104" s="44"/>
      <c r="D104" s="43"/>
      <c r="E104" s="43"/>
      <c r="F104" s="44"/>
      <c r="G104" s="44"/>
      <c r="H104" s="44"/>
      <c r="I104" s="44"/>
      <c r="J104" s="43"/>
      <c r="K104" s="43"/>
    </row>
    <row r="105" spans="1:11" ht="48.75" customHeight="1">
      <c r="A105" s="55" t="s">
        <v>144</v>
      </c>
      <c r="B105" s="46"/>
      <c r="C105" s="44">
        <v>70</v>
      </c>
      <c r="D105" s="44">
        <v>70</v>
      </c>
      <c r="E105" s="44"/>
      <c r="F105" s="44"/>
      <c r="G105" s="44"/>
      <c r="H105" s="44"/>
      <c r="I105" s="44"/>
      <c r="J105" s="44"/>
      <c r="K105" s="43"/>
    </row>
    <row r="106" spans="1:11" ht="47.25" customHeight="1">
      <c r="A106" s="55" t="s">
        <v>361</v>
      </c>
      <c r="B106" s="46"/>
      <c r="C106" s="187">
        <v>70</v>
      </c>
      <c r="D106" s="187">
        <v>70</v>
      </c>
      <c r="E106" s="44"/>
      <c r="F106" s="187"/>
      <c r="G106" s="44"/>
      <c r="H106" s="44"/>
      <c r="I106" s="187"/>
      <c r="J106" s="44"/>
      <c r="K106" s="43"/>
    </row>
    <row r="107" spans="1:11" ht="23.25">
      <c r="A107" s="222" t="s">
        <v>123</v>
      </c>
      <c r="B107" s="46"/>
      <c r="C107" s="44"/>
      <c r="D107" s="44"/>
      <c r="E107" s="44"/>
      <c r="F107" s="44"/>
      <c r="G107" s="44"/>
      <c r="H107" s="44"/>
      <c r="I107" s="44"/>
      <c r="J107" s="44"/>
      <c r="K107" s="43"/>
    </row>
    <row r="108" spans="1:11" ht="69.75">
      <c r="A108" s="55" t="s">
        <v>145</v>
      </c>
      <c r="B108" s="46"/>
      <c r="C108" s="44">
        <f>C103/C106</f>
        <v>55471.428571428572</v>
      </c>
      <c r="D108" s="44">
        <f>D103/D106</f>
        <v>55471.428571428572</v>
      </c>
      <c r="E108" s="44"/>
      <c r="F108" s="44"/>
      <c r="G108" s="44"/>
      <c r="H108" s="44"/>
      <c r="I108" s="44"/>
      <c r="J108" s="44"/>
      <c r="K108" s="43"/>
    </row>
    <row r="109" spans="1:11" ht="23.25">
      <c r="A109" s="53" t="s">
        <v>115</v>
      </c>
      <c r="B109" s="608" t="s">
        <v>55</v>
      </c>
      <c r="C109" s="609"/>
      <c r="D109" s="609"/>
      <c r="E109" s="609"/>
      <c r="F109" s="609"/>
      <c r="G109" s="609"/>
      <c r="H109" s="609"/>
      <c r="I109" s="609"/>
      <c r="J109" s="609"/>
      <c r="K109" s="610"/>
    </row>
    <row r="110" spans="1:11" ht="22.5">
      <c r="A110" s="186" t="s">
        <v>118</v>
      </c>
      <c r="B110" s="591" t="s">
        <v>119</v>
      </c>
      <c r="C110" s="591"/>
      <c r="D110" s="591"/>
      <c r="E110" s="591"/>
      <c r="F110" s="591"/>
      <c r="G110" s="591"/>
      <c r="H110" s="591"/>
      <c r="I110" s="591"/>
      <c r="J110" s="591"/>
      <c r="K110" s="591"/>
    </row>
    <row r="111" spans="1:11" ht="22.5">
      <c r="A111" s="222" t="s">
        <v>120</v>
      </c>
      <c r="B111" s="222">
        <f>C111+F111+I111</f>
        <v>850000</v>
      </c>
      <c r="C111" s="43">
        <f>D111+E111</f>
        <v>850000</v>
      </c>
      <c r="D111" s="43">
        <f>'Додаток 3'!I61*1000</f>
        <v>850000</v>
      </c>
      <c r="E111" s="222"/>
      <c r="F111" s="188"/>
      <c r="G111" s="188">
        <f>'Додаток 3'!J61*1000</f>
        <v>0</v>
      </c>
      <c r="H111" s="188"/>
      <c r="I111" s="188"/>
      <c r="J111" s="188"/>
      <c r="K111" s="188"/>
    </row>
    <row r="112" spans="1:11" ht="23.25">
      <c r="A112" s="222" t="s">
        <v>122</v>
      </c>
      <c r="B112" s="44"/>
      <c r="C112" s="44"/>
      <c r="D112" s="44"/>
      <c r="E112" s="44"/>
      <c r="F112" s="44"/>
      <c r="G112" s="44"/>
      <c r="H112" s="44"/>
      <c r="I112" s="44"/>
      <c r="J112" s="44"/>
      <c r="K112" s="43"/>
    </row>
    <row r="113" spans="1:11" ht="22.5" customHeight="1">
      <c r="A113" s="55" t="s">
        <v>365</v>
      </c>
      <c r="B113" s="46"/>
      <c r="C113" s="44">
        <v>1200</v>
      </c>
      <c r="D113" s="44">
        <v>1200</v>
      </c>
      <c r="E113" s="44"/>
      <c r="F113" s="44"/>
      <c r="G113" s="44"/>
      <c r="H113" s="44"/>
      <c r="I113" s="44"/>
      <c r="J113" s="44"/>
      <c r="K113" s="43"/>
    </row>
    <row r="114" spans="1:11" ht="23.25">
      <c r="A114" s="55" t="s">
        <v>204</v>
      </c>
      <c r="B114" s="46"/>
      <c r="C114" s="187">
        <v>845</v>
      </c>
      <c r="D114" s="187">
        <v>845</v>
      </c>
      <c r="E114" s="44"/>
      <c r="F114" s="187"/>
      <c r="G114" s="44"/>
      <c r="H114" s="44"/>
      <c r="I114" s="187"/>
      <c r="J114" s="44"/>
      <c r="K114" s="43"/>
    </row>
    <row r="115" spans="1:11" ht="23.25">
      <c r="A115" s="222" t="s">
        <v>123</v>
      </c>
      <c r="B115" s="46"/>
      <c r="C115" s="44"/>
      <c r="D115" s="44"/>
      <c r="E115" s="44"/>
      <c r="F115" s="44"/>
      <c r="G115" s="44"/>
      <c r="H115" s="44"/>
      <c r="I115" s="44"/>
      <c r="J115" s="44"/>
      <c r="K115" s="43"/>
    </row>
    <row r="116" spans="1:11" ht="23.25">
      <c r="A116" s="55" t="s">
        <v>387</v>
      </c>
      <c r="B116" s="46"/>
      <c r="C116" s="44">
        <f>C111/C114</f>
        <v>1005.9171597633136</v>
      </c>
      <c r="D116" s="44">
        <f>D111/D114</f>
        <v>1005.9171597633136</v>
      </c>
      <c r="E116" s="44"/>
      <c r="F116" s="44"/>
      <c r="G116" s="44"/>
      <c r="H116" s="44"/>
      <c r="I116" s="44"/>
      <c r="J116" s="44"/>
      <c r="K116" s="43"/>
    </row>
    <row r="117" spans="1:11" ht="23.25">
      <c r="A117" s="63" t="s">
        <v>124</v>
      </c>
      <c r="B117" s="46"/>
      <c r="C117" s="44"/>
      <c r="D117" s="44"/>
      <c r="E117" s="44"/>
      <c r="F117" s="44"/>
      <c r="G117" s="44"/>
      <c r="H117" s="44"/>
      <c r="I117" s="44"/>
      <c r="J117" s="44"/>
      <c r="K117" s="43"/>
    </row>
    <row r="118" spans="1:11" ht="23.25">
      <c r="A118" s="55" t="s">
        <v>366</v>
      </c>
      <c r="B118" s="46"/>
      <c r="C118" s="44">
        <f>C114/C113*100</f>
        <v>70.416666666666671</v>
      </c>
      <c r="D118" s="44">
        <f>D114/D113*100</f>
        <v>70.416666666666671</v>
      </c>
      <c r="E118" s="44"/>
      <c r="F118" s="44"/>
      <c r="G118" s="44"/>
      <c r="H118" s="44"/>
      <c r="I118" s="44"/>
      <c r="J118" s="44"/>
      <c r="K118" s="43"/>
    </row>
    <row r="119" spans="1:11" ht="23.25">
      <c r="A119" s="56" t="s">
        <v>115</v>
      </c>
      <c r="B119" s="583" t="s">
        <v>294</v>
      </c>
      <c r="C119" s="583"/>
      <c r="D119" s="583"/>
      <c r="E119" s="583"/>
      <c r="F119" s="583"/>
      <c r="G119" s="583"/>
      <c r="H119" s="583"/>
      <c r="I119" s="583"/>
      <c r="J119" s="583"/>
      <c r="K119" s="583"/>
    </row>
    <row r="120" spans="1:11" ht="22.5">
      <c r="A120" s="186" t="s">
        <v>118</v>
      </c>
      <c r="B120" s="591" t="s">
        <v>119</v>
      </c>
      <c r="C120" s="591"/>
      <c r="D120" s="591"/>
      <c r="E120" s="591"/>
      <c r="F120" s="591"/>
      <c r="G120" s="591"/>
      <c r="H120" s="591"/>
      <c r="I120" s="591"/>
      <c r="J120" s="591"/>
      <c r="K120" s="591"/>
    </row>
    <row r="121" spans="1:11" ht="22.5">
      <c r="A121" s="186" t="s">
        <v>125</v>
      </c>
      <c r="B121" s="591" t="s">
        <v>126</v>
      </c>
      <c r="C121" s="591"/>
      <c r="D121" s="591"/>
      <c r="E121" s="591"/>
      <c r="F121" s="591"/>
      <c r="G121" s="591"/>
      <c r="H121" s="591"/>
      <c r="I121" s="591"/>
      <c r="J121" s="591"/>
      <c r="K121" s="591"/>
    </row>
    <row r="122" spans="1:11" ht="22.5">
      <c r="A122" s="222" t="s">
        <v>120</v>
      </c>
      <c r="B122" s="222">
        <f>C122+F122+I122</f>
        <v>6385688.0000000009</v>
      </c>
      <c r="C122" s="188">
        <f>D122+E122</f>
        <v>2947900.0000000005</v>
      </c>
      <c r="D122" s="188">
        <f>('Додаток 3'!I65+'Додаток 3'!I115)*1000</f>
        <v>2947900.0000000005</v>
      </c>
      <c r="E122" s="222"/>
      <c r="F122" s="188">
        <f>G122+H122</f>
        <v>1659800.0000000002</v>
      </c>
      <c r="G122" s="188">
        <f>('Додаток 3'!J115+'Додаток 3'!J65)*1000</f>
        <v>1659800.0000000002</v>
      </c>
      <c r="H122" s="188"/>
      <c r="I122" s="188">
        <f>J122+K122</f>
        <v>1777987.9999999998</v>
      </c>
      <c r="J122" s="188">
        <f>('Додаток 3'!K65+'Додаток 3'!K115)*1000</f>
        <v>1777987.9999999998</v>
      </c>
      <c r="K122" s="188"/>
    </row>
    <row r="123" spans="1:11" ht="23.25">
      <c r="A123" s="222" t="s">
        <v>122</v>
      </c>
      <c r="B123" s="46"/>
      <c r="C123" s="44"/>
      <c r="D123" s="44"/>
      <c r="E123" s="44"/>
      <c r="F123" s="44"/>
      <c r="G123" s="44"/>
      <c r="H123" s="44"/>
      <c r="I123" s="44"/>
      <c r="J123" s="44"/>
      <c r="K123" s="43"/>
    </row>
    <row r="124" spans="1:11" ht="23.25">
      <c r="A124" s="57" t="s">
        <v>130</v>
      </c>
      <c r="B124" s="46"/>
      <c r="C124" s="44">
        <v>46</v>
      </c>
      <c r="D124" s="44">
        <v>46</v>
      </c>
      <c r="E124" s="44"/>
      <c r="F124" s="44">
        <f>20+3</f>
        <v>23</v>
      </c>
      <c r="G124" s="44">
        <f>20+3</f>
        <v>23</v>
      </c>
      <c r="H124" s="44"/>
      <c r="I124" s="44">
        <v>23</v>
      </c>
      <c r="J124" s="44">
        <v>23</v>
      </c>
      <c r="K124" s="43"/>
    </row>
    <row r="125" spans="1:11" ht="23.25">
      <c r="A125" s="222" t="s">
        <v>123</v>
      </c>
      <c r="B125" s="46"/>
      <c r="C125" s="44"/>
      <c r="D125" s="44"/>
      <c r="E125" s="44"/>
      <c r="F125" s="44"/>
      <c r="G125" s="44"/>
      <c r="H125" s="44"/>
      <c r="I125" s="44"/>
      <c r="J125" s="44"/>
      <c r="K125" s="43"/>
    </row>
    <row r="126" spans="1:11" ht="45.75" customHeight="1">
      <c r="A126" s="57" t="s">
        <v>368</v>
      </c>
      <c r="B126" s="46"/>
      <c r="C126" s="44">
        <f>C122/C124</f>
        <v>64084.782608695663</v>
      </c>
      <c r="D126" s="44">
        <f>D122/D124</f>
        <v>64084.782608695663</v>
      </c>
      <c r="E126" s="44"/>
      <c r="F126" s="44">
        <f>F122/F124</f>
        <v>72165.217391304352</v>
      </c>
      <c r="G126" s="44">
        <f>G122/G124</f>
        <v>72165.217391304352</v>
      </c>
      <c r="H126" s="44"/>
      <c r="I126" s="44">
        <f>I122/I124</f>
        <v>77303.826086956513</v>
      </c>
      <c r="J126" s="44">
        <f>J122/J124</f>
        <v>77303.826086956513</v>
      </c>
      <c r="K126" s="43"/>
    </row>
    <row r="127" spans="1:11" ht="21" customHeight="1">
      <c r="A127" s="56" t="s">
        <v>115</v>
      </c>
      <c r="B127" s="583" t="s">
        <v>295</v>
      </c>
      <c r="C127" s="583"/>
      <c r="D127" s="583"/>
      <c r="E127" s="583"/>
      <c r="F127" s="583"/>
      <c r="G127" s="583"/>
      <c r="H127" s="583"/>
      <c r="I127" s="583"/>
      <c r="J127" s="583"/>
      <c r="K127" s="583"/>
    </row>
    <row r="128" spans="1:11" ht="22.5" customHeight="1">
      <c r="A128" s="186" t="s">
        <v>147</v>
      </c>
      <c r="B128" s="579" t="s">
        <v>165</v>
      </c>
      <c r="C128" s="580"/>
      <c r="D128" s="580"/>
      <c r="E128" s="580"/>
      <c r="F128" s="580"/>
      <c r="G128" s="580"/>
      <c r="H128" s="580"/>
      <c r="I128" s="580"/>
      <c r="J128" s="580"/>
      <c r="K128" s="581"/>
    </row>
    <row r="129" spans="1:11" ht="22.5">
      <c r="A129" s="222" t="s">
        <v>120</v>
      </c>
      <c r="B129" s="222">
        <f>C129+F129+I129</f>
        <v>5834000</v>
      </c>
      <c r="C129" s="222">
        <f>D129+E129</f>
        <v>1700000</v>
      </c>
      <c r="D129" s="222">
        <f>'Додаток 3'!I70*1000</f>
        <v>1700000</v>
      </c>
      <c r="E129" s="188"/>
      <c r="F129" s="188">
        <f>G129+H129</f>
        <v>2000000</v>
      </c>
      <c r="G129" s="188">
        <f>'Додаток 3'!J70*1000</f>
        <v>2000000</v>
      </c>
      <c r="H129" s="188"/>
      <c r="I129" s="188">
        <f>J129+K129</f>
        <v>2134000</v>
      </c>
      <c r="J129" s="188">
        <f>'Додаток 3'!K70*1000</f>
        <v>2134000</v>
      </c>
      <c r="K129" s="188"/>
    </row>
    <row r="130" spans="1:11" ht="23.25">
      <c r="A130" s="222" t="s">
        <v>122</v>
      </c>
      <c r="B130" s="46"/>
      <c r="C130" s="44"/>
      <c r="D130" s="44"/>
      <c r="E130" s="44"/>
      <c r="F130" s="44"/>
      <c r="G130" s="44"/>
      <c r="H130" s="44"/>
      <c r="I130" s="44"/>
      <c r="J130" s="44"/>
      <c r="K130" s="43"/>
    </row>
    <row r="131" spans="1:11" ht="80.25" customHeight="1">
      <c r="A131" s="57" t="s">
        <v>472</v>
      </c>
      <c r="B131" s="46"/>
      <c r="C131" s="44">
        <v>6217</v>
      </c>
      <c r="D131" s="44">
        <v>6217</v>
      </c>
      <c r="E131" s="44"/>
      <c r="F131" s="44">
        <v>6601</v>
      </c>
      <c r="G131" s="44">
        <v>6601</v>
      </c>
      <c r="H131" s="44"/>
      <c r="I131" s="44">
        <v>6217</v>
      </c>
      <c r="J131" s="44">
        <v>6217</v>
      </c>
      <c r="K131" s="43"/>
    </row>
    <row r="132" spans="1:11" ht="23.25">
      <c r="A132" s="222" t="s">
        <v>123</v>
      </c>
      <c r="B132" s="46"/>
      <c r="C132" s="44"/>
      <c r="D132" s="44"/>
      <c r="E132" s="44"/>
      <c r="F132" s="44"/>
      <c r="G132" s="44"/>
      <c r="H132" s="44"/>
      <c r="I132" s="44"/>
      <c r="J132" s="44"/>
      <c r="K132" s="43"/>
    </row>
    <row r="133" spans="1:11" ht="48.75" customHeight="1">
      <c r="A133" s="57" t="s">
        <v>369</v>
      </c>
      <c r="B133" s="46"/>
      <c r="C133" s="44">
        <f>C129/C131</f>
        <v>273.44378317516487</v>
      </c>
      <c r="D133" s="44">
        <f>D129/D131</f>
        <v>273.44378317516487</v>
      </c>
      <c r="E133" s="44"/>
      <c r="F133" s="44">
        <f>F129/F131</f>
        <v>302.98439630359036</v>
      </c>
      <c r="G133" s="44">
        <f>G129/G131</f>
        <v>302.98439630359036</v>
      </c>
      <c r="H133" s="44"/>
      <c r="I133" s="44">
        <f>I129/I131</f>
        <v>343.25237252694228</v>
      </c>
      <c r="J133" s="44">
        <f>J129/J131</f>
        <v>343.25237252694228</v>
      </c>
      <c r="K133" s="43"/>
    </row>
    <row r="134" spans="1:11" ht="23.25">
      <c r="A134" s="53" t="s">
        <v>115</v>
      </c>
      <c r="B134" s="596" t="s">
        <v>426</v>
      </c>
      <c r="C134" s="596"/>
      <c r="D134" s="596"/>
      <c r="E134" s="596"/>
      <c r="F134" s="596"/>
      <c r="G134" s="596"/>
      <c r="H134" s="596"/>
      <c r="I134" s="596"/>
      <c r="J134" s="596"/>
      <c r="K134" s="596"/>
    </row>
    <row r="135" spans="1:11" ht="20.25" customHeight="1">
      <c r="A135" s="186" t="s">
        <v>407</v>
      </c>
      <c r="B135" s="579" t="s">
        <v>408</v>
      </c>
      <c r="C135" s="580"/>
      <c r="D135" s="580"/>
      <c r="E135" s="580"/>
      <c r="F135" s="580"/>
      <c r="G135" s="580"/>
      <c r="H135" s="580"/>
      <c r="I135" s="580"/>
      <c r="J135" s="580"/>
      <c r="K135" s="581"/>
    </row>
    <row r="136" spans="1:11" ht="22.5">
      <c r="A136" s="222" t="s">
        <v>120</v>
      </c>
      <c r="B136" s="42">
        <f>C136+F136+I136</f>
        <v>3000000</v>
      </c>
      <c r="C136" s="43">
        <f>D136+E136</f>
        <v>3000000</v>
      </c>
      <c r="D136" s="43">
        <f>'Додаток 3'!I71*1000</f>
        <v>3000000</v>
      </c>
      <c r="E136" s="43">
        <v>0</v>
      </c>
      <c r="F136" s="43">
        <f>G136+H136</f>
        <v>0</v>
      </c>
      <c r="G136" s="43">
        <v>0</v>
      </c>
      <c r="H136" s="43">
        <v>0</v>
      </c>
      <c r="I136" s="43">
        <f>J136+K136</f>
        <v>0</v>
      </c>
      <c r="J136" s="43">
        <v>0</v>
      </c>
      <c r="K136" s="43">
        <v>0</v>
      </c>
    </row>
    <row r="137" spans="1:11" ht="23.25">
      <c r="A137" s="222" t="s">
        <v>362</v>
      </c>
      <c r="B137" s="42"/>
      <c r="C137" s="44">
        <v>1</v>
      </c>
      <c r="D137" s="44">
        <v>1</v>
      </c>
      <c r="E137" s="43"/>
      <c r="F137" s="44"/>
      <c r="G137" s="44"/>
      <c r="H137" s="44"/>
      <c r="I137" s="44"/>
      <c r="J137" s="43"/>
      <c r="K137" s="43"/>
    </row>
    <row r="138" spans="1:11" ht="46.5">
      <c r="A138" s="222" t="s">
        <v>367</v>
      </c>
      <c r="B138" s="46"/>
      <c r="C138" s="44">
        <f>C136/C137/3</f>
        <v>1000000</v>
      </c>
      <c r="D138" s="44">
        <f>D136/D137/3</f>
        <v>1000000</v>
      </c>
      <c r="E138" s="44"/>
      <c r="F138" s="44"/>
      <c r="G138" s="44"/>
      <c r="H138" s="44"/>
      <c r="I138" s="44"/>
      <c r="J138" s="44"/>
      <c r="K138" s="43"/>
    </row>
    <row r="139" spans="1:11" ht="23.25">
      <c r="A139" s="56" t="s">
        <v>115</v>
      </c>
      <c r="B139" s="583" t="s">
        <v>477</v>
      </c>
      <c r="C139" s="583"/>
      <c r="D139" s="583"/>
      <c r="E139" s="583"/>
      <c r="F139" s="583"/>
      <c r="G139" s="583"/>
      <c r="H139" s="583"/>
      <c r="I139" s="583"/>
      <c r="J139" s="583"/>
      <c r="K139" s="583"/>
    </row>
    <row r="140" spans="1:11" ht="22.5">
      <c r="A140" s="186" t="s">
        <v>118</v>
      </c>
      <c r="B140" s="591" t="s">
        <v>473</v>
      </c>
      <c r="C140" s="591"/>
      <c r="D140" s="591"/>
      <c r="E140" s="591"/>
      <c r="F140" s="591"/>
      <c r="G140" s="591"/>
      <c r="H140" s="591"/>
      <c r="I140" s="591"/>
      <c r="J140" s="591"/>
      <c r="K140" s="591"/>
    </row>
    <row r="141" spans="1:11" ht="22.5">
      <c r="A141" s="186" t="s">
        <v>147</v>
      </c>
      <c r="B141" s="579" t="s">
        <v>474</v>
      </c>
      <c r="C141" s="580"/>
      <c r="D141" s="580"/>
      <c r="E141" s="580"/>
      <c r="F141" s="580"/>
      <c r="G141" s="580"/>
      <c r="H141" s="580"/>
      <c r="I141" s="580"/>
      <c r="J141" s="580"/>
      <c r="K141" s="581"/>
    </row>
    <row r="142" spans="1:11" ht="22.5">
      <c r="A142" s="222" t="s">
        <v>120</v>
      </c>
      <c r="B142" s="221">
        <f>C142+F142+I142</f>
        <v>2173500</v>
      </c>
      <c r="C142" s="221">
        <f>D142+E142</f>
        <v>1867700</v>
      </c>
      <c r="D142" s="221">
        <f>'Додаток 3'!I72*1000</f>
        <v>1867700</v>
      </c>
      <c r="E142" s="221"/>
      <c r="F142" s="221">
        <f>G142+H142</f>
        <v>305800</v>
      </c>
      <c r="G142" s="221">
        <f>'Додаток 3'!J72*1000</f>
        <v>305800</v>
      </c>
      <c r="H142" s="221"/>
      <c r="I142" s="221">
        <f>J142+K142</f>
        <v>0</v>
      </c>
      <c r="J142" s="221">
        <f>'Додаток 3'!K72*1000</f>
        <v>0</v>
      </c>
      <c r="K142" s="190"/>
    </row>
    <row r="143" spans="1:11" ht="50.25" customHeight="1">
      <c r="A143" s="55" t="s">
        <v>384</v>
      </c>
      <c r="B143" s="46"/>
      <c r="C143" s="44">
        <v>44900</v>
      </c>
      <c r="D143" s="44">
        <v>44900</v>
      </c>
      <c r="E143" s="44"/>
      <c r="F143" s="44">
        <v>40000</v>
      </c>
      <c r="G143" s="44">
        <v>40000</v>
      </c>
      <c r="H143" s="44"/>
      <c r="I143" s="44"/>
      <c r="J143" s="44"/>
      <c r="K143" s="43"/>
    </row>
    <row r="144" spans="1:11" ht="23.25">
      <c r="A144" s="55" t="s">
        <v>152</v>
      </c>
      <c r="B144" s="46"/>
      <c r="C144" s="44">
        <v>335300</v>
      </c>
      <c r="D144" s="44">
        <v>335300</v>
      </c>
      <c r="E144" s="44"/>
      <c r="F144" s="44">
        <v>243800</v>
      </c>
      <c r="G144" s="44">
        <v>243800</v>
      </c>
      <c r="H144" s="44"/>
      <c r="I144" s="44"/>
      <c r="J144" s="44"/>
      <c r="K144" s="43"/>
    </row>
    <row r="145" spans="1:11" ht="23.25">
      <c r="A145" s="222" t="s">
        <v>122</v>
      </c>
      <c r="B145" s="46"/>
      <c r="C145" s="44"/>
      <c r="D145" s="44"/>
      <c r="E145" s="44"/>
      <c r="F145" s="44"/>
      <c r="G145" s="44"/>
      <c r="H145" s="44"/>
      <c r="I145" s="44"/>
      <c r="J145" s="44"/>
      <c r="K145" s="43"/>
    </row>
    <row r="146" spans="1:11" ht="45.75" customHeight="1">
      <c r="A146" s="191" t="s">
        <v>383</v>
      </c>
      <c r="B146" s="46"/>
      <c r="C146" s="44">
        <v>8</v>
      </c>
      <c r="D146" s="44">
        <v>8</v>
      </c>
      <c r="E146" s="44"/>
      <c r="F146" s="44">
        <v>7</v>
      </c>
      <c r="G146" s="44">
        <v>7</v>
      </c>
      <c r="H146" s="44"/>
      <c r="I146" s="44"/>
      <c r="J146" s="44"/>
      <c r="K146" s="43"/>
    </row>
    <row r="147" spans="1:11" ht="23.25">
      <c r="A147" s="191" t="s">
        <v>153</v>
      </c>
      <c r="B147" s="46"/>
      <c r="C147" s="44">
        <v>100</v>
      </c>
      <c r="D147" s="44">
        <v>100</v>
      </c>
      <c r="E147" s="44"/>
      <c r="F147" s="44">
        <v>26</v>
      </c>
      <c r="G147" s="44">
        <v>26</v>
      </c>
      <c r="H147" s="44"/>
      <c r="I147" s="44"/>
      <c r="J147" s="44"/>
      <c r="K147" s="43"/>
    </row>
    <row r="148" spans="1:11" ht="23.25">
      <c r="A148" s="222" t="s">
        <v>123</v>
      </c>
      <c r="B148" s="46"/>
      <c r="C148" s="44"/>
      <c r="D148" s="44"/>
      <c r="E148" s="44"/>
      <c r="F148" s="44"/>
      <c r="G148" s="44"/>
      <c r="H148" s="44"/>
      <c r="I148" s="44"/>
      <c r="J148" s="44"/>
      <c r="K148" s="43"/>
    </row>
    <row r="149" spans="1:11" ht="47.25" customHeight="1">
      <c r="A149" s="192" t="s">
        <v>386</v>
      </c>
      <c r="B149" s="46"/>
      <c r="C149" s="44">
        <f>C143/C146/12</f>
        <v>467.70833333333331</v>
      </c>
      <c r="D149" s="44">
        <f>D143/D146/12</f>
        <v>467.70833333333331</v>
      </c>
      <c r="E149" s="44"/>
      <c r="F149" s="44">
        <v>7838</v>
      </c>
      <c r="G149" s="44">
        <v>7838</v>
      </c>
      <c r="H149" s="44"/>
      <c r="I149" s="44"/>
      <c r="J149" s="44"/>
      <c r="K149" s="43"/>
    </row>
    <row r="150" spans="1:11" ht="46.5">
      <c r="A150" s="192" t="s">
        <v>385</v>
      </c>
      <c r="B150" s="46"/>
      <c r="C150" s="44">
        <f>C144/C147/12</f>
        <v>279.41666666666669</v>
      </c>
      <c r="D150" s="44">
        <f>D144/D147/12</f>
        <v>279.41666666666669</v>
      </c>
      <c r="E150" s="44"/>
      <c r="F150" s="44">
        <v>5714</v>
      </c>
      <c r="G150" s="44">
        <v>5714</v>
      </c>
      <c r="H150" s="44"/>
      <c r="I150" s="44"/>
      <c r="J150" s="44"/>
      <c r="K150" s="43"/>
    </row>
    <row r="151" spans="1:11" ht="46.5">
      <c r="A151" s="192" t="s">
        <v>297</v>
      </c>
      <c r="B151" s="46"/>
      <c r="C151" s="44">
        <f>C142/12</f>
        <v>155641.66666666666</v>
      </c>
      <c r="D151" s="44">
        <f>D142/12</f>
        <v>155641.66666666666</v>
      </c>
      <c r="E151" s="44"/>
      <c r="F151" s="44">
        <v>142500</v>
      </c>
      <c r="G151" s="44">
        <v>142500</v>
      </c>
      <c r="H151" s="44"/>
      <c r="I151" s="44">
        <f>I142/12</f>
        <v>0</v>
      </c>
      <c r="J151" s="44"/>
      <c r="K151" s="43"/>
    </row>
    <row r="152" spans="1:11" ht="23.25">
      <c r="A152" s="56" t="s">
        <v>115</v>
      </c>
      <c r="B152" s="583" t="s">
        <v>296</v>
      </c>
      <c r="C152" s="583"/>
      <c r="D152" s="583"/>
      <c r="E152" s="583"/>
      <c r="F152" s="583"/>
      <c r="G152" s="583"/>
      <c r="H152" s="583"/>
      <c r="I152" s="583"/>
      <c r="J152" s="583"/>
      <c r="K152" s="583"/>
    </row>
    <row r="153" spans="1:11" ht="22.5">
      <c r="A153" s="186" t="s">
        <v>118</v>
      </c>
      <c r="B153" s="591" t="s">
        <v>119</v>
      </c>
      <c r="C153" s="591"/>
      <c r="D153" s="591"/>
      <c r="E153" s="591"/>
      <c r="F153" s="591"/>
      <c r="G153" s="591"/>
      <c r="H153" s="591"/>
      <c r="I153" s="591"/>
      <c r="J153" s="591"/>
      <c r="K153" s="591"/>
    </row>
    <row r="154" spans="1:11" ht="22.5">
      <c r="A154" s="222" t="s">
        <v>120</v>
      </c>
      <c r="B154" s="221">
        <f>C154+F154+I154</f>
        <v>3716540</v>
      </c>
      <c r="C154" s="221">
        <f>D154+E154</f>
        <v>946270</v>
      </c>
      <c r="D154" s="221">
        <f>'Додаток 3'!I73*1000</f>
        <v>946270</v>
      </c>
      <c r="E154" s="221"/>
      <c r="F154" s="221">
        <f>G154+H154</f>
        <v>1337300</v>
      </c>
      <c r="G154" s="221">
        <f>'Додаток 3'!J73*1000</f>
        <v>1337300</v>
      </c>
      <c r="H154" s="221"/>
      <c r="I154" s="221">
        <f>J154+K154</f>
        <v>1432970</v>
      </c>
      <c r="J154" s="221">
        <f>'Додаток 3'!K73*1000</f>
        <v>1432970</v>
      </c>
      <c r="K154" s="190"/>
    </row>
    <row r="155" spans="1:11" ht="23.25">
      <c r="A155" s="193" t="s">
        <v>154</v>
      </c>
      <c r="B155" s="46"/>
      <c r="C155" s="214">
        <v>8.25</v>
      </c>
      <c r="D155" s="214">
        <v>8.25</v>
      </c>
      <c r="E155" s="44"/>
      <c r="F155" s="214">
        <v>8.25</v>
      </c>
      <c r="G155" s="214">
        <v>8.25</v>
      </c>
      <c r="H155" s="44"/>
      <c r="I155" s="214">
        <v>8.25</v>
      </c>
      <c r="J155" s="214">
        <v>8.25</v>
      </c>
      <c r="K155" s="43"/>
    </row>
    <row r="156" spans="1:11" ht="23.25">
      <c r="A156" s="195" t="s">
        <v>155</v>
      </c>
      <c r="B156" s="46"/>
      <c r="C156" s="214">
        <v>2.75</v>
      </c>
      <c r="D156" s="214">
        <v>2.75</v>
      </c>
      <c r="E156" s="44"/>
      <c r="F156" s="214">
        <v>2.75</v>
      </c>
      <c r="G156" s="214">
        <v>2.75</v>
      </c>
      <c r="H156" s="44"/>
      <c r="I156" s="214">
        <v>2.75</v>
      </c>
      <c r="J156" s="214">
        <v>2.75</v>
      </c>
      <c r="K156" s="43"/>
    </row>
    <row r="157" spans="1:11" ht="23.25">
      <c r="A157" s="222" t="s">
        <v>122</v>
      </c>
      <c r="B157" s="46"/>
      <c r="C157" s="44"/>
      <c r="D157" s="44"/>
      <c r="E157" s="44"/>
      <c r="F157" s="44"/>
      <c r="G157" s="44"/>
      <c r="H157" s="44"/>
      <c r="I157" s="44"/>
      <c r="J157" s="44"/>
      <c r="K157" s="43"/>
    </row>
    <row r="158" spans="1:11" ht="23.25">
      <c r="A158" s="191" t="s">
        <v>156</v>
      </c>
      <c r="B158" s="46"/>
      <c r="C158" s="57">
        <v>2915</v>
      </c>
      <c r="D158" s="57">
        <v>2915</v>
      </c>
      <c r="E158" s="57"/>
      <c r="F158" s="57">
        <v>3148</v>
      </c>
      <c r="G158" s="57">
        <v>3148</v>
      </c>
      <c r="H158" s="57"/>
      <c r="I158" s="57">
        <v>3148</v>
      </c>
      <c r="J158" s="57">
        <v>3148</v>
      </c>
      <c r="K158" s="43"/>
    </row>
    <row r="159" spans="1:11" ht="23.25">
      <c r="A159" s="222" t="s">
        <v>123</v>
      </c>
      <c r="B159" s="46"/>
      <c r="C159" s="44"/>
      <c r="D159" s="44"/>
      <c r="E159" s="44"/>
      <c r="F159" s="44"/>
      <c r="G159" s="44"/>
      <c r="H159" s="44"/>
      <c r="I159" s="44"/>
      <c r="J159" s="44"/>
      <c r="K159" s="43"/>
    </row>
    <row r="160" spans="1:11" ht="46.5">
      <c r="A160" s="58" t="s">
        <v>157</v>
      </c>
      <c r="B160" s="46"/>
      <c r="C160" s="194">
        <f>C158/C156</f>
        <v>1060</v>
      </c>
      <c r="D160" s="194">
        <f>D158/D156</f>
        <v>1060</v>
      </c>
      <c r="E160" s="194"/>
      <c r="F160" s="194">
        <f>F158/F156</f>
        <v>1144.7272727272727</v>
      </c>
      <c r="G160" s="194">
        <f>G158/G156</f>
        <v>1144.7272727272727</v>
      </c>
      <c r="H160" s="194"/>
      <c r="I160" s="194">
        <f>I158/I156</f>
        <v>1144.7272727272727</v>
      </c>
      <c r="J160" s="194">
        <f>J158/J156</f>
        <v>1144.7272727272727</v>
      </c>
      <c r="K160" s="43"/>
    </row>
    <row r="161" spans="1:11" ht="46.5">
      <c r="A161" s="192" t="s">
        <v>298</v>
      </c>
      <c r="B161" s="46"/>
      <c r="C161" s="194">
        <f>C154/12</f>
        <v>78855.833333333328</v>
      </c>
      <c r="D161" s="194">
        <f>D154/12</f>
        <v>78855.833333333328</v>
      </c>
      <c r="E161" s="194"/>
      <c r="F161" s="194">
        <f>F154/12</f>
        <v>111441.66666666667</v>
      </c>
      <c r="G161" s="194">
        <f>G154/12</f>
        <v>111441.66666666667</v>
      </c>
      <c r="H161" s="194"/>
      <c r="I161" s="194">
        <f>I154/12</f>
        <v>119414.16666666667</v>
      </c>
      <c r="J161" s="194">
        <f>J154/12</f>
        <v>119414.16666666667</v>
      </c>
      <c r="K161" s="43"/>
    </row>
    <row r="162" spans="1:11" ht="23.25">
      <c r="A162" s="56" t="s">
        <v>115</v>
      </c>
      <c r="B162" s="583" t="s">
        <v>299</v>
      </c>
      <c r="C162" s="583"/>
      <c r="D162" s="583"/>
      <c r="E162" s="583"/>
      <c r="F162" s="583"/>
      <c r="G162" s="583"/>
      <c r="H162" s="583"/>
      <c r="I162" s="583"/>
      <c r="J162" s="583"/>
      <c r="K162" s="583"/>
    </row>
    <row r="163" spans="1:11" ht="22.5">
      <c r="A163" s="186" t="s">
        <v>118</v>
      </c>
      <c r="B163" s="591" t="s">
        <v>119</v>
      </c>
      <c r="C163" s="591"/>
      <c r="D163" s="591"/>
      <c r="E163" s="591"/>
      <c r="F163" s="591"/>
      <c r="G163" s="591"/>
      <c r="H163" s="591"/>
      <c r="I163" s="591"/>
      <c r="J163" s="591"/>
      <c r="K163" s="591"/>
    </row>
    <row r="164" spans="1:11" ht="22.5">
      <c r="A164" s="222" t="s">
        <v>120</v>
      </c>
      <c r="B164" s="221">
        <f>C164+F164+I164</f>
        <v>6073800</v>
      </c>
      <c r="C164" s="221">
        <f>D164+E164</f>
        <v>1217800</v>
      </c>
      <c r="D164" s="221">
        <f>'Додаток 3'!I74*1000</f>
        <v>1217800</v>
      </c>
      <c r="E164" s="221"/>
      <c r="F164" s="221">
        <f>G164+H164</f>
        <v>2344000</v>
      </c>
      <c r="G164" s="221">
        <f>'Додаток 3'!J74*1000</f>
        <v>2344000</v>
      </c>
      <c r="H164" s="221"/>
      <c r="I164" s="221">
        <f>J164+K164</f>
        <v>2512000</v>
      </c>
      <c r="J164" s="221">
        <f>'Додаток 3'!K74*1000</f>
        <v>2512000</v>
      </c>
      <c r="K164" s="221"/>
    </row>
    <row r="165" spans="1:11" ht="23.25">
      <c r="A165" s="222" t="s">
        <v>122</v>
      </c>
      <c r="B165" s="46"/>
      <c r="C165" s="44"/>
      <c r="D165" s="45"/>
      <c r="E165" s="44"/>
      <c r="F165" s="194"/>
      <c r="G165" s="194"/>
      <c r="H165" s="194"/>
      <c r="I165" s="194"/>
      <c r="J165" s="44"/>
      <c r="K165" s="43"/>
    </row>
    <row r="166" spans="1:11" ht="23.25">
      <c r="A166" s="191" t="s">
        <v>158</v>
      </c>
      <c r="B166" s="46"/>
      <c r="C166" s="57">
        <v>600</v>
      </c>
      <c r="D166" s="57">
        <v>600</v>
      </c>
      <c r="E166" s="44"/>
      <c r="F166" s="194">
        <f>G166</f>
        <v>607</v>
      </c>
      <c r="G166" s="194">
        <v>607</v>
      </c>
      <c r="H166" s="194"/>
      <c r="I166" s="194">
        <f>J166</f>
        <v>607</v>
      </c>
      <c r="J166" s="44">
        <v>607</v>
      </c>
      <c r="K166" s="43"/>
    </row>
    <row r="167" spans="1:11" ht="23.25">
      <c r="A167" s="222" t="s">
        <v>123</v>
      </c>
      <c r="B167" s="46"/>
      <c r="C167" s="44"/>
      <c r="D167" s="44"/>
      <c r="E167" s="44"/>
      <c r="F167" s="44"/>
      <c r="G167" s="44"/>
      <c r="H167" s="44"/>
      <c r="I167" s="44"/>
      <c r="J167" s="44"/>
      <c r="K167" s="43"/>
    </row>
    <row r="168" spans="1:11" ht="23.25">
      <c r="A168" s="196" t="s">
        <v>159</v>
      </c>
      <c r="B168" s="46"/>
      <c r="C168" s="194">
        <f>C164/C166</f>
        <v>2029.6666666666667</v>
      </c>
      <c r="D168" s="194">
        <f>D164/D166</f>
        <v>2029.6666666666667</v>
      </c>
      <c r="E168" s="194"/>
      <c r="F168" s="194">
        <f>F164/F166</f>
        <v>3861.6144975288303</v>
      </c>
      <c r="G168" s="194">
        <f>G164/G166</f>
        <v>3861.6144975288303</v>
      </c>
      <c r="H168" s="194"/>
      <c r="I168" s="194">
        <f>I164/I166</f>
        <v>4138.3855024711693</v>
      </c>
      <c r="J168" s="44">
        <f>J164/J166</f>
        <v>4138.3855024711693</v>
      </c>
      <c r="K168" s="43"/>
    </row>
    <row r="169" spans="1:11" ht="23.25">
      <c r="A169" s="56" t="s">
        <v>115</v>
      </c>
      <c r="B169" s="597" t="s">
        <v>439</v>
      </c>
      <c r="C169" s="598"/>
      <c r="D169" s="598"/>
      <c r="E169" s="598"/>
      <c r="F169" s="598"/>
      <c r="G169" s="598"/>
      <c r="H169" s="598"/>
      <c r="I169" s="598"/>
      <c r="J169" s="598"/>
      <c r="K169" s="599"/>
    </row>
    <row r="170" spans="1:11" ht="22.5">
      <c r="A170" s="186" t="s">
        <v>118</v>
      </c>
      <c r="B170" s="591" t="s">
        <v>119</v>
      </c>
      <c r="C170" s="591"/>
      <c r="D170" s="591"/>
      <c r="E170" s="591"/>
      <c r="F170" s="591"/>
      <c r="G170" s="591"/>
      <c r="H170" s="591"/>
      <c r="I170" s="591"/>
      <c r="J170" s="591"/>
      <c r="K170" s="591"/>
    </row>
    <row r="171" spans="1:11" ht="23.25">
      <c r="A171" s="196"/>
      <c r="B171" s="46">
        <f>C171+F171+I171</f>
        <v>1000000</v>
      </c>
      <c r="C171" s="194"/>
      <c r="D171" s="194"/>
      <c r="E171" s="194"/>
      <c r="F171" s="194">
        <f>G171</f>
        <v>1000000</v>
      </c>
      <c r="G171" s="194">
        <v>1000000</v>
      </c>
      <c r="H171" s="194"/>
      <c r="I171" s="194"/>
      <c r="J171" s="44"/>
      <c r="K171" s="43"/>
    </row>
    <row r="172" spans="1:11" ht="23.25">
      <c r="A172" s="206" t="s">
        <v>120</v>
      </c>
      <c r="B172" s="46"/>
      <c r="C172" s="194"/>
      <c r="D172" s="194"/>
      <c r="E172" s="194"/>
      <c r="F172" s="194"/>
      <c r="G172" s="194"/>
      <c r="H172" s="194"/>
      <c r="I172" s="194"/>
      <c r="J172" s="44"/>
      <c r="K172" s="43"/>
    </row>
    <row r="173" spans="1:11" ht="23.25">
      <c r="A173" s="206" t="s">
        <v>122</v>
      </c>
      <c r="B173" s="46"/>
      <c r="C173" s="194"/>
      <c r="D173" s="194"/>
      <c r="E173" s="194"/>
      <c r="F173" s="194"/>
      <c r="G173" s="194"/>
      <c r="H173" s="194"/>
      <c r="I173" s="194"/>
      <c r="J173" s="44"/>
      <c r="K173" s="43"/>
    </row>
    <row r="174" spans="1:11" ht="30.75" customHeight="1">
      <c r="A174" s="215" t="s">
        <v>475</v>
      </c>
      <c r="B174" s="46"/>
      <c r="C174" s="194"/>
      <c r="D174" s="194"/>
      <c r="E174" s="194"/>
      <c r="F174" s="194">
        <f>G174</f>
        <v>600</v>
      </c>
      <c r="G174" s="194">
        <v>600</v>
      </c>
      <c r="H174" s="194"/>
      <c r="I174" s="194"/>
      <c r="J174" s="44"/>
      <c r="K174" s="43"/>
    </row>
    <row r="175" spans="1:11" ht="46.5">
      <c r="A175" s="207" t="s">
        <v>437</v>
      </c>
      <c r="B175" s="46"/>
      <c r="C175" s="194"/>
      <c r="D175" s="194"/>
      <c r="E175" s="194"/>
      <c r="F175" s="194">
        <f>G175</f>
        <v>14</v>
      </c>
      <c r="G175" s="194">
        <v>14</v>
      </c>
      <c r="H175" s="194"/>
      <c r="I175" s="194"/>
      <c r="J175" s="44"/>
      <c r="K175" s="43"/>
    </row>
    <row r="176" spans="1:11" ht="23.25">
      <c r="A176" s="206" t="s">
        <v>123</v>
      </c>
      <c r="B176" s="46"/>
      <c r="C176" s="194"/>
      <c r="D176" s="194"/>
      <c r="E176" s="194"/>
      <c r="F176" s="194"/>
      <c r="G176" s="194"/>
      <c r="H176" s="194"/>
      <c r="I176" s="194"/>
      <c r="J176" s="44"/>
      <c r="K176" s="43"/>
    </row>
    <row r="177" spans="1:11" ht="23.25">
      <c r="A177" s="208" t="s">
        <v>438</v>
      </c>
      <c r="B177" s="46"/>
      <c r="C177" s="194"/>
      <c r="D177" s="194"/>
      <c r="E177" s="194"/>
      <c r="F177" s="194">
        <f>G177</f>
        <v>71428.571428571435</v>
      </c>
      <c r="G177" s="194">
        <f>G171/G175</f>
        <v>71428.571428571435</v>
      </c>
      <c r="H177" s="194"/>
      <c r="I177" s="194"/>
      <c r="J177" s="44"/>
      <c r="K177" s="43"/>
    </row>
    <row r="178" spans="1:11" ht="23.25" customHeight="1">
      <c r="A178" s="56" t="s">
        <v>115</v>
      </c>
      <c r="B178" s="600" t="s">
        <v>440</v>
      </c>
      <c r="C178" s="601"/>
      <c r="D178" s="601"/>
      <c r="E178" s="601"/>
      <c r="F178" s="601"/>
      <c r="G178" s="601"/>
      <c r="H178" s="601"/>
      <c r="I178" s="601"/>
      <c r="J178" s="601"/>
      <c r="K178" s="602"/>
    </row>
    <row r="179" spans="1:11" ht="23.25" customHeight="1">
      <c r="A179" s="186" t="s">
        <v>118</v>
      </c>
      <c r="B179" s="591" t="s">
        <v>119</v>
      </c>
      <c r="C179" s="591"/>
      <c r="D179" s="591"/>
      <c r="E179" s="591"/>
      <c r="F179" s="591"/>
      <c r="G179" s="591"/>
      <c r="H179" s="591"/>
      <c r="I179" s="591"/>
      <c r="J179" s="591"/>
      <c r="K179" s="591"/>
    </row>
    <row r="180" spans="1:11" ht="23.25">
      <c r="A180" s="206" t="s">
        <v>120</v>
      </c>
      <c r="B180" s="46">
        <f>C180+F180+I180</f>
        <v>339900</v>
      </c>
      <c r="C180" s="194"/>
      <c r="D180" s="194"/>
      <c r="E180" s="194"/>
      <c r="F180" s="194">
        <f>G180</f>
        <v>339900</v>
      </c>
      <c r="G180" s="194">
        <f>('Додаток 3'!J80+'Додаток 3'!J81+'Додаток 3'!J82+'Додаток 3'!J83)*1000</f>
        <v>339900</v>
      </c>
      <c r="H180" s="194"/>
      <c r="I180" s="194"/>
      <c r="J180" s="44"/>
      <c r="K180" s="43"/>
    </row>
    <row r="181" spans="1:11" ht="23.25">
      <c r="A181" s="206" t="s">
        <v>122</v>
      </c>
      <c r="B181" s="46"/>
      <c r="C181" s="194"/>
      <c r="D181" s="194"/>
      <c r="E181" s="194"/>
      <c r="F181" s="194"/>
      <c r="G181" s="194"/>
      <c r="H181" s="194"/>
      <c r="I181" s="194"/>
      <c r="J181" s="44"/>
      <c r="K181" s="43"/>
    </row>
    <row r="182" spans="1:11" ht="46.5">
      <c r="A182" s="213" t="s">
        <v>468</v>
      </c>
      <c r="B182" s="46"/>
      <c r="C182" s="194"/>
      <c r="D182" s="194"/>
      <c r="E182" s="194"/>
      <c r="F182" s="194">
        <f t="shared" ref="F182:F185" si="2">G182</f>
        <v>28236</v>
      </c>
      <c r="G182" s="194">
        <v>28236</v>
      </c>
      <c r="H182" s="194"/>
      <c r="I182" s="194"/>
      <c r="J182" s="44"/>
      <c r="K182" s="43"/>
    </row>
    <row r="183" spans="1:11" ht="23.25">
      <c r="A183" s="213" t="s">
        <v>441</v>
      </c>
      <c r="B183" s="46"/>
      <c r="C183" s="194"/>
      <c r="D183" s="194"/>
      <c r="E183" s="194"/>
      <c r="F183" s="194">
        <f t="shared" si="2"/>
        <v>5665</v>
      </c>
      <c r="G183" s="194">
        <v>5665</v>
      </c>
      <c r="H183" s="194"/>
      <c r="I183" s="194"/>
      <c r="J183" s="44"/>
      <c r="K183" s="43"/>
    </row>
    <row r="184" spans="1:11" ht="23.25">
      <c r="A184" s="206" t="s">
        <v>123</v>
      </c>
      <c r="B184" s="46"/>
      <c r="C184" s="194"/>
      <c r="D184" s="194"/>
      <c r="E184" s="194"/>
      <c r="F184" s="194"/>
      <c r="G184" s="194"/>
      <c r="H184" s="194"/>
      <c r="I184" s="194"/>
      <c r="J184" s="44"/>
      <c r="K184" s="43"/>
    </row>
    <row r="185" spans="1:11" ht="46.5">
      <c r="A185" s="217" t="s">
        <v>442</v>
      </c>
      <c r="B185" s="46"/>
      <c r="C185" s="194"/>
      <c r="D185" s="194"/>
      <c r="E185" s="194"/>
      <c r="F185" s="194">
        <f t="shared" si="2"/>
        <v>60</v>
      </c>
      <c r="G185" s="194">
        <f>G180/G183</f>
        <v>60</v>
      </c>
      <c r="H185" s="194"/>
      <c r="I185" s="194"/>
      <c r="J185" s="44"/>
      <c r="K185" s="43"/>
    </row>
    <row r="186" spans="1:11" ht="23.25">
      <c r="A186" s="53" t="s">
        <v>115</v>
      </c>
      <c r="B186" s="596" t="s">
        <v>224</v>
      </c>
      <c r="C186" s="596"/>
      <c r="D186" s="596"/>
      <c r="E186" s="596"/>
      <c r="F186" s="596"/>
      <c r="G186" s="596"/>
      <c r="H186" s="596"/>
      <c r="I186" s="596"/>
      <c r="J186" s="596"/>
      <c r="K186" s="596"/>
    </row>
    <row r="187" spans="1:11" ht="20.25" customHeight="1">
      <c r="A187" s="186" t="s">
        <v>125</v>
      </c>
      <c r="B187" s="591" t="s">
        <v>163</v>
      </c>
      <c r="C187" s="591"/>
      <c r="D187" s="591"/>
      <c r="E187" s="591"/>
      <c r="F187" s="591"/>
      <c r="G187" s="591"/>
      <c r="H187" s="591"/>
      <c r="I187" s="591"/>
      <c r="J187" s="591"/>
      <c r="K187" s="591"/>
    </row>
    <row r="188" spans="1:11" ht="22.5">
      <c r="A188" s="222" t="s">
        <v>120</v>
      </c>
      <c r="B188" s="42">
        <f>C188+F188+I188</f>
        <v>18410420</v>
      </c>
      <c r="C188" s="43">
        <f>D188+E188</f>
        <v>12199200</v>
      </c>
      <c r="D188" s="43">
        <f>('Додаток 3'!I110+'Додаток 3'!I113+'Додаток 3'!I114)*1000</f>
        <v>12199200</v>
      </c>
      <c r="E188" s="43"/>
      <c r="F188" s="43">
        <f>G188+H188</f>
        <v>2987800</v>
      </c>
      <c r="G188" s="43">
        <f>('Додаток 3'!J110+'Додаток 3'!J113+'Додаток 3'!J114)*1000</f>
        <v>2987800</v>
      </c>
      <c r="H188" s="43"/>
      <c r="I188" s="43">
        <f>J188+K188</f>
        <v>3223420</v>
      </c>
      <c r="J188" s="43">
        <f>('Додаток 3'!K110+'Додаток 3'!K113+'Додаток 3'!K114)*1000</f>
        <v>3223420</v>
      </c>
      <c r="K188" s="43"/>
    </row>
    <row r="189" spans="1:11" ht="23.25">
      <c r="A189" s="222" t="s">
        <v>362</v>
      </c>
      <c r="B189" s="42"/>
      <c r="C189" s="44">
        <v>1</v>
      </c>
      <c r="D189" s="44">
        <v>1</v>
      </c>
      <c r="E189" s="43"/>
      <c r="F189" s="44">
        <v>1</v>
      </c>
      <c r="G189" s="44">
        <v>1</v>
      </c>
      <c r="H189" s="44"/>
      <c r="I189" s="44">
        <v>1</v>
      </c>
      <c r="J189" s="44">
        <v>1</v>
      </c>
      <c r="K189" s="43"/>
    </row>
    <row r="190" spans="1:11" ht="46.5">
      <c r="A190" s="222" t="s">
        <v>367</v>
      </c>
      <c r="B190" s="46"/>
      <c r="C190" s="44">
        <f>C188/C189/12</f>
        <v>1016600</v>
      </c>
      <c r="D190" s="44">
        <f>D188/D189/12</f>
        <v>1016600</v>
      </c>
      <c r="E190" s="44"/>
      <c r="F190" s="44">
        <f>F188/F189/12</f>
        <v>248983.33333333334</v>
      </c>
      <c r="G190" s="44">
        <f>G188/G189/12</f>
        <v>248983.33333333334</v>
      </c>
      <c r="H190" s="44"/>
      <c r="I190" s="44">
        <f>I188/I189/12</f>
        <v>268618.33333333331</v>
      </c>
      <c r="J190" s="44">
        <f>J188/J189/12</f>
        <v>268618.33333333331</v>
      </c>
      <c r="K190" s="43"/>
    </row>
    <row r="191" spans="1:11" ht="23.25">
      <c r="A191" s="56" t="s">
        <v>115</v>
      </c>
      <c r="B191" s="597" t="s">
        <v>466</v>
      </c>
      <c r="C191" s="598"/>
      <c r="D191" s="598"/>
      <c r="E191" s="598"/>
      <c r="F191" s="598"/>
      <c r="G191" s="598"/>
      <c r="H191" s="598"/>
      <c r="I191" s="598"/>
      <c r="J191" s="598"/>
      <c r="K191" s="599"/>
    </row>
    <row r="192" spans="1:11" ht="22.5">
      <c r="A192" s="186" t="s">
        <v>125</v>
      </c>
      <c r="B192" s="591" t="s">
        <v>163</v>
      </c>
      <c r="C192" s="591"/>
      <c r="D192" s="591"/>
      <c r="E192" s="591"/>
      <c r="F192" s="591"/>
      <c r="G192" s="591"/>
      <c r="H192" s="591"/>
      <c r="I192" s="591"/>
      <c r="J192" s="591"/>
      <c r="K192" s="591"/>
    </row>
    <row r="193" spans="1:11" ht="23.25">
      <c r="A193" s="206" t="s">
        <v>120</v>
      </c>
      <c r="B193" s="46">
        <f>C193+F193+I193</f>
        <v>58800</v>
      </c>
      <c r="C193" s="44">
        <f>D193</f>
        <v>0</v>
      </c>
      <c r="D193" s="44"/>
      <c r="E193" s="44"/>
      <c r="F193" s="44">
        <f>G193</f>
        <v>58800</v>
      </c>
      <c r="G193" s="44">
        <f>'Додаток 3'!J116*1000</f>
        <v>58800</v>
      </c>
      <c r="H193" s="44"/>
      <c r="I193" s="44">
        <f>J193</f>
        <v>0</v>
      </c>
      <c r="J193" s="44"/>
      <c r="K193" s="43"/>
    </row>
    <row r="194" spans="1:11" ht="23.25">
      <c r="A194" s="206" t="s">
        <v>122</v>
      </c>
      <c r="B194" s="46"/>
      <c r="C194" s="44"/>
      <c r="D194" s="44"/>
      <c r="E194" s="44"/>
      <c r="F194" s="44"/>
      <c r="G194" s="44"/>
      <c r="H194" s="44"/>
      <c r="I194" s="44"/>
      <c r="J194" s="44"/>
      <c r="K194" s="43"/>
    </row>
    <row r="195" spans="1:11" ht="46.5">
      <c r="A195" s="213" t="s">
        <v>468</v>
      </c>
      <c r="B195" s="46"/>
      <c r="C195" s="44"/>
      <c r="D195" s="44"/>
      <c r="E195" s="44"/>
      <c r="F195" s="44">
        <f t="shared" ref="F195:F198" si="3">G195</f>
        <v>2940</v>
      </c>
      <c r="G195" s="44">
        <v>2940</v>
      </c>
      <c r="H195" s="44"/>
      <c r="I195" s="44"/>
      <c r="J195" s="44"/>
      <c r="K195" s="43"/>
    </row>
    <row r="196" spans="1:11" ht="23.25">
      <c r="A196" s="213" t="s">
        <v>441</v>
      </c>
      <c r="B196" s="46"/>
      <c r="C196" s="44"/>
      <c r="D196" s="44"/>
      <c r="E196" s="44"/>
      <c r="F196" s="44">
        <f t="shared" si="3"/>
        <v>980</v>
      </c>
      <c r="G196" s="44">
        <v>980</v>
      </c>
      <c r="H196" s="44"/>
      <c r="I196" s="44"/>
      <c r="J196" s="44"/>
      <c r="K196" s="43"/>
    </row>
    <row r="197" spans="1:11" ht="23.25">
      <c r="A197" s="206" t="s">
        <v>123</v>
      </c>
      <c r="B197" s="46"/>
      <c r="C197" s="44"/>
      <c r="D197" s="44"/>
      <c r="E197" s="44"/>
      <c r="F197" s="44"/>
      <c r="G197" s="44"/>
      <c r="H197" s="44"/>
      <c r="I197" s="44"/>
      <c r="J197" s="44"/>
      <c r="K197" s="43"/>
    </row>
    <row r="198" spans="1:11" ht="46.5">
      <c r="A198" s="217" t="s">
        <v>442</v>
      </c>
      <c r="B198" s="46"/>
      <c r="C198" s="44"/>
      <c r="D198" s="44"/>
      <c r="E198" s="44"/>
      <c r="F198" s="44">
        <f t="shared" si="3"/>
        <v>60</v>
      </c>
      <c r="G198" s="44">
        <f>G193/G196</f>
        <v>60</v>
      </c>
      <c r="H198" s="44"/>
      <c r="I198" s="44"/>
      <c r="J198" s="44"/>
      <c r="K198" s="43"/>
    </row>
    <row r="199" spans="1:11" ht="23.25">
      <c r="A199" s="53" t="s">
        <v>115</v>
      </c>
      <c r="B199" s="596" t="s">
        <v>268</v>
      </c>
      <c r="C199" s="596"/>
      <c r="D199" s="596"/>
      <c r="E199" s="596"/>
      <c r="F199" s="596"/>
      <c r="G199" s="596"/>
      <c r="H199" s="596"/>
      <c r="I199" s="596"/>
      <c r="J199" s="596"/>
      <c r="K199" s="596"/>
    </row>
    <row r="200" spans="1:11" ht="20.25" customHeight="1">
      <c r="A200" s="186" t="s">
        <v>127</v>
      </c>
      <c r="B200" s="592" t="s">
        <v>128</v>
      </c>
      <c r="C200" s="592"/>
      <c r="D200" s="592"/>
      <c r="E200" s="592"/>
      <c r="F200" s="592"/>
      <c r="G200" s="592"/>
      <c r="H200" s="592"/>
      <c r="I200" s="592"/>
      <c r="J200" s="592"/>
      <c r="K200" s="592"/>
    </row>
    <row r="201" spans="1:11" ht="22.5">
      <c r="A201" s="222" t="s">
        <v>120</v>
      </c>
      <c r="B201" s="42">
        <f>C201+F201+I201</f>
        <v>22372175</v>
      </c>
      <c r="C201" s="222">
        <f>D201+E201</f>
        <v>6738000</v>
      </c>
      <c r="D201" s="222">
        <f>'Додаток 3'!I124*1000</f>
        <v>6738000</v>
      </c>
      <c r="E201" s="222"/>
      <c r="F201" s="222">
        <f>G201</f>
        <v>7564600</v>
      </c>
      <c r="G201" s="222">
        <f>'Додаток 3'!J124*1000</f>
        <v>7564600</v>
      </c>
      <c r="H201" s="222"/>
      <c r="I201" s="222">
        <f>J201</f>
        <v>8069575</v>
      </c>
      <c r="J201" s="222">
        <f>'Додаток 3'!K124*1000</f>
        <v>8069575</v>
      </c>
      <c r="K201" s="222"/>
    </row>
    <row r="202" spans="1:11" ht="23.25">
      <c r="A202" s="222" t="s">
        <v>362</v>
      </c>
      <c r="B202" s="42"/>
      <c r="C202" s="44">
        <v>1</v>
      </c>
      <c r="D202" s="44">
        <v>1</v>
      </c>
      <c r="E202" s="43"/>
      <c r="F202" s="44">
        <f>G202</f>
        <v>1</v>
      </c>
      <c r="G202" s="44">
        <v>1</v>
      </c>
      <c r="H202" s="44"/>
      <c r="I202" s="44">
        <f>J202</f>
        <v>1</v>
      </c>
      <c r="J202" s="43">
        <v>1</v>
      </c>
      <c r="K202" s="43"/>
    </row>
    <row r="203" spans="1:11" ht="46.5">
      <c r="A203" s="222" t="s">
        <v>370</v>
      </c>
      <c r="B203" s="46"/>
      <c r="C203" s="44">
        <f>C201/C202/12</f>
        <v>561500</v>
      </c>
      <c r="D203" s="44">
        <f>D201/D202/12</f>
        <v>561500</v>
      </c>
      <c r="E203" s="44"/>
      <c r="F203" s="44">
        <f>G203</f>
        <v>630383.33333333337</v>
      </c>
      <c r="G203" s="44">
        <f>G201/G202/12</f>
        <v>630383.33333333337</v>
      </c>
      <c r="H203" s="44"/>
      <c r="I203" s="44">
        <f>J203</f>
        <v>672464.58333333337</v>
      </c>
      <c r="J203" s="44">
        <f>J201/J202/12</f>
        <v>672464.58333333337</v>
      </c>
      <c r="K203" s="43"/>
    </row>
    <row r="204" spans="1:11" ht="22.5">
      <c r="A204" s="587" t="s">
        <v>209</v>
      </c>
      <c r="B204" s="587"/>
      <c r="C204" s="587"/>
      <c r="D204" s="587"/>
      <c r="E204" s="587"/>
      <c r="F204" s="587"/>
      <c r="G204" s="587"/>
      <c r="H204" s="587"/>
      <c r="I204" s="587"/>
      <c r="J204" s="587"/>
      <c r="K204" s="587"/>
    </row>
    <row r="205" spans="1:11" ht="22.5">
      <c r="A205" s="52" t="s">
        <v>301</v>
      </c>
      <c r="B205" s="42">
        <f t="shared" ref="B205:K205" si="4">B209+B216+B230+B238+B245+B252+B261+B277+B285</f>
        <v>73695431.299999997</v>
      </c>
      <c r="C205" s="42">
        <f t="shared" si="4"/>
        <v>29168829</v>
      </c>
      <c r="D205" s="42">
        <f t="shared" si="4"/>
        <v>29168829</v>
      </c>
      <c r="E205" s="42">
        <f t="shared" si="4"/>
        <v>0</v>
      </c>
      <c r="F205" s="42">
        <f>F209+F216+F230+F238+F245+F252+F261+F277+F285</f>
        <v>25508400</v>
      </c>
      <c r="G205" s="42">
        <f>G209+G216+G230+G238+G245+G252+G261+G277+G285</f>
        <v>25508400</v>
      </c>
      <c r="H205" s="42">
        <f t="shared" si="4"/>
        <v>0</v>
      </c>
      <c r="I205" s="42">
        <f t="shared" si="4"/>
        <v>19018202.300000001</v>
      </c>
      <c r="J205" s="42">
        <f t="shared" si="4"/>
        <v>19018202.300000001</v>
      </c>
      <c r="K205" s="42">
        <f t="shared" si="4"/>
        <v>0</v>
      </c>
    </row>
    <row r="206" spans="1:11" ht="22.5">
      <c r="A206" s="52" t="s">
        <v>117</v>
      </c>
      <c r="B206" s="588"/>
      <c r="C206" s="589"/>
      <c r="D206" s="589"/>
      <c r="E206" s="589"/>
      <c r="F206" s="589"/>
      <c r="G206" s="589"/>
      <c r="H206" s="589"/>
      <c r="I206" s="589"/>
      <c r="J206" s="589"/>
      <c r="K206" s="590"/>
    </row>
    <row r="207" spans="1:11" ht="23.25">
      <c r="A207" s="56" t="s">
        <v>115</v>
      </c>
      <c r="B207" s="583" t="s">
        <v>302</v>
      </c>
      <c r="C207" s="583"/>
      <c r="D207" s="583"/>
      <c r="E207" s="583"/>
      <c r="F207" s="583"/>
      <c r="G207" s="583"/>
      <c r="H207" s="583"/>
      <c r="I207" s="583"/>
      <c r="J207" s="583"/>
      <c r="K207" s="583"/>
    </row>
    <row r="208" spans="1:11" ht="22.5">
      <c r="A208" s="186" t="s">
        <v>147</v>
      </c>
      <c r="B208" s="579" t="s">
        <v>165</v>
      </c>
      <c r="C208" s="580"/>
      <c r="D208" s="580"/>
      <c r="E208" s="580"/>
      <c r="F208" s="580"/>
      <c r="G208" s="580"/>
      <c r="H208" s="580"/>
      <c r="I208" s="580"/>
      <c r="J208" s="580"/>
      <c r="K208" s="581"/>
    </row>
    <row r="209" spans="1:11" ht="22.5">
      <c r="A209" s="222" t="s">
        <v>120</v>
      </c>
      <c r="B209" s="221">
        <f>C209+F209+I209</f>
        <v>16126574.089599997</v>
      </c>
      <c r="C209" s="221">
        <f>D209+E209</f>
        <v>5194000</v>
      </c>
      <c r="D209" s="221">
        <f>'Додаток 3'!I158*1000</f>
        <v>5194000</v>
      </c>
      <c r="E209" s="221"/>
      <c r="F209" s="221">
        <f>G209+H209</f>
        <v>5234409.5999999987</v>
      </c>
      <c r="G209" s="221">
        <f>'Додаток 3'!J158*1000</f>
        <v>5234409.5999999987</v>
      </c>
      <c r="H209" s="221"/>
      <c r="I209" s="221">
        <f>J209+K209</f>
        <v>5698164.4896</v>
      </c>
      <c r="J209" s="221">
        <f>'Додаток 3'!K158*1000</f>
        <v>5698164.4896</v>
      </c>
      <c r="K209" s="197"/>
    </row>
    <row r="210" spans="1:11" ht="23.25">
      <c r="A210" s="222" t="s">
        <v>122</v>
      </c>
      <c r="B210" s="46"/>
      <c r="C210" s="44"/>
      <c r="D210" s="44"/>
      <c r="E210" s="44"/>
      <c r="F210" s="44"/>
      <c r="G210" s="44"/>
      <c r="H210" s="44"/>
      <c r="I210" s="44"/>
      <c r="J210" s="44"/>
      <c r="K210" s="43"/>
    </row>
    <row r="211" spans="1:11" ht="23.25">
      <c r="A211" s="57" t="s">
        <v>164</v>
      </c>
      <c r="B211" s="46"/>
      <c r="C211" s="44">
        <v>51807</v>
      </c>
      <c r="D211" s="44">
        <v>51807</v>
      </c>
      <c r="E211" s="44"/>
      <c r="F211" s="44">
        <f>G211</f>
        <v>46138</v>
      </c>
      <c r="G211" s="44">
        <v>46138</v>
      </c>
      <c r="H211" s="44"/>
      <c r="I211" s="44">
        <v>46138</v>
      </c>
      <c r="J211" s="44">
        <v>46138</v>
      </c>
      <c r="K211" s="43"/>
    </row>
    <row r="212" spans="1:11" ht="23.25">
      <c r="A212" s="222" t="s">
        <v>123</v>
      </c>
      <c r="B212" s="46"/>
      <c r="C212" s="44"/>
      <c r="D212" s="44"/>
      <c r="E212" s="44"/>
      <c r="F212" s="44"/>
      <c r="G212" s="44"/>
      <c r="H212" s="44"/>
      <c r="I212" s="44"/>
      <c r="J212" s="44"/>
      <c r="K212" s="43"/>
    </row>
    <row r="213" spans="1:11" ht="23.25">
      <c r="A213" s="55" t="s">
        <v>303</v>
      </c>
      <c r="B213" s="46"/>
      <c r="C213" s="44">
        <f>C209/C211</f>
        <v>100.25672206458587</v>
      </c>
      <c r="D213" s="44">
        <f>D209/D211</f>
        <v>100.25672206458587</v>
      </c>
      <c r="E213" s="44"/>
      <c r="F213" s="44">
        <f>G213</f>
        <v>113.45115956478388</v>
      </c>
      <c r="G213" s="44">
        <f>G209/G211</f>
        <v>113.45115956478388</v>
      </c>
      <c r="H213" s="44"/>
      <c r="I213" s="44">
        <f>I209/I211</f>
        <v>123.50263317872469</v>
      </c>
      <c r="J213" s="44">
        <f>J209/J211</f>
        <v>123.50263317872469</v>
      </c>
      <c r="K213" s="43"/>
    </row>
    <row r="214" spans="1:11" ht="23.25">
      <c r="A214" s="56" t="s">
        <v>115</v>
      </c>
      <c r="B214" s="583" t="s">
        <v>304</v>
      </c>
      <c r="C214" s="583"/>
      <c r="D214" s="583"/>
      <c r="E214" s="583"/>
      <c r="F214" s="583"/>
      <c r="G214" s="583"/>
      <c r="H214" s="583"/>
      <c r="I214" s="583"/>
      <c r="J214" s="583"/>
      <c r="K214" s="583"/>
    </row>
    <row r="215" spans="1:11" ht="22.5">
      <c r="A215" s="186" t="s">
        <v>147</v>
      </c>
      <c r="B215" s="579" t="s">
        <v>165</v>
      </c>
      <c r="C215" s="580"/>
      <c r="D215" s="580"/>
      <c r="E215" s="580"/>
      <c r="F215" s="580"/>
      <c r="G215" s="580"/>
      <c r="H215" s="580"/>
      <c r="I215" s="580"/>
      <c r="J215" s="580"/>
      <c r="K215" s="581"/>
    </row>
    <row r="216" spans="1:11" ht="22.5">
      <c r="A216" s="222" t="s">
        <v>120</v>
      </c>
      <c r="B216" s="221">
        <f>C216+F216+I216</f>
        <v>2688952.3</v>
      </c>
      <c r="C216" s="221">
        <f>D216+E216</f>
        <v>833400.00000000012</v>
      </c>
      <c r="D216" s="221">
        <f>'Додаток 3'!I161*1000</f>
        <v>833400.00000000012</v>
      </c>
      <c r="E216" s="221"/>
      <c r="F216" s="221">
        <f>G216+H216</f>
        <v>900700</v>
      </c>
      <c r="G216" s="221">
        <f>'Додаток 3'!J161*1000</f>
        <v>900700</v>
      </c>
      <c r="H216" s="221"/>
      <c r="I216" s="221">
        <f>J216+K216</f>
        <v>954852.3</v>
      </c>
      <c r="J216" s="221">
        <f>'Додаток 3'!K161*1000</f>
        <v>954852.3</v>
      </c>
      <c r="K216" s="221"/>
    </row>
    <row r="217" spans="1:11" ht="23.25">
      <c r="A217" s="59" t="s">
        <v>373</v>
      </c>
      <c r="B217" s="221"/>
      <c r="C217" s="187">
        <v>665590</v>
      </c>
      <c r="D217" s="61"/>
      <c r="E217" s="198"/>
      <c r="F217" s="187">
        <v>567300</v>
      </c>
      <c r="G217" s="187">
        <v>567300</v>
      </c>
      <c r="H217" s="198"/>
      <c r="I217" s="187">
        <v>604449</v>
      </c>
      <c r="J217" s="187">
        <v>604449</v>
      </c>
      <c r="K217" s="221"/>
    </row>
    <row r="218" spans="1:11" ht="46.5">
      <c r="A218" s="59" t="s">
        <v>374</v>
      </c>
      <c r="B218" s="221"/>
      <c r="C218" s="187">
        <v>155810</v>
      </c>
      <c r="D218" s="187">
        <v>155810</v>
      </c>
      <c r="E218" s="198"/>
      <c r="F218" s="187">
        <v>300000</v>
      </c>
      <c r="G218" s="187">
        <v>300000</v>
      </c>
      <c r="H218" s="198"/>
      <c r="I218" s="187">
        <f>F218*1.051</f>
        <v>315300</v>
      </c>
      <c r="J218" s="187">
        <f>G218*1.051</f>
        <v>315300</v>
      </c>
      <c r="K218" s="221"/>
    </row>
    <row r="219" spans="1:11" ht="47.25" customHeight="1">
      <c r="A219" s="59" t="s">
        <v>375</v>
      </c>
      <c r="B219" s="221"/>
      <c r="C219" s="187">
        <v>12000</v>
      </c>
      <c r="D219" s="187">
        <v>12000</v>
      </c>
      <c r="E219" s="198"/>
      <c r="F219" s="187">
        <v>33400</v>
      </c>
      <c r="G219" s="187">
        <v>33400</v>
      </c>
      <c r="H219" s="198"/>
      <c r="I219" s="187">
        <f>F219*1.051</f>
        <v>35103.399999999994</v>
      </c>
      <c r="J219" s="187">
        <f>G219*1.051</f>
        <v>35103.399999999994</v>
      </c>
      <c r="K219" s="221"/>
    </row>
    <row r="220" spans="1:11" ht="23.25">
      <c r="A220" s="222" t="s">
        <v>122</v>
      </c>
      <c r="B220" s="46"/>
      <c r="C220" s="44"/>
      <c r="D220" s="44"/>
      <c r="E220" s="44"/>
      <c r="F220" s="44"/>
      <c r="G220" s="44"/>
      <c r="H220" s="44"/>
      <c r="I220" s="44"/>
      <c r="J220" s="44"/>
      <c r="K220" s="43"/>
    </row>
    <row r="221" spans="1:11" ht="23.25">
      <c r="A221" s="59" t="s">
        <v>166</v>
      </c>
      <c r="B221" s="46"/>
      <c r="C221" s="44">
        <v>60100</v>
      </c>
      <c r="D221" s="44">
        <v>60100</v>
      </c>
      <c r="E221" s="44"/>
      <c r="F221" s="44">
        <v>54221</v>
      </c>
      <c r="G221" s="44">
        <v>54221</v>
      </c>
      <c r="H221" s="44"/>
      <c r="I221" s="44">
        <v>60100</v>
      </c>
      <c r="J221" s="44">
        <v>60100</v>
      </c>
      <c r="K221" s="43"/>
    </row>
    <row r="222" spans="1:11" ht="23.25">
      <c r="A222" s="59" t="s">
        <v>167</v>
      </c>
      <c r="B222" s="46"/>
      <c r="C222" s="44">
        <v>2250</v>
      </c>
      <c r="D222" s="44">
        <v>2250</v>
      </c>
      <c r="E222" s="44"/>
      <c r="F222" s="44">
        <v>3281</v>
      </c>
      <c r="G222" s="44">
        <v>3281</v>
      </c>
      <c r="H222" s="44"/>
      <c r="I222" s="44">
        <v>2250</v>
      </c>
      <c r="J222" s="44">
        <v>2250</v>
      </c>
      <c r="K222" s="43"/>
    </row>
    <row r="223" spans="1:11" ht="23.25">
      <c r="A223" s="59" t="s">
        <v>168</v>
      </c>
      <c r="B223" s="46"/>
      <c r="C223" s="44">
        <v>150</v>
      </c>
      <c r="D223" s="44">
        <v>150</v>
      </c>
      <c r="E223" s="44"/>
      <c r="F223" s="44">
        <v>3895</v>
      </c>
      <c r="G223" s="44">
        <v>3895</v>
      </c>
      <c r="H223" s="44"/>
      <c r="I223" s="44">
        <v>3895</v>
      </c>
      <c r="J223" s="44">
        <v>3895</v>
      </c>
      <c r="K223" s="43"/>
    </row>
    <row r="224" spans="1:11" ht="23.25">
      <c r="A224" s="222" t="s">
        <v>123</v>
      </c>
      <c r="B224" s="46"/>
      <c r="C224" s="44"/>
      <c r="D224" s="44"/>
      <c r="E224" s="44"/>
      <c r="F224" s="44"/>
      <c r="G224" s="44"/>
      <c r="H224" s="44"/>
      <c r="I224" s="44"/>
      <c r="J224" s="44"/>
      <c r="K224" s="43"/>
    </row>
    <row r="225" spans="1:11" ht="23.25">
      <c r="A225" s="55" t="s">
        <v>169</v>
      </c>
      <c r="B225" s="46"/>
      <c r="C225" s="44">
        <f t="shared" ref="C225:D227" si="5">C217/C221</f>
        <v>11.074708818635607</v>
      </c>
      <c r="D225" s="44">
        <f t="shared" si="5"/>
        <v>0</v>
      </c>
      <c r="E225" s="44"/>
      <c r="F225" s="44">
        <f t="shared" ref="F225:G227" si="6">F217/F221</f>
        <v>10.462735840357057</v>
      </c>
      <c r="G225" s="44">
        <f t="shared" si="6"/>
        <v>10.462735840357057</v>
      </c>
      <c r="H225" s="44"/>
      <c r="I225" s="44">
        <f t="shared" ref="I225:J227" si="7">I217/I221</f>
        <v>10.057387687188021</v>
      </c>
      <c r="J225" s="44">
        <f t="shared" si="7"/>
        <v>10.057387687188021</v>
      </c>
      <c r="K225" s="43"/>
    </row>
    <row r="226" spans="1:11" ht="46.5">
      <c r="A226" s="55" t="s">
        <v>371</v>
      </c>
      <c r="B226" s="46"/>
      <c r="C226" s="44">
        <f t="shared" si="5"/>
        <v>69.248888888888885</v>
      </c>
      <c r="D226" s="44">
        <f t="shared" si="5"/>
        <v>69.248888888888885</v>
      </c>
      <c r="E226" s="44"/>
      <c r="F226" s="44">
        <f t="shared" si="6"/>
        <v>91.435537945748251</v>
      </c>
      <c r="G226" s="44">
        <f t="shared" si="6"/>
        <v>91.435537945748251</v>
      </c>
      <c r="H226" s="44"/>
      <c r="I226" s="44">
        <f t="shared" si="7"/>
        <v>140.13333333333333</v>
      </c>
      <c r="J226" s="44">
        <f t="shared" si="7"/>
        <v>140.13333333333333</v>
      </c>
      <c r="K226" s="43"/>
    </row>
    <row r="227" spans="1:11" ht="46.5">
      <c r="A227" s="55" t="s">
        <v>372</v>
      </c>
      <c r="B227" s="46"/>
      <c r="C227" s="44">
        <f t="shared" si="5"/>
        <v>80</v>
      </c>
      <c r="D227" s="44">
        <f t="shared" si="5"/>
        <v>80</v>
      </c>
      <c r="E227" s="44"/>
      <c r="F227" s="44">
        <f t="shared" si="6"/>
        <v>8.5750962772785631</v>
      </c>
      <c r="G227" s="44">
        <f t="shared" si="6"/>
        <v>8.5750962772785631</v>
      </c>
      <c r="H227" s="44"/>
      <c r="I227" s="44">
        <f t="shared" si="7"/>
        <v>9.0124261874197682</v>
      </c>
      <c r="J227" s="44">
        <f t="shared" si="7"/>
        <v>9.0124261874197682</v>
      </c>
      <c r="K227" s="43"/>
    </row>
    <row r="228" spans="1:11" ht="23.25">
      <c r="A228" s="56" t="s">
        <v>115</v>
      </c>
      <c r="B228" s="583" t="s">
        <v>305</v>
      </c>
      <c r="C228" s="583"/>
      <c r="D228" s="583"/>
      <c r="E228" s="583"/>
      <c r="F228" s="583"/>
      <c r="G228" s="583"/>
      <c r="H228" s="583"/>
      <c r="I228" s="583"/>
      <c r="J228" s="583"/>
      <c r="K228" s="583"/>
    </row>
    <row r="229" spans="1:11" ht="22.5">
      <c r="A229" s="186" t="s">
        <v>118</v>
      </c>
      <c r="B229" s="579" t="s">
        <v>162</v>
      </c>
      <c r="C229" s="580"/>
      <c r="D229" s="580"/>
      <c r="E229" s="580"/>
      <c r="F229" s="580"/>
      <c r="G229" s="580"/>
      <c r="H229" s="580"/>
      <c r="I229" s="580"/>
      <c r="J229" s="580"/>
      <c r="K229" s="581"/>
    </row>
    <row r="230" spans="1:11" ht="23.25">
      <c r="A230" s="222" t="s">
        <v>120</v>
      </c>
      <c r="B230" s="221">
        <f>C230+F230+I230</f>
        <v>900000</v>
      </c>
      <c r="C230" s="221">
        <f>D230+E230</f>
        <v>900000</v>
      </c>
      <c r="D230" s="218">
        <f>'Додаток 3'!I164*1000</f>
        <v>900000</v>
      </c>
      <c r="E230" s="221"/>
      <c r="F230" s="221">
        <f>G230+H230</f>
        <v>0</v>
      </c>
      <c r="G230" s="221">
        <f>'Додаток 3'!J164*1000</f>
        <v>0</v>
      </c>
      <c r="H230" s="221"/>
      <c r="I230" s="221">
        <f>J230+K230</f>
        <v>0</v>
      </c>
      <c r="J230" s="221">
        <f>'Додаток 3'!K164*1000</f>
        <v>0</v>
      </c>
      <c r="K230" s="221"/>
    </row>
    <row r="231" spans="1:11" ht="23.25">
      <c r="A231" s="222" t="s">
        <v>122</v>
      </c>
      <c r="B231" s="46"/>
      <c r="C231" s="44"/>
      <c r="D231" s="44"/>
      <c r="E231" s="44"/>
      <c r="F231" s="44"/>
      <c r="G231" s="44"/>
      <c r="H231" s="44"/>
      <c r="I231" s="44"/>
      <c r="J231" s="44"/>
      <c r="K231" s="43"/>
    </row>
    <row r="232" spans="1:11" ht="46.5">
      <c r="A232" s="59" t="s">
        <v>170</v>
      </c>
      <c r="B232" s="46"/>
      <c r="C232" s="44">
        <v>6</v>
      </c>
      <c r="D232" s="44">
        <v>6</v>
      </c>
      <c r="E232" s="44"/>
      <c r="F232" s="44"/>
      <c r="G232" s="44"/>
      <c r="H232" s="44"/>
      <c r="I232" s="44"/>
      <c r="J232" s="44"/>
      <c r="K232" s="43"/>
    </row>
    <row r="233" spans="1:11" ht="23.25">
      <c r="A233" s="222" t="s">
        <v>123</v>
      </c>
      <c r="B233" s="46"/>
      <c r="C233" s="44"/>
      <c r="D233" s="44"/>
      <c r="E233" s="44"/>
      <c r="F233" s="44"/>
      <c r="G233" s="44"/>
      <c r="H233" s="44"/>
      <c r="I233" s="44"/>
      <c r="J233" s="44"/>
      <c r="K233" s="43"/>
    </row>
    <row r="234" spans="1:11" ht="53.25" customHeight="1">
      <c r="A234" s="55" t="s">
        <v>376</v>
      </c>
      <c r="B234" s="46"/>
      <c r="C234" s="44">
        <f>C230/C232</f>
        <v>150000</v>
      </c>
      <c r="D234" s="44">
        <f>D230/D232</f>
        <v>150000</v>
      </c>
      <c r="E234" s="44"/>
      <c r="F234" s="44"/>
      <c r="G234" s="44"/>
      <c r="H234" s="44"/>
      <c r="I234" s="44"/>
      <c r="J234" s="44"/>
      <c r="K234" s="43"/>
    </row>
    <row r="235" spans="1:11" ht="23.25">
      <c r="A235" s="56" t="s">
        <v>115</v>
      </c>
      <c r="B235" s="583" t="s">
        <v>306</v>
      </c>
      <c r="C235" s="583"/>
      <c r="D235" s="583"/>
      <c r="E235" s="583"/>
      <c r="F235" s="583"/>
      <c r="G235" s="583"/>
      <c r="H235" s="583"/>
      <c r="I235" s="583"/>
      <c r="J235" s="583"/>
      <c r="K235" s="583"/>
    </row>
    <row r="236" spans="1:11" ht="22.5">
      <c r="A236" s="186" t="s">
        <v>118</v>
      </c>
      <c r="B236" s="579" t="s">
        <v>162</v>
      </c>
      <c r="C236" s="580"/>
      <c r="D236" s="580"/>
      <c r="E236" s="580"/>
      <c r="F236" s="580"/>
      <c r="G236" s="580"/>
      <c r="H236" s="580"/>
      <c r="I236" s="580"/>
      <c r="J236" s="580"/>
      <c r="K236" s="581"/>
    </row>
    <row r="237" spans="1:11" ht="20.25" customHeight="1">
      <c r="A237" s="186" t="s">
        <v>160</v>
      </c>
      <c r="B237" s="579" t="s">
        <v>161</v>
      </c>
      <c r="C237" s="580"/>
      <c r="D237" s="580"/>
      <c r="E237" s="580"/>
      <c r="F237" s="580"/>
      <c r="G237" s="580"/>
      <c r="H237" s="580"/>
      <c r="I237" s="580"/>
      <c r="J237" s="580"/>
      <c r="K237" s="581"/>
    </row>
    <row r="238" spans="1:11" ht="22.5">
      <c r="A238" s="222" t="s">
        <v>120</v>
      </c>
      <c r="B238" s="221">
        <f>C238+F238+I238</f>
        <v>25082925.910400003</v>
      </c>
      <c r="C238" s="221">
        <f>D238+E238</f>
        <v>7490900</v>
      </c>
      <c r="D238" s="221">
        <f>'Додаток 3'!I165*1000</f>
        <v>7490900</v>
      </c>
      <c r="E238" s="221"/>
      <c r="F238" s="221">
        <f>G238+H238</f>
        <v>8565590.4000000004</v>
      </c>
      <c r="G238" s="221">
        <f>'Додаток 3'!J165*1000</f>
        <v>8565590.4000000004</v>
      </c>
      <c r="H238" s="221"/>
      <c r="I238" s="221">
        <f>J238+K238</f>
        <v>9026435.510400001</v>
      </c>
      <c r="J238" s="221">
        <f>'Додаток 3'!K165*1000</f>
        <v>9026435.510400001</v>
      </c>
      <c r="K238" s="221"/>
    </row>
    <row r="239" spans="1:11" ht="23.25">
      <c r="A239" s="222" t="s">
        <v>122</v>
      </c>
      <c r="B239" s="46"/>
      <c r="C239" s="44"/>
      <c r="D239" s="44"/>
      <c r="E239" s="44"/>
      <c r="F239" s="44"/>
      <c r="G239" s="44"/>
      <c r="H239" s="44"/>
      <c r="I239" s="44"/>
      <c r="J239" s="44"/>
      <c r="K239" s="43"/>
    </row>
    <row r="240" spans="1:11" ht="46.5">
      <c r="A240" s="59" t="s">
        <v>171</v>
      </c>
      <c r="B240" s="46"/>
      <c r="C240" s="44">
        <v>39</v>
      </c>
      <c r="D240" s="44">
        <v>39</v>
      </c>
      <c r="E240" s="44"/>
      <c r="F240" s="44">
        <v>39</v>
      </c>
      <c r="G240" s="44">
        <v>39</v>
      </c>
      <c r="H240" s="44"/>
      <c r="I240" s="44">
        <v>39</v>
      </c>
      <c r="J240" s="44">
        <v>39</v>
      </c>
      <c r="K240" s="43"/>
    </row>
    <row r="241" spans="1:11" ht="23.25">
      <c r="A241" s="222" t="s">
        <v>123</v>
      </c>
      <c r="B241" s="46"/>
      <c r="C241" s="44"/>
      <c r="D241" s="44"/>
      <c r="E241" s="44"/>
      <c r="F241" s="44"/>
      <c r="G241" s="44"/>
      <c r="H241" s="44"/>
      <c r="I241" s="44"/>
      <c r="J241" s="44"/>
      <c r="K241" s="43"/>
    </row>
    <row r="242" spans="1:11" ht="69.75" customHeight="1">
      <c r="A242" s="55" t="s">
        <v>172</v>
      </c>
      <c r="B242" s="46"/>
      <c r="C242" s="44">
        <f>C238/C240</f>
        <v>192074.35897435897</v>
      </c>
      <c r="D242" s="44">
        <f>D238/D240</f>
        <v>192074.35897435897</v>
      </c>
      <c r="E242" s="44"/>
      <c r="F242" s="44">
        <f>F238/F240</f>
        <v>219630.5230769231</v>
      </c>
      <c r="G242" s="44">
        <f>G238/G240</f>
        <v>219630.5230769231</v>
      </c>
      <c r="H242" s="44"/>
      <c r="I242" s="44">
        <f>I238/I240</f>
        <v>231447.06436923079</v>
      </c>
      <c r="J242" s="44">
        <f>J238/J240</f>
        <v>231447.06436923079</v>
      </c>
      <c r="K242" s="43"/>
    </row>
    <row r="243" spans="1:11" ht="23.25">
      <c r="A243" s="56" t="s">
        <v>115</v>
      </c>
      <c r="B243" s="583" t="s">
        <v>307</v>
      </c>
      <c r="C243" s="583"/>
      <c r="D243" s="583"/>
      <c r="E243" s="583"/>
      <c r="F243" s="583"/>
      <c r="G243" s="583"/>
      <c r="H243" s="583"/>
      <c r="I243" s="583"/>
      <c r="J243" s="583"/>
      <c r="K243" s="583"/>
    </row>
    <row r="244" spans="1:11" ht="22.5">
      <c r="A244" s="186" t="s">
        <v>118</v>
      </c>
      <c r="B244" s="579" t="s">
        <v>162</v>
      </c>
      <c r="C244" s="580"/>
      <c r="D244" s="580"/>
      <c r="E244" s="580"/>
      <c r="F244" s="580"/>
      <c r="G244" s="580"/>
      <c r="H244" s="580"/>
      <c r="I244" s="580"/>
      <c r="J244" s="580"/>
      <c r="K244" s="581"/>
    </row>
    <row r="245" spans="1:11" ht="22.5">
      <c r="A245" s="222" t="s">
        <v>120</v>
      </c>
      <c r="B245" s="221">
        <f>C245+F245+I245</f>
        <v>420000</v>
      </c>
      <c r="C245" s="221">
        <f>D245+E245</f>
        <v>420000</v>
      </c>
      <c r="D245" s="221">
        <f>'Додаток 3'!I169*1000</f>
        <v>420000</v>
      </c>
      <c r="E245" s="221"/>
      <c r="F245" s="221">
        <f>G245+H245</f>
        <v>0</v>
      </c>
      <c r="G245" s="221">
        <f>'Додаток 3'!J169*1000</f>
        <v>0</v>
      </c>
      <c r="H245" s="221"/>
      <c r="I245" s="221">
        <f>J245+K245</f>
        <v>0</v>
      </c>
      <c r="J245" s="221">
        <f>'Додаток 3'!K169*1000</f>
        <v>0</v>
      </c>
      <c r="K245" s="221"/>
    </row>
    <row r="246" spans="1:11" ht="23.25">
      <c r="A246" s="222" t="s">
        <v>122</v>
      </c>
      <c r="B246" s="46"/>
      <c r="C246" s="44"/>
      <c r="D246" s="44"/>
      <c r="E246" s="44"/>
      <c r="F246" s="44"/>
      <c r="G246" s="44"/>
      <c r="H246" s="44"/>
      <c r="I246" s="44"/>
      <c r="J246" s="44"/>
      <c r="K246" s="43"/>
    </row>
    <row r="247" spans="1:11" ht="46.5">
      <c r="A247" s="59" t="s">
        <v>308</v>
      </c>
      <c r="B247" s="46"/>
      <c r="C247" s="44">
        <v>2</v>
      </c>
      <c r="D247" s="44">
        <v>2</v>
      </c>
      <c r="E247" s="44"/>
      <c r="F247" s="44"/>
      <c r="G247" s="44"/>
      <c r="H247" s="44"/>
      <c r="I247" s="44"/>
      <c r="J247" s="44"/>
      <c r="K247" s="43"/>
    </row>
    <row r="248" spans="1:11" ht="23.25">
      <c r="A248" s="222" t="s">
        <v>123</v>
      </c>
      <c r="B248" s="46"/>
      <c r="C248" s="44"/>
      <c r="D248" s="44"/>
      <c r="E248" s="44"/>
      <c r="F248" s="44"/>
      <c r="G248" s="44"/>
      <c r="H248" s="44"/>
      <c r="I248" s="44"/>
      <c r="J248" s="44"/>
      <c r="K248" s="43"/>
    </row>
    <row r="249" spans="1:11" ht="69.75">
      <c r="A249" s="55" t="s">
        <v>173</v>
      </c>
      <c r="B249" s="46"/>
      <c r="C249" s="44">
        <f>C245/C247</f>
        <v>210000</v>
      </c>
      <c r="D249" s="44">
        <f>D245/D247</f>
        <v>210000</v>
      </c>
      <c r="E249" s="44"/>
      <c r="F249" s="44"/>
      <c r="G249" s="44"/>
      <c r="H249" s="44"/>
      <c r="I249" s="44"/>
      <c r="J249" s="44"/>
      <c r="K249" s="43"/>
    </row>
    <row r="250" spans="1:11" ht="23.25">
      <c r="A250" s="56" t="s">
        <v>115</v>
      </c>
      <c r="B250" s="583" t="s">
        <v>56</v>
      </c>
      <c r="C250" s="583"/>
      <c r="D250" s="583"/>
      <c r="E250" s="583"/>
      <c r="F250" s="583"/>
      <c r="G250" s="583"/>
      <c r="H250" s="583"/>
      <c r="I250" s="583"/>
      <c r="J250" s="583"/>
      <c r="K250" s="583"/>
    </row>
    <row r="251" spans="1:11" ht="22.5">
      <c r="A251" s="186" t="s">
        <v>147</v>
      </c>
      <c r="B251" s="579" t="s">
        <v>165</v>
      </c>
      <c r="C251" s="580"/>
      <c r="D251" s="580"/>
      <c r="E251" s="580"/>
      <c r="F251" s="580"/>
      <c r="G251" s="580"/>
      <c r="H251" s="580"/>
      <c r="I251" s="580"/>
      <c r="J251" s="580"/>
      <c r="K251" s="581"/>
    </row>
    <row r="252" spans="1:11" ht="23.25">
      <c r="A252" s="222" t="s">
        <v>120</v>
      </c>
      <c r="B252" s="221">
        <f>C252+F252+I252</f>
        <v>5857900</v>
      </c>
      <c r="C252" s="221">
        <f>D252+E252</f>
        <v>1921300</v>
      </c>
      <c r="D252" s="218">
        <f>'Додаток 3'!I170*1000</f>
        <v>1921300</v>
      </c>
      <c r="E252" s="221"/>
      <c r="F252" s="221">
        <f>G252+H252</f>
        <v>1906600</v>
      </c>
      <c r="G252" s="221">
        <f>'Додаток 3'!J170*1000</f>
        <v>1906600</v>
      </c>
      <c r="H252" s="221"/>
      <c r="I252" s="221">
        <f>J252+K252</f>
        <v>2030000</v>
      </c>
      <c r="J252" s="221">
        <f>'Додаток 3'!K170*1000</f>
        <v>2030000</v>
      </c>
      <c r="K252" s="190"/>
    </row>
    <row r="253" spans="1:11" ht="23.25">
      <c r="A253" s="222" t="s">
        <v>122</v>
      </c>
      <c r="B253" s="46"/>
      <c r="C253" s="44"/>
      <c r="D253" s="44"/>
      <c r="E253" s="44"/>
      <c r="F253" s="44"/>
      <c r="G253" s="44"/>
      <c r="H253" s="44"/>
      <c r="I253" s="44"/>
      <c r="J253" s="44"/>
      <c r="K253" s="43"/>
    </row>
    <row r="254" spans="1:11" ht="46.5">
      <c r="A254" s="59" t="s">
        <v>174</v>
      </c>
      <c r="B254" s="46"/>
      <c r="C254" s="44">
        <v>8805</v>
      </c>
      <c r="D254" s="44">
        <v>8805</v>
      </c>
      <c r="E254" s="44"/>
      <c r="F254" s="44">
        <f>C254</f>
        <v>8805</v>
      </c>
      <c r="G254" s="44">
        <v>8805</v>
      </c>
      <c r="H254" s="44"/>
      <c r="I254" s="44">
        <f>F254</f>
        <v>8805</v>
      </c>
      <c r="J254" s="44">
        <v>8805</v>
      </c>
      <c r="K254" s="43"/>
    </row>
    <row r="255" spans="1:11" ht="54.75" customHeight="1">
      <c r="A255" s="59" t="s">
        <v>175</v>
      </c>
      <c r="B255" s="46"/>
      <c r="C255" s="44">
        <v>749</v>
      </c>
      <c r="D255" s="44">
        <v>749</v>
      </c>
      <c r="E255" s="44"/>
      <c r="F255" s="44">
        <v>749</v>
      </c>
      <c r="G255" s="44">
        <v>749</v>
      </c>
      <c r="H255" s="44"/>
      <c r="I255" s="44">
        <v>749</v>
      </c>
      <c r="J255" s="44">
        <v>749</v>
      </c>
      <c r="K255" s="43"/>
    </row>
    <row r="256" spans="1:11" ht="23.25">
      <c r="A256" s="222" t="s">
        <v>123</v>
      </c>
      <c r="B256" s="46"/>
      <c r="C256" s="44"/>
      <c r="D256" s="44"/>
      <c r="E256" s="44"/>
      <c r="F256" s="44"/>
      <c r="G256" s="44"/>
      <c r="H256" s="44"/>
      <c r="I256" s="44"/>
      <c r="J256" s="44"/>
      <c r="K256" s="43"/>
    </row>
    <row r="257" spans="1:11" ht="24" customHeight="1">
      <c r="A257" s="55" t="s">
        <v>176</v>
      </c>
      <c r="B257" s="46"/>
      <c r="C257" s="44">
        <f>C252/C255</f>
        <v>2565.1535380507344</v>
      </c>
      <c r="D257" s="44">
        <v>2565.1535380507344</v>
      </c>
      <c r="E257" s="44"/>
      <c r="F257" s="44">
        <f>F252/F255</f>
        <v>2545.5273698264355</v>
      </c>
      <c r="G257" s="44">
        <f>G252/G255</f>
        <v>2545.5273698264355</v>
      </c>
      <c r="H257" s="44"/>
      <c r="I257" s="44">
        <f>I252/I255</f>
        <v>2710.2803738317757</v>
      </c>
      <c r="J257" s="44">
        <v>2710.2803738317757</v>
      </c>
      <c r="K257" s="43"/>
    </row>
    <row r="258" spans="1:11" ht="69.75">
      <c r="A258" s="55" t="s">
        <v>177</v>
      </c>
      <c r="B258" s="46"/>
      <c r="C258" s="44">
        <f>C255/C254*100</f>
        <v>8.5065303804656445</v>
      </c>
      <c r="D258" s="44">
        <v>8.5065303804656445</v>
      </c>
      <c r="E258" s="44"/>
      <c r="F258" s="44">
        <f>F255/F254*100</f>
        <v>8.5065303804656445</v>
      </c>
      <c r="G258" s="44">
        <v>9</v>
      </c>
      <c r="H258" s="44"/>
      <c r="I258" s="44">
        <f>I255/I254*100</f>
        <v>8.5065303804656445</v>
      </c>
      <c r="J258" s="44">
        <v>8.5065303804656445</v>
      </c>
      <c r="K258" s="43"/>
    </row>
    <row r="259" spans="1:11" ht="23.25">
      <c r="A259" s="56" t="s">
        <v>115</v>
      </c>
      <c r="B259" s="583" t="s">
        <v>309</v>
      </c>
      <c r="C259" s="583"/>
      <c r="D259" s="583"/>
      <c r="E259" s="583"/>
      <c r="F259" s="583"/>
      <c r="G259" s="583"/>
      <c r="H259" s="583"/>
      <c r="I259" s="583"/>
      <c r="J259" s="583"/>
      <c r="K259" s="583"/>
    </row>
    <row r="260" spans="1:11" ht="22.5">
      <c r="A260" s="186" t="s">
        <v>118</v>
      </c>
      <c r="B260" s="579" t="s">
        <v>162</v>
      </c>
      <c r="C260" s="580"/>
      <c r="D260" s="580"/>
      <c r="E260" s="580"/>
      <c r="F260" s="580"/>
      <c r="G260" s="580"/>
      <c r="H260" s="580"/>
      <c r="I260" s="580"/>
      <c r="J260" s="580"/>
      <c r="K260" s="581"/>
    </row>
    <row r="261" spans="1:11" ht="23.25">
      <c r="A261" s="222" t="s">
        <v>120</v>
      </c>
      <c r="B261" s="221">
        <f>C261+F261+I261</f>
        <v>533400</v>
      </c>
      <c r="C261" s="221">
        <f>D261+E261</f>
        <v>120000</v>
      </c>
      <c r="D261" s="218">
        <f>'Додаток 3'!I173*1000</f>
        <v>120000</v>
      </c>
      <c r="E261" s="221"/>
      <c r="F261" s="221">
        <f>G261+H261</f>
        <v>200000</v>
      </c>
      <c r="G261" s="221">
        <f>'Додаток 3'!J173*1000</f>
        <v>200000</v>
      </c>
      <c r="H261" s="221"/>
      <c r="I261" s="221">
        <f>J261+K261</f>
        <v>213400</v>
      </c>
      <c r="J261" s="221">
        <f>'Додаток 3'!K173*1000</f>
        <v>213400</v>
      </c>
      <c r="K261" s="221"/>
    </row>
    <row r="262" spans="1:11" ht="23.25">
      <c r="A262" s="222" t="s">
        <v>122</v>
      </c>
      <c r="B262" s="221"/>
      <c r="C262" s="190"/>
      <c r="D262" s="56"/>
      <c r="E262" s="190"/>
      <c r="F262" s="190"/>
      <c r="G262" s="190"/>
      <c r="H262" s="190"/>
      <c r="I262" s="190"/>
      <c r="J262" s="190"/>
      <c r="K262" s="221"/>
    </row>
    <row r="263" spans="1:11" ht="46.5">
      <c r="A263" s="59" t="s">
        <v>310</v>
      </c>
      <c r="B263" s="221"/>
      <c r="C263" s="187">
        <v>250</v>
      </c>
      <c r="D263" s="187">
        <v>250</v>
      </c>
      <c r="E263" s="187"/>
      <c r="F263" s="187">
        <f>G263</f>
        <v>150</v>
      </c>
      <c r="G263" s="187">
        <v>150</v>
      </c>
      <c r="H263" s="187"/>
      <c r="I263" s="187">
        <f>J263</f>
        <v>150</v>
      </c>
      <c r="J263" s="187">
        <v>150</v>
      </c>
      <c r="K263" s="221"/>
    </row>
    <row r="264" spans="1:11" ht="23.25" hidden="1">
      <c r="A264" s="222" t="s">
        <v>122</v>
      </c>
      <c r="B264" s="46"/>
      <c r="C264" s="44"/>
      <c r="D264" s="44"/>
      <c r="E264" s="44"/>
      <c r="F264" s="44"/>
      <c r="G264" s="44"/>
      <c r="H264" s="44"/>
      <c r="I264" s="44"/>
      <c r="J264" s="44"/>
      <c r="K264" s="43"/>
    </row>
    <row r="265" spans="1:11" ht="23.25" hidden="1">
      <c r="A265" s="57" t="s">
        <v>121</v>
      </c>
      <c r="B265" s="46"/>
      <c r="C265" s="44">
        <v>1</v>
      </c>
      <c r="D265" s="44">
        <v>1</v>
      </c>
      <c r="E265" s="44"/>
      <c r="F265" s="44">
        <f>C265</f>
        <v>1</v>
      </c>
      <c r="G265" s="44">
        <f>D265</f>
        <v>1</v>
      </c>
      <c r="H265" s="44"/>
      <c r="I265" s="44">
        <f>F265</f>
        <v>1</v>
      </c>
      <c r="J265" s="44">
        <f>G265</f>
        <v>1</v>
      </c>
      <c r="K265" s="43"/>
    </row>
    <row r="266" spans="1:11" ht="46.5" hidden="1">
      <c r="A266" s="59" t="s">
        <v>178</v>
      </c>
      <c r="B266" s="46"/>
      <c r="C266" s="44"/>
      <c r="D266" s="44"/>
      <c r="E266" s="44"/>
      <c r="F266" s="44"/>
      <c r="G266" s="44"/>
      <c r="H266" s="44"/>
      <c r="I266" s="44"/>
      <c r="J266" s="44"/>
      <c r="K266" s="43"/>
    </row>
    <row r="267" spans="1:11" ht="23.25" hidden="1">
      <c r="A267" s="222" t="s">
        <v>123</v>
      </c>
      <c r="B267" s="46"/>
      <c r="C267" s="44"/>
      <c r="D267" s="44"/>
      <c r="E267" s="44"/>
      <c r="F267" s="44"/>
      <c r="G267" s="44"/>
      <c r="H267" s="44"/>
      <c r="I267" s="44"/>
      <c r="J267" s="44"/>
      <c r="K267" s="43"/>
    </row>
    <row r="268" spans="1:11" ht="18" hidden="1" customHeight="1">
      <c r="A268" s="55" t="s">
        <v>179</v>
      </c>
      <c r="B268" s="46"/>
      <c r="C268" s="44" t="e">
        <f>C261/C266</f>
        <v>#DIV/0!</v>
      </c>
      <c r="D268" s="44" t="e">
        <f>D261/D266</f>
        <v>#DIV/0!</v>
      </c>
      <c r="E268" s="44"/>
      <c r="F268" s="44"/>
      <c r="G268" s="44"/>
      <c r="H268" s="44"/>
      <c r="I268" s="44"/>
      <c r="J268" s="44"/>
      <c r="K268" s="43"/>
    </row>
    <row r="269" spans="1:11" ht="17.25" hidden="1" customHeight="1">
      <c r="A269" s="63" t="s">
        <v>124</v>
      </c>
      <c r="B269" s="46"/>
      <c r="C269" s="44"/>
      <c r="D269" s="44"/>
      <c r="E269" s="44"/>
      <c r="F269" s="44"/>
      <c r="G269" s="44"/>
      <c r="H269" s="44"/>
      <c r="I269" s="44"/>
      <c r="J269" s="44"/>
      <c r="K269" s="43"/>
    </row>
    <row r="270" spans="1:11" ht="46.5" hidden="1">
      <c r="A270" s="55" t="s">
        <v>180</v>
      </c>
      <c r="B270" s="46"/>
      <c r="C270" s="44">
        <f>C266/C263*100</f>
        <v>0</v>
      </c>
      <c r="D270" s="44">
        <f>D266/D263*100</f>
        <v>0</v>
      </c>
      <c r="E270" s="44"/>
      <c r="F270" s="44"/>
      <c r="G270" s="44"/>
      <c r="H270" s="44"/>
      <c r="I270" s="44"/>
      <c r="J270" s="44"/>
      <c r="K270" s="43"/>
    </row>
    <row r="271" spans="1:11" ht="46.5">
      <c r="A271" s="55" t="s">
        <v>178</v>
      </c>
      <c r="B271" s="46"/>
      <c r="C271" s="44">
        <v>43</v>
      </c>
      <c r="D271" s="44">
        <v>43</v>
      </c>
      <c r="E271" s="44"/>
      <c r="F271" s="44">
        <f>G271</f>
        <v>67</v>
      </c>
      <c r="G271" s="44">
        <v>67</v>
      </c>
      <c r="H271" s="44"/>
      <c r="I271" s="44">
        <f>J271</f>
        <v>67</v>
      </c>
      <c r="J271" s="44">
        <v>67</v>
      </c>
      <c r="K271" s="43"/>
    </row>
    <row r="272" spans="1:11" ht="23.25">
      <c r="A272" s="222" t="s">
        <v>123</v>
      </c>
      <c r="B272" s="46"/>
      <c r="C272" s="44"/>
      <c r="D272" s="44"/>
      <c r="E272" s="44"/>
      <c r="F272" s="44"/>
      <c r="G272" s="44"/>
      <c r="H272" s="44"/>
      <c r="I272" s="44"/>
      <c r="J272" s="44"/>
      <c r="K272" s="43"/>
    </row>
    <row r="273" spans="1:11" ht="46.5">
      <c r="A273" s="54" t="s">
        <v>311</v>
      </c>
      <c r="B273" s="46"/>
      <c r="C273" s="44">
        <f>C261/C271</f>
        <v>2790.6976744186045</v>
      </c>
      <c r="D273" s="44">
        <f>D261/D271</f>
        <v>2790.6976744186045</v>
      </c>
      <c r="E273" s="44"/>
      <c r="F273" s="44">
        <f>G273</f>
        <v>2985.0746268656717</v>
      </c>
      <c r="G273" s="44">
        <f>G261/G271</f>
        <v>2985.0746268656717</v>
      </c>
      <c r="H273" s="44"/>
      <c r="I273" s="44">
        <f>J273</f>
        <v>3185.0746268656717</v>
      </c>
      <c r="J273" s="44">
        <f>J261/J271</f>
        <v>3185.0746268656717</v>
      </c>
      <c r="K273" s="43"/>
    </row>
    <row r="274" spans="1:11" ht="47.25" customHeight="1">
      <c r="A274" s="55" t="s">
        <v>180</v>
      </c>
      <c r="B274" s="46"/>
      <c r="C274" s="44">
        <f>C271/C263*100</f>
        <v>17.2</v>
      </c>
      <c r="D274" s="44">
        <f>D271/D263*100</f>
        <v>17.2</v>
      </c>
      <c r="E274" s="44"/>
      <c r="F274" s="44">
        <f>G274</f>
        <v>44.666666666666664</v>
      </c>
      <c r="G274" s="44">
        <f>G271/G263*100</f>
        <v>44.666666666666664</v>
      </c>
      <c r="H274" s="44"/>
      <c r="I274" s="44">
        <f>J274</f>
        <v>44.666666666666664</v>
      </c>
      <c r="J274" s="44">
        <f>J271/J263*100</f>
        <v>44.666666666666664</v>
      </c>
      <c r="K274" s="43"/>
    </row>
    <row r="275" spans="1:11" ht="23.25">
      <c r="A275" s="56" t="s">
        <v>115</v>
      </c>
      <c r="B275" s="583" t="s">
        <v>312</v>
      </c>
      <c r="C275" s="583"/>
      <c r="D275" s="583"/>
      <c r="E275" s="583"/>
      <c r="F275" s="583"/>
      <c r="G275" s="583"/>
      <c r="H275" s="583"/>
      <c r="I275" s="583"/>
      <c r="J275" s="583"/>
      <c r="K275" s="583"/>
    </row>
    <row r="276" spans="1:11" ht="22.5">
      <c r="A276" s="186" t="s">
        <v>187</v>
      </c>
      <c r="B276" s="579" t="s">
        <v>188</v>
      </c>
      <c r="C276" s="580"/>
      <c r="D276" s="580"/>
      <c r="E276" s="580"/>
      <c r="F276" s="580"/>
      <c r="G276" s="580"/>
      <c r="H276" s="580"/>
      <c r="I276" s="580"/>
      <c r="J276" s="580"/>
      <c r="K276" s="581"/>
    </row>
    <row r="277" spans="1:11" ht="21.75" customHeight="1">
      <c r="A277" s="222" t="s">
        <v>120</v>
      </c>
      <c r="B277" s="221">
        <f>C277+F277+I277</f>
        <v>19170519</v>
      </c>
      <c r="C277" s="221">
        <f>D277+E277</f>
        <v>11499719.000000002</v>
      </c>
      <c r="D277" s="218">
        <f>'Додаток 3'!I174*1000</f>
        <v>11499719.000000002</v>
      </c>
      <c r="E277" s="221"/>
      <c r="F277" s="221">
        <f>G277</f>
        <v>7670800</v>
      </c>
      <c r="G277" s="221">
        <f>'Додаток 3'!J174*1000</f>
        <v>7670800</v>
      </c>
      <c r="H277" s="221"/>
      <c r="I277" s="221"/>
      <c r="J277" s="221">
        <f>'Додаток 3'!K174*1000</f>
        <v>0</v>
      </c>
      <c r="K277" s="221"/>
    </row>
    <row r="278" spans="1:11" ht="48" customHeight="1">
      <c r="A278" s="54" t="s">
        <v>330</v>
      </c>
      <c r="B278" s="221"/>
      <c r="C278" s="187">
        <v>10532673</v>
      </c>
      <c r="D278" s="187">
        <v>10532673</v>
      </c>
      <c r="E278" s="221"/>
      <c r="F278" s="221"/>
      <c r="G278" s="221">
        <v>9712846</v>
      </c>
      <c r="H278" s="221"/>
      <c r="I278" s="221"/>
      <c r="J278" s="221"/>
      <c r="K278" s="221"/>
    </row>
    <row r="279" spans="1:11" ht="23.25">
      <c r="A279" s="222" t="s">
        <v>122</v>
      </c>
      <c r="B279" s="46"/>
      <c r="C279" s="44"/>
      <c r="D279" s="44"/>
      <c r="E279" s="44"/>
      <c r="F279" s="44"/>
      <c r="G279" s="44"/>
      <c r="H279" s="44"/>
      <c r="I279" s="44"/>
      <c r="J279" s="44"/>
      <c r="K279" s="43"/>
    </row>
    <row r="280" spans="1:11" ht="48.75" customHeight="1">
      <c r="A280" s="59" t="s">
        <v>189</v>
      </c>
      <c r="B280" s="46"/>
      <c r="C280" s="44">
        <v>1492</v>
      </c>
      <c r="D280" s="44">
        <v>1492</v>
      </c>
      <c r="E280" s="44"/>
      <c r="F280" s="44"/>
      <c r="G280" s="44">
        <f>1583+19</f>
        <v>1602</v>
      </c>
      <c r="H280" s="44"/>
      <c r="I280" s="44"/>
      <c r="J280" s="44"/>
      <c r="K280" s="43"/>
    </row>
    <row r="281" spans="1:11" ht="23.25">
      <c r="A281" s="222" t="s">
        <v>123</v>
      </c>
      <c r="B281" s="46"/>
      <c r="C281" s="44"/>
      <c r="D281" s="44"/>
      <c r="E281" s="44"/>
      <c r="F281" s="44"/>
      <c r="G281" s="44"/>
      <c r="H281" s="44"/>
      <c r="I281" s="44"/>
      <c r="J281" s="44"/>
      <c r="K281" s="43"/>
    </row>
    <row r="282" spans="1:11" ht="69.75">
      <c r="A282" s="189" t="s">
        <v>190</v>
      </c>
      <c r="B282" s="46"/>
      <c r="C282" s="44">
        <f>C277/C280</f>
        <v>7707.5864611260067</v>
      </c>
      <c r="D282" s="44">
        <f>D277/D280</f>
        <v>7707.5864611260067</v>
      </c>
      <c r="E282" s="44"/>
      <c r="F282" s="44"/>
      <c r="G282" s="44">
        <f>G277/G280</f>
        <v>4788.2646691635455</v>
      </c>
      <c r="H282" s="44"/>
      <c r="I282" s="44"/>
      <c r="J282" s="44"/>
      <c r="K282" s="43"/>
    </row>
    <row r="283" spans="1:11" ht="42.75" customHeight="1">
      <c r="A283" s="56" t="s">
        <v>115</v>
      </c>
      <c r="B283" s="584" t="s">
        <v>382</v>
      </c>
      <c r="C283" s="585"/>
      <c r="D283" s="585"/>
      <c r="E283" s="585"/>
      <c r="F283" s="585"/>
      <c r="G283" s="585"/>
      <c r="H283" s="585"/>
      <c r="I283" s="585"/>
      <c r="J283" s="585"/>
      <c r="K283" s="586"/>
    </row>
    <row r="284" spans="1:11" ht="20.25" customHeight="1">
      <c r="A284" s="186" t="s">
        <v>118</v>
      </c>
      <c r="B284" s="579" t="s">
        <v>119</v>
      </c>
      <c r="C284" s="580"/>
      <c r="D284" s="580"/>
      <c r="E284" s="580"/>
      <c r="F284" s="580"/>
      <c r="G284" s="580"/>
      <c r="H284" s="580"/>
      <c r="I284" s="580"/>
      <c r="J284" s="580"/>
      <c r="K284" s="581"/>
    </row>
    <row r="285" spans="1:11" ht="22.5">
      <c r="A285" s="222" t="s">
        <v>120</v>
      </c>
      <c r="B285" s="222">
        <f>C285+F285+I285</f>
        <v>2915160</v>
      </c>
      <c r="C285" s="222">
        <f>D285+E285</f>
        <v>789510</v>
      </c>
      <c r="D285" s="222">
        <f>'Додаток 3'!I178*1000</f>
        <v>789510</v>
      </c>
      <c r="E285" s="222"/>
      <c r="F285" s="222">
        <f>G285+H285</f>
        <v>1030300</v>
      </c>
      <c r="G285" s="222">
        <f>'Додаток 3'!J178*1000</f>
        <v>1030300</v>
      </c>
      <c r="H285" s="222"/>
      <c r="I285" s="222">
        <f>J285+K285</f>
        <v>1095350</v>
      </c>
      <c r="J285" s="222">
        <f>'Додаток 3'!K178*1000</f>
        <v>1095350</v>
      </c>
      <c r="K285" s="188"/>
    </row>
    <row r="286" spans="1:11" ht="23.25">
      <c r="A286" s="222" t="s">
        <v>122</v>
      </c>
      <c r="B286" s="46"/>
      <c r="C286" s="44"/>
      <c r="D286" s="44"/>
      <c r="E286" s="44"/>
      <c r="F286" s="44"/>
      <c r="G286" s="44"/>
      <c r="H286" s="44"/>
      <c r="I286" s="44"/>
      <c r="J286" s="44"/>
      <c r="K286" s="43"/>
    </row>
    <row r="287" spans="1:11" ht="23.25">
      <c r="A287" s="57" t="s">
        <v>129</v>
      </c>
      <c r="B287" s="46"/>
      <c r="C287" s="44">
        <v>38</v>
      </c>
      <c r="D287" s="44">
        <v>38</v>
      </c>
      <c r="E287" s="44"/>
      <c r="F287" s="44">
        <v>38</v>
      </c>
      <c r="G287" s="44">
        <v>38</v>
      </c>
      <c r="H287" s="44"/>
      <c r="I287" s="44">
        <v>38</v>
      </c>
      <c r="J287" s="44">
        <v>38</v>
      </c>
      <c r="K287" s="43"/>
    </row>
    <row r="288" spans="1:11" ht="23.25">
      <c r="A288" s="222" t="s">
        <v>123</v>
      </c>
      <c r="B288" s="46"/>
      <c r="C288" s="44"/>
      <c r="D288" s="44"/>
      <c r="E288" s="44"/>
      <c r="F288" s="44"/>
      <c r="G288" s="44"/>
      <c r="H288" s="44"/>
      <c r="I288" s="44"/>
      <c r="J288" s="44"/>
      <c r="K288" s="43"/>
    </row>
    <row r="289" spans="1:11" ht="51.75" customHeight="1">
      <c r="A289" s="57" t="s">
        <v>377</v>
      </c>
      <c r="B289" s="46"/>
      <c r="C289" s="44">
        <f>C285/C287/12</f>
        <v>1731.3815789473683</v>
      </c>
      <c r="D289" s="44">
        <f>D285/D287/12</f>
        <v>1731.3815789473683</v>
      </c>
      <c r="E289" s="44"/>
      <c r="F289" s="44">
        <f>F285/F287/12</f>
        <v>2259.4298245614036</v>
      </c>
      <c r="G289" s="44">
        <f>G285/G287/12</f>
        <v>2259.4298245614036</v>
      </c>
      <c r="H289" s="44"/>
      <c r="I289" s="44">
        <f>I285/I287/12</f>
        <v>2402.0833333333335</v>
      </c>
      <c r="J289" s="44">
        <f>J285/J287/12</f>
        <v>2402.0833333333335</v>
      </c>
      <c r="K289" s="43"/>
    </row>
    <row r="290" spans="1:11" ht="22.5">
      <c r="A290" s="587" t="s">
        <v>390</v>
      </c>
      <c r="B290" s="587"/>
      <c r="C290" s="587"/>
      <c r="D290" s="587"/>
      <c r="E290" s="587"/>
      <c r="F290" s="587"/>
      <c r="G290" s="587"/>
      <c r="H290" s="587"/>
      <c r="I290" s="587"/>
      <c r="J290" s="587"/>
      <c r="K290" s="587"/>
    </row>
    <row r="291" spans="1:11" ht="22.5">
      <c r="A291" s="52" t="s">
        <v>116</v>
      </c>
      <c r="B291" s="42">
        <f t="shared" ref="B291:K291" si="8">B295+B312+B319+B327+B305</f>
        <v>29178190</v>
      </c>
      <c r="C291" s="42">
        <f t="shared" si="8"/>
        <v>23141190</v>
      </c>
      <c r="D291" s="42">
        <f t="shared" si="8"/>
        <v>23141190</v>
      </c>
      <c r="E291" s="42">
        <f t="shared" si="8"/>
        <v>0</v>
      </c>
      <c r="F291" s="42">
        <f t="shared" si="8"/>
        <v>3049300</v>
      </c>
      <c r="G291" s="42">
        <f t="shared" si="8"/>
        <v>3049300</v>
      </c>
      <c r="H291" s="42">
        <f t="shared" si="8"/>
        <v>0</v>
      </c>
      <c r="I291" s="42">
        <f t="shared" si="8"/>
        <v>2987700</v>
      </c>
      <c r="J291" s="42">
        <f t="shared" si="8"/>
        <v>2987700</v>
      </c>
      <c r="K291" s="42">
        <f t="shared" si="8"/>
        <v>0</v>
      </c>
    </row>
    <row r="292" spans="1:11" ht="22.5">
      <c r="A292" s="52" t="s">
        <v>117</v>
      </c>
      <c r="B292" s="588"/>
      <c r="C292" s="589"/>
      <c r="D292" s="589"/>
      <c r="E292" s="589"/>
      <c r="F292" s="589"/>
      <c r="G292" s="589"/>
      <c r="H292" s="589"/>
      <c r="I292" s="589"/>
      <c r="J292" s="589"/>
      <c r="K292" s="590"/>
    </row>
    <row r="293" spans="1:11" ht="23.25">
      <c r="A293" s="56" t="s">
        <v>115</v>
      </c>
      <c r="B293" s="583" t="s">
        <v>413</v>
      </c>
      <c r="C293" s="583"/>
      <c r="D293" s="583"/>
      <c r="E293" s="583"/>
      <c r="F293" s="583"/>
      <c r="G293" s="583"/>
      <c r="H293" s="583"/>
      <c r="I293" s="583"/>
      <c r="J293" s="583"/>
      <c r="K293" s="583"/>
    </row>
    <row r="294" spans="1:11" ht="22.5">
      <c r="A294" s="186" t="s">
        <v>147</v>
      </c>
      <c r="B294" s="579" t="s">
        <v>165</v>
      </c>
      <c r="C294" s="580"/>
      <c r="D294" s="580"/>
      <c r="E294" s="580"/>
      <c r="F294" s="580"/>
      <c r="G294" s="580"/>
      <c r="H294" s="580"/>
      <c r="I294" s="580"/>
      <c r="J294" s="580"/>
      <c r="K294" s="581"/>
    </row>
    <row r="295" spans="1:11" ht="23.25">
      <c r="A295" s="222" t="s">
        <v>120</v>
      </c>
      <c r="B295" s="221">
        <f>C295+F295+I295</f>
        <v>0</v>
      </c>
      <c r="C295" s="221">
        <f>D295+E295</f>
        <v>0</v>
      </c>
      <c r="D295" s="218">
        <f>'Додаток 3'!I202*1000</f>
        <v>0</v>
      </c>
      <c r="E295" s="221"/>
      <c r="F295" s="221">
        <f>G295+H295</f>
        <v>0</v>
      </c>
      <c r="G295" s="221">
        <f>'Додаток 3'!J202*1000</f>
        <v>0</v>
      </c>
      <c r="H295" s="221"/>
      <c r="I295" s="221">
        <f>J295+K295</f>
        <v>0</v>
      </c>
      <c r="J295" s="221">
        <f>'Додаток 3'!K202*1000</f>
        <v>0</v>
      </c>
      <c r="K295" s="190"/>
    </row>
    <row r="296" spans="1:11" ht="46.5">
      <c r="A296" s="54" t="s">
        <v>183</v>
      </c>
      <c r="B296" s="221"/>
      <c r="C296" s="187">
        <v>43</v>
      </c>
      <c r="D296" s="187">
        <v>43</v>
      </c>
      <c r="E296" s="221"/>
      <c r="F296" s="187">
        <v>43</v>
      </c>
      <c r="G296" s="187">
        <v>43</v>
      </c>
      <c r="H296" s="187"/>
      <c r="I296" s="187">
        <v>43</v>
      </c>
      <c r="J296" s="187">
        <v>43</v>
      </c>
      <c r="K296" s="221"/>
    </row>
    <row r="297" spans="1:11" ht="23.25">
      <c r="A297" s="222" t="s">
        <v>122</v>
      </c>
      <c r="B297" s="46"/>
      <c r="C297" s="44"/>
      <c r="D297" s="44"/>
      <c r="E297" s="44"/>
      <c r="F297" s="44"/>
      <c r="G297" s="44"/>
      <c r="H297" s="44"/>
      <c r="I297" s="44"/>
      <c r="J297" s="44"/>
      <c r="K297" s="43"/>
    </row>
    <row r="298" spans="1:11" ht="54" customHeight="1">
      <c r="A298" s="59" t="s">
        <v>184</v>
      </c>
      <c r="B298" s="46"/>
      <c r="C298" s="44">
        <v>20</v>
      </c>
      <c r="D298" s="44">
        <v>20</v>
      </c>
      <c r="E298" s="44"/>
      <c r="F298" s="44">
        <v>20</v>
      </c>
      <c r="G298" s="44">
        <v>20</v>
      </c>
      <c r="H298" s="44"/>
      <c r="I298" s="44">
        <v>20</v>
      </c>
      <c r="J298" s="44">
        <v>20</v>
      </c>
      <c r="K298" s="43"/>
    </row>
    <row r="299" spans="1:11" ht="23.25">
      <c r="A299" s="222" t="s">
        <v>123</v>
      </c>
      <c r="B299" s="46"/>
      <c r="C299" s="44"/>
      <c r="D299" s="44"/>
      <c r="E299" s="44"/>
      <c r="F299" s="44"/>
      <c r="G299" s="44"/>
      <c r="H299" s="44"/>
      <c r="I299" s="44"/>
      <c r="J299" s="44"/>
      <c r="K299" s="43"/>
    </row>
    <row r="300" spans="1:11" ht="46.5">
      <c r="A300" s="55" t="s">
        <v>185</v>
      </c>
      <c r="B300" s="46"/>
      <c r="C300" s="44">
        <f>C295/C298</f>
        <v>0</v>
      </c>
      <c r="D300" s="44">
        <f>D295/D298</f>
        <v>0</v>
      </c>
      <c r="E300" s="44"/>
      <c r="F300" s="44">
        <f>F295/F298</f>
        <v>0</v>
      </c>
      <c r="G300" s="44">
        <f>G295/G298</f>
        <v>0</v>
      </c>
      <c r="H300" s="44"/>
      <c r="I300" s="44">
        <f>I295/I298</f>
        <v>0</v>
      </c>
      <c r="J300" s="44">
        <f>J295/J298</f>
        <v>0</v>
      </c>
      <c r="K300" s="43"/>
    </row>
    <row r="301" spans="1:11" ht="23.25">
      <c r="A301" s="63" t="s">
        <v>124</v>
      </c>
      <c r="B301" s="46"/>
      <c r="C301" s="44"/>
      <c r="D301" s="44"/>
      <c r="E301" s="44"/>
      <c r="F301" s="44"/>
      <c r="G301" s="44"/>
      <c r="H301" s="44"/>
      <c r="I301" s="44"/>
      <c r="J301" s="44"/>
      <c r="K301" s="43"/>
    </row>
    <row r="302" spans="1:11" ht="69.75">
      <c r="A302" s="55" t="s">
        <v>186</v>
      </c>
      <c r="B302" s="46"/>
      <c r="C302" s="44">
        <f>C298/C296*100</f>
        <v>46.511627906976742</v>
      </c>
      <c r="D302" s="44">
        <f>D298/D296*100</f>
        <v>46.511627906976742</v>
      </c>
      <c r="E302" s="44"/>
      <c r="F302" s="44">
        <f>F298/F296*100</f>
        <v>46.511627906976742</v>
      </c>
      <c r="G302" s="44">
        <f>G298/G296*100</f>
        <v>46.511627906976742</v>
      </c>
      <c r="H302" s="44"/>
      <c r="I302" s="44">
        <f>I298/I296*100</f>
        <v>46.511627906976742</v>
      </c>
      <c r="J302" s="44">
        <f>J298/J296*100</f>
        <v>46.511627906976742</v>
      </c>
      <c r="K302" s="43"/>
    </row>
    <row r="303" spans="1:11" ht="23.25">
      <c r="A303" s="56" t="s">
        <v>115</v>
      </c>
      <c r="B303" s="583" t="s">
        <v>108</v>
      </c>
      <c r="C303" s="583"/>
      <c r="D303" s="583"/>
      <c r="E303" s="583"/>
      <c r="F303" s="583"/>
      <c r="G303" s="583"/>
      <c r="H303" s="583"/>
      <c r="I303" s="583"/>
      <c r="J303" s="583"/>
      <c r="K303" s="583"/>
    </row>
    <row r="304" spans="1:11" ht="22.5">
      <c r="A304" s="186" t="s">
        <v>147</v>
      </c>
      <c r="B304" s="579" t="s">
        <v>165</v>
      </c>
      <c r="C304" s="580"/>
      <c r="D304" s="580"/>
      <c r="E304" s="580"/>
      <c r="F304" s="580"/>
      <c r="G304" s="580"/>
      <c r="H304" s="580"/>
      <c r="I304" s="580"/>
      <c r="J304" s="580"/>
      <c r="K304" s="581"/>
    </row>
    <row r="305" spans="1:11" ht="22.5">
      <c r="A305" s="222" t="s">
        <v>120</v>
      </c>
      <c r="B305" s="221">
        <f>F305+I305</f>
        <v>0</v>
      </c>
      <c r="C305" s="221">
        <f>D305+E305</f>
        <v>0</v>
      </c>
      <c r="D305" s="221">
        <f>'Додаток 3'!I203*1000</f>
        <v>0</v>
      </c>
      <c r="E305" s="221"/>
      <c r="F305" s="221">
        <f>G305+H305</f>
        <v>0</v>
      </c>
      <c r="G305" s="221">
        <f>'Додаток 3'!J203*1000</f>
        <v>0</v>
      </c>
      <c r="H305" s="221"/>
      <c r="I305" s="221">
        <f>J305+K305</f>
        <v>0</v>
      </c>
      <c r="J305" s="221">
        <f>'Додаток 3'!K203*1000</f>
        <v>0</v>
      </c>
      <c r="K305" s="221"/>
    </row>
    <row r="306" spans="1:11" ht="23.25">
      <c r="A306" s="222" t="s">
        <v>122</v>
      </c>
      <c r="B306" s="46"/>
      <c r="C306" s="44"/>
      <c r="D306" s="44"/>
      <c r="E306" s="44"/>
      <c r="F306" s="44"/>
      <c r="G306" s="44"/>
      <c r="H306" s="44"/>
      <c r="I306" s="44"/>
      <c r="J306" s="44"/>
      <c r="K306" s="43"/>
    </row>
    <row r="307" spans="1:11" ht="22.5" customHeight="1">
      <c r="A307" s="54" t="s">
        <v>323</v>
      </c>
      <c r="B307" s="46"/>
      <c r="C307" s="62"/>
      <c r="D307" s="44"/>
      <c r="E307" s="44"/>
      <c r="F307" s="44">
        <v>5</v>
      </c>
      <c r="G307" s="44">
        <v>5</v>
      </c>
      <c r="H307" s="44"/>
      <c r="I307" s="44">
        <v>5</v>
      </c>
      <c r="J307" s="44">
        <v>5</v>
      </c>
      <c r="K307" s="43"/>
    </row>
    <row r="308" spans="1:11" ht="23.25">
      <c r="A308" s="222" t="s">
        <v>123</v>
      </c>
      <c r="B308" s="46"/>
      <c r="C308" s="44"/>
      <c r="D308" s="44"/>
      <c r="E308" s="44"/>
      <c r="F308" s="44"/>
      <c r="G308" s="44"/>
      <c r="H308" s="44"/>
      <c r="I308" s="44"/>
      <c r="J308" s="44"/>
      <c r="K308" s="43"/>
    </row>
    <row r="309" spans="1:11" ht="46.5">
      <c r="A309" s="61" t="s">
        <v>192</v>
      </c>
      <c r="B309" s="46"/>
      <c r="C309" s="44"/>
      <c r="D309" s="44"/>
      <c r="E309" s="44"/>
      <c r="F309" s="44">
        <f>F305/F307</f>
        <v>0</v>
      </c>
      <c r="G309" s="44">
        <f>G305/G307</f>
        <v>0</v>
      </c>
      <c r="H309" s="44"/>
      <c r="I309" s="44">
        <f>I305/I307</f>
        <v>0</v>
      </c>
      <c r="J309" s="44">
        <f>J305/J307</f>
        <v>0</v>
      </c>
      <c r="K309" s="43"/>
    </row>
    <row r="310" spans="1:11" ht="23.25">
      <c r="A310" s="56" t="s">
        <v>115</v>
      </c>
      <c r="B310" s="583" t="s">
        <v>313</v>
      </c>
      <c r="C310" s="583"/>
      <c r="D310" s="583"/>
      <c r="E310" s="583"/>
      <c r="F310" s="583"/>
      <c r="G310" s="583"/>
      <c r="H310" s="583"/>
      <c r="I310" s="583"/>
      <c r="J310" s="583"/>
      <c r="K310" s="583"/>
    </row>
    <row r="311" spans="1:11" ht="22.5">
      <c r="A311" s="186" t="s">
        <v>147</v>
      </c>
      <c r="B311" s="579" t="s">
        <v>165</v>
      </c>
      <c r="C311" s="580"/>
      <c r="D311" s="580"/>
      <c r="E311" s="580"/>
      <c r="F311" s="580"/>
      <c r="G311" s="580"/>
      <c r="H311" s="580"/>
      <c r="I311" s="580"/>
      <c r="J311" s="580"/>
      <c r="K311" s="581"/>
    </row>
    <row r="312" spans="1:11" ht="22.5">
      <c r="A312" s="222" t="s">
        <v>120</v>
      </c>
      <c r="B312" s="221">
        <f>C312+F312+I312</f>
        <v>8931200</v>
      </c>
      <c r="C312" s="221">
        <f>D312+E312</f>
        <v>2894200</v>
      </c>
      <c r="D312" s="221">
        <f>'Додаток 3'!I205*1000</f>
        <v>2894200</v>
      </c>
      <c r="E312" s="221"/>
      <c r="F312" s="221">
        <f>G312+H312</f>
        <v>3049300</v>
      </c>
      <c r="G312" s="221">
        <f>'Додаток 3'!J205*1000</f>
        <v>3049300</v>
      </c>
      <c r="H312" s="221"/>
      <c r="I312" s="221">
        <f>J312+K312</f>
        <v>2987700</v>
      </c>
      <c r="J312" s="221">
        <f>'Додаток 3'!K205*1000</f>
        <v>2987700</v>
      </c>
      <c r="K312" s="221"/>
    </row>
    <row r="313" spans="1:11" ht="23.25">
      <c r="A313" s="222" t="s">
        <v>122</v>
      </c>
      <c r="B313" s="46"/>
      <c r="C313" s="44"/>
      <c r="D313" s="44"/>
      <c r="E313" s="44"/>
      <c r="F313" s="44"/>
      <c r="G313" s="44"/>
      <c r="H313" s="44"/>
      <c r="I313" s="44"/>
      <c r="J313" s="44"/>
      <c r="K313" s="43"/>
    </row>
    <row r="314" spans="1:11" ht="23.25">
      <c r="A314" s="54" t="s">
        <v>381</v>
      </c>
      <c r="B314" s="46"/>
      <c r="C314" s="62">
        <v>2</v>
      </c>
      <c r="D314" s="62">
        <v>2</v>
      </c>
      <c r="E314" s="44"/>
      <c r="F314" s="62">
        <v>2</v>
      </c>
      <c r="G314" s="62">
        <v>2</v>
      </c>
      <c r="H314" s="44"/>
      <c r="I314" s="62">
        <v>2</v>
      </c>
      <c r="J314" s="62">
        <v>2</v>
      </c>
      <c r="K314" s="43"/>
    </row>
    <row r="315" spans="1:11" ht="23.25">
      <c r="A315" s="222" t="s">
        <v>123</v>
      </c>
      <c r="B315" s="46"/>
      <c r="C315" s="44"/>
      <c r="D315" s="44"/>
      <c r="E315" s="44"/>
      <c r="F315" s="44"/>
      <c r="G315" s="44"/>
      <c r="H315" s="44"/>
      <c r="I315" s="44"/>
      <c r="J315" s="44"/>
      <c r="K315" s="43"/>
    </row>
    <row r="316" spans="1:11" ht="23.25">
      <c r="A316" s="199" t="s">
        <v>314</v>
      </c>
      <c r="B316" s="46"/>
      <c r="C316" s="44">
        <f>C312/C314/12</f>
        <v>120591.66666666667</v>
      </c>
      <c r="D316" s="44">
        <f>D312/D314/12</f>
        <v>120591.66666666667</v>
      </c>
      <c r="E316" s="44"/>
      <c r="F316" s="44">
        <f>F312/F314/12</f>
        <v>127054.16666666667</v>
      </c>
      <c r="G316" s="44">
        <f>G312/G314/12</f>
        <v>127054.16666666667</v>
      </c>
      <c r="H316" s="44"/>
      <c r="I316" s="44">
        <f>I312/I314/12</f>
        <v>124487.5</v>
      </c>
      <c r="J316" s="44">
        <f>J312/J314/12</f>
        <v>124487.5</v>
      </c>
      <c r="K316" s="43"/>
    </row>
    <row r="317" spans="1:11" ht="23.25">
      <c r="A317" s="56" t="s">
        <v>115</v>
      </c>
      <c r="B317" s="583" t="s">
        <v>315</v>
      </c>
      <c r="C317" s="583"/>
      <c r="D317" s="583"/>
      <c r="E317" s="583"/>
      <c r="F317" s="583"/>
      <c r="G317" s="583"/>
      <c r="H317" s="583"/>
      <c r="I317" s="583"/>
      <c r="J317" s="583"/>
      <c r="K317" s="583"/>
    </row>
    <row r="318" spans="1:11" ht="22.5">
      <c r="A318" s="186" t="s">
        <v>147</v>
      </c>
      <c r="B318" s="579" t="s">
        <v>165</v>
      </c>
      <c r="C318" s="580"/>
      <c r="D318" s="580"/>
      <c r="E318" s="580"/>
      <c r="F318" s="580"/>
      <c r="G318" s="580"/>
      <c r="H318" s="580"/>
      <c r="I318" s="580"/>
      <c r="J318" s="580"/>
      <c r="K318" s="581"/>
    </row>
    <row r="319" spans="1:11" ht="23.25">
      <c r="A319" s="222" t="s">
        <v>120</v>
      </c>
      <c r="B319" s="221">
        <f>C319+F319+I319</f>
        <v>10988000</v>
      </c>
      <c r="C319" s="221">
        <f>D319+E319</f>
        <v>10988000</v>
      </c>
      <c r="D319" s="218">
        <f>'Додаток 3'!I206*1000</f>
        <v>10988000</v>
      </c>
      <c r="E319" s="221"/>
      <c r="F319" s="221">
        <f>G319</f>
        <v>0</v>
      </c>
      <c r="G319" s="221">
        <f>'Додаток 3'!J206*1000</f>
        <v>0</v>
      </c>
      <c r="H319" s="221"/>
      <c r="I319" s="221">
        <f>J319</f>
        <v>0</v>
      </c>
      <c r="J319" s="221">
        <f>'Додаток 3'!K206*1000</f>
        <v>0</v>
      </c>
      <c r="K319" s="221"/>
    </row>
    <row r="320" spans="1:11" ht="23.25">
      <c r="A320" s="222" t="s">
        <v>122</v>
      </c>
      <c r="B320" s="46"/>
      <c r="C320" s="44"/>
      <c r="D320" s="44"/>
      <c r="E320" s="44"/>
      <c r="F320" s="44"/>
      <c r="G320" s="44"/>
      <c r="H320" s="44"/>
      <c r="I320" s="44"/>
      <c r="J320" s="44"/>
      <c r="K320" s="43"/>
    </row>
    <row r="321" spans="1:11" ht="21" customHeight="1">
      <c r="A321" s="54" t="s">
        <v>191</v>
      </c>
      <c r="B321" s="46"/>
      <c r="C321" s="62">
        <v>8</v>
      </c>
      <c r="D321" s="62">
        <v>8</v>
      </c>
      <c r="E321" s="44"/>
      <c r="F321" s="44">
        <v>8</v>
      </c>
      <c r="G321" s="44">
        <v>8</v>
      </c>
      <c r="H321" s="44"/>
      <c r="I321" s="44"/>
      <c r="J321" s="44"/>
      <c r="K321" s="43"/>
    </row>
    <row r="322" spans="1:11" ht="23.25">
      <c r="A322" s="222" t="s">
        <v>123</v>
      </c>
      <c r="B322" s="46"/>
      <c r="C322" s="44"/>
      <c r="D322" s="44"/>
      <c r="E322" s="44"/>
      <c r="F322" s="44"/>
      <c r="G322" s="44"/>
      <c r="H322" s="44"/>
      <c r="I322" s="44"/>
      <c r="J322" s="44"/>
      <c r="K322" s="43"/>
    </row>
    <row r="323" spans="1:11" ht="46.5">
      <c r="A323" s="61" t="s">
        <v>316</v>
      </c>
      <c r="B323" s="46"/>
      <c r="C323" s="44">
        <f>C319/C321</f>
        <v>1373500</v>
      </c>
      <c r="D323" s="44">
        <f>D319/D321</f>
        <v>1373500</v>
      </c>
      <c r="E323" s="44"/>
      <c r="F323" s="44">
        <f>F319/F321</f>
        <v>0</v>
      </c>
      <c r="G323" s="44">
        <f>G319/G321</f>
        <v>0</v>
      </c>
      <c r="H323" s="44"/>
      <c r="I323" s="44"/>
      <c r="J323" s="44"/>
      <c r="K323" s="43"/>
    </row>
    <row r="324" spans="1:11" ht="48" customHeight="1">
      <c r="A324" s="56" t="s">
        <v>115</v>
      </c>
      <c r="B324" s="584" t="s">
        <v>317</v>
      </c>
      <c r="C324" s="585"/>
      <c r="D324" s="585"/>
      <c r="E324" s="585"/>
      <c r="F324" s="585"/>
      <c r="G324" s="585"/>
      <c r="H324" s="585"/>
      <c r="I324" s="585"/>
      <c r="J324" s="585"/>
      <c r="K324" s="586"/>
    </row>
    <row r="325" spans="1:11" ht="20.25" customHeight="1">
      <c r="A325" s="186" t="s">
        <v>160</v>
      </c>
      <c r="B325" s="579" t="s">
        <v>161</v>
      </c>
      <c r="C325" s="580"/>
      <c r="D325" s="580"/>
      <c r="E325" s="580"/>
      <c r="F325" s="580"/>
      <c r="G325" s="580"/>
      <c r="H325" s="580"/>
      <c r="I325" s="580"/>
      <c r="J325" s="580"/>
      <c r="K325" s="581"/>
    </row>
    <row r="326" spans="1:11" ht="22.5">
      <c r="A326" s="186" t="s">
        <v>118</v>
      </c>
      <c r="B326" s="579" t="s">
        <v>162</v>
      </c>
      <c r="C326" s="580"/>
      <c r="D326" s="580"/>
      <c r="E326" s="580"/>
      <c r="F326" s="580"/>
      <c r="G326" s="580"/>
      <c r="H326" s="580"/>
      <c r="I326" s="580"/>
      <c r="J326" s="580"/>
      <c r="K326" s="581"/>
    </row>
    <row r="327" spans="1:11" ht="23.25">
      <c r="A327" s="222" t="s">
        <v>120</v>
      </c>
      <c r="B327" s="221">
        <f>C327+F327+I327</f>
        <v>9258990</v>
      </c>
      <c r="C327" s="221">
        <f>D327+E327</f>
        <v>9258990</v>
      </c>
      <c r="D327" s="218">
        <f>'Додаток 3'!I207*1000</f>
        <v>9258990</v>
      </c>
      <c r="E327" s="221"/>
      <c r="F327" s="221">
        <f>G327</f>
        <v>0</v>
      </c>
      <c r="G327" s="221">
        <f>'Додаток 3'!J207*1000</f>
        <v>0</v>
      </c>
      <c r="H327" s="221"/>
      <c r="I327" s="221"/>
      <c r="J327" s="221"/>
      <c r="K327" s="221"/>
    </row>
    <row r="328" spans="1:11" ht="23.25">
      <c r="A328" s="222" t="s">
        <v>122</v>
      </c>
      <c r="B328" s="46"/>
      <c r="C328" s="44"/>
      <c r="D328" s="44"/>
      <c r="E328" s="44"/>
      <c r="F328" s="44"/>
      <c r="G328" s="44"/>
      <c r="H328" s="44"/>
      <c r="I328" s="44"/>
      <c r="J328" s="44"/>
      <c r="K328" s="43"/>
    </row>
    <row r="329" spans="1:11" ht="21" customHeight="1">
      <c r="A329" s="54" t="s">
        <v>191</v>
      </c>
      <c r="B329" s="46"/>
      <c r="C329" s="62">
        <v>5</v>
      </c>
      <c r="D329" s="62">
        <v>5</v>
      </c>
      <c r="E329" s="44"/>
      <c r="F329" s="44"/>
      <c r="G329" s="44"/>
      <c r="H329" s="44"/>
      <c r="I329" s="44"/>
      <c r="J329" s="44"/>
      <c r="K329" s="43"/>
    </row>
    <row r="330" spans="1:11" ht="23.25">
      <c r="A330" s="222" t="s">
        <v>123</v>
      </c>
      <c r="B330" s="46"/>
      <c r="C330" s="44"/>
      <c r="D330" s="44"/>
      <c r="E330" s="44"/>
      <c r="F330" s="44"/>
      <c r="G330" s="44"/>
      <c r="H330" s="44"/>
      <c r="I330" s="44"/>
      <c r="J330" s="44"/>
      <c r="K330" s="43"/>
    </row>
    <row r="331" spans="1:11" ht="47.25" customHeight="1">
      <c r="A331" s="61" t="s">
        <v>318</v>
      </c>
      <c r="B331" s="46"/>
      <c r="C331" s="44">
        <f>C327/C329/9</f>
        <v>205755.33333333334</v>
      </c>
      <c r="D331" s="44">
        <f>D327/D329/9</f>
        <v>205755.33333333334</v>
      </c>
      <c r="E331" s="44"/>
      <c r="F331" s="44"/>
      <c r="G331" s="44"/>
      <c r="H331" s="44"/>
      <c r="I331" s="44"/>
      <c r="J331" s="44"/>
      <c r="K331" s="43"/>
    </row>
    <row r="332" spans="1:11" ht="22.5">
      <c r="A332" s="587" t="s">
        <v>243</v>
      </c>
      <c r="B332" s="587"/>
      <c r="C332" s="587"/>
      <c r="D332" s="587"/>
      <c r="E332" s="587"/>
      <c r="F332" s="587"/>
      <c r="G332" s="587"/>
      <c r="H332" s="587"/>
      <c r="I332" s="587"/>
      <c r="J332" s="587"/>
      <c r="K332" s="587"/>
    </row>
    <row r="333" spans="1:11" ht="22.5">
      <c r="A333" s="52" t="s">
        <v>116</v>
      </c>
      <c r="B333" s="42">
        <f>C333+F333+I333</f>
        <v>238385919</v>
      </c>
      <c r="C333" s="43">
        <f>D333+E333</f>
        <v>102395689</v>
      </c>
      <c r="D333" s="43">
        <f>D344+D345</f>
        <v>0</v>
      </c>
      <c r="E333" s="43">
        <f>E344+E345</f>
        <v>102395689</v>
      </c>
      <c r="F333" s="43">
        <f>G333+H333</f>
        <v>115990230</v>
      </c>
      <c r="G333" s="43">
        <f>G344+G345</f>
        <v>0</v>
      </c>
      <c r="H333" s="43">
        <f>H344+H345</f>
        <v>115990230</v>
      </c>
      <c r="I333" s="43">
        <f>J333+K333</f>
        <v>20000000</v>
      </c>
      <c r="J333" s="43">
        <f>J344+J345</f>
        <v>0</v>
      </c>
      <c r="K333" s="43">
        <f>K344+K345</f>
        <v>20000000</v>
      </c>
    </row>
    <row r="334" spans="1:11" ht="22.5">
      <c r="A334" s="52" t="s">
        <v>117</v>
      </c>
      <c r="B334" s="588"/>
      <c r="C334" s="589"/>
      <c r="D334" s="589"/>
      <c r="E334" s="589"/>
      <c r="F334" s="589"/>
      <c r="G334" s="589"/>
      <c r="H334" s="589"/>
      <c r="I334" s="589"/>
      <c r="J334" s="589"/>
      <c r="K334" s="590"/>
    </row>
    <row r="335" spans="1:11" ht="23.25">
      <c r="A335" s="53" t="s">
        <v>115</v>
      </c>
      <c r="B335" s="582" t="s">
        <v>57</v>
      </c>
      <c r="C335" s="582"/>
      <c r="D335" s="582"/>
      <c r="E335" s="582"/>
      <c r="F335" s="582"/>
      <c r="G335" s="582"/>
      <c r="H335" s="582"/>
      <c r="I335" s="582"/>
      <c r="J335" s="582"/>
      <c r="K335" s="582"/>
    </row>
    <row r="336" spans="1:11" ht="22.5">
      <c r="A336" s="186" t="s">
        <v>118</v>
      </c>
      <c r="B336" s="579" t="s">
        <v>162</v>
      </c>
      <c r="C336" s="580"/>
      <c r="D336" s="580"/>
      <c r="E336" s="580"/>
      <c r="F336" s="580"/>
      <c r="G336" s="580"/>
      <c r="H336" s="580"/>
      <c r="I336" s="580"/>
      <c r="J336" s="580"/>
      <c r="K336" s="581"/>
    </row>
    <row r="337" spans="1:11" ht="22.5">
      <c r="A337" s="186" t="s">
        <v>125</v>
      </c>
      <c r="B337" s="592" t="s">
        <v>163</v>
      </c>
      <c r="C337" s="592"/>
      <c r="D337" s="592"/>
      <c r="E337" s="592"/>
      <c r="F337" s="592"/>
      <c r="G337" s="592"/>
      <c r="H337" s="592"/>
      <c r="I337" s="592"/>
      <c r="J337" s="592"/>
      <c r="K337" s="592"/>
    </row>
    <row r="338" spans="1:11" ht="22.5">
      <c r="A338" s="186" t="s">
        <v>127</v>
      </c>
      <c r="B338" s="592" t="s">
        <v>128</v>
      </c>
      <c r="C338" s="592"/>
      <c r="D338" s="592"/>
      <c r="E338" s="592"/>
      <c r="F338" s="592"/>
      <c r="G338" s="592"/>
      <c r="H338" s="592"/>
      <c r="I338" s="592"/>
      <c r="J338" s="592"/>
      <c r="K338" s="592"/>
    </row>
    <row r="339" spans="1:11" ht="22.5">
      <c r="A339" s="186" t="s">
        <v>147</v>
      </c>
      <c r="B339" s="579" t="s">
        <v>412</v>
      </c>
      <c r="C339" s="580"/>
      <c r="D339" s="580"/>
      <c r="E339" s="580"/>
      <c r="F339" s="580"/>
      <c r="G339" s="580"/>
      <c r="H339" s="580"/>
      <c r="I339" s="580"/>
      <c r="J339" s="580"/>
      <c r="K339" s="581"/>
    </row>
    <row r="340" spans="1:11" ht="22.5">
      <c r="A340" s="186" t="s">
        <v>195</v>
      </c>
      <c r="B340" s="593" t="s">
        <v>196</v>
      </c>
      <c r="C340" s="594"/>
      <c r="D340" s="594"/>
      <c r="E340" s="594"/>
      <c r="F340" s="594"/>
      <c r="G340" s="594"/>
      <c r="H340" s="594"/>
      <c r="I340" s="594"/>
      <c r="J340" s="594"/>
      <c r="K340" s="595"/>
    </row>
    <row r="341" spans="1:11" ht="22.5">
      <c r="A341" s="186" t="s">
        <v>193</v>
      </c>
      <c r="B341" s="593" t="s">
        <v>194</v>
      </c>
      <c r="C341" s="594"/>
      <c r="D341" s="594"/>
      <c r="E341" s="594"/>
      <c r="F341" s="594"/>
      <c r="G341" s="594"/>
      <c r="H341" s="594"/>
      <c r="I341" s="594"/>
      <c r="J341" s="594"/>
      <c r="K341" s="595"/>
    </row>
    <row r="342" spans="1:11" ht="22.5">
      <c r="A342" s="186" t="s">
        <v>319</v>
      </c>
      <c r="B342" s="593" t="s">
        <v>320</v>
      </c>
      <c r="C342" s="594"/>
      <c r="D342" s="594"/>
      <c r="E342" s="594"/>
      <c r="F342" s="594"/>
      <c r="G342" s="594"/>
      <c r="H342" s="594"/>
      <c r="I342" s="594"/>
      <c r="J342" s="594"/>
      <c r="K342" s="595"/>
    </row>
    <row r="343" spans="1:11" ht="23.25">
      <c r="A343" s="222" t="s">
        <v>120</v>
      </c>
      <c r="B343" s="220">
        <f>C343+F343+I343</f>
        <v>238385919</v>
      </c>
      <c r="C343" s="220">
        <f>D343+E343</f>
        <v>102395689</v>
      </c>
      <c r="D343" s="219"/>
      <c r="E343" s="220">
        <f>'Додаток 3'!I254*1000</f>
        <v>102395689</v>
      </c>
      <c r="F343" s="45">
        <f>G343+H343</f>
        <v>115990230.00000001</v>
      </c>
      <c r="G343" s="45"/>
      <c r="H343" s="219">
        <f>'Додаток 3'!J254*1000</f>
        <v>115990230.00000001</v>
      </c>
      <c r="I343" s="45">
        <f>J343+K343</f>
        <v>20000000</v>
      </c>
      <c r="J343" s="45"/>
      <c r="K343" s="45">
        <f>'Додаток 3'!K254*1000</f>
        <v>20000000</v>
      </c>
    </row>
    <row r="344" spans="1:11" ht="23.25" customHeight="1">
      <c r="A344" s="61" t="s">
        <v>198</v>
      </c>
      <c r="B344" s="220">
        <f>C344+F344+I344</f>
        <v>143098919</v>
      </c>
      <c r="C344" s="220">
        <f>E344+D344</f>
        <v>71668319</v>
      </c>
      <c r="D344" s="219"/>
      <c r="E344" s="219">
        <f>'Додаток 3'!I231*1000</f>
        <v>71668319</v>
      </c>
      <c r="F344" s="45">
        <f>H344</f>
        <v>71430600</v>
      </c>
      <c r="G344" s="45"/>
      <c r="H344" s="219">
        <f>'Додаток 3'!J231*1000</f>
        <v>71430600</v>
      </c>
      <c r="I344" s="45"/>
      <c r="J344" s="45"/>
      <c r="K344" s="45">
        <f>'Додаток 3'!K231*1000</f>
        <v>10000000</v>
      </c>
    </row>
    <row r="345" spans="1:11" ht="23.25">
      <c r="A345" s="61" t="s">
        <v>197</v>
      </c>
      <c r="B345" s="220">
        <f>C345+F345+I345</f>
        <v>75287000</v>
      </c>
      <c r="C345" s="220">
        <f>E345+D345</f>
        <v>30727370</v>
      </c>
      <c r="D345" s="219"/>
      <c r="E345" s="219">
        <f>('Додаток 3'!I245+'Додаток 3'!I252+'Додаток 3'!I253)*1000</f>
        <v>30727370</v>
      </c>
      <c r="F345" s="45">
        <f t="shared" ref="F345:F348" si="9">H345</f>
        <v>44559630</v>
      </c>
      <c r="G345" s="45"/>
      <c r="H345" s="219">
        <f>('Додаток 3'!J245+'Додаток 3'!J252+'Додаток 3'!J253)*1000</f>
        <v>44559630</v>
      </c>
      <c r="I345" s="45"/>
      <c r="J345" s="45"/>
      <c r="K345" s="45">
        <f>'Додаток 3'!K232*1000</f>
        <v>10000000</v>
      </c>
    </row>
    <row r="346" spans="1:11" ht="23.25">
      <c r="A346" s="222" t="s">
        <v>122</v>
      </c>
      <c r="B346" s="60"/>
      <c r="C346" s="45"/>
      <c r="D346" s="45"/>
      <c r="E346" s="45"/>
      <c r="F346" s="45"/>
      <c r="G346" s="45"/>
      <c r="H346" s="45"/>
      <c r="I346" s="45"/>
      <c r="J346" s="45"/>
      <c r="K346" s="45"/>
    </row>
    <row r="347" spans="1:11" ht="23.25">
      <c r="A347" s="58" t="s">
        <v>443</v>
      </c>
      <c r="B347" s="60"/>
      <c r="C347" s="62">
        <f>E347</f>
        <v>528</v>
      </c>
      <c r="D347" s="45"/>
      <c r="E347" s="45">
        <f>9+10+44+348+117</f>
        <v>528</v>
      </c>
      <c r="F347" s="45">
        <f t="shared" si="9"/>
        <v>55</v>
      </c>
      <c r="G347" s="203"/>
      <c r="H347" s="45">
        <f>7+14+14+10+10</f>
        <v>55</v>
      </c>
      <c r="I347" s="45"/>
      <c r="J347" s="45"/>
      <c r="K347" s="45"/>
    </row>
    <row r="348" spans="1:11" ht="23.25" hidden="1">
      <c r="A348" s="58" t="s">
        <v>199</v>
      </c>
      <c r="B348" s="60"/>
      <c r="C348" s="62"/>
      <c r="D348" s="45"/>
      <c r="E348" s="45"/>
      <c r="F348" s="45">
        <f t="shared" si="9"/>
        <v>0</v>
      </c>
      <c r="G348" s="203"/>
      <c r="H348" s="45"/>
      <c r="I348" s="45"/>
      <c r="J348" s="45"/>
      <c r="K348" s="45"/>
    </row>
    <row r="349" spans="1:11" ht="23.25">
      <c r="A349" s="58" t="s">
        <v>476</v>
      </c>
      <c r="B349" s="60"/>
      <c r="C349" s="62">
        <f>E349</f>
        <v>4033</v>
      </c>
      <c r="D349" s="45"/>
      <c r="E349" s="45">
        <f>27+78+44+3767+117</f>
        <v>4033</v>
      </c>
      <c r="F349" s="45">
        <f>H349</f>
        <v>2485</v>
      </c>
      <c r="G349" s="203"/>
      <c r="H349" s="45">
        <v>2485</v>
      </c>
      <c r="I349" s="45"/>
      <c r="J349" s="45"/>
      <c r="K349" s="45"/>
    </row>
    <row r="350" spans="1:11" ht="23.25">
      <c r="A350" s="222" t="s">
        <v>123</v>
      </c>
      <c r="B350" s="60"/>
      <c r="C350" s="45"/>
      <c r="D350" s="45"/>
      <c r="E350" s="45"/>
      <c r="F350" s="45"/>
      <c r="G350" s="45"/>
      <c r="H350" s="45"/>
      <c r="I350" s="45"/>
      <c r="J350" s="45"/>
      <c r="K350" s="45"/>
    </row>
    <row r="351" spans="1:11" ht="23.25">
      <c r="A351" s="58" t="s">
        <v>380</v>
      </c>
      <c r="B351" s="60"/>
      <c r="C351" s="62">
        <f>E351</f>
        <v>135735.45265151514</v>
      </c>
      <c r="D351" s="45"/>
      <c r="E351" s="45">
        <f>E344/E347</f>
        <v>135735.45265151514</v>
      </c>
      <c r="F351" s="45">
        <f>F344/F347</f>
        <v>1298738.1818181819</v>
      </c>
      <c r="G351" s="45"/>
      <c r="H351" s="45">
        <f>H344/H347</f>
        <v>1298738.1818181819</v>
      </c>
      <c r="I351" s="45"/>
      <c r="J351" s="45"/>
      <c r="K351" s="45"/>
    </row>
    <row r="352" spans="1:11" ht="23.25" hidden="1">
      <c r="A352" s="63" t="s">
        <v>124</v>
      </c>
      <c r="B352" s="60"/>
      <c r="C352" s="45"/>
      <c r="D352" s="45"/>
      <c r="E352" s="45"/>
      <c r="F352" s="45"/>
      <c r="G352" s="45"/>
      <c r="H352" s="45"/>
      <c r="I352" s="45"/>
      <c r="J352" s="45"/>
      <c r="K352" s="45"/>
    </row>
    <row r="353" spans="1:11" ht="38.25" hidden="1" customHeight="1">
      <c r="A353" s="189" t="s">
        <v>201</v>
      </c>
      <c r="B353" s="60"/>
      <c r="C353" s="62" t="e">
        <f>#REF!/C347*100</f>
        <v>#REF!</v>
      </c>
      <c r="D353" s="45"/>
      <c r="E353" s="45"/>
      <c r="F353" s="45"/>
      <c r="G353" s="45"/>
      <c r="H353" s="45"/>
      <c r="I353" s="45"/>
      <c r="J353" s="45"/>
      <c r="K353" s="45"/>
    </row>
    <row r="354" spans="1:11" ht="46.5" hidden="1">
      <c r="A354" s="54" t="s">
        <v>200</v>
      </c>
      <c r="B354" s="45"/>
      <c r="C354" s="45"/>
      <c r="D354" s="45"/>
      <c r="E354" s="45"/>
      <c r="F354" s="45"/>
      <c r="G354" s="45"/>
      <c r="H354" s="45"/>
      <c r="I354" s="45"/>
      <c r="J354" s="45"/>
      <c r="K354" s="45"/>
    </row>
    <row r="355" spans="1:11" ht="27.75" hidden="1" customHeight="1">
      <c r="A355" s="200" t="s">
        <v>146</v>
      </c>
      <c r="B355" s="201" t="e">
        <f>C355+F355+I355</f>
        <v>#REF!</v>
      </c>
      <c r="C355" s="202" t="e">
        <f>D355+E355</f>
        <v>#REF!</v>
      </c>
      <c r="D355" s="201">
        <f>D356</f>
        <v>0</v>
      </c>
      <c r="E355" s="201" t="e">
        <f>E356</f>
        <v>#REF!</v>
      </c>
      <c r="F355" s="45"/>
      <c r="G355" s="45"/>
      <c r="H355" s="45"/>
      <c r="I355" s="45"/>
      <c r="J355" s="45"/>
      <c r="K355" s="45"/>
    </row>
    <row r="356" spans="1:11" ht="41.25" hidden="1" customHeight="1">
      <c r="A356" s="61" t="s">
        <v>148</v>
      </c>
      <c r="B356" s="60"/>
      <c r="C356" s="45"/>
      <c r="D356" s="45"/>
      <c r="E356" s="45" t="e">
        <f>'[1]Додаток 2'!#REF!*1000</f>
        <v>#REF!</v>
      </c>
      <c r="F356" s="45"/>
      <c r="G356" s="45"/>
      <c r="H356" s="45"/>
      <c r="I356" s="45"/>
      <c r="J356" s="45"/>
      <c r="K356" s="45"/>
    </row>
    <row r="357" spans="1:11" ht="32.25" hidden="1" customHeight="1">
      <c r="A357" s="593" t="e">
        <f>'[1]Додаток 2'!#REF!</f>
        <v>#REF!</v>
      </c>
      <c r="B357" s="594"/>
      <c r="C357" s="594"/>
      <c r="D357" s="594"/>
      <c r="E357" s="594"/>
      <c r="F357" s="594"/>
      <c r="G357" s="594"/>
      <c r="H357" s="594"/>
      <c r="I357" s="594"/>
      <c r="J357" s="594"/>
      <c r="K357" s="595"/>
    </row>
    <row r="358" spans="1:11" ht="24.75" hidden="1" customHeight="1">
      <c r="A358" s="53" t="s">
        <v>115</v>
      </c>
      <c r="B358" s="582" t="e">
        <f>'[1]Додаток 2'!#REF!</f>
        <v>#REF!</v>
      </c>
      <c r="C358" s="582"/>
      <c r="D358" s="582"/>
      <c r="E358" s="582"/>
      <c r="F358" s="582"/>
      <c r="G358" s="582"/>
      <c r="H358" s="582"/>
      <c r="I358" s="582"/>
      <c r="J358" s="582"/>
      <c r="K358" s="582"/>
    </row>
    <row r="359" spans="1:11" ht="20.25" hidden="1" customHeight="1">
      <c r="A359" s="200" t="s">
        <v>146</v>
      </c>
      <c r="B359" s="201" t="e">
        <f>C359+F359+I359</f>
        <v>#REF!</v>
      </c>
      <c r="C359" s="202" t="e">
        <f>D359+E359</f>
        <v>#REF!</v>
      </c>
      <c r="D359" s="201" t="e">
        <f>D360</f>
        <v>#REF!</v>
      </c>
      <c r="E359" s="201">
        <f>E360</f>
        <v>0</v>
      </c>
      <c r="F359" s="45"/>
      <c r="G359" s="45"/>
      <c r="H359" s="45"/>
      <c r="I359" s="45"/>
      <c r="J359" s="45"/>
      <c r="K359" s="45"/>
    </row>
    <row r="360" spans="1:11" s="64" customFormat="1" ht="22.5" hidden="1" customHeight="1">
      <c r="A360" s="61" t="e">
        <f>'[1]Додаток 2'!#REF!</f>
        <v>#REF!</v>
      </c>
      <c r="B360" s="60"/>
      <c r="C360" s="45"/>
      <c r="D360" s="45" t="e">
        <f>'[1]Додаток 2'!#REF!</f>
        <v>#REF!</v>
      </c>
      <c r="E360" s="45"/>
      <c r="F360" s="45"/>
      <c r="G360" s="45"/>
      <c r="H360" s="45"/>
      <c r="I360" s="45"/>
      <c r="J360" s="45"/>
      <c r="K360" s="45"/>
    </row>
    <row r="361" spans="1:11" s="64" customFormat="1" ht="22.5" customHeight="1">
      <c r="A361" s="65"/>
      <c r="B361" s="66"/>
      <c r="C361" s="67"/>
      <c r="D361" s="67"/>
      <c r="E361" s="67"/>
      <c r="F361" s="67"/>
      <c r="G361" s="67"/>
      <c r="H361" s="67"/>
      <c r="I361" s="67"/>
      <c r="J361" s="67"/>
      <c r="K361" s="67"/>
    </row>
    <row r="362" spans="1:11" s="64" customFormat="1" ht="22.5" customHeight="1">
      <c r="A362" s="65"/>
      <c r="B362" s="66"/>
      <c r="C362" s="67"/>
      <c r="D362" s="67"/>
      <c r="E362" s="67"/>
      <c r="F362" s="67"/>
      <c r="G362" s="67"/>
      <c r="H362" s="67"/>
      <c r="I362" s="67"/>
      <c r="J362" s="67"/>
      <c r="K362" s="67"/>
    </row>
    <row r="363" spans="1:11" s="64" customFormat="1" ht="40.5" customHeight="1">
      <c r="A363" s="65"/>
      <c r="B363" s="66"/>
      <c r="C363" s="67"/>
      <c r="D363" s="67"/>
      <c r="E363" s="67"/>
      <c r="F363" s="67"/>
      <c r="G363" s="67"/>
      <c r="H363" s="67"/>
      <c r="I363" s="67"/>
      <c r="J363" s="67"/>
      <c r="K363" s="67"/>
    </row>
    <row r="364" spans="1:11" s="64" customFormat="1" ht="22.5" customHeight="1">
      <c r="A364" s="77" t="s">
        <v>480</v>
      </c>
      <c r="B364" s="77"/>
      <c r="C364" s="78"/>
      <c r="D364" s="79"/>
      <c r="E364" s="77"/>
      <c r="F364" s="80"/>
      <c r="G364" s="80"/>
      <c r="H364" s="80"/>
      <c r="I364" s="81" t="s">
        <v>481</v>
      </c>
      <c r="J364" s="71"/>
      <c r="K364" s="73"/>
    </row>
    <row r="365" spans="1:11" s="64" customFormat="1" ht="15" customHeight="1">
      <c r="A365" s="68"/>
      <c r="B365" s="68"/>
      <c r="C365" s="69"/>
      <c r="D365" s="70"/>
      <c r="E365" s="68"/>
      <c r="F365" s="71"/>
      <c r="G365" s="71"/>
      <c r="H365" s="71"/>
      <c r="I365" s="72"/>
      <c r="J365" s="71"/>
      <c r="K365" s="73"/>
    </row>
    <row r="366" spans="1:11" ht="25.5" customHeight="1">
      <c r="A366" s="75" t="s">
        <v>27</v>
      </c>
      <c r="B366" s="68"/>
      <c r="C366" s="76"/>
      <c r="D366" s="70"/>
      <c r="E366" s="68"/>
      <c r="F366" s="71"/>
      <c r="G366" s="71"/>
      <c r="H366" s="71"/>
      <c r="I366" s="71"/>
      <c r="J366" s="71"/>
      <c r="K366" s="74"/>
    </row>
    <row r="367" spans="1:11" ht="20.25" customHeight="1">
      <c r="A367" s="68"/>
      <c r="B367" s="68"/>
      <c r="C367" s="68"/>
      <c r="D367" s="70"/>
      <c r="E367" s="68"/>
      <c r="F367" s="71"/>
      <c r="G367" s="71"/>
      <c r="H367" s="71"/>
      <c r="I367" s="71"/>
      <c r="J367" s="71"/>
      <c r="K367" s="74"/>
    </row>
    <row r="368" spans="1:11" ht="20.25" customHeight="1">
      <c r="A368" s="68"/>
      <c r="B368" s="68"/>
      <c r="C368" s="68"/>
      <c r="D368" s="68"/>
      <c r="E368" s="68"/>
      <c r="F368" s="68"/>
      <c r="G368" s="68"/>
      <c r="H368" s="68"/>
      <c r="I368" s="68"/>
      <c r="J368" s="68"/>
    </row>
    <row r="369" ht="20.25" customHeight="1"/>
    <row r="370" ht="20.25" customHeight="1"/>
  </sheetData>
  <mergeCells count="113">
    <mergeCell ref="B260:K260"/>
    <mergeCell ref="A290:K290"/>
    <mergeCell ref="B292:K292"/>
    <mergeCell ref="B304:K304"/>
    <mergeCell ref="B317:K317"/>
    <mergeCell ref="B243:K243"/>
    <mergeCell ref="B170:K170"/>
    <mergeCell ref="B179:K179"/>
    <mergeCell ref="B191:K191"/>
    <mergeCell ref="B192:K192"/>
    <mergeCell ref="B22:K22"/>
    <mergeCell ref="B58:K58"/>
    <mergeCell ref="B23:K23"/>
    <mergeCell ref="B27:K27"/>
    <mergeCell ref="B54:K54"/>
    <mergeCell ref="B109:K109"/>
    <mergeCell ref="B93:K93"/>
    <mergeCell ref="B101:K101"/>
    <mergeCell ref="B102:K102"/>
    <mergeCell ref="B68:K68"/>
    <mergeCell ref="B69:K69"/>
    <mergeCell ref="B77:K77"/>
    <mergeCell ref="B78:K78"/>
    <mergeCell ref="B92:K92"/>
    <mergeCell ref="B59:K59"/>
    <mergeCell ref="B63:K63"/>
    <mergeCell ref="B64:K64"/>
    <mergeCell ref="B28:K28"/>
    <mergeCell ref="B37:K37"/>
    <mergeCell ref="B36:K36"/>
    <mergeCell ref="B45:K45"/>
    <mergeCell ref="B46:K46"/>
    <mergeCell ref="B120:K120"/>
    <mergeCell ref="B121:K121"/>
    <mergeCell ref="H2:K2"/>
    <mergeCell ref="A14:K14"/>
    <mergeCell ref="B16:K16"/>
    <mergeCell ref="B53:K53"/>
    <mergeCell ref="A13:K13"/>
    <mergeCell ref="H3:K3"/>
    <mergeCell ref="A5:K5"/>
    <mergeCell ref="A7:A10"/>
    <mergeCell ref="B7:B10"/>
    <mergeCell ref="C7:E8"/>
    <mergeCell ref="F7:H8"/>
    <mergeCell ref="I7:K8"/>
    <mergeCell ref="C9:C10"/>
    <mergeCell ref="B17:K17"/>
    <mergeCell ref="D9:E9"/>
    <mergeCell ref="F9:F10"/>
    <mergeCell ref="G9:H9"/>
    <mergeCell ref="I9:I10"/>
    <mergeCell ref="J9:K9"/>
    <mergeCell ref="B18:K18"/>
    <mergeCell ref="B110:K110"/>
    <mergeCell ref="B119:K119"/>
    <mergeCell ref="B127:K127"/>
    <mergeCell ref="B128:K128"/>
    <mergeCell ref="B139:K139"/>
    <mergeCell ref="B140:K140"/>
    <mergeCell ref="B152:K152"/>
    <mergeCell ref="B251:K251"/>
    <mergeCell ref="B228:K228"/>
    <mergeCell ref="B229:K229"/>
    <mergeCell ref="B235:K235"/>
    <mergeCell ref="B236:K236"/>
    <mergeCell ref="B250:K250"/>
    <mergeCell ref="B200:K200"/>
    <mergeCell ref="B207:K207"/>
    <mergeCell ref="B134:K134"/>
    <mergeCell ref="B135:K135"/>
    <mergeCell ref="B163:K163"/>
    <mergeCell ref="B186:K186"/>
    <mergeCell ref="B187:K187"/>
    <mergeCell ref="B199:K199"/>
    <mergeCell ref="B208:K208"/>
    <mergeCell ref="A204:K204"/>
    <mergeCell ref="B206:K206"/>
    <mergeCell ref="B169:K169"/>
    <mergeCell ref="B178:K178"/>
    <mergeCell ref="B358:K358"/>
    <mergeCell ref="B339:K339"/>
    <mergeCell ref="B336:K336"/>
    <mergeCell ref="B337:K337"/>
    <mergeCell ref="B338:K338"/>
    <mergeCell ref="A357:K357"/>
    <mergeCell ref="B342:K342"/>
    <mergeCell ref="B341:K341"/>
    <mergeCell ref="B340:K340"/>
    <mergeCell ref="B141:K141"/>
    <mergeCell ref="B335:K335"/>
    <mergeCell ref="B276:K276"/>
    <mergeCell ref="B310:K310"/>
    <mergeCell ref="B283:K283"/>
    <mergeCell ref="B284:K284"/>
    <mergeCell ref="B303:K303"/>
    <mergeCell ref="B324:K324"/>
    <mergeCell ref="B325:K325"/>
    <mergeCell ref="B326:K326"/>
    <mergeCell ref="A332:K332"/>
    <mergeCell ref="B334:K334"/>
    <mergeCell ref="B153:K153"/>
    <mergeCell ref="B162:K162"/>
    <mergeCell ref="B259:K259"/>
    <mergeCell ref="B214:K214"/>
    <mergeCell ref="B215:K215"/>
    <mergeCell ref="B237:K237"/>
    <mergeCell ref="B275:K275"/>
    <mergeCell ref="B318:K318"/>
    <mergeCell ref="B311:K311"/>
    <mergeCell ref="B293:K293"/>
    <mergeCell ref="B294:K294"/>
    <mergeCell ref="B244:K244"/>
  </mergeCells>
  <pageMargins left="1.1811023622047245" right="0.43307086614173229" top="0.78740157480314965" bottom="0.78740157480314965" header="0.31496062992125984" footer="0.31496062992125984"/>
  <pageSetup paperSize="9" scale="43" orientation="landscape" r:id="rId1"/>
  <rowBreaks count="9" manualBreakCount="9">
    <brk id="36" max="10" man="1"/>
    <brk id="74" max="10" man="1"/>
    <brk id="106" max="10" man="1"/>
    <brk id="142" max="10" man="1"/>
    <brk id="177" max="10" man="1"/>
    <brk id="216" max="10" man="1"/>
    <brk id="248" max="10" man="1"/>
    <brk id="284" max="10" man="1"/>
    <brk id="321" max="10" man="1"/>
  </rowBreaks>
</worksheet>
</file>

<file path=xl/worksheets/sheet5.xml><?xml version="1.0" encoding="utf-8"?>
<worksheet xmlns="http://schemas.openxmlformats.org/spreadsheetml/2006/main" xmlns:r="http://schemas.openxmlformats.org/officeDocument/2006/relationships">
  <dimension ref="A2:K33"/>
  <sheetViews>
    <sheetView view="pageBreakPreview" zoomScale="90" zoomScaleNormal="100" zoomScaleSheetLayoutView="90" workbookViewId="0">
      <selection activeCell="F9" sqref="F9"/>
    </sheetView>
  </sheetViews>
  <sheetFormatPr defaultRowHeight="12.75"/>
  <cols>
    <col min="1" max="1" width="7.5703125" style="257" customWidth="1"/>
    <col min="2" max="2" width="21.42578125" style="257" customWidth="1"/>
    <col min="3" max="3" width="27.85546875" style="257" customWidth="1"/>
    <col min="4" max="4" width="9.140625" style="257"/>
    <col min="5" max="5" width="12.5703125" style="257" customWidth="1"/>
    <col min="6" max="6" width="13" style="257" customWidth="1"/>
    <col min="7" max="7" width="11.7109375" style="257" customWidth="1"/>
    <col min="8" max="8" width="17.5703125" style="257" customWidth="1"/>
    <col min="9" max="9" width="8.85546875" style="257" customWidth="1"/>
    <col min="10" max="16384" width="9.140625" style="257"/>
  </cols>
  <sheetData>
    <row r="2" spans="1:9">
      <c r="A2" s="256" t="s">
        <v>487</v>
      </c>
    </row>
    <row r="4" spans="1:9" ht="12.75" customHeight="1">
      <c r="A4" s="618" t="s">
        <v>1</v>
      </c>
      <c r="B4" s="618" t="s">
        <v>2</v>
      </c>
      <c r="C4" s="618" t="s">
        <v>3</v>
      </c>
      <c r="D4" s="618" t="s">
        <v>4</v>
      </c>
      <c r="E4" s="614" t="s">
        <v>496</v>
      </c>
      <c r="F4" s="614" t="s">
        <v>482</v>
      </c>
      <c r="G4" s="614" t="s">
        <v>483</v>
      </c>
      <c r="H4" s="629" t="s">
        <v>488</v>
      </c>
      <c r="I4" s="630"/>
    </row>
    <row r="5" spans="1:9" ht="12.75" customHeight="1">
      <c r="A5" s="618"/>
      <c r="B5" s="618"/>
      <c r="C5" s="618"/>
      <c r="D5" s="618"/>
      <c r="E5" s="614"/>
      <c r="F5" s="614"/>
      <c r="G5" s="614"/>
      <c r="H5" s="631"/>
      <c r="I5" s="632"/>
    </row>
    <row r="6" spans="1:9" ht="63.75" customHeight="1">
      <c r="A6" s="618"/>
      <c r="B6" s="618"/>
      <c r="C6" s="618"/>
      <c r="D6" s="618"/>
      <c r="E6" s="614"/>
      <c r="F6" s="614"/>
      <c r="G6" s="614"/>
      <c r="H6" s="633"/>
      <c r="I6" s="634"/>
    </row>
    <row r="7" spans="1:9">
      <c r="A7" s="255">
        <v>1</v>
      </c>
      <c r="B7" s="255">
        <v>2</v>
      </c>
      <c r="C7" s="255">
        <v>3</v>
      </c>
      <c r="D7" s="255">
        <v>4</v>
      </c>
      <c r="E7" s="258">
        <v>5</v>
      </c>
      <c r="F7" s="258">
        <v>6</v>
      </c>
      <c r="G7" s="258">
        <v>7</v>
      </c>
      <c r="H7" s="635"/>
      <c r="I7" s="636"/>
    </row>
    <row r="8" spans="1:9" ht="72" customHeight="1">
      <c r="A8" s="308" t="s">
        <v>213</v>
      </c>
      <c r="B8" s="308" t="s">
        <v>207</v>
      </c>
      <c r="C8" s="308" t="s">
        <v>214</v>
      </c>
      <c r="D8" s="308" t="s">
        <v>421</v>
      </c>
      <c r="E8" s="309">
        <v>0</v>
      </c>
      <c r="F8" s="309">
        <f t="shared" ref="F8:F18" si="0">G8-E8</f>
        <v>20</v>
      </c>
      <c r="G8" s="309">
        <v>20</v>
      </c>
      <c r="H8" s="637" t="s">
        <v>490</v>
      </c>
      <c r="I8" s="638"/>
    </row>
    <row r="9" spans="1:9" ht="243.75" customHeight="1">
      <c r="A9" s="312" t="s">
        <v>219</v>
      </c>
      <c r="B9" s="313" t="s">
        <v>208</v>
      </c>
      <c r="C9" s="313" t="s">
        <v>217</v>
      </c>
      <c r="D9" s="313" t="s">
        <v>489</v>
      </c>
      <c r="E9" s="315">
        <v>3287.2</v>
      </c>
      <c r="F9" s="315">
        <f t="shared" si="0"/>
        <v>970</v>
      </c>
      <c r="G9" s="315">
        <v>4257.2</v>
      </c>
      <c r="H9" s="625" t="s">
        <v>491</v>
      </c>
      <c r="I9" s="626"/>
    </row>
    <row r="10" spans="1:9" ht="45.75" customHeight="1">
      <c r="A10" s="615" t="s">
        <v>63</v>
      </c>
      <c r="B10" s="616"/>
      <c r="C10" s="617"/>
      <c r="D10" s="313"/>
      <c r="E10" s="315">
        <v>48374.7</v>
      </c>
      <c r="F10" s="315">
        <f t="shared" si="0"/>
        <v>990</v>
      </c>
      <c r="G10" s="315">
        <v>49364.7</v>
      </c>
      <c r="H10" s="627"/>
      <c r="I10" s="628"/>
    </row>
    <row r="11" spans="1:9" ht="63.75" customHeight="1">
      <c r="A11" s="310" t="s">
        <v>239</v>
      </c>
      <c r="B11" s="311" t="s">
        <v>93</v>
      </c>
      <c r="C11" s="313" t="s">
        <v>241</v>
      </c>
      <c r="D11" s="313" t="s">
        <v>489</v>
      </c>
      <c r="E11" s="315">
        <v>500</v>
      </c>
      <c r="F11" s="315">
        <f t="shared" si="0"/>
        <v>-500</v>
      </c>
      <c r="G11" s="315">
        <v>0</v>
      </c>
      <c r="H11" s="625" t="s">
        <v>492</v>
      </c>
      <c r="I11" s="626"/>
    </row>
    <row r="12" spans="1:9" ht="24.75" customHeight="1">
      <c r="A12" s="615" t="s">
        <v>70</v>
      </c>
      <c r="B12" s="616"/>
      <c r="C12" s="617"/>
      <c r="D12" s="313"/>
      <c r="E12" s="315">
        <v>3549.3</v>
      </c>
      <c r="F12" s="315">
        <f t="shared" si="0"/>
        <v>-500</v>
      </c>
      <c r="G12" s="315">
        <v>3049.3</v>
      </c>
      <c r="H12" s="627"/>
      <c r="I12" s="628"/>
    </row>
    <row r="13" spans="1:9" ht="178.5" customHeight="1">
      <c r="A13" s="622" t="s">
        <v>244</v>
      </c>
      <c r="B13" s="619" t="s">
        <v>245</v>
      </c>
      <c r="C13" s="313" t="s">
        <v>484</v>
      </c>
      <c r="D13" s="313" t="s">
        <v>425</v>
      </c>
      <c r="E13" s="315">
        <v>71161.5</v>
      </c>
      <c r="F13" s="315">
        <f t="shared" si="0"/>
        <v>269.10000000000582</v>
      </c>
      <c r="G13" s="315">
        <v>71430.600000000006</v>
      </c>
      <c r="H13" s="625" t="s">
        <v>498</v>
      </c>
      <c r="I13" s="626"/>
    </row>
    <row r="14" spans="1:9" ht="70.5" customHeight="1">
      <c r="A14" s="623"/>
      <c r="B14" s="620"/>
      <c r="C14" s="313" t="s">
        <v>485</v>
      </c>
      <c r="D14" s="313" t="s">
        <v>425</v>
      </c>
      <c r="E14" s="315">
        <v>36245.800000000003</v>
      </c>
      <c r="F14" s="315">
        <f t="shared" si="0"/>
        <v>1024.6999999999971</v>
      </c>
      <c r="G14" s="315">
        <v>37270.5</v>
      </c>
      <c r="H14" s="625" t="s">
        <v>493</v>
      </c>
      <c r="I14" s="626"/>
    </row>
    <row r="15" spans="1:9" ht="95.25" customHeight="1">
      <c r="A15" s="623"/>
      <c r="B15" s="620"/>
      <c r="C15" s="313" t="s">
        <v>360</v>
      </c>
      <c r="D15" s="313" t="s">
        <v>425</v>
      </c>
      <c r="E15" s="315">
        <v>2289</v>
      </c>
      <c r="F15" s="315">
        <f t="shared" si="0"/>
        <v>2000</v>
      </c>
      <c r="G15" s="315">
        <v>4289</v>
      </c>
      <c r="H15" s="625" t="s">
        <v>494</v>
      </c>
      <c r="I15" s="626"/>
    </row>
    <row r="16" spans="1:9" ht="140.25" customHeight="1">
      <c r="A16" s="624"/>
      <c r="B16" s="621"/>
      <c r="C16" s="313" t="s">
        <v>393</v>
      </c>
      <c r="D16" s="313" t="s">
        <v>392</v>
      </c>
      <c r="E16" s="315">
        <v>2000</v>
      </c>
      <c r="F16" s="315">
        <f t="shared" si="0"/>
        <v>1000.0999999999999</v>
      </c>
      <c r="G16" s="315">
        <v>3000.1</v>
      </c>
      <c r="H16" s="625" t="s">
        <v>495</v>
      </c>
      <c r="I16" s="626"/>
    </row>
    <row r="17" spans="1:11" ht="16.5" customHeight="1">
      <c r="A17" s="615" t="s">
        <v>72</v>
      </c>
      <c r="B17" s="616"/>
      <c r="C17" s="617"/>
      <c r="D17" s="314"/>
      <c r="E17" s="315">
        <v>111696.3</v>
      </c>
      <c r="F17" s="316">
        <f t="shared" si="0"/>
        <v>4293.8999999999942</v>
      </c>
      <c r="G17" s="315">
        <v>115990.2</v>
      </c>
      <c r="H17" s="627"/>
      <c r="I17" s="628"/>
    </row>
    <row r="18" spans="1:11" ht="18.75" customHeight="1">
      <c r="A18" s="611" t="s">
        <v>486</v>
      </c>
      <c r="B18" s="612"/>
      <c r="C18" s="613"/>
      <c r="D18" s="310"/>
      <c r="E18" s="315">
        <v>189128.7</v>
      </c>
      <c r="F18" s="316">
        <f t="shared" si="0"/>
        <v>4783.8999999999942</v>
      </c>
      <c r="G18" s="315">
        <v>193912.6</v>
      </c>
      <c r="H18" s="627"/>
      <c r="I18" s="628"/>
      <c r="K18" s="257">
        <f>F16+F15+F14+F13</f>
        <v>4293.9000000000033</v>
      </c>
    </row>
    <row r="20" spans="1:11">
      <c r="I20" s="259"/>
    </row>
    <row r="21" spans="1:11" ht="15">
      <c r="A21" s="248" t="s">
        <v>480</v>
      </c>
      <c r="B21" s="248"/>
      <c r="C21" s="249"/>
      <c r="D21" s="250"/>
      <c r="E21" s="248"/>
      <c r="F21" s="252" t="s">
        <v>481</v>
      </c>
      <c r="G21" s="251"/>
      <c r="H21" s="251"/>
    </row>
    <row r="22" spans="1:11" ht="15">
      <c r="A22" s="248"/>
      <c r="B22" s="248"/>
      <c r="C22" s="249"/>
      <c r="D22" s="250"/>
      <c r="E22" s="248"/>
      <c r="F22" s="251"/>
      <c r="G22" s="251"/>
      <c r="H22" s="251"/>
      <c r="I22" s="252"/>
    </row>
    <row r="23" spans="1:11" ht="15">
      <c r="A23" s="253" t="s">
        <v>27</v>
      </c>
      <c r="B23" s="248"/>
      <c r="C23" s="254"/>
      <c r="D23" s="250"/>
      <c r="E23" s="248"/>
      <c r="F23" s="251"/>
      <c r="G23" s="251"/>
      <c r="H23" s="251"/>
      <c r="I23" s="251"/>
    </row>
    <row r="33" ht="12.75" customHeight="1"/>
  </sheetData>
  <mergeCells count="26">
    <mergeCell ref="H16:I16"/>
    <mergeCell ref="H17:I17"/>
    <mergeCell ref="H18:I18"/>
    <mergeCell ref="H14:I14"/>
    <mergeCell ref="H4:I6"/>
    <mergeCell ref="H7:I7"/>
    <mergeCell ref="H9:I9"/>
    <mergeCell ref="H13:I13"/>
    <mergeCell ref="H10:I10"/>
    <mergeCell ref="H11:I11"/>
    <mergeCell ref="H12:I12"/>
    <mergeCell ref="H8:I8"/>
    <mergeCell ref="H15:I15"/>
    <mergeCell ref="A18:C18"/>
    <mergeCell ref="F4:F6"/>
    <mergeCell ref="G4:G6"/>
    <mergeCell ref="A10:C10"/>
    <mergeCell ref="A17:C17"/>
    <mergeCell ref="D4:D6"/>
    <mergeCell ref="E4:E6"/>
    <mergeCell ref="A4:A6"/>
    <mergeCell ref="B4:B6"/>
    <mergeCell ref="C4:C6"/>
    <mergeCell ref="A12:C12"/>
    <mergeCell ref="B13:B16"/>
    <mergeCell ref="A13:A16"/>
  </mergeCells>
  <pageMargins left="0.31496062992125984" right="0.31496062992125984" top="0.15748031496062992" bottom="0.19685039370078741" header="0.31496062992125984" footer="0.31496062992125984"/>
  <pageSetup paperSize="9" scale="75"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5</vt:i4>
      </vt:variant>
      <vt:variant>
        <vt:lpstr>Именованные диапазоны</vt:lpstr>
      </vt:variant>
      <vt:variant>
        <vt:i4>7</vt:i4>
      </vt:variant>
    </vt:vector>
  </HeadingPairs>
  <TitlesOfParts>
    <vt:vector size="12" baseType="lpstr">
      <vt:lpstr>Додаток 1</vt:lpstr>
      <vt:lpstr>Додаток 2</vt:lpstr>
      <vt:lpstr>Додаток 3</vt:lpstr>
      <vt:lpstr>Додаток 4</vt:lpstr>
      <vt:lpstr>порівняльна</vt:lpstr>
      <vt:lpstr>'Додаток 3'!Заголовки_для_печати</vt:lpstr>
      <vt:lpstr>'Додаток 4'!Заголовки_для_печати</vt:lpstr>
      <vt:lpstr>'Додаток 1'!Область_печати</vt:lpstr>
      <vt:lpstr>'Додаток 2'!Область_печати</vt:lpstr>
      <vt:lpstr>'Додаток 3'!Область_печати</vt:lpstr>
      <vt:lpstr>'Додаток 4'!Область_печати</vt:lpstr>
      <vt:lpstr>порівняльна!Область_печати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Admin</cp:lastModifiedBy>
  <cp:lastPrinted>2021-05-12T05:50:52Z</cp:lastPrinted>
  <dcterms:created xsi:type="dcterms:W3CDTF">1996-10-08T23:32:33Z</dcterms:created>
  <dcterms:modified xsi:type="dcterms:W3CDTF">2021-05-12T05:52:01Z</dcterms:modified>
</cp:coreProperties>
</file>