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Додаток 3" sheetId="25" r:id="rId2"/>
    <sheet name="Додаток 4" sheetId="14" r:id="rId3"/>
    <sheet name="порівняльна" sheetId="29" r:id="rId4"/>
  </sheets>
  <externalReferences>
    <externalReference r:id="rId5"/>
  </externalReferences>
  <definedNames>
    <definedName name="_xlnm._FilterDatabase" localSheetId="1" hidden="1">'Додаток 3'!$A$6:$L$485</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3'!$A$1:$L$487</definedName>
    <definedName name="_xlnm.Print_Area" localSheetId="2">'Додаток 4'!$A$1:$K$366</definedName>
    <definedName name="_xlnm.Print_Area" localSheetId="3">порівняльна!$A$1:$I$26</definedName>
  </definedNames>
  <calcPr calcId="125725"/>
</workbook>
</file>

<file path=xl/calcChain.xml><?xml version="1.0" encoding="utf-8"?>
<calcChain xmlns="http://schemas.openxmlformats.org/spreadsheetml/2006/main">
  <c r="F20" i="29"/>
  <c r="F13"/>
  <c r="J39" i="25"/>
  <c r="F14" i="29"/>
  <c r="F8"/>
  <c r="F9"/>
  <c r="F10"/>
  <c r="F11"/>
  <c r="F12"/>
  <c r="J50" i="25"/>
  <c r="J49"/>
  <c r="J48"/>
  <c r="J47"/>
  <c r="J46"/>
  <c r="J223"/>
  <c r="J16"/>
  <c r="J15"/>
  <c r="J135"/>
  <c r="G17" i="29"/>
  <c r="F19"/>
  <c r="G18"/>
  <c r="J268" i="25"/>
  <c r="J252"/>
  <c r="G9" i="29"/>
  <c r="H347" i="14"/>
  <c r="J161" i="25"/>
  <c r="J118"/>
  <c r="H30"/>
  <c r="J30"/>
  <c r="K30"/>
  <c r="J289" l="1"/>
  <c r="J331" s="1"/>
  <c r="J269"/>
  <c r="J224"/>
  <c r="J34"/>
  <c r="J33"/>
  <c r="J32"/>
  <c r="J31"/>
  <c r="J251"/>
  <c r="H270"/>
  <c r="J266"/>
  <c r="F18" i="29"/>
  <c r="F17"/>
  <c r="F16"/>
  <c r="F15"/>
  <c r="J267" i="25" l="1"/>
  <c r="J253"/>
  <c r="I119" l="1"/>
  <c r="J119"/>
  <c r="J162" s="1"/>
  <c r="K119"/>
  <c r="K162" s="1"/>
  <c r="K333" s="1"/>
  <c r="K454" s="1"/>
  <c r="J99"/>
  <c r="K99"/>
  <c r="I99"/>
  <c r="H39"/>
  <c r="H119" s="1"/>
  <c r="I61"/>
  <c r="I162"/>
  <c r="I333" s="1"/>
  <c r="I454" s="1"/>
  <c r="K79"/>
  <c r="I79"/>
  <c r="H83"/>
  <c r="J81"/>
  <c r="J79" s="1"/>
  <c r="J410"/>
  <c r="J453"/>
  <c r="I278"/>
  <c r="K278"/>
  <c r="H162" l="1"/>
  <c r="H333" s="1"/>
  <c r="J333"/>
  <c r="J12"/>
  <c r="I291"/>
  <c r="I334" s="1"/>
  <c r="I455" s="1"/>
  <c r="K291"/>
  <c r="K334" s="1"/>
  <c r="K455" s="1"/>
  <c r="J291"/>
  <c r="J334" s="1"/>
  <c r="J455" s="1"/>
  <c r="H258"/>
  <c r="H291" s="1"/>
  <c r="H334" s="1"/>
  <c r="H455" s="1"/>
  <c r="J125"/>
  <c r="J117" l="1"/>
  <c r="J454"/>
  <c r="H454"/>
  <c r="J45"/>
  <c r="J96" s="1"/>
  <c r="J275"/>
  <c r="J174"/>
  <c r="H94"/>
  <c r="H93"/>
  <c r="H91"/>
  <c r="H92"/>
  <c r="G136" i="14"/>
  <c r="G138" s="1"/>
  <c r="J202" i="25"/>
  <c r="J211"/>
  <c r="K211"/>
  <c r="I211"/>
  <c r="I174"/>
  <c r="K174"/>
  <c r="H177"/>
  <c r="H211" s="1"/>
  <c r="J121"/>
  <c r="J172" s="1"/>
  <c r="J350" s="1"/>
  <c r="J477" s="1"/>
  <c r="K121"/>
  <c r="K172" s="1"/>
  <c r="K350" s="1"/>
  <c r="K477" s="1"/>
  <c r="I121"/>
  <c r="I172" s="1"/>
  <c r="I350" s="1"/>
  <c r="I477" s="1"/>
  <c r="I120"/>
  <c r="H76"/>
  <c r="H121" s="1"/>
  <c r="H172" s="1"/>
  <c r="H350" s="1"/>
  <c r="H477" s="1"/>
  <c r="I297"/>
  <c r="K297"/>
  <c r="H275"/>
  <c r="H373"/>
  <c r="H452"/>
  <c r="J427"/>
  <c r="I379"/>
  <c r="I378" s="1"/>
  <c r="J379"/>
  <c r="J378" s="1"/>
  <c r="K379"/>
  <c r="K378" s="1"/>
  <c r="H378" l="1"/>
  <c r="H380"/>
  <c r="H381"/>
  <c r="H382"/>
  <c r="H383"/>
  <c r="H384"/>
  <c r="H453" s="1"/>
  <c r="J452"/>
  <c r="K452"/>
  <c r="I452"/>
  <c r="K161"/>
  <c r="I161"/>
  <c r="H289"/>
  <c r="J290"/>
  <c r="J288" s="1"/>
  <c r="K290"/>
  <c r="I290"/>
  <c r="J277"/>
  <c r="K277"/>
  <c r="J259"/>
  <c r="K259"/>
  <c r="H262"/>
  <c r="I330" l="1"/>
  <c r="I160"/>
  <c r="K330"/>
  <c r="K160"/>
  <c r="J330"/>
  <c r="J160"/>
  <c r="K332"/>
  <c r="K453" s="1"/>
  <c r="K288"/>
  <c r="I332"/>
  <c r="I453" s="1"/>
  <c r="I288"/>
  <c r="J332"/>
  <c r="J451"/>
  <c r="J450" s="1"/>
  <c r="H379"/>
  <c r="K451"/>
  <c r="K450" s="1"/>
  <c r="I451"/>
  <c r="I450" s="1"/>
  <c r="H290"/>
  <c r="H288" s="1"/>
  <c r="J193"/>
  <c r="J191" s="1"/>
  <c r="I118"/>
  <c r="I117" s="1"/>
  <c r="K118"/>
  <c r="K117" s="1"/>
  <c r="J120"/>
  <c r="K120"/>
  <c r="J68"/>
  <c r="K68"/>
  <c r="I68"/>
  <c r="J51"/>
  <c r="K51"/>
  <c r="H57"/>
  <c r="K45"/>
  <c r="H50"/>
  <c r="J329" l="1"/>
  <c r="K329"/>
  <c r="I329"/>
  <c r="H332"/>
  <c r="H35"/>
  <c r="H118" l="1"/>
  <c r="H117" s="1"/>
  <c r="H161"/>
  <c r="H368"/>
  <c r="H367"/>
  <c r="H366"/>
  <c r="K283"/>
  <c r="H220"/>
  <c r="K130"/>
  <c r="J130"/>
  <c r="K114"/>
  <c r="J110"/>
  <c r="K107"/>
  <c r="J107"/>
  <c r="H128"/>
  <c r="H127"/>
  <c r="H126"/>
  <c r="H124"/>
  <c r="K122"/>
  <c r="K129" s="1"/>
  <c r="J122"/>
  <c r="J129" s="1"/>
  <c r="H84"/>
  <c r="H87"/>
  <c r="H86"/>
  <c r="H82"/>
  <c r="H81"/>
  <c r="H80"/>
  <c r="H79" s="1"/>
  <c r="H77"/>
  <c r="H75"/>
  <c r="H120" s="1"/>
  <c r="H72"/>
  <c r="H71"/>
  <c r="H70"/>
  <c r="H69"/>
  <c r="J64"/>
  <c r="I64"/>
  <c r="H67"/>
  <c r="H66"/>
  <c r="H65"/>
  <c r="H62"/>
  <c r="H60"/>
  <c r="H58"/>
  <c r="I52"/>
  <c r="H52" s="1"/>
  <c r="H55"/>
  <c r="H54"/>
  <c r="H53"/>
  <c r="H49"/>
  <c r="H47"/>
  <c r="H46"/>
  <c r="K28"/>
  <c r="K27"/>
  <c r="I23"/>
  <c r="J27"/>
  <c r="H25"/>
  <c r="H24"/>
  <c r="J20"/>
  <c r="H22"/>
  <c r="H21"/>
  <c r="H19"/>
  <c r="H18"/>
  <c r="H15"/>
  <c r="H131"/>
  <c r="H330" l="1"/>
  <c r="H329" s="1"/>
  <c r="H160"/>
  <c r="H23"/>
  <c r="H68"/>
  <c r="H451"/>
  <c r="H450" s="1"/>
  <c r="H17"/>
  <c r="H20"/>
  <c r="H64"/>
  <c r="J273"/>
  <c r="J13"/>
  <c r="J28" s="1"/>
  <c r="J274"/>
  <c r="J278" s="1"/>
  <c r="J306" s="1"/>
  <c r="J412" s="1"/>
  <c r="I116"/>
  <c r="I159" s="1"/>
  <c r="I98"/>
  <c r="I44"/>
  <c r="I115" s="1"/>
  <c r="I158" s="1"/>
  <c r="H37"/>
  <c r="H116" s="1"/>
  <c r="H159" s="1"/>
  <c r="J297" l="1"/>
  <c r="J283"/>
  <c r="I142"/>
  <c r="J102" l="1"/>
  <c r="I374"/>
  <c r="J416"/>
  <c r="E347" i="14"/>
  <c r="D76"/>
  <c r="C76"/>
  <c r="G280" l="1"/>
  <c r="E349" l="1"/>
  <c r="I32" i="25" l="1"/>
  <c r="H32" s="1"/>
  <c r="I232" l="1"/>
  <c r="I33"/>
  <c r="I48"/>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45" i="25" l="1"/>
  <c r="H48"/>
  <c r="H45" s="1"/>
  <c r="I110"/>
  <c r="I193" i="14"/>
  <c r="C193"/>
  <c r="G193"/>
  <c r="G180"/>
  <c r="I47"/>
  <c r="C47"/>
  <c r="F193" l="1"/>
  <c r="B193" s="1"/>
  <c r="G198"/>
  <c r="F198" s="1"/>
  <c r="F180"/>
  <c r="G185"/>
  <c r="F185" s="1"/>
  <c r="J85" i="25"/>
  <c r="J145"/>
  <c r="J150"/>
  <c r="I85"/>
  <c r="K85"/>
  <c r="J23"/>
  <c r="G47" i="14" s="1"/>
  <c r="F47" s="1"/>
  <c r="B47" s="1"/>
  <c r="K23" i="25"/>
  <c r="J78"/>
  <c r="H78" l="1"/>
  <c r="J114"/>
  <c r="G52" i="14"/>
  <c r="F52" s="1"/>
  <c r="J164" i="25"/>
  <c r="I219" i="14"/>
  <c r="I227" s="1"/>
  <c r="G38" l="1"/>
  <c r="B180" l="1"/>
  <c r="F171"/>
  <c r="B171" s="1"/>
  <c r="F38" l="1"/>
  <c r="C38"/>
  <c r="G79" l="1"/>
  <c r="J319"/>
  <c r="I319" s="1"/>
  <c r="G319"/>
  <c r="G323" s="1"/>
  <c r="F319" l="1"/>
  <c r="F323" s="1"/>
  <c r="I263" i="25"/>
  <c r="I261"/>
  <c r="I260"/>
  <c r="I282" l="1"/>
  <c r="I277"/>
  <c r="I259"/>
  <c r="I305" l="1"/>
  <c r="J271"/>
  <c r="J265" s="1"/>
  <c r="J256"/>
  <c r="J255"/>
  <c r="J254"/>
  <c r="I188"/>
  <c r="I425"/>
  <c r="I410" l="1"/>
  <c r="J250"/>
  <c r="K365"/>
  <c r="K364" s="1"/>
  <c r="J370"/>
  <c r="J364" s="1"/>
  <c r="J249" l="1"/>
  <c r="J276" s="1"/>
  <c r="J279"/>
  <c r="H344" i="14"/>
  <c r="H345"/>
  <c r="K223" i="25"/>
  <c r="K133"/>
  <c r="J133"/>
  <c r="J341" s="1"/>
  <c r="K363"/>
  <c r="J363"/>
  <c r="J187"/>
  <c r="I266"/>
  <c r="I267"/>
  <c r="I255"/>
  <c r="I254"/>
  <c r="I196"/>
  <c r="I199"/>
  <c r="I198"/>
  <c r="I125"/>
  <c r="H125" s="1"/>
  <c r="I123"/>
  <c r="I31"/>
  <c r="I30" s="1"/>
  <c r="I74"/>
  <c r="H333" i="14" l="1"/>
  <c r="H74" i="25"/>
  <c r="I107"/>
  <c r="I102"/>
  <c r="H123"/>
  <c r="I122"/>
  <c r="I129" s="1"/>
  <c r="I130"/>
  <c r="J464"/>
  <c r="I16"/>
  <c r="H16" s="1"/>
  <c r="H14" s="1"/>
  <c r="H130" l="1"/>
  <c r="H122"/>
  <c r="H129" s="1"/>
  <c r="J98"/>
  <c r="K98"/>
  <c r="K20"/>
  <c r="J38" i="14" s="1"/>
  <c r="I38" s="1"/>
  <c r="B38" s="1"/>
  <c r="I20" i="25"/>
  <c r="J17"/>
  <c r="G29" i="14" s="1"/>
  <c r="G188"/>
  <c r="G190" s="1"/>
  <c r="G60" l="1"/>
  <c r="F62" s="1"/>
  <c r="J40" i="25"/>
  <c r="J29" s="1"/>
  <c r="J14"/>
  <c r="G24" i="14" s="1"/>
  <c r="G26" s="1"/>
  <c r="J11" i="25"/>
  <c r="J207"/>
  <c r="J309" s="1"/>
  <c r="J358"/>
  <c r="J213"/>
  <c r="I213"/>
  <c r="J132"/>
  <c r="K132"/>
  <c r="J182"/>
  <c r="H88"/>
  <c r="H89"/>
  <c r="H264"/>
  <c r="G19" i="14" l="1"/>
  <c r="G21" s="1"/>
  <c r="J26" i="25"/>
  <c r="H85"/>
  <c r="J97"/>
  <c r="I256"/>
  <c r="I224"/>
  <c r="G55" i="14" l="1"/>
  <c r="G57" s="1"/>
  <c r="H365" i="25"/>
  <c r="I252"/>
  <c r="H230"/>
  <c r="I268" l="1"/>
  <c r="K401" l="1"/>
  <c r="K391"/>
  <c r="I133"/>
  <c r="H133"/>
  <c r="I132" l="1"/>
  <c r="I137"/>
  <c r="I370"/>
  <c r="J406"/>
  <c r="I183"/>
  <c r="I56"/>
  <c r="I96" s="1"/>
  <c r="I284"/>
  <c r="H267"/>
  <c r="I231"/>
  <c r="I210" l="1"/>
  <c r="H56"/>
  <c r="H51" s="1"/>
  <c r="I114"/>
  <c r="I113" s="1"/>
  <c r="I51"/>
  <c r="I229"/>
  <c r="I228"/>
  <c r="I227" l="1"/>
  <c r="I193"/>
  <c r="I194"/>
  <c r="I202" s="1"/>
  <c r="I273" l="1"/>
  <c r="I286" l="1"/>
  <c r="I369"/>
  <c r="I364" s="1"/>
  <c r="I253"/>
  <c r="I251"/>
  <c r="E15" i="14"/>
  <c r="H15"/>
  <c r="K15"/>
  <c r="D136"/>
  <c r="D138" s="1"/>
  <c r="I136"/>
  <c r="F136"/>
  <c r="F138" s="1"/>
  <c r="I171" i="25"/>
  <c r="J171"/>
  <c r="J349" s="1"/>
  <c r="J476" s="1"/>
  <c r="K171"/>
  <c r="K349" s="1"/>
  <c r="K476" s="1"/>
  <c r="H171"/>
  <c r="H349" s="1"/>
  <c r="H476" s="1"/>
  <c r="I257"/>
  <c r="C91" i="14"/>
  <c r="C90"/>
  <c r="C89"/>
  <c r="C88"/>
  <c r="I250" i="25" l="1"/>
  <c r="I249" s="1"/>
  <c r="I349"/>
  <c r="I283"/>
  <c r="C136" i="14"/>
  <c r="C138" s="1"/>
  <c r="I235" i="25"/>
  <c r="F100" i="14"/>
  <c r="C100"/>
  <c r="I413" i="25"/>
  <c r="J413"/>
  <c r="K413"/>
  <c r="I483"/>
  <c r="J483"/>
  <c r="K483"/>
  <c r="J286"/>
  <c r="J328" s="1"/>
  <c r="K286"/>
  <c r="J482"/>
  <c r="K482"/>
  <c r="H377"/>
  <c r="H483" s="1"/>
  <c r="K376"/>
  <c r="J376"/>
  <c r="I376"/>
  <c r="H376"/>
  <c r="K306"/>
  <c r="K355" s="1"/>
  <c r="H273"/>
  <c r="I13"/>
  <c r="C150" i="14"/>
  <c r="C160"/>
  <c r="J305"/>
  <c r="J309" s="1"/>
  <c r="G305"/>
  <c r="G309" s="1"/>
  <c r="D305"/>
  <c r="C305" s="1"/>
  <c r="C227"/>
  <c r="C226"/>
  <c r="J355" i="25" l="1"/>
  <c r="I28"/>
  <c r="H28" s="1"/>
  <c r="H13"/>
  <c r="I306"/>
  <c r="I482"/>
  <c r="I476"/>
  <c r="B136" i="14"/>
  <c r="H413" i="25"/>
  <c r="K412"/>
  <c r="C118" i="14"/>
  <c r="K250" i="25"/>
  <c r="I243"/>
  <c r="J243"/>
  <c r="K243"/>
  <c r="H221"/>
  <c r="I236"/>
  <c r="J236"/>
  <c r="K236"/>
  <c r="I222"/>
  <c r="J222"/>
  <c r="K222"/>
  <c r="H224"/>
  <c r="I216"/>
  <c r="I191"/>
  <c r="I187"/>
  <c r="I182"/>
  <c r="I178"/>
  <c r="D122" i="14"/>
  <c r="D126" s="1"/>
  <c r="I412" i="25" l="1"/>
  <c r="N306"/>
  <c r="K345" i="14"/>
  <c r="K249" i="25"/>
  <c r="I355"/>
  <c r="E344" i="14"/>
  <c r="H36" i="25"/>
  <c r="K344" i="14" l="1"/>
  <c r="K333" s="1"/>
  <c r="E351"/>
  <c r="C351"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F21" s="1"/>
  <c r="I212" i="25"/>
  <c r="F24" i="14" l="1"/>
  <c r="I468" i="25"/>
  <c r="I466"/>
  <c r="I462"/>
  <c r="I460"/>
  <c r="I449"/>
  <c r="J449"/>
  <c r="K449"/>
  <c r="I448"/>
  <c r="J448"/>
  <c r="K448"/>
  <c r="I447"/>
  <c r="J447"/>
  <c r="K447"/>
  <c r="I445"/>
  <c r="I440"/>
  <c r="I438"/>
  <c r="I433"/>
  <c r="I431"/>
  <c r="I472"/>
  <c r="I475"/>
  <c r="I427"/>
  <c r="I414"/>
  <c r="J414"/>
  <c r="K414"/>
  <c r="I415"/>
  <c r="J415"/>
  <c r="K415"/>
  <c r="I416"/>
  <c r="K416"/>
  <c r="K358"/>
  <c r="H361"/>
  <c r="H362"/>
  <c r="H363"/>
  <c r="H359"/>
  <c r="F26" i="14" l="1"/>
  <c r="I360" i="25"/>
  <c r="I328"/>
  <c r="J446"/>
  <c r="K328"/>
  <c r="K446" s="1"/>
  <c r="I281"/>
  <c r="J281"/>
  <c r="K281"/>
  <c r="J305"/>
  <c r="K305"/>
  <c r="K410" s="1"/>
  <c r="I265"/>
  <c r="K265"/>
  <c r="K276" s="1"/>
  <c r="H251"/>
  <c r="I241"/>
  <c r="J241"/>
  <c r="K241"/>
  <c r="K346" s="1"/>
  <c r="K471" s="1"/>
  <c r="I242"/>
  <c r="J242"/>
  <c r="K242"/>
  <c r="I247"/>
  <c r="J247"/>
  <c r="K247"/>
  <c r="I246"/>
  <c r="J246"/>
  <c r="K246"/>
  <c r="I245"/>
  <c r="J245"/>
  <c r="K245"/>
  <c r="I244"/>
  <c r="J244"/>
  <c r="K244"/>
  <c r="I239"/>
  <c r="J239"/>
  <c r="K239"/>
  <c r="I279" l="1"/>
  <c r="I301" s="1"/>
  <c r="I276"/>
  <c r="I346"/>
  <c r="I446"/>
  <c r="H343" i="14"/>
  <c r="E345"/>
  <c r="E333" s="1"/>
  <c r="H298" i="25"/>
  <c r="H356" s="1"/>
  <c r="K279"/>
  <c r="K301" s="1"/>
  <c r="K343" i="14"/>
  <c r="I343" s="1"/>
  <c r="J314" i="25"/>
  <c r="J426" s="1"/>
  <c r="K314"/>
  <c r="K426" s="1"/>
  <c r="I314"/>
  <c r="I358"/>
  <c r="H360"/>
  <c r="H358" s="1"/>
  <c r="J240"/>
  <c r="K240"/>
  <c r="I240"/>
  <c r="J346"/>
  <c r="J471" s="1"/>
  <c r="J212"/>
  <c r="K212"/>
  <c r="I218"/>
  <c r="I352" s="1"/>
  <c r="J218"/>
  <c r="K218"/>
  <c r="K352" s="1"/>
  <c r="K479" s="1"/>
  <c r="I217"/>
  <c r="J217"/>
  <c r="J353" s="1"/>
  <c r="J481" s="1"/>
  <c r="K217"/>
  <c r="K353" s="1"/>
  <c r="K481" s="1"/>
  <c r="I354"/>
  <c r="J216"/>
  <c r="K216"/>
  <c r="K354" s="1"/>
  <c r="K480" s="1"/>
  <c r="I214"/>
  <c r="I209"/>
  <c r="I208"/>
  <c r="I207"/>
  <c r="I206"/>
  <c r="J206"/>
  <c r="K206"/>
  <c r="I195"/>
  <c r="D277" i="14"/>
  <c r="D282" s="1"/>
  <c r="K191" i="25"/>
  <c r="J277" i="14" s="1"/>
  <c r="H190" i="25"/>
  <c r="D252" i="14"/>
  <c r="G252"/>
  <c r="G257" s="1"/>
  <c r="K187" i="25"/>
  <c r="G238" i="14"/>
  <c r="G242" s="1"/>
  <c r="K182" i="25"/>
  <c r="D216" i="14"/>
  <c r="C216" s="1"/>
  <c r="D209"/>
  <c r="D213" s="1"/>
  <c r="G209"/>
  <c r="G213" s="1"/>
  <c r="F213" s="1"/>
  <c r="I203" i="25"/>
  <c r="J203"/>
  <c r="K203"/>
  <c r="I204"/>
  <c r="J204"/>
  <c r="J303" s="1"/>
  <c r="J409" s="1"/>
  <c r="K204"/>
  <c r="K303" s="1"/>
  <c r="I326"/>
  <c r="J115"/>
  <c r="J113" s="1"/>
  <c r="K115"/>
  <c r="I112"/>
  <c r="I155" s="1"/>
  <c r="J112"/>
  <c r="J155" s="1"/>
  <c r="J322" s="1"/>
  <c r="J437" s="1"/>
  <c r="I111"/>
  <c r="I154" s="1"/>
  <c r="J111"/>
  <c r="J154" s="1"/>
  <c r="J321" s="1"/>
  <c r="J436" s="1"/>
  <c r="K111"/>
  <c r="K154" s="1"/>
  <c r="K321" s="1"/>
  <c r="K436" s="1"/>
  <c r="I108"/>
  <c r="J108"/>
  <c r="K108"/>
  <c r="K151" s="1"/>
  <c r="K317" s="1"/>
  <c r="K430" s="1"/>
  <c r="I105"/>
  <c r="I147" s="1"/>
  <c r="J105"/>
  <c r="J147" s="1"/>
  <c r="J313" s="1"/>
  <c r="J424" s="1"/>
  <c r="K105"/>
  <c r="K147" s="1"/>
  <c r="K313" s="1"/>
  <c r="K424" s="1"/>
  <c r="I104"/>
  <c r="I146" s="1"/>
  <c r="J104"/>
  <c r="J146" s="1"/>
  <c r="K104"/>
  <c r="K146" s="1"/>
  <c r="I103"/>
  <c r="J103"/>
  <c r="K103"/>
  <c r="K148" s="1"/>
  <c r="K310" s="1"/>
  <c r="K421" s="1"/>
  <c r="J143"/>
  <c r="J307" s="1"/>
  <c r="K143"/>
  <c r="K307" s="1"/>
  <c r="K411" s="1"/>
  <c r="J142"/>
  <c r="D60" i="14"/>
  <c r="J60"/>
  <c r="I40" i="25"/>
  <c r="K40"/>
  <c r="I138"/>
  <c r="J138"/>
  <c r="J168" s="1"/>
  <c r="J342" s="1"/>
  <c r="J465" s="1"/>
  <c r="K138"/>
  <c r="K168" s="1"/>
  <c r="K342" s="1"/>
  <c r="K465" s="1"/>
  <c r="J137"/>
  <c r="J140" s="1"/>
  <c r="K137"/>
  <c r="K167" s="1"/>
  <c r="I131"/>
  <c r="J131"/>
  <c r="J165" s="1"/>
  <c r="J337" s="1"/>
  <c r="J459" s="1"/>
  <c r="K131"/>
  <c r="K165" s="1"/>
  <c r="K337" s="1"/>
  <c r="K459" s="1"/>
  <c r="J136"/>
  <c r="G201" i="14" s="1"/>
  <c r="K136" i="25"/>
  <c r="J201" i="14" s="1"/>
  <c r="I170" i="25"/>
  <c r="D164" i="14"/>
  <c r="D111"/>
  <c r="D116" s="1"/>
  <c r="C122"/>
  <c r="K97" i="25" l="1"/>
  <c r="K29"/>
  <c r="I29"/>
  <c r="I95" s="1"/>
  <c r="J411"/>
  <c r="K158"/>
  <c r="K326" s="1"/>
  <c r="K443" s="1"/>
  <c r="K113"/>
  <c r="K406"/>
  <c r="E343" i="14"/>
  <c r="C343" s="1"/>
  <c r="I168" i="25"/>
  <c r="I165"/>
  <c r="J167"/>
  <c r="J166" s="1"/>
  <c r="I148"/>
  <c r="I101"/>
  <c r="I313"/>
  <c r="J151"/>
  <c r="J317" s="1"/>
  <c r="J106"/>
  <c r="I321"/>
  <c r="I322"/>
  <c r="I303"/>
  <c r="J209" i="14"/>
  <c r="J213" s="1"/>
  <c r="J238"/>
  <c r="J242" s="1"/>
  <c r="J252"/>
  <c r="J354" i="25"/>
  <c r="J480" s="1"/>
  <c r="I353"/>
  <c r="I426"/>
  <c r="I471"/>
  <c r="I143"/>
  <c r="J148"/>
  <c r="J310" s="1"/>
  <c r="J421" s="1"/>
  <c r="J101"/>
  <c r="I151"/>
  <c r="I106"/>
  <c r="I443"/>
  <c r="G277" i="14"/>
  <c r="G282" s="1"/>
  <c r="D285"/>
  <c r="D289" s="1"/>
  <c r="I480" i="25"/>
  <c r="K409"/>
  <c r="F343" i="14"/>
  <c r="J203"/>
  <c r="I203" s="1"/>
  <c r="I201"/>
  <c r="J352" i="25"/>
  <c r="F201" i="14"/>
  <c r="G203"/>
  <c r="F203" s="1"/>
  <c r="I62"/>
  <c r="I60"/>
  <c r="J158" i="25"/>
  <c r="F345" i="14"/>
  <c r="C164"/>
  <c r="C168" s="1"/>
  <c r="D168"/>
  <c r="C60"/>
  <c r="D62"/>
  <c r="J149" i="25"/>
  <c r="I97"/>
  <c r="C126" i="14"/>
  <c r="I348" i="25"/>
  <c r="K166"/>
  <c r="K341"/>
  <c r="K464" s="1"/>
  <c r="I304"/>
  <c r="J311"/>
  <c r="J422" s="1"/>
  <c r="J304"/>
  <c r="K311"/>
  <c r="K422" s="1"/>
  <c r="I311"/>
  <c r="K215"/>
  <c r="I215"/>
  <c r="I205"/>
  <c r="J215"/>
  <c r="I201"/>
  <c r="J141"/>
  <c r="J302" s="1"/>
  <c r="J407" s="1"/>
  <c r="K141"/>
  <c r="K302" l="1"/>
  <c r="K407" s="1"/>
  <c r="I409"/>
  <c r="J408"/>
  <c r="F277" i="14"/>
  <c r="B343"/>
  <c r="I141" i="25"/>
  <c r="D205" i="14"/>
  <c r="I302" i="25"/>
  <c r="I422"/>
  <c r="I481"/>
  <c r="I437"/>
  <c r="I436"/>
  <c r="I424"/>
  <c r="I310"/>
  <c r="I337"/>
  <c r="I342"/>
  <c r="I408"/>
  <c r="I479"/>
  <c r="J326"/>
  <c r="I406"/>
  <c r="I317"/>
  <c r="I307"/>
  <c r="N307" s="1"/>
  <c r="B60" i="14"/>
  <c r="C62"/>
  <c r="J479" i="25"/>
  <c r="J430"/>
  <c r="I347"/>
  <c r="I474"/>
  <c r="I473" s="1"/>
  <c r="D65" i="14"/>
  <c r="I396" i="25"/>
  <c r="J374"/>
  <c r="K374"/>
  <c r="I238"/>
  <c r="J227"/>
  <c r="K227"/>
  <c r="K235" s="1"/>
  <c r="K238" s="1"/>
  <c r="H233"/>
  <c r="H247" s="1"/>
  <c r="H232"/>
  <c r="H246" s="1"/>
  <c r="H231"/>
  <c r="H245" s="1"/>
  <c r="H229"/>
  <c r="H244" s="1"/>
  <c r="H228"/>
  <c r="H226"/>
  <c r="H194"/>
  <c r="H218" s="1"/>
  <c r="H193"/>
  <c r="H192"/>
  <c r="H216" s="1"/>
  <c r="H189"/>
  <c r="H212" s="1"/>
  <c r="H188"/>
  <c r="H186"/>
  <c r="H185"/>
  <c r="H184"/>
  <c r="H183"/>
  <c r="H181"/>
  <c r="H176"/>
  <c r="H175"/>
  <c r="H135"/>
  <c r="H137" s="1"/>
  <c r="H174" l="1"/>
  <c r="I465"/>
  <c r="I459"/>
  <c r="I421"/>
  <c r="I407"/>
  <c r="I411"/>
  <c r="I430"/>
  <c r="J443"/>
  <c r="J235"/>
  <c r="I418"/>
  <c r="C65" i="14"/>
  <c r="C67" s="1"/>
  <c r="D67"/>
  <c r="H242" i="25"/>
  <c r="H227"/>
  <c r="H225" s="1"/>
  <c r="H234" s="1"/>
  <c r="H354"/>
  <c r="H480" s="1"/>
  <c r="H239"/>
  <c r="H236"/>
  <c r="H182"/>
  <c r="H241"/>
  <c r="H346" s="1"/>
  <c r="K225"/>
  <c r="K234" s="1"/>
  <c r="K237" s="1"/>
  <c r="I225"/>
  <c r="D327" i="14" s="1"/>
  <c r="D331" s="1"/>
  <c r="J225" i="25"/>
  <c r="H204"/>
  <c r="H217"/>
  <c r="H353" s="1"/>
  <c r="K180"/>
  <c r="J214"/>
  <c r="J178"/>
  <c r="H187"/>
  <c r="H191"/>
  <c r="K213"/>
  <c r="H44"/>
  <c r="I14"/>
  <c r="D24" i="14" s="1"/>
  <c r="K14" i="25"/>
  <c r="J24" i="14" s="1"/>
  <c r="I12" i="25"/>
  <c r="J170"/>
  <c r="J169"/>
  <c r="J345" s="1"/>
  <c r="I17"/>
  <c r="D29" i="14" s="1"/>
  <c r="C29" s="1"/>
  <c r="C188"/>
  <c r="G154"/>
  <c r="G142"/>
  <c r="F142" s="1"/>
  <c r="J188"/>
  <c r="J190" s="1"/>
  <c r="G70"/>
  <c r="G75" s="1"/>
  <c r="J462" i="25"/>
  <c r="J440"/>
  <c r="J433"/>
  <c r="J475"/>
  <c r="I385"/>
  <c r="I417" s="1"/>
  <c r="J466"/>
  <c r="J445"/>
  <c r="J438"/>
  <c r="J431"/>
  <c r="J386"/>
  <c r="J425" s="1"/>
  <c r="H375"/>
  <c r="H374" s="1"/>
  <c r="H372"/>
  <c r="H371"/>
  <c r="H370"/>
  <c r="H369"/>
  <c r="K298"/>
  <c r="J298"/>
  <c r="I298"/>
  <c r="K295"/>
  <c r="K343" s="1"/>
  <c r="J295"/>
  <c r="J343" s="1"/>
  <c r="I295"/>
  <c r="K294"/>
  <c r="K338" s="1"/>
  <c r="K458" s="1"/>
  <c r="J294"/>
  <c r="J338" s="1"/>
  <c r="J458" s="1"/>
  <c r="I294"/>
  <c r="K293"/>
  <c r="K339" s="1"/>
  <c r="K461" s="1"/>
  <c r="J293"/>
  <c r="J339" s="1"/>
  <c r="J461" s="1"/>
  <c r="I293"/>
  <c r="K287"/>
  <c r="K327" s="1"/>
  <c r="K444" s="1"/>
  <c r="J287"/>
  <c r="J327" s="1"/>
  <c r="J444" s="1"/>
  <c r="I287"/>
  <c r="K284"/>
  <c r="K323" s="1"/>
  <c r="K439" s="1"/>
  <c r="J284"/>
  <c r="I323"/>
  <c r="K318"/>
  <c r="J318"/>
  <c r="J432" s="1"/>
  <c r="I318"/>
  <c r="I432" s="1"/>
  <c r="K282"/>
  <c r="J282"/>
  <c r="H274"/>
  <c r="H278" s="1"/>
  <c r="H272"/>
  <c r="H271"/>
  <c r="H269"/>
  <c r="H268"/>
  <c r="H266"/>
  <c r="H263"/>
  <c r="H261"/>
  <c r="H260"/>
  <c r="H257"/>
  <c r="H295" s="1"/>
  <c r="H343" s="1"/>
  <c r="H256"/>
  <c r="H255"/>
  <c r="H254"/>
  <c r="H253"/>
  <c r="H283" s="1"/>
  <c r="H252"/>
  <c r="H484"/>
  <c r="H223"/>
  <c r="J210"/>
  <c r="H197"/>
  <c r="G146"/>
  <c r="G311" s="1"/>
  <c r="K11"/>
  <c r="H134"/>
  <c r="H132" s="1"/>
  <c r="H43"/>
  <c r="H42"/>
  <c r="H41"/>
  <c r="H103" s="1"/>
  <c r="H38"/>
  <c r="I5"/>
  <c r="H99" l="1"/>
  <c r="H143" s="1"/>
  <c r="H307" s="1"/>
  <c r="P307" s="1"/>
  <c r="H250"/>
  <c r="H297"/>
  <c r="H482" s="1"/>
  <c r="H306"/>
  <c r="P306" s="1"/>
  <c r="H364"/>
  <c r="H277"/>
  <c r="H305" s="1"/>
  <c r="H259"/>
  <c r="H249" s="1"/>
  <c r="H303"/>
  <c r="J323"/>
  <c r="J439" s="1"/>
  <c r="I327"/>
  <c r="I338"/>
  <c r="J348"/>
  <c r="J347" s="1"/>
  <c r="J238"/>
  <c r="J300" s="1"/>
  <c r="I439"/>
  <c r="I339"/>
  <c r="I343"/>
  <c r="I27"/>
  <c r="H27" s="1"/>
  <c r="H26" s="1"/>
  <c r="H12"/>
  <c r="H11" s="1"/>
  <c r="K432"/>
  <c r="J234"/>
  <c r="J237" s="1"/>
  <c r="G327" i="14"/>
  <c r="J26"/>
  <c r="I24"/>
  <c r="I26" s="1"/>
  <c r="C24"/>
  <c r="C26" s="1"/>
  <c r="D26"/>
  <c r="F154"/>
  <c r="F161" s="1"/>
  <c r="G161"/>
  <c r="F70"/>
  <c r="F75" s="1"/>
  <c r="H284" i="25"/>
  <c r="H323" s="1"/>
  <c r="H293"/>
  <c r="H339" s="1"/>
  <c r="H461" s="1"/>
  <c r="H286"/>
  <c r="H328" s="1"/>
  <c r="I11"/>
  <c r="I26" s="1"/>
  <c r="I140" s="1"/>
  <c r="I300" s="1"/>
  <c r="G216" i="14"/>
  <c r="H136" i="25"/>
  <c r="H282"/>
  <c r="H312" s="1"/>
  <c r="I234"/>
  <c r="H265"/>
  <c r="H281"/>
  <c r="G65" i="14"/>
  <c r="G67" s="1"/>
  <c r="H296" i="25"/>
  <c r="H294"/>
  <c r="H338" s="1"/>
  <c r="H458" s="1"/>
  <c r="I356"/>
  <c r="I296"/>
  <c r="K356"/>
  <c r="K484" s="1"/>
  <c r="K478" s="1"/>
  <c r="K296"/>
  <c r="H318"/>
  <c r="H432" s="1"/>
  <c r="H287"/>
  <c r="H327" s="1"/>
  <c r="H444" s="1"/>
  <c r="J356"/>
  <c r="J351" s="1"/>
  <c r="J296"/>
  <c r="H243"/>
  <c r="H352" s="1"/>
  <c r="H222"/>
  <c r="H237" s="1"/>
  <c r="I312"/>
  <c r="I280"/>
  <c r="K312"/>
  <c r="K423" s="1"/>
  <c r="K280"/>
  <c r="J312"/>
  <c r="J280"/>
  <c r="H235"/>
  <c r="H439"/>
  <c r="J340"/>
  <c r="J467"/>
  <c r="H415"/>
  <c r="H448"/>
  <c r="K340"/>
  <c r="K467"/>
  <c r="H414"/>
  <c r="H447"/>
  <c r="H416"/>
  <c r="H449"/>
  <c r="K59"/>
  <c r="F79" i="14"/>
  <c r="J94"/>
  <c r="I94" s="1"/>
  <c r="G94"/>
  <c r="C190"/>
  <c r="J344" i="25"/>
  <c r="J470"/>
  <c r="K390"/>
  <c r="K460" s="1"/>
  <c r="J460"/>
  <c r="K468"/>
  <c r="J468"/>
  <c r="H215"/>
  <c r="H240"/>
  <c r="H471"/>
  <c r="I285"/>
  <c r="K285"/>
  <c r="J292"/>
  <c r="J285"/>
  <c r="I292"/>
  <c r="K292"/>
  <c r="H180"/>
  <c r="H214" s="1"/>
  <c r="K214"/>
  <c r="H206"/>
  <c r="H203"/>
  <c r="K199"/>
  <c r="K202" s="1"/>
  <c r="J209"/>
  <c r="K178"/>
  <c r="J216" i="14" s="1"/>
  <c r="J205" i="25"/>
  <c r="J195"/>
  <c r="J201" s="1"/>
  <c r="K208"/>
  <c r="J208"/>
  <c r="F188" i="14"/>
  <c r="H148" i="25"/>
  <c r="H310" s="1"/>
  <c r="H34"/>
  <c r="H114" s="1"/>
  <c r="H115"/>
  <c r="H158" s="1"/>
  <c r="H104"/>
  <c r="H146" s="1"/>
  <c r="H111"/>
  <c r="H154" s="1"/>
  <c r="H105"/>
  <c r="H147" s="1"/>
  <c r="H108"/>
  <c r="H151" s="1"/>
  <c r="H33"/>
  <c r="I109"/>
  <c r="K112"/>
  <c r="K155" s="1"/>
  <c r="K142"/>
  <c r="H165"/>
  <c r="I167"/>
  <c r="I136"/>
  <c r="H40"/>
  <c r="H97" s="1"/>
  <c r="I164"/>
  <c r="H138"/>
  <c r="K397"/>
  <c r="J396"/>
  <c r="H179"/>
  <c r="H467"/>
  <c r="H31"/>
  <c r="H29" s="1"/>
  <c r="J142" i="14"/>
  <c r="I142" s="1"/>
  <c r="I151" s="1"/>
  <c r="G164"/>
  <c r="K169" i="25"/>
  <c r="K345" s="1"/>
  <c r="K170"/>
  <c r="J154" i="14"/>
  <c r="J164"/>
  <c r="K395" i="25"/>
  <c r="K393" s="1"/>
  <c r="K475" s="1"/>
  <c r="H390"/>
  <c r="H460" s="1"/>
  <c r="H98"/>
  <c r="J70" i="14"/>
  <c r="D103"/>
  <c r="J109" i="25"/>
  <c r="K445"/>
  <c r="K400"/>
  <c r="K462" s="1"/>
  <c r="K466"/>
  <c r="K394"/>
  <c r="H394" s="1"/>
  <c r="H401"/>
  <c r="H468" s="1"/>
  <c r="J392"/>
  <c r="K431"/>
  <c r="K399"/>
  <c r="K440" s="1"/>
  <c r="K438"/>
  <c r="K433"/>
  <c r="K386"/>
  <c r="K425" s="1"/>
  <c r="I169" l="1"/>
  <c r="H107"/>
  <c r="H106" s="1"/>
  <c r="H113"/>
  <c r="H409"/>
  <c r="H410"/>
  <c r="J405"/>
  <c r="J474"/>
  <c r="J473" s="1"/>
  <c r="H213"/>
  <c r="K304"/>
  <c r="K102"/>
  <c r="H59"/>
  <c r="H102" s="1"/>
  <c r="H101" s="1"/>
  <c r="I237"/>
  <c r="I467"/>
  <c r="I461"/>
  <c r="I458"/>
  <c r="I444"/>
  <c r="I336"/>
  <c r="I335" s="1"/>
  <c r="D201" i="14"/>
  <c r="C201" s="1"/>
  <c r="K322" i="25"/>
  <c r="J316"/>
  <c r="J429" s="1"/>
  <c r="K209"/>
  <c r="I423"/>
  <c r="H479"/>
  <c r="I351"/>
  <c r="I345"/>
  <c r="J418"/>
  <c r="B24" i="14"/>
  <c r="G111"/>
  <c r="J423" i="25"/>
  <c r="J308"/>
  <c r="C103" i="14"/>
  <c r="C108" s="1"/>
  <c r="D108"/>
  <c r="F327"/>
  <c r="G291"/>
  <c r="I164"/>
  <c r="I168" s="1"/>
  <c r="J168"/>
  <c r="F164"/>
  <c r="F168" s="1"/>
  <c r="G168"/>
  <c r="I154"/>
  <c r="I161" s="1"/>
  <c r="J161"/>
  <c r="I70"/>
  <c r="I75" s="1"/>
  <c r="J75"/>
  <c r="F94"/>
  <c r="F99" s="1"/>
  <c r="G99"/>
  <c r="B70"/>
  <c r="F216"/>
  <c r="F65"/>
  <c r="J336" i="25"/>
  <c r="J79" i="14"/>
  <c r="I79" s="1"/>
  <c r="B79" s="1"/>
  <c r="J463" i="25"/>
  <c r="K351"/>
  <c r="H280"/>
  <c r="J484"/>
  <c r="J478" s="1"/>
  <c r="H314"/>
  <c r="H426" s="1"/>
  <c r="H238"/>
  <c r="J65" i="14"/>
  <c r="J67" s="1"/>
  <c r="I484" i="25"/>
  <c r="I478" s="1"/>
  <c r="H355"/>
  <c r="H351" s="1"/>
  <c r="H412"/>
  <c r="F190" i="14"/>
  <c r="H337" i="25"/>
  <c r="H459" s="1"/>
  <c r="H317"/>
  <c r="H430" s="1"/>
  <c r="H313"/>
  <c r="H424" s="1"/>
  <c r="H311"/>
  <c r="H422" s="1"/>
  <c r="H276"/>
  <c r="H279"/>
  <c r="H285"/>
  <c r="H292"/>
  <c r="H411"/>
  <c r="H321"/>
  <c r="H436" s="1"/>
  <c r="H326"/>
  <c r="H443" s="1"/>
  <c r="K348"/>
  <c r="H348" s="1"/>
  <c r="G122" i="14"/>
  <c r="I457" i="25"/>
  <c r="I456" s="1"/>
  <c r="H481"/>
  <c r="B164" i="14"/>
  <c r="D19"/>
  <c r="D21" s="1"/>
  <c r="G285"/>
  <c r="I216"/>
  <c r="C327"/>
  <c r="D291"/>
  <c r="B94"/>
  <c r="H198" i="25"/>
  <c r="H208" s="1"/>
  <c r="K463"/>
  <c r="B142" i="14"/>
  <c r="J385" i="25"/>
  <c r="J417" s="1"/>
  <c r="J472"/>
  <c r="J469" s="1"/>
  <c r="H397"/>
  <c r="H427" s="1"/>
  <c r="K427"/>
  <c r="K344"/>
  <c r="K470"/>
  <c r="H423"/>
  <c r="J163"/>
  <c r="H199"/>
  <c r="H209" s="1"/>
  <c r="I166"/>
  <c r="I341"/>
  <c r="H446"/>
  <c r="H421"/>
  <c r="H200"/>
  <c r="H210" s="1"/>
  <c r="K210"/>
  <c r="K207"/>
  <c r="K195"/>
  <c r="H178"/>
  <c r="I163"/>
  <c r="K64"/>
  <c r="J153"/>
  <c r="H168"/>
  <c r="H141"/>
  <c r="I157"/>
  <c r="I156" s="1"/>
  <c r="I150"/>
  <c r="I153"/>
  <c r="I145"/>
  <c r="J157"/>
  <c r="H112"/>
  <c r="H155" s="1"/>
  <c r="H142"/>
  <c r="H164"/>
  <c r="H336" s="1"/>
  <c r="K164"/>
  <c r="K336" s="1"/>
  <c r="H167"/>
  <c r="H341" s="1"/>
  <c r="H170"/>
  <c r="K396"/>
  <c r="K17"/>
  <c r="H400"/>
  <c r="H462" s="1"/>
  <c r="H395"/>
  <c r="H389"/>
  <c r="H387"/>
  <c r="H431" s="1"/>
  <c r="H393"/>
  <c r="K63"/>
  <c r="K96" s="1"/>
  <c r="J61"/>
  <c r="J95" s="1"/>
  <c r="H391"/>
  <c r="H466" s="1"/>
  <c r="H386"/>
  <c r="H425" s="1"/>
  <c r="H388"/>
  <c r="H438" s="1"/>
  <c r="H399"/>
  <c r="H440" s="1"/>
  <c r="H398"/>
  <c r="H433" s="1"/>
  <c r="K392"/>
  <c r="H196"/>
  <c r="H202" s="1"/>
  <c r="J325" l="1"/>
  <c r="J442" s="1"/>
  <c r="J156"/>
  <c r="H478"/>
  <c r="J315"/>
  <c r="H406"/>
  <c r="D203" i="14"/>
  <c r="C203"/>
  <c r="B201"/>
  <c r="H63" i="25"/>
  <c r="H61" s="1"/>
  <c r="K110"/>
  <c r="K109" s="1"/>
  <c r="J139"/>
  <c r="I325"/>
  <c r="I324" s="1"/>
  <c r="K205"/>
  <c r="K408"/>
  <c r="I309"/>
  <c r="I316"/>
  <c r="I470"/>
  <c r="I469" s="1"/>
  <c r="I344"/>
  <c r="K437"/>
  <c r="K101"/>
  <c r="B154" i="14"/>
  <c r="K418" i="25"/>
  <c r="J29" i="14"/>
  <c r="K26" i="25"/>
  <c r="J320"/>
  <c r="J435" s="1"/>
  <c r="G205" i="14"/>
  <c r="G289"/>
  <c r="B216"/>
  <c r="F122"/>
  <c r="F126" s="1"/>
  <c r="G126"/>
  <c r="F67"/>
  <c r="K347" i="25"/>
  <c r="I65" i="14"/>
  <c r="I67" s="1"/>
  <c r="H347" i="25"/>
  <c r="H335"/>
  <c r="H445"/>
  <c r="K474"/>
  <c r="K473" s="1"/>
  <c r="H304"/>
  <c r="H342"/>
  <c r="H340" s="1"/>
  <c r="H322"/>
  <c r="H437" s="1"/>
  <c r="H302"/>
  <c r="J122" i="14"/>
  <c r="I188"/>
  <c r="H195" i="25"/>
  <c r="H201" s="1"/>
  <c r="H169"/>
  <c r="H345" s="1"/>
  <c r="H344" s="1"/>
  <c r="G103" i="14"/>
  <c r="G15" s="1"/>
  <c r="K335" i="25"/>
  <c r="K457"/>
  <c r="K456" s="1"/>
  <c r="I139"/>
  <c r="I299" s="1"/>
  <c r="D55" i="14"/>
  <c r="D57" s="1"/>
  <c r="I340" i="25"/>
  <c r="I464"/>
  <c r="I463" s="1"/>
  <c r="C19" i="14"/>
  <c r="F29"/>
  <c r="H464" i="25"/>
  <c r="J324"/>
  <c r="J428"/>
  <c r="I315"/>
  <c r="I429"/>
  <c r="I428" s="1"/>
  <c r="I442"/>
  <c r="I441" s="1"/>
  <c r="K201"/>
  <c r="J285" i="14"/>
  <c r="J335" i="25"/>
  <c r="J457"/>
  <c r="J456" s="1"/>
  <c r="B327" i="14"/>
  <c r="C331"/>
  <c r="K385" i="25"/>
  <c r="K417" s="1"/>
  <c r="K472"/>
  <c r="K469" s="1"/>
  <c r="H474"/>
  <c r="H475"/>
  <c r="H163"/>
  <c r="I152"/>
  <c r="I320"/>
  <c r="J144"/>
  <c r="H166"/>
  <c r="H207"/>
  <c r="H205" s="1"/>
  <c r="I144"/>
  <c r="I149"/>
  <c r="J152"/>
  <c r="K163"/>
  <c r="K157"/>
  <c r="K156" s="1"/>
  <c r="K106"/>
  <c r="K150"/>
  <c r="H150"/>
  <c r="H316" s="1"/>
  <c r="H315" s="1"/>
  <c r="K145"/>
  <c r="K309" s="1"/>
  <c r="H157"/>
  <c r="K61"/>
  <c r="H396"/>
  <c r="H418" s="1"/>
  <c r="H392"/>
  <c r="H385" s="1"/>
  <c r="H407" l="1"/>
  <c r="H96"/>
  <c r="H140" s="1"/>
  <c r="H300" s="1"/>
  <c r="H408"/>
  <c r="H325"/>
  <c r="H324" s="1"/>
  <c r="H156"/>
  <c r="K95"/>
  <c r="K139" s="1"/>
  <c r="K299" s="1"/>
  <c r="J404"/>
  <c r="H95"/>
  <c r="H139" s="1"/>
  <c r="H110"/>
  <c r="H109" s="1"/>
  <c r="I404"/>
  <c r="I405"/>
  <c r="J205" i="14"/>
  <c r="J289"/>
  <c r="I122"/>
  <c r="B122" s="1"/>
  <c r="J126"/>
  <c r="B65"/>
  <c r="J441" i="25"/>
  <c r="J434"/>
  <c r="J319"/>
  <c r="F103" i="14"/>
  <c r="F15" s="1"/>
  <c r="B19"/>
  <c r="C21"/>
  <c r="I29"/>
  <c r="B29" s="1"/>
  <c r="I34"/>
  <c r="K140" i="25"/>
  <c r="K300" s="1"/>
  <c r="H470"/>
  <c r="C55" i="14"/>
  <c r="B55" s="1"/>
  <c r="D15"/>
  <c r="I420" i="25"/>
  <c r="I419" s="1"/>
  <c r="I308"/>
  <c r="H465"/>
  <c r="H463" s="1"/>
  <c r="I126" i="14"/>
  <c r="I190"/>
  <c r="B188"/>
  <c r="J103"/>
  <c r="J15" s="1"/>
  <c r="H442" i="25"/>
  <c r="H441" s="1"/>
  <c r="H429"/>
  <c r="H428" s="1"/>
  <c r="J420"/>
  <c r="I319"/>
  <c r="I435"/>
  <c r="H457"/>
  <c r="H456" s="1"/>
  <c r="H417"/>
  <c r="H472"/>
  <c r="H473"/>
  <c r="K149"/>
  <c r="K316"/>
  <c r="K325"/>
  <c r="K144"/>
  <c r="K308"/>
  <c r="H149"/>
  <c r="H145"/>
  <c r="H309" s="1"/>
  <c r="K153"/>
  <c r="K404" l="1"/>
  <c r="K405"/>
  <c r="H405"/>
  <c r="K320"/>
  <c r="K319" s="1"/>
  <c r="H308"/>
  <c r="H420"/>
  <c r="H469"/>
  <c r="I434"/>
  <c r="J419"/>
  <c r="C57" i="14"/>
  <c r="K435" i="25"/>
  <c r="K434" s="1"/>
  <c r="K420"/>
  <c r="K419" s="1"/>
  <c r="K324"/>
  <c r="K442"/>
  <c r="K441" s="1"/>
  <c r="K315"/>
  <c r="K429"/>
  <c r="K428" s="1"/>
  <c r="I103" i="14"/>
  <c r="I15" s="1"/>
  <c r="H144" i="25"/>
  <c r="K152"/>
  <c r="H153"/>
  <c r="H320" s="1"/>
  <c r="H319" s="1"/>
  <c r="G333" i="14"/>
  <c r="H12"/>
  <c r="J333"/>
  <c r="I333" s="1"/>
  <c r="K12"/>
  <c r="D333"/>
  <c r="D12" s="1"/>
  <c r="G12" l="1"/>
  <c r="F333"/>
  <c r="C333"/>
  <c r="J12"/>
  <c r="H435" i="25"/>
  <c r="H434" s="1"/>
  <c r="B103" i="14"/>
  <c r="H419" i="25"/>
  <c r="H152"/>
  <c r="B333" i="14" l="1"/>
  <c r="M333"/>
  <c r="H404" i="25"/>
  <c r="F302" i="14"/>
  <c r="I302"/>
  <c r="N333" l="1"/>
  <c r="F238"/>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M291" s="1"/>
  <c r="B312"/>
  <c r="C316"/>
  <c r="C282"/>
  <c r="C323"/>
  <c r="B319"/>
  <c r="B295"/>
  <c r="F252"/>
  <c r="F257" s="1"/>
  <c r="I252"/>
  <c r="I257" s="1"/>
  <c r="F230"/>
  <c r="I230"/>
  <c r="B291" l="1"/>
  <c r="N291" s="1"/>
  <c r="B230"/>
  <c r="C285"/>
  <c r="C289" s="1"/>
  <c r="C252"/>
  <c r="C257" s="1"/>
  <c r="C209"/>
  <c r="C213" l="1"/>
  <c r="C205"/>
  <c r="B252"/>
  <c r="C111"/>
  <c r="C15" s="1"/>
  <c r="M15" s="1"/>
  <c r="I285"/>
  <c r="I289" s="1"/>
  <c r="F285"/>
  <c r="F289" s="1"/>
  <c r="C116" l="1"/>
  <c r="C12"/>
  <c r="B285"/>
  <c r="B111" l="1"/>
  <c r="B15" s="1"/>
  <c r="F209"/>
  <c r="F205" s="1"/>
  <c r="N15" l="1"/>
  <c r="F12"/>
  <c r="I209"/>
  <c r="I213" s="1"/>
  <c r="I205" l="1"/>
  <c r="B209"/>
  <c r="B205" s="1"/>
  <c r="B12" s="1"/>
  <c r="I12" l="1"/>
  <c r="M205"/>
  <c r="N205" s="1"/>
</calcChain>
</file>

<file path=xl/sharedStrings.xml><?xml version="1.0" encoding="utf-8"?>
<sst xmlns="http://schemas.openxmlformats.org/spreadsheetml/2006/main" count="1457" uniqueCount="497">
  <si>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</si>
  <si>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</si>
  <si>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</si>
  <si>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</si>
  <si>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</si>
  <si>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</si>
  <si>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</si>
  <si>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</si>
  <si>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</si>
  <si>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</si>
  <si>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</si>
  <si>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</si>
  <si>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</si>
  <si>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</si>
  <si>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</si>
  <si>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</si>
  <si>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</si>
  <si>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</si>
  <si>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</si>
  <si>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</si>
  <si>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</si>
  <si>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</si>
  <si>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</si>
  <si>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</si>
  <si>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</si>
  <si>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</si>
  <si>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</si>
  <si>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</si>
  <si>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</si>
  <si>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</si>
  <si>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</si>
  <si>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</si>
  <si>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</si>
  <si>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</si>
  <si>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</si>
  <si>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</si>
  <si>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</si>
  <si>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</si>
  <si>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</si>
  <si>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</si>
  <si>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</si>
  <si>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</si>
  <si>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</si>
  <si>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</si>
  <si>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</si>
  <si>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</si>
  <si>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</si>
  <si>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</si>
  <si>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</si>
  <si>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</si>
  <si>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</si>
  <si>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</si>
  <si>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</si>
  <si>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</si>
  <si>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</si>
  <si>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</si>
  <si>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</si>
  <si>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</si>
  <si>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</si>
  <si>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</si>
  <si>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</si>
  <si>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</si>
  <si>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</si>
  <si>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</si>
  <si>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</si>
  <si>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</si>
  <si>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</si>
  <si>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</si>
  <si>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</si>
  <si>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</si>
  <si>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</si>
  <si>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</si>
  <si>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</si>
  <si>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</si>
  <si>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</si>
  <si>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</si>
  <si>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</si>
  <si>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</si>
  <si>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</si>
  <si>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</si>
  <si>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</si>
  <si>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</si>
  <si>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</si>
  <si>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</si>
  <si>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</si>
  <si>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</si>
  <si>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</si>
  <si>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</si>
  <si>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</si>
  <si>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</si>
  <si>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</si>
  <si>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</si>
  <si>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</si>
  <si>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</si>
  <si>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</si>
  <si>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</si>
  <si>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</si>
  <si>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</si>
  <si>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</si>
  <si>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</si>
  <si>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</si>
  <si>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</si>
  <si>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</si>
  <si>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</si>
  <si>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</si>
  <si>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</si>
  <si>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</si>
  <si>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</si>
  <si>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</si>
  <si>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</si>
  <si>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</si>
  <si>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</si>
  <si>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</si>
  <si>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</si>
  <si>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</si>
  <si>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</si>
  <si>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</si>
  <si>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</si>
  <si>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</si>
  <si>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</si>
  <si>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</si>
  <si>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</si>
  <si>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</si>
  <si>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</si>
  <si>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</si>
  <si>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</si>
  <si>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</si>
  <si>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</si>
  <si>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</si>
  <si>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</si>
  <si>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</si>
  <si>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</si>
  <si>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</si>
  <si>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</si>
  <si>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</si>
  <si>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</si>
  <si>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</si>
  <si>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</si>
  <si>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</si>
  <si>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</si>
  <si>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</si>
  <si>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</si>
  <si>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</si>
  <si>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</si>
  <si>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</si>
  <si>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</si>
  <si>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</si>
  <si>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</si>
  <si>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</si>
  <si>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</si>
  <si>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</si>
  <si>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</si>
  <si>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</si>
  <si>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</si>
  <si>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</si>
  <si>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</si>
  <si>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</si>
  <si>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</si>
  <si>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</si>
  <si>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</si>
  <si>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</si>
  <si>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</si>
  <si>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</si>
  <si>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</si>
  <si>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</si>
  <si>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</si>
  <si>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</si>
  <si>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</si>
  <si>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</si>
  <si>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</si>
  <si>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</si>
  <si>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</si>
  <si>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</si>
  <si>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</si>
  <si>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</si>
  <si>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</si>
  <si>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</si>
  <si>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</si>
  <si>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</si>
  <si>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</si>
  <si>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</si>
  <si>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</si>
  <si>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</si>
  <si>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</si>
  <si>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</si>
  <si>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</si>
  <si>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</si>
  <si>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</si>
  <si>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</si>
  <si>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</si>
  <si>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</si>
  <si>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</si>
  <si>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</si>
  <si>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</si>
  <si>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</si>
  <si>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</si>
  <si>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</si>
  <si>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</si>
  <si>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</si>
  <si>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</si>
  <si>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</si>
  <si>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</si>
  <si>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</si>
  <si>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</si>
  <si>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</si>
  <si>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</si>
  <si>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</si>
  <si>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</si>
  <si>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</si>
  <si>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</si>
  <si>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</si>
  <si>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</si>
  <si>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</si>
  <si>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</si>
  <si>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</si>
  <si>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</si>
  <si>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</si>
  <si>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</si>
  <si>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</si>
  <si>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</si>
  <si>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</si>
  <si>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</si>
  <si>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</si>
  <si>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</si>
  <si>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</si>
  <si>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</si>
  <si>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</si>
  <si>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</si>
  <si>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</si>
  <si>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</si>
  <si>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</si>
  <si>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</si>
  <si>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</si>
  <si>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</si>
  <si>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</si>
  <si>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</si>
  <si>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</si>
  <si>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</si>
  <si>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</si>
  <si>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</si>
  <si>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</si>
  <si>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</si>
  <si>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</si>
  <si>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</si>
  <si>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</si>
  <si>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</si>
  <si>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</si>
  <si>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</si>
  <si>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</si>
  <si>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</si>
  <si>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</si>
  <si>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</si>
  <si>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</si>
  <si>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</si>
  <si>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</si>
  <si>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</si>
  <si>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</si>
  <si>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</si>
  <si>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</si>
  <si>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</si>
  <si>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</si>
  <si>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</si>
  <si>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</si>
  <si>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</si>
  <si>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</si>
  <si>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</si>
  <si>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</si>
  <si>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</si>
  <si>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</si>
  <si>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</si>
  <si>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</si>
  <si>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</si>
  <si>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</si>
  <si>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</si>
  <si>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</si>
  <si>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</si>
  <si>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</si>
  <si>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</si>
  <si>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</si>
  <si>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</si>
  <si>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</si>
  <si>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</si>
  <si>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</si>
  <si>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</si>
  <si>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</si>
  <si>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</si>
  <si>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</si>
  <si>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</si>
  <si>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</si>
  <si>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</si>
  <si>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</si>
  <si>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</si>
  <si>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</si>
  <si>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</si>
  <si>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</si>
  <si>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</si>
  <si>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</si>
  <si>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</si>
  <si>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</si>
  <si>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</si>
  <si>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</si>
  <si>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</si>
  <si>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</si>
  <si>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</si>
  <si>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</si>
  <si>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</si>
  <si>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</si>
  <si>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</si>
  <si>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</si>
  <si>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</si>
  <si>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</si>
  <si>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</si>
  <si>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</si>
  <si>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</si>
  <si>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</si>
  <si>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</si>
  <si>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</si>
  <si>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</si>
  <si>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</si>
  <si>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</si>
  <si>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</si>
  <si>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</si>
  <si>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</si>
  <si>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</si>
  <si>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</si>
  <si>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</si>
  <si>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</si>
  <si>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</si>
  <si>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</si>
  <si>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</si>
  <si>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</si>
  <si>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</si>
  <si>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</si>
  <si>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</si>
  <si>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</si>
  <si>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</si>
  <si>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</si>
  <si>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</si>
  <si>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</si>
  <si>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</si>
  <si>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</si>
  <si>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</si>
  <si>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</si>
  <si>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</si>
  <si>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</si>
  <si>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</si>
  <si>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</si>
  <si>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</si>
  <si>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</si>
  <si>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</si>
  <si>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</si>
  <si>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</si>
  <si>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</si>
  <si>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</si>
  <si>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</si>
  <si>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</si>
  <si>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</si>
  <si>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</si>
  <si>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</si>
  <si>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</si>
  <si>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</si>
  <si>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</si>
  <si>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</si>
  <si>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</si>
  <si>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</si>
  <si>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</si>
  <si>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</si>
  <si>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</si>
  <si>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</si>
  <si>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</si>
  <si>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</si>
  <si>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</si>
  <si>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</si>
  <si>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</si>
  <si>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</si>
  <si>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</si>
  <si>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</si>
  <si>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</si>
  <si>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</si>
  <si>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</si>
  <si>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</si>
  <si>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</si>
  <si>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</si>
  <si>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</si>
  <si>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</si>
  <si>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</si>
  <si>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</si>
  <si>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</si>
  <si>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</si>
  <si>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</si>
  <si>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</si>
  <si>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</si>
  <si>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</si>
  <si>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</si>
  <si>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</si>
  <si>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</si>
  <si>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</si>
  <si>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</si>
  <si>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</si>
  <si>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</si>
  <si>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</si>
  <si>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</si>
  <si>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</si>
  <si>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</si>
  <si>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</si>
  <si>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</si>
  <si>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</si>
  <si>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</si>
  <si>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</si>
  <si>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</si>
  <si>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</si>
  <si>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</si>
  <si>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</si>
  <si>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</si>
  <si>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</si>
  <si>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</si>
  <si>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</si>
  <si>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</si>
  <si>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</si>
  <si>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</si>
  <si>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</si>
  <si>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</si>
  <si>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</si>
  <si>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</si>
  <si>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</si>
  <si>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</si>
  <si>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</si>
  <si>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</si>
  <si>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</si>
  <si>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</si>
  <si>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</si>
  <si>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</si>
  <si>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</si>
  <si>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</si>
  <si>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</si>
  <si>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</si>
  <si>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</si>
  <si>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</si>
  <si>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</si>
  <si>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</si>
  <si>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</si>
  <si>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</si>
  <si>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</si>
  <si>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</si>
  <si>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</si>
  <si>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</si>
  <si>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</si>
  <si>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</si>
  <si>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</si>
  <si>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</si>
  <si>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</si>
  <si>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</si>
  <si>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КНП "Клінічна лікарня Святого Пантлеймона" СМР</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</si>
  <si>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</si>
  <si>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</si>
  <si>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</si>
  <si>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</si>
  <si>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</si>
  <si>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</si>
  <si>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</si>
  <si>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</si>
  <si>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</si>
  <si>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</si>
  <si>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</si>
  <si>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</si>
  <si>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</si>
  <si>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</si>
  <si>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</si>
  <si>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</si>
  <si>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</si>
  <si>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0718861</t>
  </si>
  <si>
    <t>0718862</t>
  </si>
  <si>
    <t xml:space="preserve">4.1.1. Придбання обладнання довгострокового користування  </t>
  </si>
  <si>
    <t>Кошти бюджету ТГ (спеціальний фонд)</t>
  </si>
  <si>
    <t>Разом по заходу 1.2.15</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</si>
  <si>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</si>
  <si>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3.2.1. Закупівля лікарських засобів, медичних виробів, засобів індивідуального захисту, антисептиків</t>
  </si>
  <si>
    <t>3.2.2.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</si>
  <si>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1.1.2. Співфінансування покриття/покриття вартості комунальних послуг та енергоносіїв</t>
  </si>
  <si>
    <t>Співфінансування покриття/покриття вартості комунальних послуг та енергоносіїв</t>
  </si>
  <si>
    <t>Обсяг коштів, передбачений діючою програмою (рішення СМР від 23.07.21р. № 1549-МР)</t>
  </si>
  <si>
    <t>Зміни до програми, тис.грн.</t>
  </si>
  <si>
    <t>Обсяг коштів програми, передбачений проектом рішення, тис.грн.</t>
  </si>
  <si>
    <t>УСЬОГО по підпрограмі 1 Покращення надання медичної допомоги населенню</t>
  </si>
  <si>
    <t>УСЬОГО по підпрограмі 3 Інші заходи та заклади у сфері охорони здоров'я</t>
  </si>
  <si>
    <t>УСЬОГО по підпрограмі 4  Приведення закладів охорони здоров'я у відповідність до сучасних потреб</t>
  </si>
  <si>
    <t xml:space="preserve">від                           № </t>
  </si>
  <si>
    <t xml:space="preserve">від                       № </t>
  </si>
  <si>
    <t xml:space="preserve">Додаткові кошти  на заходи протидії розповсюдження коронавірусної інфекції на загальну суму  1 300,0 тис.грн. на придбання медикаментів, а саме:                                                     КНП «Центральна міська клінічна лікарня» СМР – 200,0 тис. грн.;
КНП «Клінічна лікарня № 4» СМР – 200,0 тис. грн.;
КНП «Клінічна лікарня № 5» СМР – 500,0 тис. грн.;
КНП «Дитяча клінічна лікарня Святої Зінаїди» СМР – 200,0 тис.грн.;
КНП «Клінічна лікарня Святого Пантелеймона» СМР – 200,0 тис.грн.
</t>
  </si>
  <si>
    <t xml:space="preserve">Передача іншої субвенції з бюджету сільських рад  для КНП "Клінічна лікарня Святого Пантелеймона" (забезпечення роботи медичної комісії з метою проведення мед. огляду призовників та військовозобов'язаних мешканців сільських (селищних рад) Сумського району). </t>
  </si>
  <si>
    <t>1) + 3 860,0 тис.грн. - придбання діагностичного та лікувального обладнання, а саме: концентратор кисневий 10 л. в кількості 35 шт. на суму 2100,0 тис.грн., апарат ЕКГ 12 шт. на суму 840.0 тис.грн., портативний дефібрилятор 4 шт. на суму и 920,0 тис.грн.  "Управління охорони здоров'я Сумської міської ради"                                                                                                               2) + 1 300,0 тис.грн. - придбання цифрового плоскопанельногобездротового детектора до системи рентгенографічної Eclypse  дляКНП "Центральна міська клінічна лікарня"СМР                                                         3) + 13 000,0 тис.грн. - придбання 12 апаратів ШВЛ  та 23 систем СІПАП . Управління охорони здоров'я Сумської міської ради</t>
  </si>
  <si>
    <t>Додаткові кошти  у сумі 585,0 тис. грн. на придбання швидких тестів "Управління охорони здоров'я Сумської міської ради"</t>
  </si>
  <si>
    <t>1) + 3 893,2 тис.грн. - проведення робіт з монтажу/реконструкції систем централізованого киснепостачання, а саме:                                                              КНП «Клінічна лікарня Святого Пантелеймона» СМР – 1 009,3 тис.грн.                                                                                         КНП «Клінічна лікарня №5» СМР -2 583,9 тис.грн. КНП «Центральна міська клінічна лікарня» СМР – 300,0 тис.грн.                                                                                                     2) - 45,0 тис.грн. - зменшення депутатських коштів (депутат Жиленко В.М.) в звязку з перенаправленням їх на іншого головного розпорядника.</t>
  </si>
  <si>
    <t>Забезпечення надання стоматологічної допомоги відповідно до галузевих стандартів</t>
  </si>
  <si>
    <t>Додаткові кошти на оплату комунальних коштів та енргоносіїв.</t>
  </si>
  <si>
    <t>Сумський міський голова</t>
  </si>
  <si>
    <t>О.М.Лисенко</t>
  </si>
</sst>
</file>

<file path=xl/styles.xml><?xml version="1.0" encoding="utf-8"?>
<styleSheet xmlns="http://schemas.openxmlformats.org/spreadsheetml/2006/main">
  <numFmts count="3">
    <numFmt numFmtId="164" formatCode="0.0"/>
    <numFmt numFmtId="165" formatCode="0.000"/>
    <numFmt numFmtId="166" formatCode="#,##0.0"/>
  </numFmts>
  <fonts count="43">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42">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0" fillId="2" borderId="1" xfId="0" applyNumberFormat="1" applyFont="1" applyFill="1" applyBorder="1" applyAlignment="1">
      <alignment horizontal="left"/>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1" xfId="0" applyNumberFormat="1" applyFont="1" applyFill="1" applyBorder="1" applyAlignment="1">
      <alignment horizontal="left" wrapText="1"/>
    </xf>
    <xf numFmtId="0" fontId="3" fillId="2" borderId="1" xfId="3" applyFont="1" applyFill="1" applyBorder="1" applyAlignment="1">
      <alignmen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3" fontId="13" fillId="2" borderId="1" xfId="0" applyNumberFormat="1" applyFont="1" applyFill="1" applyBorder="1" applyAlignment="1">
      <alignment horizontal="left"/>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3" fillId="2" borderId="1" xfId="0" applyFont="1" applyFill="1" applyBorder="1" applyAlignment="1">
      <alignment vertical="top" wrapText="1"/>
    </xf>
    <xf numFmtId="0" fontId="1" fillId="2" borderId="1" xfId="0" applyFont="1" applyFill="1" applyBorder="1" applyAlignment="1">
      <alignment horizontal="left" vertical="top" wrapText="1"/>
    </xf>
    <xf numFmtId="0" fontId="22" fillId="2" borderId="0" xfId="0" applyFont="1" applyFill="1" applyAlignment="1">
      <alignment horizontal="justify" wrapText="1"/>
    </xf>
    <xf numFmtId="166" fontId="1" fillId="2" borderId="1" xfId="0" applyNumberFormat="1" applyFont="1" applyFill="1" applyBorder="1" applyAlignment="1">
      <alignment horizontal="center" vertical="top" wrapText="1"/>
    </xf>
    <xf numFmtId="164" fontId="42" fillId="2" borderId="0" xfId="0" applyNumberFormat="1" applyFont="1" applyFill="1"/>
    <xf numFmtId="166" fontId="1" fillId="2" borderId="1" xfId="0" applyNumberFormat="1" applyFont="1" applyFill="1" applyBorder="1" applyAlignment="1">
      <alignment horizontal="center" vertical="top"/>
    </xf>
    <xf numFmtId="166" fontId="22" fillId="2" borderId="0" xfId="0" applyNumberFormat="1" applyFont="1" applyFill="1"/>
    <xf numFmtId="166" fontId="3" fillId="2" borderId="0" xfId="0" applyNumberFormat="1" applyFont="1" applyFill="1"/>
    <xf numFmtId="0" fontId="13" fillId="2" borderId="1" xfId="0" applyFont="1" applyFill="1" applyBorder="1" applyAlignment="1">
      <alignment vertical="top" wrapText="1"/>
    </xf>
    <xf numFmtId="166" fontId="17" fillId="2" borderId="9"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xf>
    <xf numFmtId="0" fontId="3" fillId="2" borderId="1" xfId="0" applyFont="1" applyFill="1" applyBorder="1" applyAlignment="1">
      <alignment horizontal="left" vertical="top" wrapText="1"/>
    </xf>
    <xf numFmtId="0" fontId="1" fillId="2" borderId="3" xfId="0" applyFont="1" applyFill="1" applyBorder="1" applyAlignment="1">
      <alignment horizontal="left" vertical="top"/>
    </xf>
    <xf numFmtId="0" fontId="1" fillId="2" borderId="2" xfId="0" applyFont="1" applyFill="1" applyBorder="1" applyAlignment="1">
      <alignment horizontal="left" vertical="top"/>
    </xf>
    <xf numFmtId="0" fontId="3" fillId="2" borderId="6"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6" xfId="0" applyNumberFormat="1" applyFont="1" applyFill="1" applyBorder="1" applyAlignment="1">
      <alignment horizontal="center" vertical="top"/>
    </xf>
    <xf numFmtId="0" fontId="3" fillId="2" borderId="6"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center" vertical="top"/>
    </xf>
    <xf numFmtId="0" fontId="3" fillId="2" borderId="7" xfId="0" applyNumberFormat="1" applyFont="1" applyFill="1" applyBorder="1" applyAlignment="1">
      <alignment horizontal="center" vertical="top"/>
    </xf>
    <xf numFmtId="0" fontId="3" fillId="2" borderId="2" xfId="0" applyFont="1" applyFill="1" applyBorder="1" applyAlignment="1">
      <alignment horizontal="left" vertical="center" wrapText="1"/>
    </xf>
    <xf numFmtId="166" fontId="3" fillId="2" borderId="1" xfId="0" applyNumberFormat="1" applyFont="1" applyFill="1" applyBorder="1" applyAlignment="1">
      <alignment horizontal="center" vertical="top" wrapText="1"/>
    </xf>
    <xf numFmtId="166" fontId="3" fillId="2" borderId="0" xfId="0" applyNumberFormat="1" applyFont="1" applyFill="1" applyAlignment="1">
      <alignment wrapText="1"/>
    </xf>
    <xf numFmtId="0" fontId="14" fillId="2" borderId="12" xfId="0" applyFont="1" applyFill="1" applyBorder="1" applyAlignment="1">
      <alignment horizontal="center" vertical="top"/>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 xfId="0" applyFont="1" applyFill="1" applyBorder="1" applyAlignment="1">
      <alignment horizontal="left" vertical="top" wrapText="1"/>
    </xf>
    <xf numFmtId="0" fontId="22" fillId="2" borderId="2" xfId="0" applyFont="1" applyFill="1" applyBorder="1" applyAlignment="1">
      <alignment horizontal="left" vertical="top" wrapText="1"/>
    </xf>
    <xf numFmtId="0" fontId="13" fillId="2" borderId="9" xfId="3" applyFont="1" applyFill="1" applyBorder="1" applyAlignment="1">
      <alignment horizontal="center"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22" fillId="2" borderId="8"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top" wrapText="1"/>
    </xf>
    <xf numFmtId="0" fontId="22" fillId="2" borderId="6" xfId="0" applyFont="1" applyFill="1" applyBorder="1" applyAlignment="1">
      <alignment horizontal="left" vertical="top" wrapText="1"/>
    </xf>
    <xf numFmtId="0" fontId="17" fillId="2" borderId="12" xfId="0" applyFont="1" applyFill="1" applyBorder="1" applyAlignment="1">
      <alignment horizontal="center" vertical="top" wrapText="1"/>
    </xf>
    <xf numFmtId="0" fontId="14" fillId="2" borderId="0"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7" fillId="2" borderId="9" xfId="0" applyFont="1" applyFill="1" applyBorder="1" applyAlignment="1">
      <alignment horizontal="center"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22" fillId="2" borderId="1" xfId="0" applyFont="1" applyFill="1" applyBorder="1" applyAlignment="1">
      <alignment horizontal="left" vertical="top" wrapText="1"/>
    </xf>
    <xf numFmtId="0" fontId="13" fillId="2" borderId="6" xfId="3" applyFont="1" applyFill="1" applyBorder="1" applyAlignment="1">
      <alignment horizontal="center" vertical="top" wrapText="1"/>
    </xf>
    <xf numFmtId="0" fontId="22" fillId="2" borderId="1" xfId="3" applyFont="1" applyFill="1" applyBorder="1" applyAlignment="1">
      <alignment horizontal="left" vertical="top" wrapText="1"/>
    </xf>
    <xf numFmtId="0" fontId="14" fillId="2" borderId="1"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0" fontId="13" fillId="2" borderId="1" xfId="0" applyFont="1" applyFill="1" applyBorder="1" applyAlignment="1">
      <alignment horizontal="center"/>
    </xf>
    <xf numFmtId="0" fontId="22" fillId="2" borderId="1" xfId="0" applyFont="1" applyFill="1" applyBorder="1" applyAlignment="1">
      <alignment vertical="top"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3" fillId="2" borderId="1" xfId="0" applyFont="1" applyFill="1" applyBorder="1"/>
    <xf numFmtId="49" fontId="13" fillId="2" borderId="1" xfId="0" applyNumberFormat="1" applyFont="1" applyFill="1" applyBorder="1" applyAlignment="1">
      <alignment horizontal="left" vertical="top" wrapText="1"/>
    </xf>
    <xf numFmtId="0" fontId="0" fillId="2" borderId="8" xfId="0" applyFill="1" applyBorder="1"/>
    <xf numFmtId="0" fontId="13" fillId="2" borderId="11" xfId="0" applyFont="1" applyFill="1" applyBorder="1" applyAlignment="1">
      <alignment horizontal="center" vertical="top" wrapText="1"/>
    </xf>
    <xf numFmtId="49" fontId="13" fillId="2" borderId="2" xfId="0" applyNumberFormat="1" applyFont="1" applyFill="1" applyBorder="1" applyAlignment="1">
      <alignment horizontal="left" vertical="top" wrapText="1"/>
    </xf>
    <xf numFmtId="0" fontId="22" fillId="2" borderId="2" xfId="3" applyFont="1" applyFill="1" applyBorder="1" applyAlignment="1">
      <alignment horizontal="left" vertical="top" wrapText="1"/>
    </xf>
    <xf numFmtId="0" fontId="22" fillId="2" borderId="9" xfId="3" applyFont="1" applyFill="1" applyBorder="1" applyAlignment="1">
      <alignment horizontal="center" vertical="top" wrapText="1"/>
    </xf>
    <xf numFmtId="0" fontId="11" fillId="2" borderId="6" xfId="0" applyFont="1" applyFill="1" applyBorder="1" applyAlignment="1">
      <alignment vertical="top"/>
    </xf>
    <xf numFmtId="0" fontId="17" fillId="2" borderId="6" xfId="0" applyFont="1" applyFill="1" applyBorder="1" applyAlignment="1">
      <alignment horizontal="left" vertical="top" wrapText="1"/>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4" fillId="2" borderId="1" xfId="0" applyFont="1" applyFill="1" applyBorder="1" applyAlignment="1">
      <alignment horizontal="center"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19" fillId="2" borderId="1" xfId="0" applyNumberFormat="1" applyFont="1" applyFill="1" applyBorder="1" applyAlignment="1">
      <alignment horizontal="left" vertical="center" wrapText="1"/>
    </xf>
    <xf numFmtId="0" fontId="19" fillId="2" borderId="1"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7"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9" fillId="2" borderId="1" xfId="0" applyFont="1" applyFill="1" applyBorder="1" applyAlignment="1">
      <alignment horizontal="center" vertical="top" wrapText="1"/>
    </xf>
    <xf numFmtId="0" fontId="13" fillId="2" borderId="1" xfId="3" applyFont="1" applyFill="1" applyBorder="1" applyAlignment="1">
      <alignment horizontal="center" vertical="top" wrapText="1"/>
    </xf>
    <xf numFmtId="0" fontId="11" fillId="2" borderId="1" xfId="0" applyFont="1" applyFill="1" applyBorder="1" applyAlignment="1">
      <alignment horizontal="center" vertical="top"/>
    </xf>
    <xf numFmtId="0" fontId="19" fillId="2" borderId="1"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22" fillId="2" borderId="1" xfId="3" applyFont="1" applyFill="1" applyBorder="1" applyAlignment="1">
      <alignment horizontal="left" vertical="top" wrapText="1"/>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1" xfId="0"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12" xfId="0" applyFont="1" applyFill="1" applyBorder="1" applyAlignment="1">
      <alignment horizontal="center"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0" fillId="2" borderId="1"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23" fillId="2" borderId="1" xfId="0" applyFont="1" applyFill="1" applyBorder="1"/>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26" fillId="2" borderId="1" xfId="0" applyFont="1" applyFill="1" applyBorder="1"/>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49" fontId="19" fillId="2" borderId="2" xfId="0" applyNumberFormat="1" applyFont="1" applyFill="1" applyBorder="1" applyAlignment="1">
      <alignment horizontal="left" vertical="center" wrapText="1"/>
    </xf>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22" fillId="2" borderId="1" xfId="0" applyFont="1" applyFill="1" applyBorder="1" applyAlignment="1">
      <alignment vertical="top" wrapText="1"/>
    </xf>
    <xf numFmtId="49" fontId="22" fillId="2" borderId="1" xfId="0" applyNumberFormat="1" applyFont="1" applyFill="1" applyBorder="1" applyAlignment="1">
      <alignment horizontal="left" vertical="top"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49" fontId="13" fillId="2" borderId="1" xfId="0" applyNumberFormat="1" applyFont="1" applyFill="1" applyBorder="1" applyAlignment="1">
      <alignment horizontal="center"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9" fillId="2" borderId="14" xfId="0" applyFont="1" applyFill="1" applyBorder="1" applyAlignment="1">
      <alignment horizontal="left" vertical="top" wrapText="1"/>
    </xf>
    <xf numFmtId="0" fontId="13" fillId="2" borderId="1" xfId="0" applyFont="1" applyFill="1" applyBorder="1" applyAlignment="1">
      <alignment horizontal="center"/>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13"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7" fillId="2" borderId="1" xfId="0" applyFont="1" applyFill="1" applyBorder="1" applyAlignment="1">
      <alignment horizontal="center" vertical="top" wrapText="1"/>
    </xf>
    <xf numFmtId="49" fontId="22" fillId="2" borderId="12" xfId="0" applyNumberFormat="1" applyFont="1" applyFill="1" applyBorder="1" applyAlignment="1">
      <alignment horizontal="left"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7" xfId="0" applyFont="1" applyFill="1" applyBorder="1" applyAlignment="1">
      <alignment horizontal="left" vertical="top" wrapTex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4" fillId="2" borderId="14"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8" xfId="0" applyFont="1" applyFill="1" applyBorder="1" applyAlignment="1">
      <alignment horizontal="left" vertical="top" wrapText="1"/>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4" fillId="2" borderId="9" xfId="0" applyFont="1" applyFill="1" applyBorder="1" applyAlignment="1">
      <alignment horizontal="center" vertical="top"/>
    </xf>
    <xf numFmtId="0" fontId="14" fillId="2" borderId="5"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7" xfId="0" applyFont="1" applyFill="1" applyBorder="1" applyAlignment="1">
      <alignment horizontal="left" vertical="top" wrapText="1"/>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49" fontId="19" fillId="2" borderId="3" xfId="0" applyNumberFormat="1" applyFont="1" applyFill="1" applyBorder="1" applyAlignment="1">
      <alignment horizontal="left" vertical="center" wrapText="1"/>
    </xf>
    <xf numFmtId="0" fontId="0" fillId="2" borderId="1" xfId="0" applyFill="1" applyBorder="1"/>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vertical="center"/>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3" fillId="2" borderId="3" xfId="0" applyFont="1" applyFill="1" applyBorder="1" applyAlignment="1">
      <alignment horizontal="left"/>
    </xf>
    <xf numFmtId="0" fontId="3" fillId="2" borderId="2" xfId="0" applyFont="1" applyFill="1" applyBorder="1" applyAlignment="1">
      <alignment horizontal="left"/>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2" xfId="0" applyFont="1" applyFill="1" applyBorder="1" applyAlignment="1">
      <alignment horizontal="left" vertical="top"/>
    </xf>
    <xf numFmtId="0" fontId="3" fillId="2" borderId="5" xfId="0" applyFont="1" applyFill="1" applyBorder="1" applyAlignment="1">
      <alignment horizontal="center" vertical="top"/>
    </xf>
    <xf numFmtId="0" fontId="3" fillId="2" borderId="10" xfId="0" applyFont="1" applyFill="1" applyBorder="1" applyAlignment="1">
      <alignment horizontal="center" vertical="top"/>
    </xf>
    <xf numFmtId="0" fontId="3" fillId="2" borderId="1" xfId="0" applyFont="1" applyFill="1" applyBorder="1" applyAlignment="1">
      <alignment horizontal="center"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6" xfId="0" applyNumberFormat="1" applyFont="1" applyFill="1" applyBorder="1" applyAlignment="1">
      <alignment horizontal="center" vertical="top"/>
    </xf>
    <xf numFmtId="0" fontId="3" fillId="2" borderId="12" xfId="0" applyNumberFormat="1" applyFont="1" applyFill="1" applyBorder="1" applyAlignment="1">
      <alignment horizontal="center" vertical="top"/>
    </xf>
    <xf numFmtId="0" fontId="3" fillId="2" borderId="9" xfId="0" applyNumberFormat="1" applyFont="1" applyFill="1" applyBorder="1" applyAlignment="1">
      <alignment horizontal="center" vertical="top"/>
    </xf>
    <xf numFmtId="0" fontId="11" fillId="2" borderId="0" xfId="0" applyFont="1" applyFill="1" applyAlignment="1">
      <alignment horizontal="center" wrapText="1"/>
    </xf>
    <xf numFmtId="0" fontId="11" fillId="2" borderId="15"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23"/>
      <c r="G2" s="323"/>
      <c r="H2" s="323"/>
      <c r="I2" s="2"/>
      <c r="J2" s="2"/>
      <c r="K2" s="2"/>
      <c r="L2" s="15"/>
      <c r="M2" s="15"/>
    </row>
    <row r="3" spans="1:13" ht="24" customHeight="1">
      <c r="C3" s="4" t="s">
        <v>42</v>
      </c>
      <c r="E3" s="17"/>
      <c r="F3" s="324"/>
      <c r="G3" s="324"/>
      <c r="H3" s="324"/>
      <c r="J3" s="15"/>
      <c r="K3" s="15"/>
      <c r="L3" s="15"/>
      <c r="M3" s="15"/>
    </row>
    <row r="4" spans="1:13" ht="30" customHeight="1">
      <c r="C4" s="4"/>
      <c r="E4" s="17"/>
      <c r="F4" s="16"/>
      <c r="G4" s="16"/>
      <c r="H4" s="16"/>
      <c r="J4" s="15"/>
      <c r="K4" s="15"/>
      <c r="L4" s="15"/>
      <c r="M4" s="15"/>
    </row>
    <row r="5" spans="1:13" ht="17.25" customHeight="1">
      <c r="A5" s="319" t="s">
        <v>7</v>
      </c>
      <c r="B5" s="319"/>
      <c r="C5" s="319"/>
      <c r="F5" s="325"/>
      <c r="G5" s="325"/>
      <c r="H5" s="325"/>
      <c r="I5" s="325"/>
      <c r="J5" s="325"/>
      <c r="K5" s="325"/>
      <c r="L5" s="325"/>
      <c r="M5" s="325"/>
    </row>
    <row r="6" spans="1:13" ht="17.25" customHeight="1">
      <c r="A6" s="319" t="s">
        <v>18</v>
      </c>
      <c r="B6" s="319"/>
      <c r="C6" s="319"/>
    </row>
    <row r="7" spans="1:13" ht="17.25" customHeight="1">
      <c r="A7" s="319" t="s">
        <v>14</v>
      </c>
      <c r="B7" s="319"/>
      <c r="C7" s="319"/>
    </row>
    <row r="8" spans="1:13" ht="22.5" customHeight="1"/>
    <row r="9" spans="1:13" ht="37.5" customHeight="1">
      <c r="A9" s="321" t="s">
        <v>6</v>
      </c>
      <c r="B9" s="328" t="s">
        <v>8</v>
      </c>
      <c r="C9" s="329"/>
    </row>
    <row r="10" spans="1:13" ht="37.5" customHeight="1">
      <c r="A10" s="322"/>
      <c r="B10" s="331" t="s">
        <v>9</v>
      </c>
      <c r="C10" s="332"/>
    </row>
    <row r="11" spans="1:13">
      <c r="A11" s="7">
        <v>1</v>
      </c>
      <c r="B11" s="326">
        <v>2</v>
      </c>
      <c r="C11" s="327"/>
    </row>
    <row r="12" spans="1:13" ht="49.5" customHeight="1">
      <c r="A12" s="20" t="s">
        <v>28</v>
      </c>
      <c r="B12" s="320" t="s">
        <v>10</v>
      </c>
      <c r="C12" s="320"/>
    </row>
    <row r="13" spans="1:13" ht="49.5" customHeight="1">
      <c r="A13" s="20" t="s">
        <v>29</v>
      </c>
      <c r="B13" s="320" t="s">
        <v>13</v>
      </c>
      <c r="C13" s="320"/>
    </row>
    <row r="14" spans="1:13" ht="49.5" customHeight="1">
      <c r="A14" s="20" t="s">
        <v>30</v>
      </c>
      <c r="B14" s="320" t="s">
        <v>11</v>
      </c>
      <c r="C14" s="320"/>
    </row>
    <row r="15" spans="1:13" ht="49.5" customHeight="1">
      <c r="A15" s="20" t="s">
        <v>31</v>
      </c>
      <c r="B15" s="320" t="s">
        <v>21</v>
      </c>
      <c r="C15" s="320"/>
    </row>
    <row r="16" spans="1:13" ht="49.5" customHeight="1">
      <c r="A16" s="20" t="s">
        <v>32</v>
      </c>
      <c r="B16" s="320" t="s">
        <v>20</v>
      </c>
      <c r="C16" s="320"/>
    </row>
    <row r="17" spans="1:11" ht="49.5" customHeight="1">
      <c r="A17" s="20" t="s">
        <v>33</v>
      </c>
      <c r="B17" s="330" t="s">
        <v>41</v>
      </c>
      <c r="C17" s="330"/>
    </row>
    <row r="18" spans="1:11" ht="55.5" customHeight="1">
      <c r="A18" s="20" t="s">
        <v>34</v>
      </c>
      <c r="B18" s="330" t="s">
        <v>40</v>
      </c>
      <c r="C18" s="330"/>
    </row>
    <row r="19" spans="1:11" ht="57" customHeight="1">
      <c r="A19" s="20" t="s">
        <v>35</v>
      </c>
      <c r="B19" s="320" t="s">
        <v>12</v>
      </c>
      <c r="C19" s="320"/>
    </row>
    <row r="20" spans="1:11" ht="41.25" customHeight="1">
      <c r="A20" s="20" t="s">
        <v>36</v>
      </c>
      <c r="B20" s="330" t="s">
        <v>22</v>
      </c>
      <c r="C20" s="330"/>
    </row>
    <row r="21" spans="1:11" ht="41.25" customHeight="1">
      <c r="A21" s="20" t="s">
        <v>37</v>
      </c>
      <c r="B21" s="330" t="s">
        <v>23</v>
      </c>
      <c r="C21" s="330"/>
    </row>
    <row r="22" spans="1:11" ht="41.25" customHeight="1">
      <c r="A22" s="20" t="s">
        <v>38</v>
      </c>
      <c r="B22" s="330" t="s">
        <v>24</v>
      </c>
      <c r="C22" s="330"/>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P493"/>
  <sheetViews>
    <sheetView tabSelected="1" view="pageBreakPreview" zoomScale="30" zoomScaleNormal="100" zoomScaleSheetLayoutView="30" workbookViewId="0">
      <pane ySplit="8" topLeftCell="A477" activePane="bottomLeft" state="frozen"/>
      <selection pane="bottomLeft" activeCell="V485" sqref="V485"/>
    </sheetView>
  </sheetViews>
  <sheetFormatPr defaultColWidth="9.140625" defaultRowHeight="75" customHeight="1"/>
  <cols>
    <col min="1" max="1" width="8.42578125" style="110" customWidth="1"/>
    <col min="2" max="2" width="38.85546875" style="8" customWidth="1"/>
    <col min="3" max="3" width="51.28515625" style="28" customWidth="1"/>
    <col min="4" max="4" width="18.28515625" style="111" customWidth="1"/>
    <col min="5" max="5" width="69.42578125" style="112" customWidth="1"/>
    <col min="6" max="6" width="22.7109375" style="113" customWidth="1"/>
    <col min="7" max="7" width="43" style="115" customWidth="1"/>
    <col min="8" max="8" width="32.28515625" style="97" customWidth="1"/>
    <col min="9" max="9" width="25.140625" style="97" customWidth="1"/>
    <col min="10" max="10" width="27.85546875" style="97" customWidth="1"/>
    <col min="11" max="11" width="22.140625" style="97" customWidth="1"/>
    <col min="12" max="12" width="75.85546875" style="117" customWidth="1"/>
    <col min="13" max="13" width="9.140625" style="8"/>
    <col min="14" max="14" width="22.5703125" style="8" bestFit="1" customWidth="1"/>
    <col min="15" max="16384" width="9.140625" style="8"/>
  </cols>
  <sheetData>
    <row r="1" spans="1:12" ht="77.25" customHeight="1">
      <c r="G1" s="114"/>
      <c r="H1" s="96"/>
      <c r="I1" s="96"/>
      <c r="J1" s="96"/>
      <c r="K1" s="96"/>
      <c r="L1" s="26" t="s">
        <v>456</v>
      </c>
    </row>
    <row r="2" spans="1:12" ht="237.75" customHeight="1">
      <c r="L2" s="249" t="s">
        <v>455</v>
      </c>
    </row>
    <row r="3" spans="1:12" s="199" customFormat="1" ht="77.25" customHeight="1">
      <c r="A3" s="198"/>
      <c r="C3" s="200"/>
      <c r="D3" s="201"/>
      <c r="E3" s="202"/>
      <c r="F3" s="203"/>
      <c r="G3" s="204"/>
      <c r="H3" s="205"/>
      <c r="I3" s="205"/>
      <c r="J3" s="205"/>
      <c r="K3" s="205"/>
      <c r="L3" s="116" t="s">
        <v>486</v>
      </c>
    </row>
    <row r="4" spans="1:12" ht="90" customHeight="1">
      <c r="A4" s="456" t="s">
        <v>396</v>
      </c>
      <c r="B4" s="456"/>
      <c r="C4" s="456"/>
      <c r="D4" s="456"/>
      <c r="E4" s="456"/>
      <c r="F4" s="456"/>
      <c r="G4" s="456"/>
      <c r="H4" s="456"/>
      <c r="I4" s="456"/>
      <c r="J4" s="456"/>
      <c r="K4" s="456"/>
      <c r="L4" s="456"/>
    </row>
    <row r="5" spans="1:12" ht="30" customHeight="1">
      <c r="H5" s="118" t="s">
        <v>19</v>
      </c>
      <c r="I5" s="119" t="e">
        <f>#REF!+#REF!+#REF!+#REF!</f>
        <v>#REF!</v>
      </c>
    </row>
    <row r="6" spans="1:12" ht="75" customHeight="1">
      <c r="A6" s="457" t="s">
        <v>1</v>
      </c>
      <c r="B6" s="458" t="s">
        <v>2</v>
      </c>
      <c r="C6" s="458" t="s">
        <v>3</v>
      </c>
      <c r="D6" s="457" t="s">
        <v>49</v>
      </c>
      <c r="E6" s="459" t="s">
        <v>47</v>
      </c>
      <c r="F6" s="462" t="s">
        <v>44</v>
      </c>
      <c r="G6" s="458" t="s">
        <v>4</v>
      </c>
      <c r="H6" s="463" t="s">
        <v>15</v>
      </c>
      <c r="I6" s="464"/>
      <c r="J6" s="464"/>
      <c r="K6" s="465"/>
      <c r="L6" s="458" t="s">
        <v>5</v>
      </c>
    </row>
    <row r="7" spans="1:12" ht="75" customHeight="1">
      <c r="A7" s="457"/>
      <c r="B7" s="458"/>
      <c r="C7" s="458"/>
      <c r="D7" s="457"/>
      <c r="E7" s="460"/>
      <c r="F7" s="462"/>
      <c r="G7" s="458"/>
      <c r="H7" s="458" t="s">
        <v>84</v>
      </c>
      <c r="I7" s="466" t="s">
        <v>16</v>
      </c>
      <c r="J7" s="466"/>
      <c r="K7" s="466"/>
      <c r="L7" s="458"/>
    </row>
    <row r="8" spans="1:12" s="120" customFormat="1" ht="75" customHeight="1">
      <c r="A8" s="457"/>
      <c r="B8" s="458"/>
      <c r="C8" s="458"/>
      <c r="D8" s="457"/>
      <c r="E8" s="461"/>
      <c r="F8" s="462"/>
      <c r="G8" s="458"/>
      <c r="H8" s="458"/>
      <c r="I8" s="308" t="s">
        <v>43</v>
      </c>
      <c r="J8" s="308" t="s">
        <v>427</v>
      </c>
      <c r="K8" s="308" t="s">
        <v>48</v>
      </c>
      <c r="L8" s="458"/>
    </row>
    <row r="9" spans="1:12" s="120" customFormat="1" ht="75" customHeight="1">
      <c r="A9" s="234">
        <v>1</v>
      </c>
      <c r="B9" s="234">
        <v>2</v>
      </c>
      <c r="C9" s="307">
        <v>3</v>
      </c>
      <c r="D9" s="309">
        <v>4</v>
      </c>
      <c r="E9" s="307">
        <v>5</v>
      </c>
      <c r="F9" s="309">
        <v>6</v>
      </c>
      <c r="G9" s="309">
        <v>7</v>
      </c>
      <c r="H9" s="235">
        <v>8</v>
      </c>
      <c r="I9" s="235">
        <v>9</v>
      </c>
      <c r="J9" s="235">
        <v>10</v>
      </c>
      <c r="K9" s="235">
        <v>11</v>
      </c>
      <c r="L9" s="235">
        <v>12</v>
      </c>
    </row>
    <row r="10" spans="1:12" s="120" customFormat="1" ht="75" customHeight="1">
      <c r="A10" s="360" t="s">
        <v>256</v>
      </c>
      <c r="B10" s="361"/>
      <c r="C10" s="361"/>
      <c r="D10" s="361"/>
      <c r="E10" s="361"/>
      <c r="F10" s="361"/>
      <c r="G10" s="361"/>
      <c r="H10" s="361"/>
      <c r="I10" s="361"/>
      <c r="J10" s="361"/>
      <c r="K10" s="361"/>
      <c r="L10" s="362"/>
    </row>
    <row r="11" spans="1:12" s="10" customFormat="1" ht="75" customHeight="1">
      <c r="A11" s="358" t="s">
        <v>210</v>
      </c>
      <c r="B11" s="356" t="s">
        <v>204</v>
      </c>
      <c r="C11" s="467" t="s">
        <v>211</v>
      </c>
      <c r="D11" s="440" t="s">
        <v>318</v>
      </c>
      <c r="E11" s="441"/>
      <c r="F11" s="441"/>
      <c r="G11" s="442"/>
      <c r="H11" s="86">
        <f>H12+H13</f>
        <v>342</v>
      </c>
      <c r="I11" s="86">
        <f>I12+I13</f>
        <v>240</v>
      </c>
      <c r="J11" s="86">
        <f>J12+J13</f>
        <v>102</v>
      </c>
      <c r="K11" s="86">
        <f>K12+K13</f>
        <v>0</v>
      </c>
      <c r="L11" s="351" t="s">
        <v>250</v>
      </c>
    </row>
    <row r="12" spans="1:12" ht="75" customHeight="1">
      <c r="A12" s="358"/>
      <c r="B12" s="356"/>
      <c r="C12" s="467"/>
      <c r="D12" s="21" t="s">
        <v>35</v>
      </c>
      <c r="E12" s="299" t="s">
        <v>79</v>
      </c>
      <c r="F12" s="382" t="s">
        <v>428</v>
      </c>
      <c r="G12" s="382" t="s">
        <v>405</v>
      </c>
      <c r="H12" s="86">
        <f>I12+J12+K12</f>
        <v>142</v>
      </c>
      <c r="I12" s="87">
        <f>60</f>
        <v>60</v>
      </c>
      <c r="J12" s="87">
        <f>22+12+48</f>
        <v>82</v>
      </c>
      <c r="K12" s="87">
        <v>0</v>
      </c>
      <c r="L12" s="352"/>
    </row>
    <row r="13" spans="1:12" ht="75" customHeight="1">
      <c r="A13" s="358"/>
      <c r="B13" s="356"/>
      <c r="C13" s="467"/>
      <c r="D13" s="21" t="s">
        <v>35</v>
      </c>
      <c r="E13" s="299" t="s">
        <v>80</v>
      </c>
      <c r="F13" s="382"/>
      <c r="G13" s="382"/>
      <c r="H13" s="86">
        <f>I13+J13+K13</f>
        <v>200</v>
      </c>
      <c r="I13" s="87">
        <f>150+30</f>
        <v>180</v>
      </c>
      <c r="J13" s="87">
        <f>20</f>
        <v>20</v>
      </c>
      <c r="K13" s="87">
        <v>0</v>
      </c>
      <c r="L13" s="352"/>
    </row>
    <row r="14" spans="1:12" ht="75" customHeight="1">
      <c r="A14" s="358"/>
      <c r="B14" s="356"/>
      <c r="C14" s="467" t="s">
        <v>478</v>
      </c>
      <c r="D14" s="440" t="s">
        <v>326</v>
      </c>
      <c r="E14" s="441"/>
      <c r="F14" s="441"/>
      <c r="G14" s="442"/>
      <c r="H14" s="86">
        <f>H15+H16</f>
        <v>8180.91</v>
      </c>
      <c r="I14" s="86">
        <f>I15+I16</f>
        <v>1577.81</v>
      </c>
      <c r="J14" s="86">
        <f>J15+J16</f>
        <v>3779.2000000000003</v>
      </c>
      <c r="K14" s="86">
        <f>K15+K16</f>
        <v>2823.8999999999996</v>
      </c>
      <c r="L14" s="352"/>
    </row>
    <row r="15" spans="1:12" ht="75" customHeight="1">
      <c r="A15" s="358"/>
      <c r="B15" s="356"/>
      <c r="C15" s="467"/>
      <c r="D15" s="21" t="s">
        <v>35</v>
      </c>
      <c r="E15" s="299" t="s">
        <v>79</v>
      </c>
      <c r="F15" s="382" t="s">
        <v>428</v>
      </c>
      <c r="G15" s="382" t="s">
        <v>405</v>
      </c>
      <c r="H15" s="86">
        <f>I15+J15+K15</f>
        <v>4521.6000000000004</v>
      </c>
      <c r="I15" s="87">
        <v>919</v>
      </c>
      <c r="J15" s="87">
        <f>1425.3+138+200+300</f>
        <v>2063.3000000000002</v>
      </c>
      <c r="K15" s="87">
        <v>1539.3</v>
      </c>
      <c r="L15" s="352"/>
    </row>
    <row r="16" spans="1:12" ht="75" customHeight="1">
      <c r="A16" s="358"/>
      <c r="B16" s="356"/>
      <c r="C16" s="467"/>
      <c r="D16" s="21" t="s">
        <v>35</v>
      </c>
      <c r="E16" s="299" t="s">
        <v>80</v>
      </c>
      <c r="F16" s="382"/>
      <c r="G16" s="382"/>
      <c r="H16" s="86">
        <f>I16+J16+K16</f>
        <v>3659.31</v>
      </c>
      <c r="I16" s="87">
        <f>753.5-43.38-51.31</f>
        <v>658.81</v>
      </c>
      <c r="J16" s="87">
        <f>1189.4+126.5+100+300</f>
        <v>1715.9</v>
      </c>
      <c r="K16" s="87">
        <v>1284.5999999999999</v>
      </c>
      <c r="L16" s="353"/>
    </row>
    <row r="17" spans="1:12" ht="75" customHeight="1">
      <c r="A17" s="358"/>
      <c r="B17" s="356"/>
      <c r="C17" s="467" t="s">
        <v>212</v>
      </c>
      <c r="D17" s="440" t="s">
        <v>327</v>
      </c>
      <c r="E17" s="441"/>
      <c r="F17" s="441"/>
      <c r="G17" s="442"/>
      <c r="H17" s="91">
        <f>H18+H19</f>
        <v>3495.1</v>
      </c>
      <c r="I17" s="91">
        <f>I18+I19</f>
        <v>1081.8</v>
      </c>
      <c r="J17" s="91">
        <f>J18+J19</f>
        <v>1169.3</v>
      </c>
      <c r="K17" s="91">
        <f>K18+K19</f>
        <v>1244</v>
      </c>
      <c r="L17" s="380" t="s">
        <v>46</v>
      </c>
    </row>
    <row r="18" spans="1:12" ht="75" customHeight="1">
      <c r="A18" s="358"/>
      <c r="B18" s="356"/>
      <c r="C18" s="467"/>
      <c r="D18" s="21" t="s">
        <v>35</v>
      </c>
      <c r="E18" s="299" t="s">
        <v>79</v>
      </c>
      <c r="F18" s="382" t="s">
        <v>428</v>
      </c>
      <c r="G18" s="382" t="s">
        <v>405</v>
      </c>
      <c r="H18" s="86">
        <f>I18+J18+K18</f>
        <v>1721.1</v>
      </c>
      <c r="I18" s="87">
        <v>532</v>
      </c>
      <c r="J18" s="87">
        <v>575.29999999999995</v>
      </c>
      <c r="K18" s="87">
        <v>613.79999999999995</v>
      </c>
      <c r="L18" s="380"/>
    </row>
    <row r="19" spans="1:12" ht="75" customHeight="1">
      <c r="A19" s="358"/>
      <c r="B19" s="356"/>
      <c r="C19" s="467"/>
      <c r="D19" s="21" t="s">
        <v>35</v>
      </c>
      <c r="E19" s="207" t="s">
        <v>80</v>
      </c>
      <c r="F19" s="382"/>
      <c r="G19" s="382"/>
      <c r="H19" s="86">
        <f>I19+J19+K19</f>
        <v>1774</v>
      </c>
      <c r="I19" s="87">
        <v>549.79999999999995</v>
      </c>
      <c r="J19" s="87">
        <v>594</v>
      </c>
      <c r="K19" s="87">
        <v>630.20000000000005</v>
      </c>
      <c r="L19" s="380"/>
    </row>
    <row r="20" spans="1:12" ht="75" customHeight="1">
      <c r="A20" s="358"/>
      <c r="B20" s="356"/>
      <c r="C20" s="351" t="s">
        <v>404</v>
      </c>
      <c r="D20" s="440" t="s">
        <v>403</v>
      </c>
      <c r="E20" s="441"/>
      <c r="F20" s="441"/>
      <c r="G20" s="442"/>
      <c r="H20" s="86">
        <f>H21+H22</f>
        <v>1522</v>
      </c>
      <c r="I20" s="86">
        <f>I21+I22</f>
        <v>0</v>
      </c>
      <c r="J20" s="86">
        <f>J21+J22</f>
        <v>813.80000000000007</v>
      </c>
      <c r="K20" s="86">
        <f>K21+K22</f>
        <v>708.2</v>
      </c>
      <c r="L20" s="289"/>
    </row>
    <row r="21" spans="1:12" ht="75" customHeight="1">
      <c r="A21" s="358"/>
      <c r="B21" s="356"/>
      <c r="C21" s="352"/>
      <c r="D21" s="21" t="s">
        <v>35</v>
      </c>
      <c r="E21" s="299" t="s">
        <v>79</v>
      </c>
      <c r="F21" s="382" t="s">
        <v>428</v>
      </c>
      <c r="G21" s="382" t="s">
        <v>405</v>
      </c>
      <c r="H21" s="86">
        <f>I21+J21+K21</f>
        <v>251.29999999999998</v>
      </c>
      <c r="I21" s="87">
        <v>0</v>
      </c>
      <c r="J21" s="87">
        <v>121.6</v>
      </c>
      <c r="K21" s="87">
        <v>129.69999999999999</v>
      </c>
      <c r="L21" s="289"/>
    </row>
    <row r="22" spans="1:12" ht="112.5" customHeight="1">
      <c r="A22" s="358"/>
      <c r="B22" s="356"/>
      <c r="C22" s="353"/>
      <c r="D22" s="21" t="s">
        <v>35</v>
      </c>
      <c r="E22" s="207" t="s">
        <v>80</v>
      </c>
      <c r="F22" s="382"/>
      <c r="G22" s="382"/>
      <c r="H22" s="86">
        <f>I22+J22+K22</f>
        <v>1270.7</v>
      </c>
      <c r="I22" s="87">
        <v>0</v>
      </c>
      <c r="J22" s="87">
        <v>692.2</v>
      </c>
      <c r="K22" s="87">
        <v>578.5</v>
      </c>
      <c r="L22" s="299"/>
    </row>
    <row r="23" spans="1:12" ht="112.5" customHeight="1">
      <c r="A23" s="358"/>
      <c r="B23" s="356"/>
      <c r="C23" s="351" t="s">
        <v>426</v>
      </c>
      <c r="D23" s="455" t="s">
        <v>425</v>
      </c>
      <c r="E23" s="349"/>
      <c r="F23" s="349"/>
      <c r="G23" s="349"/>
      <c r="H23" s="86">
        <f>H24+H25</f>
        <v>101.3</v>
      </c>
      <c r="I23" s="87">
        <f>I24+I25</f>
        <v>0</v>
      </c>
      <c r="J23" s="86">
        <f>J24+J25</f>
        <v>101.3</v>
      </c>
      <c r="K23" s="87">
        <f t="shared" ref="K23" si="0">K24+K25</f>
        <v>0</v>
      </c>
      <c r="L23" s="289"/>
    </row>
    <row r="24" spans="1:12" ht="112.5" customHeight="1">
      <c r="A24" s="358"/>
      <c r="B24" s="356"/>
      <c r="C24" s="352"/>
      <c r="D24" s="21" t="s">
        <v>35</v>
      </c>
      <c r="E24" s="299" t="s">
        <v>79</v>
      </c>
      <c r="F24" s="382" t="s">
        <v>428</v>
      </c>
      <c r="G24" s="382" t="s">
        <v>405</v>
      </c>
      <c r="H24" s="86">
        <f>I24+J24+K24</f>
        <v>48</v>
      </c>
      <c r="I24" s="93">
        <v>0</v>
      </c>
      <c r="J24" s="93">
        <v>48</v>
      </c>
      <c r="K24" s="93">
        <v>0</v>
      </c>
      <c r="L24" s="289"/>
    </row>
    <row r="25" spans="1:12" ht="112.5" customHeight="1">
      <c r="A25" s="358"/>
      <c r="B25" s="356"/>
      <c r="C25" s="353"/>
      <c r="D25" s="21" t="s">
        <v>35</v>
      </c>
      <c r="E25" s="207" t="s">
        <v>80</v>
      </c>
      <c r="F25" s="382"/>
      <c r="G25" s="382"/>
      <c r="H25" s="86">
        <f>I25+J25+K25</f>
        <v>53.3</v>
      </c>
      <c r="I25" s="93">
        <v>0</v>
      </c>
      <c r="J25" s="93">
        <v>53.3</v>
      </c>
      <c r="K25" s="93">
        <v>0</v>
      </c>
      <c r="L25" s="289"/>
    </row>
    <row r="26" spans="1:12" s="120" customFormat="1" ht="75" customHeight="1">
      <c r="A26" s="451"/>
      <c r="B26" s="452"/>
      <c r="C26" s="452"/>
      <c r="D26" s="452"/>
      <c r="E26" s="360" t="s">
        <v>257</v>
      </c>
      <c r="F26" s="361"/>
      <c r="G26" s="362"/>
      <c r="H26" s="91">
        <f>H27+H28</f>
        <v>13641.310000000001</v>
      </c>
      <c r="I26" s="91">
        <f>I11+I14+I17+I20+I23</f>
        <v>2899.6099999999997</v>
      </c>
      <c r="J26" s="91">
        <f>J11+J14+J17+J20+J23</f>
        <v>5965.6</v>
      </c>
      <c r="K26" s="91">
        <f t="shared" ref="I26:K28" si="1">K11+K14+K17+K20+K23</f>
        <v>4776.0999999999995</v>
      </c>
      <c r="L26" s="449"/>
    </row>
    <row r="27" spans="1:12" s="120" customFormat="1" ht="75" customHeight="1">
      <c r="A27" s="453"/>
      <c r="B27" s="454"/>
      <c r="C27" s="454"/>
      <c r="D27" s="454"/>
      <c r="E27" s="299" t="s">
        <v>79</v>
      </c>
      <c r="F27" s="382" t="s">
        <v>428</v>
      </c>
      <c r="G27" s="372" t="s">
        <v>405</v>
      </c>
      <c r="H27" s="91">
        <f>I27+J27+K27</f>
        <v>6684</v>
      </c>
      <c r="I27" s="91">
        <f>I12+I15+I18+I21+I24</f>
        <v>1511</v>
      </c>
      <c r="J27" s="91">
        <f>J12+J15+J18+J21+J24</f>
        <v>2890.2000000000003</v>
      </c>
      <c r="K27" s="91">
        <f>K12+K15+K18+K21+K24</f>
        <v>2282.7999999999997</v>
      </c>
      <c r="L27" s="450"/>
    </row>
    <row r="28" spans="1:12" s="120" customFormat="1" ht="75" customHeight="1">
      <c r="A28" s="453"/>
      <c r="B28" s="454"/>
      <c r="C28" s="454"/>
      <c r="D28" s="454"/>
      <c r="E28" s="208" t="s">
        <v>80</v>
      </c>
      <c r="F28" s="382"/>
      <c r="G28" s="373"/>
      <c r="H28" s="91">
        <f>I28+J28+K28</f>
        <v>6957.31</v>
      </c>
      <c r="I28" s="91">
        <f t="shared" si="1"/>
        <v>1388.61</v>
      </c>
      <c r="J28" s="91">
        <f>J13+J16+J19+J22+J25</f>
        <v>3075.4000000000005</v>
      </c>
      <c r="K28" s="91">
        <f>K13+K16+K19+K22+K25</f>
        <v>2493.3000000000002</v>
      </c>
      <c r="L28" s="450"/>
    </row>
    <row r="29" spans="1:12" s="120" customFormat="1" ht="75" customHeight="1">
      <c r="A29" s="438" t="s">
        <v>215</v>
      </c>
      <c r="B29" s="394" t="s">
        <v>205</v>
      </c>
      <c r="C29" s="561" t="s">
        <v>213</v>
      </c>
      <c r="D29" s="440" t="s">
        <v>319</v>
      </c>
      <c r="E29" s="441"/>
      <c r="F29" s="441"/>
      <c r="G29" s="442"/>
      <c r="H29" s="91">
        <f>H30+H36+H38+H40+H37+H39</f>
        <v>78490.73</v>
      </c>
      <c r="I29" s="91">
        <f>I30+I36+I38+I40+I37+I39</f>
        <v>72386.53</v>
      </c>
      <c r="J29" s="91">
        <f>J30+J36+J38+J40+J37+J39</f>
        <v>6104.2</v>
      </c>
      <c r="K29" s="91">
        <f>K30+K36+K38+K40+K37+K39</f>
        <v>0</v>
      </c>
      <c r="L29" s="380" t="s">
        <v>320</v>
      </c>
    </row>
    <row r="30" spans="1:12" s="120" customFormat="1" ht="75" customHeight="1">
      <c r="A30" s="439"/>
      <c r="B30" s="395"/>
      <c r="C30" s="562"/>
      <c r="D30" s="121" t="s">
        <v>97</v>
      </c>
      <c r="E30" s="122"/>
      <c r="F30" s="122"/>
      <c r="G30" s="123"/>
      <c r="H30" s="91">
        <f>SUM(H31:H35)</f>
        <v>32801.229999999996</v>
      </c>
      <c r="I30" s="91">
        <f>SUM(I31:I35)</f>
        <v>26822.03</v>
      </c>
      <c r="J30" s="91">
        <f>SUM(J31:J35)</f>
        <v>5979.2</v>
      </c>
      <c r="K30" s="91">
        <f>SUM(K31:K35)</f>
        <v>0</v>
      </c>
      <c r="L30" s="380"/>
    </row>
    <row r="31" spans="1:12" s="120" customFormat="1" ht="75" customHeight="1">
      <c r="A31" s="439"/>
      <c r="B31" s="395"/>
      <c r="C31" s="562"/>
      <c r="D31" s="21" t="s">
        <v>28</v>
      </c>
      <c r="E31" s="299" t="s">
        <v>81</v>
      </c>
      <c r="F31" s="357" t="s">
        <v>428</v>
      </c>
      <c r="G31" s="375" t="s">
        <v>405</v>
      </c>
      <c r="H31" s="87">
        <f t="shared" ref="H31:H39" si="2">I31+J31+K31</f>
        <v>9275.23</v>
      </c>
      <c r="I31" s="87">
        <f>8727.9-76-1021.1-481.67</f>
        <v>7149.1299999999992</v>
      </c>
      <c r="J31" s="87">
        <f>497.1+1201+40+8+180+200</f>
        <v>2126.1</v>
      </c>
      <c r="K31" s="87">
        <v>0</v>
      </c>
      <c r="L31" s="380"/>
    </row>
    <row r="32" spans="1:12" s="120" customFormat="1" ht="75" customHeight="1">
      <c r="A32" s="439"/>
      <c r="B32" s="395"/>
      <c r="C32" s="562"/>
      <c r="D32" s="21" t="s">
        <v>28</v>
      </c>
      <c r="E32" s="299" t="s">
        <v>75</v>
      </c>
      <c r="F32" s="576"/>
      <c r="G32" s="383"/>
      <c r="H32" s="87">
        <f>I32+J32+K32</f>
        <v>3098.9</v>
      </c>
      <c r="I32" s="87">
        <f>3419.9-800+45</f>
        <v>2664.9</v>
      </c>
      <c r="J32" s="87">
        <f>234+200</f>
        <v>434</v>
      </c>
      <c r="K32" s="87">
        <v>0</v>
      </c>
      <c r="L32" s="380"/>
    </row>
    <row r="33" spans="1:12" s="120" customFormat="1" ht="75" customHeight="1">
      <c r="A33" s="439"/>
      <c r="B33" s="395"/>
      <c r="C33" s="562"/>
      <c r="D33" s="21" t="s">
        <v>28</v>
      </c>
      <c r="E33" s="299" t="s">
        <v>76</v>
      </c>
      <c r="F33" s="576"/>
      <c r="G33" s="383"/>
      <c r="H33" s="87">
        <f t="shared" si="2"/>
        <v>7561.2</v>
      </c>
      <c r="I33" s="87">
        <f>7232.7-41.5-500</f>
        <v>6691.2</v>
      </c>
      <c r="J33" s="87">
        <f>370+500</f>
        <v>870</v>
      </c>
      <c r="K33" s="87">
        <v>0</v>
      </c>
      <c r="L33" s="380"/>
    </row>
    <row r="34" spans="1:12" s="120" customFormat="1" ht="75" customHeight="1">
      <c r="A34" s="439"/>
      <c r="B34" s="395"/>
      <c r="C34" s="562"/>
      <c r="D34" s="21" t="s">
        <v>28</v>
      </c>
      <c r="E34" s="299" t="s">
        <v>74</v>
      </c>
      <c r="F34" s="576"/>
      <c r="G34" s="383"/>
      <c r="H34" s="87">
        <f t="shared" si="2"/>
        <v>12665.9</v>
      </c>
      <c r="I34" s="87">
        <v>10316.799999999999</v>
      </c>
      <c r="J34" s="87">
        <f>1000+400+149.1+400+200+200</f>
        <v>2349.1</v>
      </c>
      <c r="K34" s="87">
        <v>0</v>
      </c>
      <c r="L34" s="380"/>
    </row>
    <row r="35" spans="1:12" s="120" customFormat="1" ht="80.25" customHeight="1">
      <c r="A35" s="439"/>
      <c r="B35" s="395"/>
      <c r="C35" s="562"/>
      <c r="D35" s="21" t="s">
        <v>28</v>
      </c>
      <c r="E35" s="281" t="s">
        <v>452</v>
      </c>
      <c r="F35" s="576"/>
      <c r="G35" s="376"/>
      <c r="H35" s="87">
        <f>I35+J35+K35</f>
        <v>200</v>
      </c>
      <c r="I35" s="87">
        <v>0</v>
      </c>
      <c r="J35" s="87">
        <v>200</v>
      </c>
      <c r="K35" s="87">
        <v>0</v>
      </c>
      <c r="L35" s="380"/>
    </row>
    <row r="36" spans="1:12" s="120" customFormat="1" ht="170.25" customHeight="1">
      <c r="A36" s="439"/>
      <c r="B36" s="395"/>
      <c r="C36" s="562"/>
      <c r="D36" s="21" t="s">
        <v>28</v>
      </c>
      <c r="E36" s="299" t="s">
        <v>81</v>
      </c>
      <c r="F36" s="576"/>
      <c r="G36" s="375" t="s">
        <v>98</v>
      </c>
      <c r="H36" s="86">
        <f>I36+J36+K36</f>
        <v>144.6</v>
      </c>
      <c r="I36" s="86">
        <v>144.6</v>
      </c>
      <c r="J36" s="86">
        <v>0</v>
      </c>
      <c r="K36" s="86">
        <v>0</v>
      </c>
      <c r="L36" s="380"/>
    </row>
    <row r="37" spans="1:12" s="120" customFormat="1" ht="170.25" customHeight="1">
      <c r="A37" s="439"/>
      <c r="B37" s="395"/>
      <c r="C37" s="562"/>
      <c r="D37" s="21" t="s">
        <v>28</v>
      </c>
      <c r="E37" s="299" t="s">
        <v>74</v>
      </c>
      <c r="F37" s="576"/>
      <c r="G37" s="376"/>
      <c r="H37" s="86">
        <f>I37+J37+K37</f>
        <v>150</v>
      </c>
      <c r="I37" s="86">
        <v>150</v>
      </c>
      <c r="J37" s="86">
        <v>0</v>
      </c>
      <c r="K37" s="86">
        <v>0</v>
      </c>
      <c r="L37" s="380"/>
    </row>
    <row r="38" spans="1:12" s="120" customFormat="1" ht="87.75" customHeight="1">
      <c r="A38" s="439"/>
      <c r="B38" s="395"/>
      <c r="C38" s="562"/>
      <c r="D38" s="21" t="s">
        <v>28</v>
      </c>
      <c r="E38" s="299" t="s">
        <v>81</v>
      </c>
      <c r="F38" s="576"/>
      <c r="G38" s="448" t="s">
        <v>317</v>
      </c>
      <c r="H38" s="86">
        <f t="shared" si="2"/>
        <v>60</v>
      </c>
      <c r="I38" s="86">
        <v>60</v>
      </c>
      <c r="J38" s="86">
        <v>0</v>
      </c>
      <c r="K38" s="86">
        <v>0</v>
      </c>
      <c r="L38" s="380"/>
    </row>
    <row r="39" spans="1:12" s="120" customFormat="1" ht="87.75" customHeight="1">
      <c r="A39" s="439"/>
      <c r="B39" s="395"/>
      <c r="C39" s="562"/>
      <c r="D39" s="21" t="s">
        <v>28</v>
      </c>
      <c r="E39" s="236" t="s">
        <v>452</v>
      </c>
      <c r="F39" s="576"/>
      <c r="G39" s="448"/>
      <c r="H39" s="86">
        <f t="shared" si="2"/>
        <v>125</v>
      </c>
      <c r="I39" s="86">
        <v>0</v>
      </c>
      <c r="J39" s="86">
        <f>15+35.8+26+6.3+7.5+11+6.4+17</f>
        <v>125</v>
      </c>
      <c r="K39" s="86">
        <v>0</v>
      </c>
      <c r="L39" s="380"/>
    </row>
    <row r="40" spans="1:12" s="120" customFormat="1" ht="75" customHeight="1">
      <c r="A40" s="439"/>
      <c r="B40" s="395"/>
      <c r="C40" s="562"/>
      <c r="D40" s="575" t="s">
        <v>97</v>
      </c>
      <c r="E40" s="455"/>
      <c r="F40" s="576"/>
      <c r="G40" s="448" t="s">
        <v>95</v>
      </c>
      <c r="H40" s="86">
        <f>SUM(H41:H44)</f>
        <v>45209.9</v>
      </c>
      <c r="I40" s="86">
        <f>SUM(I41:I44)</f>
        <v>45209.9</v>
      </c>
      <c r="J40" s="86">
        <f>SUM(J41:J44)</f>
        <v>0</v>
      </c>
      <c r="K40" s="86">
        <f>SUM(K41:K44)</f>
        <v>0</v>
      </c>
      <c r="L40" s="380"/>
    </row>
    <row r="41" spans="1:12" s="120" customFormat="1" ht="75" customHeight="1">
      <c r="A41" s="439"/>
      <c r="B41" s="395"/>
      <c r="C41" s="562"/>
      <c r="D41" s="21" t="s">
        <v>28</v>
      </c>
      <c r="E41" s="299" t="s">
        <v>81</v>
      </c>
      <c r="F41" s="576"/>
      <c r="G41" s="446"/>
      <c r="H41" s="87">
        <f>I41+J41+K41</f>
        <v>12485.6</v>
      </c>
      <c r="I41" s="87">
        <v>12485.6</v>
      </c>
      <c r="J41" s="87">
        <v>0</v>
      </c>
      <c r="K41" s="87">
        <v>0</v>
      </c>
      <c r="L41" s="380"/>
    </row>
    <row r="42" spans="1:12" s="120" customFormat="1" ht="75" customHeight="1">
      <c r="A42" s="439"/>
      <c r="B42" s="395"/>
      <c r="C42" s="562"/>
      <c r="D42" s="21" t="s">
        <v>28</v>
      </c>
      <c r="E42" s="299" t="s">
        <v>75</v>
      </c>
      <c r="F42" s="576"/>
      <c r="G42" s="446"/>
      <c r="H42" s="87">
        <f>I42+J42+K42</f>
        <v>8160.1</v>
      </c>
      <c r="I42" s="87">
        <v>8160.1</v>
      </c>
      <c r="J42" s="87">
        <v>0</v>
      </c>
      <c r="K42" s="87">
        <v>0</v>
      </c>
      <c r="L42" s="380"/>
    </row>
    <row r="43" spans="1:12" s="120" customFormat="1" ht="75" customHeight="1">
      <c r="A43" s="439"/>
      <c r="B43" s="395"/>
      <c r="C43" s="562"/>
      <c r="D43" s="21" t="s">
        <v>28</v>
      </c>
      <c r="E43" s="299" t="s">
        <v>76</v>
      </c>
      <c r="F43" s="576"/>
      <c r="G43" s="446"/>
      <c r="H43" s="87">
        <f>I43+J43+K43</f>
        <v>12866.2</v>
      </c>
      <c r="I43" s="87">
        <v>12866.2</v>
      </c>
      <c r="J43" s="87">
        <v>0</v>
      </c>
      <c r="K43" s="87">
        <v>0</v>
      </c>
      <c r="L43" s="380"/>
    </row>
    <row r="44" spans="1:12" s="120" customFormat="1" ht="75" customHeight="1">
      <c r="A44" s="439"/>
      <c r="B44" s="395"/>
      <c r="C44" s="562"/>
      <c r="D44" s="21" t="s">
        <v>28</v>
      </c>
      <c r="E44" s="299" t="s">
        <v>74</v>
      </c>
      <c r="F44" s="576"/>
      <c r="G44" s="446"/>
      <c r="H44" s="87">
        <f>I44+J44+K44</f>
        <v>11698</v>
      </c>
      <c r="I44" s="87">
        <f>11848-150</f>
        <v>11698</v>
      </c>
      <c r="J44" s="87">
        <v>0</v>
      </c>
      <c r="K44" s="87">
        <v>0</v>
      </c>
      <c r="L44" s="380"/>
    </row>
    <row r="45" spans="1:12" s="124" customFormat="1" ht="75" customHeight="1">
      <c r="A45" s="439"/>
      <c r="B45" s="395"/>
      <c r="C45" s="566" t="s">
        <v>216</v>
      </c>
      <c r="D45" s="440" t="s">
        <v>328</v>
      </c>
      <c r="E45" s="441"/>
      <c r="F45" s="441"/>
      <c r="G45" s="442"/>
      <c r="H45" s="86">
        <f>SUM(H46:H50)</f>
        <v>64711.341999999997</v>
      </c>
      <c r="I45" s="86">
        <f>SUM(I46:I50)</f>
        <v>18275.899999999998</v>
      </c>
      <c r="J45" s="86">
        <f>SUM(J46:J50)</f>
        <v>27445.309999999998</v>
      </c>
      <c r="K45" s="86">
        <f t="shared" ref="K45" si="3">SUM(K46:K50)</f>
        <v>18990.131999999998</v>
      </c>
      <c r="L45" s="351" t="s">
        <v>250</v>
      </c>
    </row>
    <row r="46" spans="1:12" ht="75" customHeight="1">
      <c r="A46" s="439"/>
      <c r="B46" s="395"/>
      <c r="C46" s="567"/>
      <c r="D46" s="21" t="s">
        <v>28</v>
      </c>
      <c r="E46" s="206" t="s">
        <v>81</v>
      </c>
      <c r="F46" s="382" t="s">
        <v>428</v>
      </c>
      <c r="G46" s="382" t="s">
        <v>405</v>
      </c>
      <c r="H46" s="87">
        <f>I46+J46+K46</f>
        <v>12489.74</v>
      </c>
      <c r="I46" s="87">
        <v>3629.9</v>
      </c>
      <c r="J46" s="87">
        <f>3526.9+900.74+200+423.2</f>
        <v>5050.84</v>
      </c>
      <c r="K46" s="87">
        <v>3809</v>
      </c>
      <c r="L46" s="352"/>
    </row>
    <row r="47" spans="1:12" ht="75" customHeight="1">
      <c r="A47" s="439"/>
      <c r="B47" s="395"/>
      <c r="C47" s="567"/>
      <c r="D47" s="21" t="s">
        <v>28</v>
      </c>
      <c r="E47" s="206" t="s">
        <v>75</v>
      </c>
      <c r="F47" s="382"/>
      <c r="G47" s="382"/>
      <c r="H47" s="87">
        <f>I47+J47+K47</f>
        <v>14283.42</v>
      </c>
      <c r="I47" s="87">
        <v>4524.8999999999996</v>
      </c>
      <c r="J47" s="87">
        <f>4268.5+448.72+431.3</f>
        <v>5148.5200000000004</v>
      </c>
      <c r="K47" s="87">
        <v>4610</v>
      </c>
      <c r="L47" s="352"/>
    </row>
    <row r="48" spans="1:12" s="120" customFormat="1" ht="75" customHeight="1">
      <c r="A48" s="439"/>
      <c r="B48" s="395"/>
      <c r="C48" s="567"/>
      <c r="D48" s="21" t="s">
        <v>28</v>
      </c>
      <c r="E48" s="206" t="s">
        <v>76</v>
      </c>
      <c r="F48" s="382"/>
      <c r="G48" s="382"/>
      <c r="H48" s="87">
        <f>I48+J48+K48</f>
        <v>19805.62</v>
      </c>
      <c r="I48" s="87">
        <f>5671.7+326.2+422.4-412.1</f>
        <v>6008.1999999999989</v>
      </c>
      <c r="J48" s="87">
        <f>5448.05+1202.47+600+663</f>
        <v>7913.52</v>
      </c>
      <c r="K48" s="87">
        <v>5883.9</v>
      </c>
      <c r="L48" s="352"/>
    </row>
    <row r="49" spans="1:12" s="120" customFormat="1" ht="75" customHeight="1">
      <c r="A49" s="439"/>
      <c r="B49" s="395"/>
      <c r="C49" s="567"/>
      <c r="D49" s="21" t="s">
        <v>28</v>
      </c>
      <c r="E49" s="206" t="s">
        <v>74</v>
      </c>
      <c r="F49" s="382"/>
      <c r="G49" s="382"/>
      <c r="H49" s="87">
        <f>I49+J49+K49</f>
        <v>14879.662</v>
      </c>
      <c r="I49" s="87">
        <v>4112.8999999999996</v>
      </c>
      <c r="J49" s="87">
        <f>4340.03+830+400+509.5</f>
        <v>6079.53</v>
      </c>
      <c r="K49" s="87">
        <v>4687.232</v>
      </c>
      <c r="L49" s="352"/>
    </row>
    <row r="50" spans="1:12" s="120" customFormat="1" ht="75" customHeight="1">
      <c r="A50" s="439"/>
      <c r="B50" s="395"/>
      <c r="C50" s="568"/>
      <c r="D50" s="21" t="s">
        <v>28</v>
      </c>
      <c r="E50" s="236" t="s">
        <v>452</v>
      </c>
      <c r="F50" s="382"/>
      <c r="G50" s="382"/>
      <c r="H50" s="87">
        <f>I50+J50+K50</f>
        <v>3252.8999999999996</v>
      </c>
      <c r="I50" s="87">
        <v>0</v>
      </c>
      <c r="J50" s="87">
        <f>1517.85+1462.05+273</f>
        <v>3252.8999999999996</v>
      </c>
      <c r="K50" s="87">
        <v>0</v>
      </c>
      <c r="L50" s="353"/>
    </row>
    <row r="51" spans="1:12" s="120" customFormat="1" ht="75" customHeight="1">
      <c r="A51" s="439"/>
      <c r="B51" s="395"/>
      <c r="C51" s="563" t="s">
        <v>258</v>
      </c>
      <c r="D51" s="440" t="s">
        <v>329</v>
      </c>
      <c r="E51" s="441"/>
      <c r="F51" s="441"/>
      <c r="G51" s="442"/>
      <c r="H51" s="86">
        <f>SUM(H52:H57)</f>
        <v>9972.6550000000007</v>
      </c>
      <c r="I51" s="86">
        <f>SUM(I52:I57)</f>
        <v>4584.2129999999997</v>
      </c>
      <c r="J51" s="86">
        <f t="shared" ref="J51:K51" si="4">SUM(J52:J57)</f>
        <v>2606.9</v>
      </c>
      <c r="K51" s="86">
        <f t="shared" si="4"/>
        <v>2781.5419999999999</v>
      </c>
      <c r="L51" s="351" t="s">
        <v>251</v>
      </c>
    </row>
    <row r="52" spans="1:12" ht="75" customHeight="1">
      <c r="A52" s="439"/>
      <c r="B52" s="395"/>
      <c r="C52" s="564"/>
      <c r="D52" s="447" t="s">
        <v>28</v>
      </c>
      <c r="E52" s="380" t="s">
        <v>81</v>
      </c>
      <c r="F52" s="377" t="s">
        <v>428</v>
      </c>
      <c r="G52" s="286" t="s">
        <v>405</v>
      </c>
      <c r="H52" s="86">
        <f t="shared" ref="H52:H60" si="5">I52+J52+K52</f>
        <v>2156</v>
      </c>
      <c r="I52" s="87">
        <f>1060.5</f>
        <v>1060.5</v>
      </c>
      <c r="J52" s="87">
        <v>530</v>
      </c>
      <c r="K52" s="87">
        <v>565.5</v>
      </c>
      <c r="L52" s="352"/>
    </row>
    <row r="53" spans="1:12" ht="172.5" customHeight="1">
      <c r="A53" s="439"/>
      <c r="B53" s="395"/>
      <c r="C53" s="564"/>
      <c r="D53" s="447"/>
      <c r="E53" s="380"/>
      <c r="F53" s="378"/>
      <c r="G53" s="286" t="s">
        <v>98</v>
      </c>
      <c r="H53" s="86">
        <f t="shared" si="5"/>
        <v>2.6</v>
      </c>
      <c r="I53" s="87">
        <v>2.6</v>
      </c>
      <c r="J53" s="87">
        <v>0</v>
      </c>
      <c r="K53" s="87">
        <v>0</v>
      </c>
      <c r="L53" s="352"/>
    </row>
    <row r="54" spans="1:12" s="120" customFormat="1" ht="75" customHeight="1">
      <c r="A54" s="439"/>
      <c r="B54" s="395"/>
      <c r="C54" s="564"/>
      <c r="D54" s="21" t="s">
        <v>28</v>
      </c>
      <c r="E54" s="299" t="s">
        <v>75</v>
      </c>
      <c r="F54" s="378"/>
      <c r="G54" s="375" t="s">
        <v>405</v>
      </c>
      <c r="H54" s="86">
        <f t="shared" si="5"/>
        <v>1349.4</v>
      </c>
      <c r="I54" s="87">
        <v>667.3</v>
      </c>
      <c r="J54" s="87">
        <v>330</v>
      </c>
      <c r="K54" s="87">
        <v>352.1</v>
      </c>
      <c r="L54" s="352"/>
    </row>
    <row r="55" spans="1:12" s="120" customFormat="1" ht="75" customHeight="1">
      <c r="A55" s="439"/>
      <c r="B55" s="395"/>
      <c r="C55" s="564"/>
      <c r="D55" s="21" t="s">
        <v>28</v>
      </c>
      <c r="E55" s="299" t="s">
        <v>76</v>
      </c>
      <c r="F55" s="378"/>
      <c r="G55" s="383"/>
      <c r="H55" s="86">
        <f t="shared" si="5"/>
        <v>2322.19</v>
      </c>
      <c r="I55" s="87">
        <v>1144</v>
      </c>
      <c r="J55" s="87">
        <v>570</v>
      </c>
      <c r="K55" s="87">
        <v>608.19000000000005</v>
      </c>
      <c r="L55" s="352"/>
    </row>
    <row r="56" spans="1:12" s="120" customFormat="1" ht="75" customHeight="1">
      <c r="A56" s="439"/>
      <c r="B56" s="395"/>
      <c r="C56" s="564"/>
      <c r="D56" s="21" t="s">
        <v>28</v>
      </c>
      <c r="E56" s="299" t="s">
        <v>74</v>
      </c>
      <c r="F56" s="378"/>
      <c r="G56" s="383"/>
      <c r="H56" s="86">
        <f t="shared" si="5"/>
        <v>4142.4650000000001</v>
      </c>
      <c r="I56" s="87">
        <f>2748.919-253.468-420-365.638</f>
        <v>1709.8130000000001</v>
      </c>
      <c r="J56" s="87">
        <v>1176.9000000000001</v>
      </c>
      <c r="K56" s="87">
        <v>1255.752</v>
      </c>
      <c r="L56" s="352"/>
    </row>
    <row r="57" spans="1:12" s="120" customFormat="1" ht="75" customHeight="1">
      <c r="A57" s="439"/>
      <c r="B57" s="395"/>
      <c r="C57" s="565"/>
      <c r="D57" s="21" t="s">
        <v>28</v>
      </c>
      <c r="E57" s="236" t="s">
        <v>452</v>
      </c>
      <c r="F57" s="379"/>
      <c r="G57" s="376"/>
      <c r="H57" s="86">
        <f>I57+J57+K57</f>
        <v>0</v>
      </c>
      <c r="I57" s="87"/>
      <c r="J57" s="87"/>
      <c r="K57" s="87"/>
      <c r="L57" s="353"/>
    </row>
    <row r="58" spans="1:12" ht="108" customHeight="1">
      <c r="A58" s="439"/>
      <c r="B58" s="395"/>
      <c r="C58" s="281" t="s">
        <v>252</v>
      </c>
      <c r="D58" s="311" t="s">
        <v>28</v>
      </c>
      <c r="E58" s="299" t="s">
        <v>81</v>
      </c>
      <c r="F58" s="286" t="s">
        <v>428</v>
      </c>
      <c r="G58" s="286" t="s">
        <v>405</v>
      </c>
      <c r="H58" s="86">
        <f t="shared" si="5"/>
        <v>1307.3</v>
      </c>
      <c r="I58" s="87">
        <v>690</v>
      </c>
      <c r="J58" s="87">
        <v>300</v>
      </c>
      <c r="K58" s="87">
        <v>317.3</v>
      </c>
      <c r="L58" s="306" t="s">
        <v>58</v>
      </c>
    </row>
    <row r="59" spans="1:12" ht="312.75" customHeight="1">
      <c r="A59" s="439"/>
      <c r="B59" s="395"/>
      <c r="C59" s="281" t="s">
        <v>322</v>
      </c>
      <c r="D59" s="311" t="s">
        <v>28</v>
      </c>
      <c r="E59" s="299" t="s">
        <v>81</v>
      </c>
      <c r="F59" s="286" t="s">
        <v>428</v>
      </c>
      <c r="G59" s="286" t="s">
        <v>405</v>
      </c>
      <c r="H59" s="86">
        <f t="shared" si="5"/>
        <v>1200</v>
      </c>
      <c r="I59" s="87">
        <v>1200</v>
      </c>
      <c r="J59" s="87"/>
      <c r="K59" s="87">
        <f>J59*1.051</f>
        <v>0</v>
      </c>
      <c r="L59" s="306" t="s">
        <v>59</v>
      </c>
    </row>
    <row r="60" spans="1:12" ht="156.75" customHeight="1">
      <c r="A60" s="439"/>
      <c r="B60" s="395"/>
      <c r="C60" s="281" t="s">
        <v>323</v>
      </c>
      <c r="D60" s="311" t="s">
        <v>28</v>
      </c>
      <c r="E60" s="299" t="s">
        <v>81</v>
      </c>
      <c r="F60" s="286" t="s">
        <v>428</v>
      </c>
      <c r="G60" s="286" t="s">
        <v>405</v>
      </c>
      <c r="H60" s="86">
        <f t="shared" si="5"/>
        <v>1300</v>
      </c>
      <c r="I60" s="87">
        <v>1000</v>
      </c>
      <c r="J60" s="87">
        <v>300</v>
      </c>
      <c r="K60" s="87"/>
      <c r="L60" s="306" t="s">
        <v>61</v>
      </c>
    </row>
    <row r="61" spans="1:12" ht="75" customHeight="1">
      <c r="A61" s="439"/>
      <c r="B61" s="395"/>
      <c r="C61" s="405" t="s">
        <v>330</v>
      </c>
      <c r="D61" s="350" t="s">
        <v>331</v>
      </c>
      <c r="E61" s="350"/>
      <c r="F61" s="350"/>
      <c r="G61" s="350"/>
      <c r="H61" s="86">
        <f>H62+H63</f>
        <v>3883</v>
      </c>
      <c r="I61" s="86">
        <f>I62+I63</f>
        <v>3883</v>
      </c>
      <c r="J61" s="86">
        <f>J62+J63</f>
        <v>0</v>
      </c>
      <c r="K61" s="86">
        <f>K62+K63</f>
        <v>0</v>
      </c>
      <c r="L61" s="299"/>
    </row>
    <row r="62" spans="1:12" ht="178.5" customHeight="1">
      <c r="A62" s="439"/>
      <c r="B62" s="395"/>
      <c r="C62" s="405"/>
      <c r="D62" s="407" t="s">
        <v>28</v>
      </c>
      <c r="E62" s="352" t="s">
        <v>76</v>
      </c>
      <c r="F62" s="378" t="s">
        <v>428</v>
      </c>
      <c r="G62" s="279" t="s">
        <v>98</v>
      </c>
      <c r="H62" s="86">
        <f>I62+J62+K62</f>
        <v>2680.3</v>
      </c>
      <c r="I62" s="87">
        <v>2680.3</v>
      </c>
      <c r="J62" s="87">
        <v>0</v>
      </c>
      <c r="K62" s="87">
        <v>0</v>
      </c>
      <c r="L62" s="368" t="s">
        <v>336</v>
      </c>
    </row>
    <row r="63" spans="1:12" ht="75" customHeight="1">
      <c r="A63" s="439"/>
      <c r="B63" s="395"/>
      <c r="C63" s="405"/>
      <c r="D63" s="408"/>
      <c r="E63" s="353"/>
      <c r="F63" s="379"/>
      <c r="G63" s="286" t="s">
        <v>405</v>
      </c>
      <c r="H63" s="86">
        <f>I63+J63+K63</f>
        <v>1202.7</v>
      </c>
      <c r="I63" s="87">
        <v>1202.7</v>
      </c>
      <c r="J63" s="87">
        <v>0</v>
      </c>
      <c r="K63" s="87">
        <f>J63*1.051</f>
        <v>0</v>
      </c>
      <c r="L63" s="368"/>
    </row>
    <row r="64" spans="1:12" ht="75" customHeight="1">
      <c r="A64" s="439"/>
      <c r="B64" s="395"/>
      <c r="C64" s="406" t="s">
        <v>332</v>
      </c>
      <c r="D64" s="350" t="s">
        <v>333</v>
      </c>
      <c r="E64" s="350"/>
      <c r="F64" s="350"/>
      <c r="G64" s="350"/>
      <c r="H64" s="86">
        <f>H65+H66+H67</f>
        <v>850</v>
      </c>
      <c r="I64" s="86">
        <f>I65+I66+I67</f>
        <v>850</v>
      </c>
      <c r="J64" s="86">
        <f>J65+J66+J67</f>
        <v>0</v>
      </c>
      <c r="K64" s="86">
        <f>K65+K66+K67</f>
        <v>0</v>
      </c>
      <c r="L64" s="380" t="s">
        <v>66</v>
      </c>
    </row>
    <row r="65" spans="1:12" ht="102" customHeight="1">
      <c r="A65" s="439"/>
      <c r="B65" s="395"/>
      <c r="C65" s="406"/>
      <c r="D65" s="21" t="s">
        <v>28</v>
      </c>
      <c r="E65" s="299" t="s">
        <v>81</v>
      </c>
      <c r="F65" s="375" t="s">
        <v>428</v>
      </c>
      <c r="G65" s="382" t="s">
        <v>54</v>
      </c>
      <c r="H65" s="86">
        <f>I65+J65+K65</f>
        <v>400</v>
      </c>
      <c r="I65" s="87">
        <v>400</v>
      </c>
      <c r="J65" s="87">
        <v>0</v>
      </c>
      <c r="K65" s="87">
        <v>0</v>
      </c>
      <c r="L65" s="416"/>
    </row>
    <row r="66" spans="1:12" ht="93.75" customHeight="1">
      <c r="A66" s="439"/>
      <c r="B66" s="395"/>
      <c r="C66" s="406"/>
      <c r="D66" s="21" t="s">
        <v>28</v>
      </c>
      <c r="E66" s="299" t="s">
        <v>75</v>
      </c>
      <c r="F66" s="383"/>
      <c r="G66" s="446"/>
      <c r="H66" s="86">
        <f>I66+J66+K66</f>
        <v>150</v>
      </c>
      <c r="I66" s="87">
        <v>150</v>
      </c>
      <c r="J66" s="87">
        <v>0</v>
      </c>
      <c r="K66" s="87">
        <v>0</v>
      </c>
      <c r="L66" s="416"/>
    </row>
    <row r="67" spans="1:12" ht="75" customHeight="1">
      <c r="A67" s="439"/>
      <c r="B67" s="395"/>
      <c r="C67" s="406"/>
      <c r="D67" s="21" t="s">
        <v>28</v>
      </c>
      <c r="E67" s="299" t="s">
        <v>76</v>
      </c>
      <c r="F67" s="376"/>
      <c r="G67" s="446"/>
      <c r="H67" s="86">
        <f>I67+J67+K67</f>
        <v>300</v>
      </c>
      <c r="I67" s="87">
        <v>300</v>
      </c>
      <c r="J67" s="87">
        <v>0</v>
      </c>
      <c r="K67" s="87">
        <v>0</v>
      </c>
      <c r="L67" s="416"/>
    </row>
    <row r="68" spans="1:12" s="120" customFormat="1" ht="75" customHeight="1">
      <c r="A68" s="439"/>
      <c r="B68" s="395"/>
      <c r="C68" s="390" t="s">
        <v>217</v>
      </c>
      <c r="D68" s="350" t="s">
        <v>334</v>
      </c>
      <c r="E68" s="350"/>
      <c r="F68" s="350"/>
      <c r="G68" s="350"/>
      <c r="H68" s="86">
        <f>SUM(H69:H73)</f>
        <v>5412.3880000000008</v>
      </c>
      <c r="I68" s="86">
        <f>SUM(I69:I73)</f>
        <v>2536.1000000000004</v>
      </c>
      <c r="J68" s="86">
        <f t="shared" ref="J68:K68" si="6">SUM(J69:J73)</f>
        <v>1388.8000000000002</v>
      </c>
      <c r="K68" s="86">
        <f t="shared" si="6"/>
        <v>1487.4879999999998</v>
      </c>
      <c r="L68" s="380" t="s">
        <v>62</v>
      </c>
    </row>
    <row r="69" spans="1:12" s="120" customFormat="1" ht="75" customHeight="1">
      <c r="A69" s="439"/>
      <c r="B69" s="395"/>
      <c r="C69" s="391"/>
      <c r="D69" s="21" t="s">
        <v>28</v>
      </c>
      <c r="E69" s="299" t="s">
        <v>81</v>
      </c>
      <c r="F69" s="375" t="s">
        <v>428</v>
      </c>
      <c r="G69" s="375" t="s">
        <v>405</v>
      </c>
      <c r="H69" s="86">
        <f t="shared" ref="H69:H78" si="7">I69+J69+K69</f>
        <v>764.6</v>
      </c>
      <c r="I69" s="87">
        <v>324.10000000000002</v>
      </c>
      <c r="J69" s="87">
        <v>213.1</v>
      </c>
      <c r="K69" s="87">
        <v>227.4</v>
      </c>
      <c r="L69" s="416"/>
    </row>
    <row r="70" spans="1:12" s="120" customFormat="1" ht="75" customHeight="1">
      <c r="A70" s="439"/>
      <c r="B70" s="395"/>
      <c r="C70" s="391"/>
      <c r="D70" s="21" t="s">
        <v>28</v>
      </c>
      <c r="E70" s="299" t="s">
        <v>75</v>
      </c>
      <c r="F70" s="383"/>
      <c r="G70" s="383"/>
      <c r="H70" s="86">
        <f t="shared" si="7"/>
        <v>302.98</v>
      </c>
      <c r="I70" s="87">
        <v>125.3</v>
      </c>
      <c r="J70" s="87">
        <v>85.78</v>
      </c>
      <c r="K70" s="87">
        <v>91.9</v>
      </c>
      <c r="L70" s="416"/>
    </row>
    <row r="71" spans="1:12" s="120" customFormat="1" ht="75" customHeight="1">
      <c r="A71" s="439"/>
      <c r="B71" s="395"/>
      <c r="C71" s="391"/>
      <c r="D71" s="21" t="s">
        <v>28</v>
      </c>
      <c r="E71" s="299" t="s">
        <v>76</v>
      </c>
      <c r="F71" s="383"/>
      <c r="G71" s="383"/>
      <c r="H71" s="86">
        <f t="shared" si="7"/>
        <v>3348.27</v>
      </c>
      <c r="I71" s="87">
        <v>1528</v>
      </c>
      <c r="J71" s="87">
        <v>878.52</v>
      </c>
      <c r="K71" s="87">
        <v>941.75</v>
      </c>
      <c r="L71" s="416"/>
    </row>
    <row r="72" spans="1:12" s="120" customFormat="1" ht="75" customHeight="1">
      <c r="A72" s="439"/>
      <c r="B72" s="395"/>
      <c r="C72" s="391"/>
      <c r="D72" s="21" t="s">
        <v>28</v>
      </c>
      <c r="E72" s="299" t="s">
        <v>74</v>
      </c>
      <c r="F72" s="383"/>
      <c r="G72" s="383"/>
      <c r="H72" s="86">
        <f t="shared" si="7"/>
        <v>996.53800000000001</v>
      </c>
      <c r="I72" s="87">
        <v>558.70000000000005</v>
      </c>
      <c r="J72" s="87">
        <v>211.4</v>
      </c>
      <c r="K72" s="87">
        <v>226.43799999999999</v>
      </c>
      <c r="L72" s="416"/>
    </row>
    <row r="73" spans="1:12" s="120" customFormat="1" ht="75" hidden="1" customHeight="1">
      <c r="A73" s="439"/>
      <c r="B73" s="395"/>
      <c r="C73" s="392"/>
      <c r="D73" s="21" t="s">
        <v>28</v>
      </c>
      <c r="E73" s="236" t="s">
        <v>452</v>
      </c>
      <c r="F73" s="376"/>
      <c r="G73" s="376"/>
      <c r="H73" s="86"/>
      <c r="I73" s="87"/>
      <c r="J73" s="87"/>
      <c r="K73" s="87"/>
      <c r="L73" s="310"/>
    </row>
    <row r="74" spans="1:12" ht="306.75" customHeight="1">
      <c r="A74" s="439"/>
      <c r="B74" s="395"/>
      <c r="C74" s="244" t="s">
        <v>218</v>
      </c>
      <c r="D74" s="311" t="s">
        <v>32</v>
      </c>
      <c r="E74" s="299" t="s">
        <v>75</v>
      </c>
      <c r="F74" s="286" t="s">
        <v>428</v>
      </c>
      <c r="G74" s="286" t="s">
        <v>406</v>
      </c>
      <c r="H74" s="86">
        <f t="shared" si="7"/>
        <v>5834</v>
      </c>
      <c r="I74" s="87">
        <f>2500-800</f>
        <v>1700</v>
      </c>
      <c r="J74" s="87">
        <v>2000</v>
      </c>
      <c r="K74" s="92">
        <v>2134</v>
      </c>
      <c r="L74" s="306" t="s">
        <v>335</v>
      </c>
    </row>
    <row r="75" spans="1:12" ht="158.25" customHeight="1">
      <c r="A75" s="439"/>
      <c r="B75" s="395"/>
      <c r="C75" s="244" t="s">
        <v>391</v>
      </c>
      <c r="D75" s="311" t="s">
        <v>390</v>
      </c>
      <c r="E75" s="299" t="s">
        <v>392</v>
      </c>
      <c r="F75" s="286" t="s">
        <v>428</v>
      </c>
      <c r="G75" s="286" t="s">
        <v>406</v>
      </c>
      <c r="H75" s="86">
        <f t="shared" si="7"/>
        <v>3000</v>
      </c>
      <c r="I75" s="87">
        <v>3000</v>
      </c>
      <c r="J75" s="87">
        <v>0</v>
      </c>
      <c r="K75" s="92">
        <v>0</v>
      </c>
      <c r="L75" s="306" t="s">
        <v>393</v>
      </c>
    </row>
    <row r="76" spans="1:12" ht="203.25" customHeight="1">
      <c r="A76" s="439"/>
      <c r="B76" s="395"/>
      <c r="C76" s="244" t="s">
        <v>459</v>
      </c>
      <c r="D76" s="311" t="s">
        <v>390</v>
      </c>
      <c r="E76" s="299" t="s">
        <v>458</v>
      </c>
      <c r="F76" s="286" t="s">
        <v>428</v>
      </c>
      <c r="G76" s="286" t="s">
        <v>406</v>
      </c>
      <c r="H76" s="86">
        <f>I76+J76+K76</f>
        <v>90</v>
      </c>
      <c r="I76" s="87">
        <v>0</v>
      </c>
      <c r="J76" s="87">
        <v>90</v>
      </c>
      <c r="K76" s="92">
        <v>0</v>
      </c>
      <c r="L76" s="306" t="s">
        <v>465</v>
      </c>
    </row>
    <row r="77" spans="1:12" ht="123" customHeight="1">
      <c r="A77" s="439"/>
      <c r="B77" s="395"/>
      <c r="C77" s="315" t="s">
        <v>460</v>
      </c>
      <c r="D77" s="311" t="s">
        <v>28</v>
      </c>
      <c r="E77" s="299" t="s">
        <v>74</v>
      </c>
      <c r="F77" s="286" t="s">
        <v>428</v>
      </c>
      <c r="G77" s="286" t="s">
        <v>407</v>
      </c>
      <c r="H77" s="86">
        <f t="shared" si="7"/>
        <v>2173.5</v>
      </c>
      <c r="I77" s="87">
        <v>1867.7</v>
      </c>
      <c r="J77" s="87">
        <v>305.8</v>
      </c>
      <c r="K77" s="87"/>
      <c r="L77" s="301" t="s">
        <v>259</v>
      </c>
    </row>
    <row r="78" spans="1:12" ht="231.75" customHeight="1">
      <c r="A78" s="439"/>
      <c r="B78" s="395"/>
      <c r="C78" s="245" t="s">
        <v>461</v>
      </c>
      <c r="D78" s="311" t="s">
        <v>28</v>
      </c>
      <c r="E78" s="299" t="s">
        <v>74</v>
      </c>
      <c r="F78" s="286" t="s">
        <v>428</v>
      </c>
      <c r="G78" s="286" t="s">
        <v>407</v>
      </c>
      <c r="H78" s="86">
        <f t="shared" si="7"/>
        <v>3716.54</v>
      </c>
      <c r="I78" s="87">
        <v>946.27</v>
      </c>
      <c r="J78" s="87">
        <f>11.3+1326</f>
        <v>1337.3</v>
      </c>
      <c r="K78" s="87">
        <v>1432.97</v>
      </c>
      <c r="L78" s="125" t="s">
        <v>105</v>
      </c>
    </row>
    <row r="79" spans="1:12" ht="114.75" customHeight="1">
      <c r="A79" s="439"/>
      <c r="B79" s="395"/>
      <c r="C79" s="402" t="s">
        <v>462</v>
      </c>
      <c r="D79" s="350" t="s">
        <v>474</v>
      </c>
      <c r="E79" s="350"/>
      <c r="F79" s="350"/>
      <c r="G79" s="350"/>
      <c r="H79" s="86">
        <f>H80+H81+H82+H83</f>
        <v>6073.8</v>
      </c>
      <c r="I79" s="86">
        <f>I80+I81+I82+I83</f>
        <v>1217.8</v>
      </c>
      <c r="J79" s="86">
        <f>J80+J81+J82+J83</f>
        <v>2344</v>
      </c>
      <c r="K79" s="86">
        <f t="shared" ref="K79" si="8">K80+K81+K82+K83</f>
        <v>2512</v>
      </c>
      <c r="L79" s="402" t="s">
        <v>73</v>
      </c>
    </row>
    <row r="80" spans="1:12" ht="75" customHeight="1">
      <c r="A80" s="439"/>
      <c r="B80" s="395"/>
      <c r="C80" s="403"/>
      <c r="D80" s="21" t="s">
        <v>28</v>
      </c>
      <c r="E80" s="206" t="s">
        <v>81</v>
      </c>
      <c r="F80" s="375" t="s">
        <v>428</v>
      </c>
      <c r="G80" s="375" t="s">
        <v>407</v>
      </c>
      <c r="H80" s="86">
        <f>I80+J80+K80</f>
        <v>144</v>
      </c>
      <c r="I80" s="87">
        <v>144</v>
      </c>
      <c r="J80" s="87"/>
      <c r="K80" s="87"/>
      <c r="L80" s="403"/>
    </row>
    <row r="81" spans="1:12" ht="75" customHeight="1">
      <c r="A81" s="439"/>
      <c r="B81" s="395"/>
      <c r="C81" s="403"/>
      <c r="D81" s="21" t="s">
        <v>28</v>
      </c>
      <c r="E81" s="206" t="s">
        <v>75</v>
      </c>
      <c r="F81" s="383"/>
      <c r="G81" s="383"/>
      <c r="H81" s="86">
        <f>I81+J81+K81</f>
        <v>5723.1</v>
      </c>
      <c r="I81" s="87">
        <v>1073.8</v>
      </c>
      <c r="J81" s="87">
        <f>2244</f>
        <v>2244</v>
      </c>
      <c r="K81" s="87">
        <v>2405.3000000000002</v>
      </c>
      <c r="L81" s="403"/>
    </row>
    <row r="82" spans="1:12" ht="75" customHeight="1">
      <c r="A82" s="439"/>
      <c r="B82" s="395"/>
      <c r="C82" s="403"/>
      <c r="D82" s="21" t="s">
        <v>32</v>
      </c>
      <c r="E82" s="206" t="s">
        <v>81</v>
      </c>
      <c r="F82" s="383"/>
      <c r="G82" s="376"/>
      <c r="H82" s="86">
        <f>I82+J82+K82</f>
        <v>206.7</v>
      </c>
      <c r="I82" s="87"/>
      <c r="J82" s="87">
        <v>100</v>
      </c>
      <c r="K82" s="87">
        <v>106.7</v>
      </c>
      <c r="L82" s="403"/>
    </row>
    <row r="83" spans="1:12" ht="75" hidden="1" customHeight="1">
      <c r="A83" s="439"/>
      <c r="B83" s="395"/>
      <c r="C83" s="404"/>
      <c r="D83" s="21" t="s">
        <v>28</v>
      </c>
      <c r="E83" s="236" t="s">
        <v>452</v>
      </c>
      <c r="F83" s="383"/>
      <c r="G83" s="255" t="s">
        <v>317</v>
      </c>
      <c r="H83" s="86">
        <f>I83+J83+K83</f>
        <v>0</v>
      </c>
      <c r="I83" s="87"/>
      <c r="J83" s="87"/>
      <c r="K83" s="87"/>
      <c r="L83" s="404"/>
    </row>
    <row r="84" spans="1:12" ht="133.5" customHeight="1">
      <c r="A84" s="439"/>
      <c r="B84" s="395"/>
      <c r="C84" s="245" t="s">
        <v>463</v>
      </c>
      <c r="D84" s="311" t="s">
        <v>28</v>
      </c>
      <c r="E84" s="206" t="s">
        <v>81</v>
      </c>
      <c r="F84" s="383"/>
      <c r="G84" s="375" t="s">
        <v>407</v>
      </c>
      <c r="H84" s="86">
        <f>I84+J84+K84</f>
        <v>1000</v>
      </c>
      <c r="I84" s="87">
        <v>0</v>
      </c>
      <c r="J84" s="87">
        <v>1000</v>
      </c>
      <c r="K84" s="87">
        <v>0</v>
      </c>
      <c r="L84" s="301" t="s">
        <v>400</v>
      </c>
    </row>
    <row r="85" spans="1:12" ht="75" customHeight="1">
      <c r="A85" s="439"/>
      <c r="B85" s="395"/>
      <c r="C85" s="563" t="s">
        <v>464</v>
      </c>
      <c r="D85" s="414" t="s">
        <v>402</v>
      </c>
      <c r="E85" s="415"/>
      <c r="F85" s="383"/>
      <c r="G85" s="383"/>
      <c r="H85" s="86">
        <f>H86+H87+H88+H89+H90</f>
        <v>339.9</v>
      </c>
      <c r="I85" s="86">
        <f>I86+I87+I88+I89+I90</f>
        <v>0</v>
      </c>
      <c r="J85" s="86">
        <f>J86+J87+J88+J89+J90</f>
        <v>339.9</v>
      </c>
      <c r="K85" s="86">
        <f>K86+K87+K88+K89+K90</f>
        <v>0</v>
      </c>
      <c r="L85" s="409" t="s">
        <v>401</v>
      </c>
    </row>
    <row r="86" spans="1:12" ht="75" customHeight="1">
      <c r="A86" s="439"/>
      <c r="B86" s="395"/>
      <c r="C86" s="564"/>
      <c r="D86" s="311" t="s">
        <v>28</v>
      </c>
      <c r="E86" s="206" t="s">
        <v>81</v>
      </c>
      <c r="F86" s="383"/>
      <c r="G86" s="383"/>
      <c r="H86" s="86">
        <f>I86+J86+K86</f>
        <v>101.2</v>
      </c>
      <c r="I86" s="93">
        <v>0</v>
      </c>
      <c r="J86" s="93">
        <v>101.2</v>
      </c>
      <c r="K86" s="93">
        <v>0</v>
      </c>
      <c r="L86" s="410"/>
    </row>
    <row r="87" spans="1:12" ht="75" customHeight="1">
      <c r="A87" s="439"/>
      <c r="B87" s="395"/>
      <c r="C87" s="564"/>
      <c r="D87" s="311" t="s">
        <v>28</v>
      </c>
      <c r="E87" s="206" t="s">
        <v>75</v>
      </c>
      <c r="F87" s="383"/>
      <c r="G87" s="383"/>
      <c r="H87" s="86">
        <f>I87+J87+K87</f>
        <v>40.700000000000003</v>
      </c>
      <c r="I87" s="93">
        <v>0</v>
      </c>
      <c r="J87" s="93">
        <v>40.700000000000003</v>
      </c>
      <c r="K87" s="93">
        <v>0</v>
      </c>
      <c r="L87" s="410"/>
    </row>
    <row r="88" spans="1:12" ht="75" customHeight="1">
      <c r="A88" s="439"/>
      <c r="B88" s="395"/>
      <c r="C88" s="564"/>
      <c r="D88" s="311" t="s">
        <v>28</v>
      </c>
      <c r="E88" s="299" t="s">
        <v>76</v>
      </c>
      <c r="F88" s="383"/>
      <c r="G88" s="383"/>
      <c r="H88" s="86">
        <f t="shared" ref="H88:H92" si="9">I88+J88+K88</f>
        <v>99</v>
      </c>
      <c r="I88" s="93">
        <v>0</v>
      </c>
      <c r="J88" s="93">
        <v>99</v>
      </c>
      <c r="K88" s="93">
        <v>0</v>
      </c>
      <c r="L88" s="410"/>
    </row>
    <row r="89" spans="1:12" ht="75" customHeight="1">
      <c r="A89" s="439"/>
      <c r="B89" s="395"/>
      <c r="C89" s="565"/>
      <c r="D89" s="311" t="s">
        <v>28</v>
      </c>
      <c r="E89" s="299" t="s">
        <v>74</v>
      </c>
      <c r="F89" s="383"/>
      <c r="G89" s="383"/>
      <c r="H89" s="86">
        <f t="shared" si="9"/>
        <v>99</v>
      </c>
      <c r="I89" s="93">
        <v>0</v>
      </c>
      <c r="J89" s="93">
        <v>99</v>
      </c>
      <c r="K89" s="93">
        <v>0</v>
      </c>
      <c r="L89" s="410"/>
    </row>
    <row r="90" spans="1:12" ht="87.75" hidden="1" customHeight="1">
      <c r="A90" s="439"/>
      <c r="B90" s="395"/>
      <c r="C90" s="246"/>
      <c r="D90" s="127"/>
      <c r="E90" s="36"/>
      <c r="F90" s="383"/>
      <c r="G90" s="383"/>
      <c r="H90" s="86"/>
      <c r="I90" s="93"/>
      <c r="J90" s="93"/>
      <c r="K90" s="93"/>
      <c r="L90" s="410"/>
    </row>
    <row r="91" spans="1:12" ht="75" hidden="1" customHeight="1">
      <c r="A91" s="439"/>
      <c r="B91" s="395"/>
      <c r="C91" s="246"/>
      <c r="D91" s="21" t="s">
        <v>32</v>
      </c>
      <c r="E91" s="299" t="s">
        <v>79</v>
      </c>
      <c r="F91" s="383"/>
      <c r="G91" s="383"/>
      <c r="H91" s="86">
        <f t="shared" si="9"/>
        <v>0</v>
      </c>
      <c r="I91" s="93">
        <v>0</v>
      </c>
      <c r="J91" s="93"/>
      <c r="K91" s="93">
        <v>0</v>
      </c>
      <c r="L91" s="410"/>
    </row>
    <row r="92" spans="1:12" ht="79.5" hidden="1" customHeight="1">
      <c r="A92" s="439"/>
      <c r="B92" s="395"/>
      <c r="C92" s="246"/>
      <c r="D92" s="21" t="s">
        <v>32</v>
      </c>
      <c r="E92" s="207" t="s">
        <v>80</v>
      </c>
      <c r="F92" s="376"/>
      <c r="G92" s="383"/>
      <c r="H92" s="86">
        <f t="shared" si="9"/>
        <v>0</v>
      </c>
      <c r="I92" s="93">
        <v>0</v>
      </c>
      <c r="J92" s="93"/>
      <c r="K92" s="93">
        <v>0</v>
      </c>
      <c r="L92" s="411"/>
    </row>
    <row r="93" spans="1:12" ht="126.75" customHeight="1">
      <c r="A93" s="439"/>
      <c r="B93" s="395"/>
      <c r="C93" s="126" t="s">
        <v>466</v>
      </c>
      <c r="D93" s="311" t="s">
        <v>470</v>
      </c>
      <c r="E93" s="299" t="s">
        <v>74</v>
      </c>
      <c r="F93" s="313"/>
      <c r="G93" s="383"/>
      <c r="H93" s="107">
        <f>I93+J93+K93</f>
        <v>2200</v>
      </c>
      <c r="I93" s="93">
        <v>0</v>
      </c>
      <c r="J93" s="93">
        <v>2200</v>
      </c>
      <c r="K93" s="93">
        <v>0</v>
      </c>
      <c r="L93" s="301" t="s">
        <v>468</v>
      </c>
    </row>
    <row r="94" spans="1:12" ht="147" customHeight="1">
      <c r="A94" s="557"/>
      <c r="B94" s="396"/>
      <c r="C94" s="126" t="s">
        <v>467</v>
      </c>
      <c r="D94" s="311" t="s">
        <v>471</v>
      </c>
      <c r="E94" s="299" t="s">
        <v>74</v>
      </c>
      <c r="F94" s="313"/>
      <c r="G94" s="376"/>
      <c r="H94" s="107">
        <f>I94+J94+K94</f>
        <v>-2200</v>
      </c>
      <c r="I94" s="93">
        <v>0</v>
      </c>
      <c r="J94" s="93">
        <v>-2200</v>
      </c>
      <c r="K94" s="93">
        <v>0</v>
      </c>
      <c r="L94" s="301" t="s">
        <v>469</v>
      </c>
    </row>
    <row r="95" spans="1:12" ht="75" customHeight="1">
      <c r="A95" s="569"/>
      <c r="B95" s="570"/>
      <c r="C95" s="570"/>
      <c r="D95" s="570"/>
      <c r="E95" s="558" t="s">
        <v>263</v>
      </c>
      <c r="F95" s="549"/>
      <c r="G95" s="128"/>
      <c r="H95" s="107">
        <f>H29+H45+H51+H58+H59+H60+H61+H64+H68+H74+H77+H78+H79+H75+H84+H85+H76</f>
        <v>189355.15499999997</v>
      </c>
      <c r="I95" s="107">
        <f>I29+I45+I51+I58+I59+I60+I61+I64+I68+I74+I77+I78+I79+I75+I84+I85+I76</f>
        <v>114137.51300000001</v>
      </c>
      <c r="J95" s="107">
        <f>J29+J45+J51+J58+J59+J60+J61+J64+J68+J74+J77+J78+J79+J75+J84+J85+J76</f>
        <v>45562.210000000006</v>
      </c>
      <c r="K95" s="107">
        <f>K29+K45+K51+K58+K59+K60+K61+K64+K68+K74+K77+K78+K79+K75+K84+K85+K76</f>
        <v>29655.432000000001</v>
      </c>
      <c r="L95" s="409"/>
    </row>
    <row r="96" spans="1:12" ht="75" customHeight="1">
      <c r="A96" s="571"/>
      <c r="B96" s="572"/>
      <c r="C96" s="572"/>
      <c r="D96" s="572"/>
      <c r="E96" s="559"/>
      <c r="F96" s="551"/>
      <c r="G96" s="286" t="s">
        <v>407</v>
      </c>
      <c r="H96" s="86">
        <f>H30+H45+H52+H54+H55+H56+H58+H59+H60+H63+H64+H68+H74+H77+H78+H80+H81+H82+H75+H85+H84+H57+H76</f>
        <v>140982.75499999998</v>
      </c>
      <c r="I96" s="86">
        <f>I30+I45+I52+I54+I55+I56+I58+I59+I60+I63+I64+I68+I74+I77+I78+I80+I81+I82+I75+I85+I84+I57+I76</f>
        <v>65890.112999999983</v>
      </c>
      <c r="J96" s="86">
        <f>J30+J45+J52+J54+J55+J56+J58+J59+J60+J63+J64+J68+J74+J77+J78+J80+J81+J82+J75+J85+J84+J57+J76</f>
        <v>45437.210000000006</v>
      </c>
      <c r="K96" s="86">
        <f>K30+K45+K52+K54+K55+K56+K58+K59+K60+K63+K64+K68+K74+K77+K78+K80+K81+K82+K75+K85+K84+K57+K76</f>
        <v>29655.431999999997</v>
      </c>
      <c r="L96" s="410"/>
    </row>
    <row r="97" spans="1:12" ht="72.75" customHeight="1">
      <c r="A97" s="571"/>
      <c r="B97" s="572"/>
      <c r="C97" s="572"/>
      <c r="D97" s="572"/>
      <c r="E97" s="559"/>
      <c r="F97" s="551"/>
      <c r="G97" s="129" t="s">
        <v>95</v>
      </c>
      <c r="H97" s="86">
        <f>H40</f>
        <v>45209.9</v>
      </c>
      <c r="I97" s="86">
        <f>I40</f>
        <v>45209.9</v>
      </c>
      <c r="J97" s="86">
        <f>J40</f>
        <v>0</v>
      </c>
      <c r="K97" s="86">
        <f>K40</f>
        <v>0</v>
      </c>
      <c r="L97" s="410"/>
    </row>
    <row r="98" spans="1:12" ht="177.75" customHeight="1">
      <c r="A98" s="571"/>
      <c r="B98" s="572"/>
      <c r="C98" s="572"/>
      <c r="D98" s="572"/>
      <c r="E98" s="559"/>
      <c r="F98" s="551"/>
      <c r="G98" s="286" t="s">
        <v>98</v>
      </c>
      <c r="H98" s="86">
        <f>H36+H53+H62+H37</f>
        <v>2977.5</v>
      </c>
      <c r="I98" s="86">
        <f>I36+I53+I62+I37</f>
        <v>2977.5</v>
      </c>
      <c r="J98" s="86">
        <f>J36+J53+J62</f>
        <v>0</v>
      </c>
      <c r="K98" s="86">
        <f>K36+K53+K62</f>
        <v>0</v>
      </c>
      <c r="L98" s="410"/>
    </row>
    <row r="99" spans="1:12" ht="93.75" customHeight="1">
      <c r="A99" s="571"/>
      <c r="B99" s="572"/>
      <c r="C99" s="572"/>
      <c r="D99" s="572"/>
      <c r="E99" s="560"/>
      <c r="F99" s="553"/>
      <c r="G99" s="287" t="s">
        <v>317</v>
      </c>
      <c r="H99" s="86">
        <f>H38+H39</f>
        <v>185</v>
      </c>
      <c r="I99" s="86">
        <f>I38+I39</f>
        <v>60</v>
      </c>
      <c r="J99" s="86">
        <f t="shared" ref="J99:K99" si="10">J38+J39</f>
        <v>125</v>
      </c>
      <c r="K99" s="86">
        <f t="shared" si="10"/>
        <v>0</v>
      </c>
      <c r="L99" s="410"/>
    </row>
    <row r="100" spans="1:12" ht="75" customHeight="1">
      <c r="A100" s="571"/>
      <c r="B100" s="572"/>
      <c r="C100" s="572"/>
      <c r="D100" s="572"/>
      <c r="E100" s="512" t="s">
        <v>264</v>
      </c>
      <c r="F100" s="514"/>
      <c r="G100" s="286"/>
      <c r="H100" s="86"/>
      <c r="I100" s="93"/>
      <c r="J100" s="87"/>
      <c r="K100" s="87"/>
      <c r="L100" s="410"/>
    </row>
    <row r="101" spans="1:12" ht="75" customHeight="1">
      <c r="A101" s="571"/>
      <c r="B101" s="572"/>
      <c r="C101" s="572"/>
      <c r="D101" s="572"/>
      <c r="E101" s="420" t="s">
        <v>81</v>
      </c>
      <c r="F101" s="421"/>
      <c r="G101" s="295" t="s">
        <v>97</v>
      </c>
      <c r="H101" s="86">
        <f>SUM(H102:H105)</f>
        <v>43037.57</v>
      </c>
      <c r="I101" s="86">
        <f>SUM(I102:I105)</f>
        <v>28290.43</v>
      </c>
      <c r="J101" s="86">
        <f>SUM(J102:J105)</f>
        <v>9721.2400000000016</v>
      </c>
      <c r="K101" s="86">
        <f>SUM(K102:K105)</f>
        <v>5025.8999999999996</v>
      </c>
      <c r="L101" s="410"/>
    </row>
    <row r="102" spans="1:12" ht="75" customHeight="1">
      <c r="A102" s="571"/>
      <c r="B102" s="572"/>
      <c r="C102" s="572"/>
      <c r="D102" s="572"/>
      <c r="E102" s="422"/>
      <c r="F102" s="423"/>
      <c r="G102" s="286" t="s">
        <v>407</v>
      </c>
      <c r="H102" s="86">
        <f>H31+H46+H52+H58+H59+H60+H65+H69+H80+H84+H86+H82</f>
        <v>30344.77</v>
      </c>
      <c r="I102" s="86">
        <f>I31+I46+I52+I58+I59+I60+I65+I69+I80+I84+I86+I82</f>
        <v>15597.63</v>
      </c>
      <c r="J102" s="86">
        <f>J31+J46+J52+J58+J59+J60+J65+J69+J80+J84+J86+J82</f>
        <v>9721.2400000000016</v>
      </c>
      <c r="K102" s="86">
        <f>K31+K46+K52+K58+K59+K60+K65+K69+K80+K84+K86+K82</f>
        <v>5025.8999999999996</v>
      </c>
      <c r="L102" s="410"/>
    </row>
    <row r="103" spans="1:12" ht="91.5" customHeight="1">
      <c r="A103" s="571"/>
      <c r="B103" s="572"/>
      <c r="C103" s="572"/>
      <c r="D103" s="572"/>
      <c r="E103" s="422"/>
      <c r="F103" s="423"/>
      <c r="G103" s="129" t="s">
        <v>95</v>
      </c>
      <c r="H103" s="86">
        <f>H41</f>
        <v>12485.6</v>
      </c>
      <c r="I103" s="86">
        <f>I41</f>
        <v>12485.6</v>
      </c>
      <c r="J103" s="86">
        <f>J41</f>
        <v>0</v>
      </c>
      <c r="K103" s="86">
        <f>K41</f>
        <v>0</v>
      </c>
      <c r="L103" s="410"/>
    </row>
    <row r="104" spans="1:12" ht="174.75" customHeight="1">
      <c r="A104" s="571"/>
      <c r="B104" s="572"/>
      <c r="C104" s="572"/>
      <c r="D104" s="572"/>
      <c r="E104" s="422"/>
      <c r="F104" s="423"/>
      <c r="G104" s="286" t="s">
        <v>98</v>
      </c>
      <c r="H104" s="86">
        <f>H36+H53</f>
        <v>147.19999999999999</v>
      </c>
      <c r="I104" s="86">
        <f>I36+I53</f>
        <v>147.19999999999999</v>
      </c>
      <c r="J104" s="86">
        <f>J36+J53</f>
        <v>0</v>
      </c>
      <c r="K104" s="86">
        <f>K36+K53</f>
        <v>0</v>
      </c>
      <c r="L104" s="410"/>
    </row>
    <row r="105" spans="1:12" ht="75" customHeight="1">
      <c r="A105" s="571"/>
      <c r="B105" s="572"/>
      <c r="C105" s="572"/>
      <c r="D105" s="572"/>
      <c r="E105" s="424"/>
      <c r="F105" s="425"/>
      <c r="G105" s="287" t="s">
        <v>317</v>
      </c>
      <c r="H105" s="86">
        <f>H38</f>
        <v>60</v>
      </c>
      <c r="I105" s="86">
        <f>I38</f>
        <v>60</v>
      </c>
      <c r="J105" s="86">
        <f>J38</f>
        <v>0</v>
      </c>
      <c r="K105" s="86">
        <f>K38</f>
        <v>0</v>
      </c>
      <c r="L105" s="410"/>
    </row>
    <row r="106" spans="1:12" ht="75" customHeight="1">
      <c r="A106" s="571"/>
      <c r="B106" s="572"/>
      <c r="C106" s="572"/>
      <c r="D106" s="572"/>
      <c r="E106" s="420" t="s">
        <v>75</v>
      </c>
      <c r="F106" s="421"/>
      <c r="G106" s="295" t="s">
        <v>97</v>
      </c>
      <c r="H106" s="86">
        <f>SUM(H107:H108)</f>
        <v>38942.600000000006</v>
      </c>
      <c r="I106" s="86">
        <f>SUM(I107:I108)</f>
        <v>19066.3</v>
      </c>
      <c r="J106" s="86">
        <f>SUM(J107:J108)</f>
        <v>10283</v>
      </c>
      <c r="K106" s="86">
        <f>SUM(K107:K108)</f>
        <v>9593.2999999999993</v>
      </c>
      <c r="L106" s="410"/>
    </row>
    <row r="107" spans="1:12" ht="75" customHeight="1">
      <c r="A107" s="571"/>
      <c r="B107" s="572"/>
      <c r="C107" s="572"/>
      <c r="D107" s="572"/>
      <c r="E107" s="422"/>
      <c r="F107" s="423"/>
      <c r="G107" s="286" t="s">
        <v>407</v>
      </c>
      <c r="H107" s="86">
        <f>H32+H47+H54+H66+H70+H74+H81+H87</f>
        <v>30782.500000000004</v>
      </c>
      <c r="I107" s="86">
        <f>I32+I47+I54+I66+I70+I74+I81+I87</f>
        <v>10906.199999999999</v>
      </c>
      <c r="J107" s="86">
        <f>J32+J47+J54+J66+J70+J74+J81+J87</f>
        <v>10283</v>
      </c>
      <c r="K107" s="86">
        <f>K32+K47+K54+K66+K70+K74+K81+K87</f>
        <v>9593.2999999999993</v>
      </c>
      <c r="L107" s="410"/>
    </row>
    <row r="108" spans="1:12" ht="75" customHeight="1">
      <c r="A108" s="571"/>
      <c r="B108" s="572"/>
      <c r="C108" s="572"/>
      <c r="D108" s="572"/>
      <c r="E108" s="424"/>
      <c r="F108" s="425"/>
      <c r="G108" s="129" t="s">
        <v>95</v>
      </c>
      <c r="H108" s="86">
        <f>H42</f>
        <v>8160.1</v>
      </c>
      <c r="I108" s="86">
        <f>I42</f>
        <v>8160.1</v>
      </c>
      <c r="J108" s="86">
        <f>J42</f>
        <v>0</v>
      </c>
      <c r="K108" s="86">
        <f>K42</f>
        <v>0</v>
      </c>
      <c r="L108" s="410"/>
    </row>
    <row r="109" spans="1:12" ht="50.25" customHeight="1">
      <c r="A109" s="571"/>
      <c r="B109" s="572"/>
      <c r="C109" s="572"/>
      <c r="D109" s="572"/>
      <c r="E109" s="420" t="s">
        <v>76</v>
      </c>
      <c r="F109" s="421"/>
      <c r="G109" s="295" t="s">
        <v>97</v>
      </c>
      <c r="H109" s="86">
        <f>SUM(H110:H112)</f>
        <v>50185.479999999996</v>
      </c>
      <c r="I109" s="86">
        <f>SUM(I110:I112)</f>
        <v>32420.6</v>
      </c>
      <c r="J109" s="86">
        <f>SUM(J110:J112)</f>
        <v>10331.040000000001</v>
      </c>
      <c r="K109" s="86">
        <f>SUM(K110:K112)</f>
        <v>7433.84</v>
      </c>
      <c r="L109" s="410"/>
    </row>
    <row r="110" spans="1:12" ht="75" customHeight="1">
      <c r="A110" s="571"/>
      <c r="B110" s="572"/>
      <c r="C110" s="572"/>
      <c r="D110" s="572"/>
      <c r="E110" s="422"/>
      <c r="F110" s="423"/>
      <c r="G110" s="286" t="s">
        <v>407</v>
      </c>
      <c r="H110" s="86">
        <f>H33+H48+H55+H63+H67+H71+H88</f>
        <v>34638.979999999996</v>
      </c>
      <c r="I110" s="86">
        <f>I33+I48+I55+I63+I67+I71+I88</f>
        <v>16874.099999999999</v>
      </c>
      <c r="J110" s="86">
        <f>J33+J48+J55+J63+J67+J71+J88</f>
        <v>10331.040000000001</v>
      </c>
      <c r="K110" s="86">
        <f>K33+K48+K55+K63+K67+K71+K88</f>
        <v>7433.84</v>
      </c>
      <c r="L110" s="410"/>
    </row>
    <row r="111" spans="1:12" ht="78.75" customHeight="1">
      <c r="A111" s="571"/>
      <c r="B111" s="572"/>
      <c r="C111" s="572"/>
      <c r="D111" s="572"/>
      <c r="E111" s="422"/>
      <c r="F111" s="423"/>
      <c r="G111" s="129" t="s">
        <v>95</v>
      </c>
      <c r="H111" s="86">
        <f>H43</f>
        <v>12866.2</v>
      </c>
      <c r="I111" s="86">
        <f>I43</f>
        <v>12866.2</v>
      </c>
      <c r="J111" s="86">
        <f>J43</f>
        <v>0</v>
      </c>
      <c r="K111" s="86">
        <f>K43</f>
        <v>0</v>
      </c>
      <c r="L111" s="410"/>
    </row>
    <row r="112" spans="1:12" ht="173.25" customHeight="1">
      <c r="A112" s="571"/>
      <c r="B112" s="572"/>
      <c r="C112" s="572"/>
      <c r="D112" s="572"/>
      <c r="E112" s="424"/>
      <c r="F112" s="425"/>
      <c r="G112" s="286" t="s">
        <v>98</v>
      </c>
      <c r="H112" s="86">
        <f>H62</f>
        <v>2680.3</v>
      </c>
      <c r="I112" s="86">
        <f>I62</f>
        <v>2680.3</v>
      </c>
      <c r="J112" s="86">
        <f>J62</f>
        <v>0</v>
      </c>
      <c r="K112" s="86">
        <f>K62</f>
        <v>0</v>
      </c>
      <c r="L112" s="410"/>
    </row>
    <row r="113" spans="1:12" ht="75" customHeight="1">
      <c r="A113" s="571"/>
      <c r="B113" s="572"/>
      <c r="C113" s="572"/>
      <c r="D113" s="572"/>
      <c r="E113" s="426" t="s">
        <v>74</v>
      </c>
      <c r="F113" s="427"/>
      <c r="G113" s="295" t="s">
        <v>97</v>
      </c>
      <c r="H113" s="86">
        <f>SUM(H114:H116)</f>
        <v>50521.605000000003</v>
      </c>
      <c r="I113" s="86">
        <f>SUM(I114:I116)</f>
        <v>31360.183000000001</v>
      </c>
      <c r="J113" s="86">
        <f t="shared" ref="J113:K113" si="11">SUM(J114:J116)</f>
        <v>11559.029999999997</v>
      </c>
      <c r="K113" s="86">
        <f t="shared" si="11"/>
        <v>7602.3920000000007</v>
      </c>
      <c r="L113" s="410"/>
    </row>
    <row r="114" spans="1:12" ht="75" customHeight="1">
      <c r="A114" s="571"/>
      <c r="B114" s="572"/>
      <c r="C114" s="572"/>
      <c r="D114" s="572"/>
      <c r="E114" s="428"/>
      <c r="F114" s="429"/>
      <c r="G114" s="286" t="s">
        <v>407</v>
      </c>
      <c r="H114" s="86">
        <f>H34+H49+H56+H72+H77+H78+H89</f>
        <v>38673.605000000003</v>
      </c>
      <c r="I114" s="86">
        <f>I34+I49+I56+I72+I77+I78+I89</f>
        <v>19512.183000000001</v>
      </c>
      <c r="J114" s="86">
        <f>J34+J49+J56+J72+J77+J78+J89</f>
        <v>11559.029999999997</v>
      </c>
      <c r="K114" s="86">
        <f>K34+K49+K56+K72+K77+K78+K89</f>
        <v>7602.3920000000007</v>
      </c>
      <c r="L114" s="410"/>
    </row>
    <row r="115" spans="1:12" ht="75" customHeight="1">
      <c r="A115" s="571"/>
      <c r="B115" s="572"/>
      <c r="C115" s="572"/>
      <c r="D115" s="572"/>
      <c r="E115" s="428"/>
      <c r="F115" s="429"/>
      <c r="G115" s="129" t="s">
        <v>95</v>
      </c>
      <c r="H115" s="86">
        <f>H44</f>
        <v>11698</v>
      </c>
      <c r="I115" s="86">
        <f>I44</f>
        <v>11698</v>
      </c>
      <c r="J115" s="86">
        <f>J44</f>
        <v>0</v>
      </c>
      <c r="K115" s="86">
        <f>K44</f>
        <v>0</v>
      </c>
      <c r="L115" s="411"/>
    </row>
    <row r="116" spans="1:12" ht="180" customHeight="1">
      <c r="A116" s="571"/>
      <c r="B116" s="572"/>
      <c r="C116" s="572"/>
      <c r="D116" s="572"/>
      <c r="E116" s="430"/>
      <c r="F116" s="431"/>
      <c r="G116" s="129" t="s">
        <v>98</v>
      </c>
      <c r="H116" s="86">
        <f>H37</f>
        <v>150</v>
      </c>
      <c r="I116" s="86">
        <f>I37</f>
        <v>150</v>
      </c>
      <c r="J116" s="86"/>
      <c r="K116" s="86"/>
      <c r="L116" s="316"/>
    </row>
    <row r="117" spans="1:12" ht="55.5" customHeight="1">
      <c r="A117" s="571"/>
      <c r="B117" s="572"/>
      <c r="C117" s="572"/>
      <c r="D117" s="572"/>
      <c r="E117" s="420" t="s">
        <v>452</v>
      </c>
      <c r="F117" s="421"/>
      <c r="G117" s="295" t="s">
        <v>97</v>
      </c>
      <c r="H117" s="86">
        <f>SUM(H118:H119)</f>
        <v>3577.8999999999996</v>
      </c>
      <c r="I117" s="86">
        <f t="shared" ref="I117:K117" si="12">SUM(I118:I119)</f>
        <v>0</v>
      </c>
      <c r="J117" s="86">
        <f t="shared" si="12"/>
        <v>3577.8999999999996</v>
      </c>
      <c r="K117" s="86">
        <f t="shared" si="12"/>
        <v>0</v>
      </c>
      <c r="L117" s="316"/>
    </row>
    <row r="118" spans="1:12" ht="85.5" customHeight="1">
      <c r="A118" s="571"/>
      <c r="B118" s="572"/>
      <c r="C118" s="572"/>
      <c r="D118" s="572"/>
      <c r="E118" s="422"/>
      <c r="F118" s="423"/>
      <c r="G118" s="286" t="s">
        <v>407</v>
      </c>
      <c r="H118" s="86">
        <f>H35+H50+H57+H73</f>
        <v>3452.8999999999996</v>
      </c>
      <c r="I118" s="86">
        <f>I35+I50+I57+I73</f>
        <v>0</v>
      </c>
      <c r="J118" s="86">
        <f>J35+J50+J57+J73</f>
        <v>3452.8999999999996</v>
      </c>
      <c r="K118" s="86">
        <f>K35+K50+K57+K73</f>
        <v>0</v>
      </c>
      <c r="L118" s="316"/>
    </row>
    <row r="119" spans="1:12" ht="85.5" customHeight="1">
      <c r="A119" s="571"/>
      <c r="B119" s="572"/>
      <c r="C119" s="572"/>
      <c r="D119" s="572"/>
      <c r="E119" s="424"/>
      <c r="F119" s="425"/>
      <c r="G119" s="287" t="s">
        <v>317</v>
      </c>
      <c r="H119" s="86">
        <f>H39</f>
        <v>125</v>
      </c>
      <c r="I119" s="86">
        <f t="shared" ref="I119:K119" si="13">I39</f>
        <v>0</v>
      </c>
      <c r="J119" s="86">
        <f t="shared" si="13"/>
        <v>125</v>
      </c>
      <c r="K119" s="86">
        <f t="shared" si="13"/>
        <v>0</v>
      </c>
      <c r="L119" s="316"/>
    </row>
    <row r="120" spans="1:12" ht="96" customHeight="1">
      <c r="A120" s="571"/>
      <c r="B120" s="572"/>
      <c r="C120" s="572"/>
      <c r="D120" s="572"/>
      <c r="E120" s="412" t="s">
        <v>392</v>
      </c>
      <c r="F120" s="413"/>
      <c r="G120" s="286" t="s">
        <v>407</v>
      </c>
      <c r="H120" s="86">
        <f>H75</f>
        <v>3000</v>
      </c>
      <c r="I120" s="86">
        <f>I75</f>
        <v>3000</v>
      </c>
      <c r="J120" s="86">
        <f>J75</f>
        <v>0</v>
      </c>
      <c r="K120" s="86">
        <f>K75</f>
        <v>0</v>
      </c>
      <c r="L120" s="316"/>
    </row>
    <row r="121" spans="1:12" ht="96" customHeight="1">
      <c r="A121" s="573"/>
      <c r="B121" s="574"/>
      <c r="C121" s="574"/>
      <c r="D121" s="574"/>
      <c r="E121" s="412" t="s">
        <v>458</v>
      </c>
      <c r="F121" s="413"/>
      <c r="G121" s="286" t="s">
        <v>407</v>
      </c>
      <c r="H121" s="86">
        <f>H76</f>
        <v>90</v>
      </c>
      <c r="I121" s="86">
        <f>I76</f>
        <v>0</v>
      </c>
      <c r="J121" s="86">
        <f t="shared" ref="J121:K121" si="14">J76</f>
        <v>90</v>
      </c>
      <c r="K121" s="86">
        <f t="shared" si="14"/>
        <v>0</v>
      </c>
      <c r="L121" s="316"/>
    </row>
    <row r="122" spans="1:12" s="120" customFormat="1" ht="75" customHeight="1">
      <c r="A122" s="438" t="s">
        <v>219</v>
      </c>
      <c r="B122" s="394" t="s">
        <v>389</v>
      </c>
      <c r="C122" s="380" t="s">
        <v>221</v>
      </c>
      <c r="D122" s="440" t="s">
        <v>337</v>
      </c>
      <c r="E122" s="441"/>
      <c r="F122" s="441"/>
      <c r="G122" s="442"/>
      <c r="H122" s="86">
        <f>H123+H124</f>
        <v>8977.9000000000015</v>
      </c>
      <c r="I122" s="86">
        <f>I123+I124</f>
        <v>8977.9000000000015</v>
      </c>
      <c r="J122" s="86">
        <f>J123+J124</f>
        <v>0</v>
      </c>
      <c r="K122" s="86">
        <f>K123+K124</f>
        <v>0</v>
      </c>
      <c r="L122" s="354" t="s">
        <v>149</v>
      </c>
    </row>
    <row r="123" spans="1:12" s="120" customFormat="1" ht="75" customHeight="1">
      <c r="A123" s="439"/>
      <c r="B123" s="395"/>
      <c r="C123" s="380"/>
      <c r="D123" s="444" t="s">
        <v>29</v>
      </c>
      <c r="E123" s="351" t="s">
        <v>78</v>
      </c>
      <c r="F123" s="377" t="s">
        <v>428</v>
      </c>
      <c r="G123" s="286" t="s">
        <v>408</v>
      </c>
      <c r="H123" s="86">
        <f t="shared" ref="H123:H128" si="15">I123+J123+K123</f>
        <v>2630.3</v>
      </c>
      <c r="I123" s="87">
        <f>4309.8-9.5-1000-670</f>
        <v>2630.3</v>
      </c>
      <c r="J123" s="87">
        <v>0</v>
      </c>
      <c r="K123" s="87">
        <v>0</v>
      </c>
      <c r="L123" s="354"/>
    </row>
    <row r="124" spans="1:12" s="120" customFormat="1" ht="75" customHeight="1">
      <c r="A124" s="439"/>
      <c r="B124" s="395"/>
      <c r="C124" s="380"/>
      <c r="D124" s="445"/>
      <c r="E124" s="353"/>
      <c r="F124" s="378"/>
      <c r="G124" s="286" t="s">
        <v>95</v>
      </c>
      <c r="H124" s="86">
        <f t="shared" si="15"/>
        <v>6347.6</v>
      </c>
      <c r="I124" s="87">
        <v>6347.6</v>
      </c>
      <c r="J124" s="87">
        <v>0</v>
      </c>
      <c r="K124" s="87">
        <v>0</v>
      </c>
      <c r="L124" s="354"/>
    </row>
    <row r="125" spans="1:12" s="120" customFormat="1" ht="93.75" customHeight="1">
      <c r="A125" s="439"/>
      <c r="B125" s="395"/>
      <c r="C125" s="299" t="s">
        <v>253</v>
      </c>
      <c r="D125" s="127" t="s">
        <v>29</v>
      </c>
      <c r="E125" s="36" t="s">
        <v>78</v>
      </c>
      <c r="F125" s="378"/>
      <c r="G125" s="286" t="s">
        <v>405</v>
      </c>
      <c r="H125" s="86">
        <f t="shared" si="15"/>
        <v>9394.1500000000015</v>
      </c>
      <c r="I125" s="87">
        <f>3145.8-450</f>
        <v>2695.8</v>
      </c>
      <c r="J125" s="87">
        <f>2727.8+424.55+600</f>
        <v>3752.3500000000004</v>
      </c>
      <c r="K125" s="87">
        <v>2946</v>
      </c>
      <c r="L125" s="354"/>
    </row>
    <row r="126" spans="1:12" s="120" customFormat="1" ht="112.5" customHeight="1">
      <c r="A126" s="439"/>
      <c r="B126" s="395"/>
      <c r="C126" s="299" t="s">
        <v>254</v>
      </c>
      <c r="D126" s="127" t="s">
        <v>29</v>
      </c>
      <c r="E126" s="36" t="s">
        <v>78</v>
      </c>
      <c r="F126" s="378"/>
      <c r="G126" s="286" t="s">
        <v>405</v>
      </c>
      <c r="H126" s="86">
        <f t="shared" si="15"/>
        <v>1062.92</v>
      </c>
      <c r="I126" s="92">
        <v>525.5</v>
      </c>
      <c r="J126" s="87">
        <v>260</v>
      </c>
      <c r="K126" s="108">
        <v>277.42</v>
      </c>
      <c r="L126" s="354"/>
    </row>
    <row r="127" spans="1:12" s="120" customFormat="1" ht="162.75" customHeight="1">
      <c r="A127" s="439"/>
      <c r="B127" s="395"/>
      <c r="C127" s="299" t="s">
        <v>255</v>
      </c>
      <c r="D127" s="127" t="s">
        <v>29</v>
      </c>
      <c r="E127" s="36" t="s">
        <v>78</v>
      </c>
      <c r="F127" s="378"/>
      <c r="G127" s="286" t="s">
        <v>405</v>
      </c>
      <c r="H127" s="86">
        <f t="shared" si="15"/>
        <v>973.3</v>
      </c>
      <c r="I127" s="87">
        <v>411.8</v>
      </c>
      <c r="J127" s="87">
        <v>271</v>
      </c>
      <c r="K127" s="87">
        <v>290.5</v>
      </c>
      <c r="L127" s="354"/>
    </row>
    <row r="128" spans="1:12" s="120" customFormat="1" ht="87.75" customHeight="1">
      <c r="A128" s="277"/>
      <c r="B128" s="396"/>
      <c r="C128" s="299" t="s">
        <v>431</v>
      </c>
      <c r="D128" s="127" t="s">
        <v>29</v>
      </c>
      <c r="E128" s="36" t="s">
        <v>78</v>
      </c>
      <c r="F128" s="379"/>
      <c r="G128" s="286"/>
      <c r="H128" s="86">
        <f t="shared" si="15"/>
        <v>58.8</v>
      </c>
      <c r="I128" s="87"/>
      <c r="J128" s="87">
        <v>58.8</v>
      </c>
      <c r="K128" s="87"/>
      <c r="L128" s="318"/>
    </row>
    <row r="129" spans="1:12" s="120" customFormat="1" ht="75" customHeight="1">
      <c r="A129" s="443"/>
      <c r="B129" s="443"/>
      <c r="C129" s="443"/>
      <c r="D129" s="443"/>
      <c r="E129" s="339" t="s">
        <v>261</v>
      </c>
      <c r="F129" s="342"/>
      <c r="G129" s="286"/>
      <c r="H129" s="86">
        <f>H122+H125+H126+H127+H128</f>
        <v>20467.07</v>
      </c>
      <c r="I129" s="86">
        <f>I122+I125+I126+I127+I128</f>
        <v>12611</v>
      </c>
      <c r="J129" s="86">
        <f>J122+J125+J126+J127+J128</f>
        <v>4342.1500000000005</v>
      </c>
      <c r="K129" s="86">
        <f>K122+K125+K126+K127+K128</f>
        <v>3513.92</v>
      </c>
      <c r="L129" s="336"/>
    </row>
    <row r="130" spans="1:12" s="120" customFormat="1" ht="75" customHeight="1">
      <c r="A130" s="443"/>
      <c r="B130" s="443"/>
      <c r="C130" s="443"/>
      <c r="D130" s="443"/>
      <c r="E130" s="340"/>
      <c r="F130" s="342"/>
      <c r="G130" s="286" t="s">
        <v>405</v>
      </c>
      <c r="H130" s="86">
        <f>H123+H125+H126+H127+H128</f>
        <v>14119.47</v>
      </c>
      <c r="I130" s="86">
        <f>I123+I125+I126+I127+I128</f>
        <v>6263.4000000000005</v>
      </c>
      <c r="J130" s="86">
        <f>J123+J125+J126+J127+J128</f>
        <v>4342.1500000000005</v>
      </c>
      <c r="K130" s="86">
        <f>K123+K125+K126+K127+K128</f>
        <v>3513.92</v>
      </c>
      <c r="L130" s="337"/>
    </row>
    <row r="131" spans="1:12" s="120" customFormat="1" ht="75" customHeight="1">
      <c r="A131" s="443"/>
      <c r="B131" s="443"/>
      <c r="C131" s="443"/>
      <c r="D131" s="443"/>
      <c r="E131" s="341"/>
      <c r="F131" s="342"/>
      <c r="G131" s="286" t="s">
        <v>95</v>
      </c>
      <c r="H131" s="86">
        <f>H124</f>
        <v>6347.6</v>
      </c>
      <c r="I131" s="86">
        <f>I124</f>
        <v>6347.6</v>
      </c>
      <c r="J131" s="86">
        <f>J124</f>
        <v>0</v>
      </c>
      <c r="K131" s="86">
        <f>K124</f>
        <v>0</v>
      </c>
      <c r="L131" s="338"/>
    </row>
    <row r="132" spans="1:12" s="120" customFormat="1" ht="75" customHeight="1">
      <c r="A132" s="443" t="s">
        <v>222</v>
      </c>
      <c r="B132" s="339" t="s">
        <v>260</v>
      </c>
      <c r="C132" s="351" t="s">
        <v>223</v>
      </c>
      <c r="D132" s="440" t="s">
        <v>338</v>
      </c>
      <c r="E132" s="441"/>
      <c r="F132" s="441"/>
      <c r="G132" s="442"/>
      <c r="H132" s="86">
        <f>H133+H134</f>
        <v>20902.575000000001</v>
      </c>
      <c r="I132" s="86">
        <f>I133+I134</f>
        <v>6210.2</v>
      </c>
      <c r="J132" s="86">
        <f>J133+J134</f>
        <v>7111.8</v>
      </c>
      <c r="K132" s="86">
        <f>K133+K134</f>
        <v>7580.5749999999998</v>
      </c>
      <c r="L132" s="333" t="s">
        <v>493</v>
      </c>
    </row>
    <row r="133" spans="1:12" s="120" customFormat="1" ht="75" customHeight="1">
      <c r="A133" s="443"/>
      <c r="B133" s="340"/>
      <c r="C133" s="352"/>
      <c r="D133" s="444" t="s">
        <v>30</v>
      </c>
      <c r="E133" s="351" t="s">
        <v>77</v>
      </c>
      <c r="F133" s="357" t="s">
        <v>428</v>
      </c>
      <c r="G133" s="286" t="s">
        <v>405</v>
      </c>
      <c r="H133" s="86">
        <f>I133+J133+K133</f>
        <v>19770.375</v>
      </c>
      <c r="I133" s="87">
        <f>4969+109</f>
        <v>5078</v>
      </c>
      <c r="J133" s="87">
        <f>7149.3-37.5</f>
        <v>7111.8</v>
      </c>
      <c r="K133" s="87">
        <f>7621.2-40.625</f>
        <v>7580.5749999999998</v>
      </c>
      <c r="L133" s="334"/>
    </row>
    <row r="134" spans="1:12" s="120" customFormat="1" ht="75" customHeight="1">
      <c r="A134" s="443"/>
      <c r="B134" s="340"/>
      <c r="C134" s="353"/>
      <c r="D134" s="445"/>
      <c r="E134" s="353"/>
      <c r="F134" s="357"/>
      <c r="G134" s="286" t="s">
        <v>95</v>
      </c>
      <c r="H134" s="86">
        <f>I134+J134+K134</f>
        <v>1132.2</v>
      </c>
      <c r="I134" s="87">
        <v>1132.2</v>
      </c>
      <c r="J134" s="87">
        <v>0</v>
      </c>
      <c r="K134" s="87">
        <v>0</v>
      </c>
      <c r="L134" s="334"/>
    </row>
    <row r="135" spans="1:12" s="120" customFormat="1" ht="102" customHeight="1">
      <c r="A135" s="443"/>
      <c r="B135" s="341"/>
      <c r="C135" s="299" t="s">
        <v>224</v>
      </c>
      <c r="D135" s="127" t="s">
        <v>30</v>
      </c>
      <c r="E135" s="36" t="s">
        <v>77</v>
      </c>
      <c r="F135" s="357"/>
      <c r="G135" s="286" t="s">
        <v>405</v>
      </c>
      <c r="H135" s="86">
        <f>I135+J135+K135</f>
        <v>1613.3</v>
      </c>
      <c r="I135" s="87">
        <v>527.79999999999995</v>
      </c>
      <c r="J135" s="87">
        <f>452.8+81.7+62</f>
        <v>596.5</v>
      </c>
      <c r="K135" s="87">
        <v>489</v>
      </c>
      <c r="L135" s="335"/>
    </row>
    <row r="136" spans="1:12" s="120" customFormat="1" ht="75" customHeight="1">
      <c r="A136" s="358"/>
      <c r="B136" s="358"/>
      <c r="C136" s="358"/>
      <c r="D136" s="358"/>
      <c r="E136" s="339" t="s">
        <v>262</v>
      </c>
      <c r="F136" s="357"/>
      <c r="G136" s="286"/>
      <c r="H136" s="86">
        <f>H132+H135</f>
        <v>22515.875</v>
      </c>
      <c r="I136" s="86">
        <f>I132+I135</f>
        <v>6738</v>
      </c>
      <c r="J136" s="86">
        <f>J132+J135</f>
        <v>7708.3</v>
      </c>
      <c r="K136" s="86">
        <f>K132+K135</f>
        <v>8069.5749999999998</v>
      </c>
      <c r="L136" s="336"/>
    </row>
    <row r="137" spans="1:12" s="120" customFormat="1" ht="75" customHeight="1">
      <c r="A137" s="358"/>
      <c r="B137" s="358"/>
      <c r="C137" s="358"/>
      <c r="D137" s="358"/>
      <c r="E137" s="340"/>
      <c r="F137" s="357"/>
      <c r="G137" s="286" t="s">
        <v>405</v>
      </c>
      <c r="H137" s="86">
        <f>H133+H135</f>
        <v>21383.674999999999</v>
      </c>
      <c r="I137" s="86">
        <f>I133+I135</f>
        <v>5605.8</v>
      </c>
      <c r="J137" s="86">
        <f>J133+J135</f>
        <v>7708.3</v>
      </c>
      <c r="K137" s="86">
        <f>K133+K135</f>
        <v>8069.5749999999998</v>
      </c>
      <c r="L137" s="337"/>
    </row>
    <row r="138" spans="1:12" s="120" customFormat="1" ht="75" customHeight="1">
      <c r="A138" s="358"/>
      <c r="B138" s="358"/>
      <c r="C138" s="358"/>
      <c r="D138" s="358"/>
      <c r="E138" s="341"/>
      <c r="F138" s="357"/>
      <c r="G138" s="286" t="s">
        <v>95</v>
      </c>
      <c r="H138" s="86">
        <f>H134</f>
        <v>1132.2</v>
      </c>
      <c r="I138" s="86">
        <f>I134</f>
        <v>1132.2</v>
      </c>
      <c r="J138" s="86">
        <f>J134</f>
        <v>0</v>
      </c>
      <c r="K138" s="86">
        <f>K134</f>
        <v>0</v>
      </c>
      <c r="L138" s="338"/>
    </row>
    <row r="139" spans="1:12" ht="75" customHeight="1">
      <c r="A139" s="360" t="s">
        <v>63</v>
      </c>
      <c r="B139" s="361"/>
      <c r="C139" s="361"/>
      <c r="D139" s="361"/>
      <c r="E139" s="361"/>
      <c r="F139" s="361"/>
      <c r="G139" s="362"/>
      <c r="H139" s="91">
        <f>H26+H95+H129+H136</f>
        <v>245979.40999999997</v>
      </c>
      <c r="I139" s="91">
        <f>I26+I95+I129+I136</f>
        <v>136386.12300000002</v>
      </c>
      <c r="J139" s="91">
        <f>J26+J95+J129+J136</f>
        <v>63578.260000000009</v>
      </c>
      <c r="K139" s="91">
        <f>K26+K95+K129+K136</f>
        <v>46015.026999999995</v>
      </c>
      <c r="L139" s="417"/>
    </row>
    <row r="140" spans="1:12" s="120" customFormat="1" ht="75" customHeight="1">
      <c r="A140" s="478" t="s">
        <v>17</v>
      </c>
      <c r="B140" s="478"/>
      <c r="C140" s="478"/>
      <c r="D140" s="478"/>
      <c r="E140" s="478"/>
      <c r="F140" s="493"/>
      <c r="G140" s="130" t="s">
        <v>405</v>
      </c>
      <c r="H140" s="98">
        <f>H26+H96+H130+H137</f>
        <v>190127.20999999996</v>
      </c>
      <c r="I140" s="98">
        <f>I26+I96+I130+I137</f>
        <v>80658.922999999981</v>
      </c>
      <c r="J140" s="98">
        <f>J26+J96+J130+J137</f>
        <v>63453.260000000009</v>
      </c>
      <c r="K140" s="98">
        <f>K26+K96+K130+K137</f>
        <v>46015.026999999995</v>
      </c>
      <c r="L140" s="418"/>
    </row>
    <row r="141" spans="1:12" s="120" customFormat="1" ht="112.5" customHeight="1">
      <c r="A141" s="494"/>
      <c r="B141" s="494"/>
      <c r="C141" s="494"/>
      <c r="D141" s="494"/>
      <c r="E141" s="494"/>
      <c r="F141" s="495"/>
      <c r="G141" s="130" t="s">
        <v>95</v>
      </c>
      <c r="H141" s="98">
        <f>H138+H131+H97</f>
        <v>52689.700000000004</v>
      </c>
      <c r="I141" s="98">
        <f>I138+I131+I97</f>
        <v>52689.700000000004</v>
      </c>
      <c r="J141" s="98">
        <f>J138+J131+J97</f>
        <v>0</v>
      </c>
      <c r="K141" s="98">
        <f>K138+K131+K97</f>
        <v>0</v>
      </c>
      <c r="L141" s="418"/>
    </row>
    <row r="142" spans="1:12" s="120" customFormat="1" ht="168.75" customHeight="1">
      <c r="A142" s="494"/>
      <c r="B142" s="494"/>
      <c r="C142" s="494"/>
      <c r="D142" s="494"/>
      <c r="E142" s="494"/>
      <c r="F142" s="495"/>
      <c r="G142" s="131" t="s">
        <v>98</v>
      </c>
      <c r="H142" s="98">
        <f t="shared" ref="H142:K143" si="16">H98</f>
        <v>2977.5</v>
      </c>
      <c r="I142" s="98">
        <f>I98</f>
        <v>2977.5</v>
      </c>
      <c r="J142" s="98">
        <f t="shared" si="16"/>
        <v>0</v>
      </c>
      <c r="K142" s="98">
        <f t="shared" si="16"/>
        <v>0</v>
      </c>
      <c r="L142" s="418"/>
    </row>
    <row r="143" spans="1:12" s="120" customFormat="1" ht="75" customHeight="1">
      <c r="A143" s="496"/>
      <c r="B143" s="496"/>
      <c r="C143" s="496"/>
      <c r="D143" s="496"/>
      <c r="E143" s="496"/>
      <c r="F143" s="497"/>
      <c r="G143" s="132" t="s">
        <v>317</v>
      </c>
      <c r="H143" s="98">
        <f>H99</f>
        <v>185</v>
      </c>
      <c r="I143" s="98">
        <f t="shared" si="16"/>
        <v>60</v>
      </c>
      <c r="J143" s="98">
        <f t="shared" si="16"/>
        <v>125</v>
      </c>
      <c r="K143" s="98">
        <f t="shared" si="16"/>
        <v>0</v>
      </c>
      <c r="L143" s="418"/>
    </row>
    <row r="144" spans="1:12" s="120" customFormat="1" ht="75" customHeight="1">
      <c r="A144" s="503" t="s">
        <v>268</v>
      </c>
      <c r="B144" s="504"/>
      <c r="C144" s="504"/>
      <c r="D144" s="505"/>
      <c r="E144" s="380" t="s">
        <v>81</v>
      </c>
      <c r="F144" s="435"/>
      <c r="G144" s="295" t="s">
        <v>96</v>
      </c>
      <c r="H144" s="91">
        <f>SUM(H145:H148)</f>
        <v>43037.57</v>
      </c>
      <c r="I144" s="91">
        <f>SUM(I145:I148)</f>
        <v>28290.43</v>
      </c>
      <c r="J144" s="91">
        <f>SUM(J145:J148)</f>
        <v>9721.2400000000016</v>
      </c>
      <c r="K144" s="91">
        <f>SUM(K145:K148)</f>
        <v>5025.8999999999996</v>
      </c>
      <c r="L144" s="418"/>
    </row>
    <row r="145" spans="1:12" ht="75" customHeight="1">
      <c r="A145" s="506"/>
      <c r="B145" s="507"/>
      <c r="C145" s="507"/>
      <c r="D145" s="508"/>
      <c r="E145" s="380"/>
      <c r="F145" s="436"/>
      <c r="G145" s="286" t="s">
        <v>405</v>
      </c>
      <c r="H145" s="99">
        <f>H102</f>
        <v>30344.77</v>
      </c>
      <c r="I145" s="99">
        <f>I102</f>
        <v>15597.63</v>
      </c>
      <c r="J145" s="99">
        <f>J102</f>
        <v>9721.2400000000016</v>
      </c>
      <c r="K145" s="99">
        <f>K102</f>
        <v>5025.8999999999996</v>
      </c>
      <c r="L145" s="418"/>
    </row>
    <row r="146" spans="1:12" ht="177.75" customHeight="1">
      <c r="A146" s="506"/>
      <c r="B146" s="507"/>
      <c r="C146" s="507"/>
      <c r="D146" s="508"/>
      <c r="E146" s="380"/>
      <c r="F146" s="436"/>
      <c r="G146" s="286"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6" s="87">
        <f t="shared" ref="H146:K147" si="17">H104</f>
        <v>147.19999999999999</v>
      </c>
      <c r="I146" s="87">
        <f t="shared" si="17"/>
        <v>147.19999999999999</v>
      </c>
      <c r="J146" s="87">
        <f t="shared" si="17"/>
        <v>0</v>
      </c>
      <c r="K146" s="87">
        <f t="shared" si="17"/>
        <v>0</v>
      </c>
      <c r="L146" s="418"/>
    </row>
    <row r="147" spans="1:12" ht="81" customHeight="1">
      <c r="A147" s="506"/>
      <c r="B147" s="507"/>
      <c r="C147" s="507"/>
      <c r="D147" s="508"/>
      <c r="E147" s="380"/>
      <c r="F147" s="436"/>
      <c r="G147" s="286" t="s">
        <v>317</v>
      </c>
      <c r="H147" s="99">
        <f t="shared" si="17"/>
        <v>60</v>
      </c>
      <c r="I147" s="99">
        <f t="shared" si="17"/>
        <v>60</v>
      </c>
      <c r="J147" s="99">
        <f t="shared" si="17"/>
        <v>0</v>
      </c>
      <c r="K147" s="99">
        <f t="shared" si="17"/>
        <v>0</v>
      </c>
      <c r="L147" s="418"/>
    </row>
    <row r="148" spans="1:12" ht="75" customHeight="1">
      <c r="A148" s="506"/>
      <c r="B148" s="507"/>
      <c r="C148" s="507"/>
      <c r="D148" s="508"/>
      <c r="E148" s="380"/>
      <c r="F148" s="436"/>
      <c r="G148" s="286" t="s">
        <v>95</v>
      </c>
      <c r="H148" s="99">
        <f>H103</f>
        <v>12485.6</v>
      </c>
      <c r="I148" s="99">
        <f>I103</f>
        <v>12485.6</v>
      </c>
      <c r="J148" s="99">
        <f>J103</f>
        <v>0</v>
      </c>
      <c r="K148" s="99">
        <f>K103</f>
        <v>0</v>
      </c>
      <c r="L148" s="418"/>
    </row>
    <row r="149" spans="1:12" ht="75" customHeight="1">
      <c r="A149" s="506"/>
      <c r="B149" s="507"/>
      <c r="C149" s="507"/>
      <c r="D149" s="508"/>
      <c r="E149" s="351" t="s">
        <v>75</v>
      </c>
      <c r="F149" s="436"/>
      <c r="G149" s="295" t="s">
        <v>96</v>
      </c>
      <c r="H149" s="91">
        <f>SUM(H150:H151)</f>
        <v>38942.600000000006</v>
      </c>
      <c r="I149" s="91">
        <f>SUM(I150:I151)</f>
        <v>19066.3</v>
      </c>
      <c r="J149" s="91">
        <f>SUM(J150:J151)</f>
        <v>10283</v>
      </c>
      <c r="K149" s="91">
        <f>SUM(K150:K151)</f>
        <v>9593.2999999999993</v>
      </c>
      <c r="L149" s="418"/>
    </row>
    <row r="150" spans="1:12" ht="75" customHeight="1">
      <c r="A150" s="506"/>
      <c r="B150" s="507"/>
      <c r="C150" s="507"/>
      <c r="D150" s="508"/>
      <c r="E150" s="352"/>
      <c r="F150" s="436"/>
      <c r="G150" s="286" t="s">
        <v>405</v>
      </c>
      <c r="H150" s="99">
        <f t="shared" ref="H150:K151" si="18">H107</f>
        <v>30782.500000000004</v>
      </c>
      <c r="I150" s="99">
        <f t="shared" si="18"/>
        <v>10906.199999999999</v>
      </c>
      <c r="J150" s="99">
        <f t="shared" si="18"/>
        <v>10283</v>
      </c>
      <c r="K150" s="99">
        <f t="shared" si="18"/>
        <v>9593.2999999999993</v>
      </c>
      <c r="L150" s="418"/>
    </row>
    <row r="151" spans="1:12" ht="75" customHeight="1">
      <c r="A151" s="506"/>
      <c r="B151" s="507"/>
      <c r="C151" s="507"/>
      <c r="D151" s="508"/>
      <c r="E151" s="353"/>
      <c r="F151" s="436"/>
      <c r="G151" s="287" t="s">
        <v>95</v>
      </c>
      <c r="H151" s="99">
        <f t="shared" si="18"/>
        <v>8160.1</v>
      </c>
      <c r="I151" s="99">
        <f t="shared" si="18"/>
        <v>8160.1</v>
      </c>
      <c r="J151" s="99">
        <f t="shared" si="18"/>
        <v>0</v>
      </c>
      <c r="K151" s="99">
        <f t="shared" si="18"/>
        <v>0</v>
      </c>
      <c r="L151" s="418"/>
    </row>
    <row r="152" spans="1:12" ht="75" customHeight="1">
      <c r="A152" s="506"/>
      <c r="B152" s="507"/>
      <c r="C152" s="507"/>
      <c r="D152" s="508"/>
      <c r="E152" s="351" t="s">
        <v>76</v>
      </c>
      <c r="F152" s="436"/>
      <c r="G152" s="295" t="s">
        <v>96</v>
      </c>
      <c r="H152" s="91">
        <f>SUM(H153:H155)</f>
        <v>50185.479999999996</v>
      </c>
      <c r="I152" s="91">
        <f>SUM(I153:I155)</f>
        <v>32420.6</v>
      </c>
      <c r="J152" s="91">
        <f>SUM(J153:J155)</f>
        <v>10331.040000000001</v>
      </c>
      <c r="K152" s="91">
        <f>SUM(K153:K155)</f>
        <v>7433.84</v>
      </c>
      <c r="L152" s="418"/>
    </row>
    <row r="153" spans="1:12" ht="75" customHeight="1">
      <c r="A153" s="506"/>
      <c r="B153" s="507"/>
      <c r="C153" s="507"/>
      <c r="D153" s="508"/>
      <c r="E153" s="352"/>
      <c r="F153" s="436"/>
      <c r="G153" s="286" t="s">
        <v>405</v>
      </c>
      <c r="H153" s="99">
        <f t="shared" ref="H153:K155" si="19">H110</f>
        <v>34638.979999999996</v>
      </c>
      <c r="I153" s="99">
        <f t="shared" si="19"/>
        <v>16874.099999999999</v>
      </c>
      <c r="J153" s="99">
        <f t="shared" si="19"/>
        <v>10331.040000000001</v>
      </c>
      <c r="K153" s="99">
        <f t="shared" si="19"/>
        <v>7433.84</v>
      </c>
      <c r="L153" s="418"/>
    </row>
    <row r="154" spans="1:12" ht="75" customHeight="1">
      <c r="A154" s="506"/>
      <c r="B154" s="507"/>
      <c r="C154" s="507"/>
      <c r="D154" s="508"/>
      <c r="E154" s="352"/>
      <c r="F154" s="436"/>
      <c r="G154" s="287" t="s">
        <v>95</v>
      </c>
      <c r="H154" s="99">
        <f t="shared" si="19"/>
        <v>12866.2</v>
      </c>
      <c r="I154" s="99">
        <f t="shared" si="19"/>
        <v>12866.2</v>
      </c>
      <c r="J154" s="99">
        <f t="shared" si="19"/>
        <v>0</v>
      </c>
      <c r="K154" s="99">
        <f t="shared" si="19"/>
        <v>0</v>
      </c>
      <c r="L154" s="418"/>
    </row>
    <row r="155" spans="1:12" ht="168.75" customHeight="1">
      <c r="A155" s="506"/>
      <c r="B155" s="507"/>
      <c r="C155" s="507"/>
      <c r="D155" s="508"/>
      <c r="E155" s="353"/>
      <c r="F155" s="436"/>
      <c r="G155" s="278" t="s">
        <v>98</v>
      </c>
      <c r="H155" s="99">
        <f t="shared" si="19"/>
        <v>2680.3</v>
      </c>
      <c r="I155" s="99">
        <f t="shared" si="19"/>
        <v>2680.3</v>
      </c>
      <c r="J155" s="99">
        <f t="shared" si="19"/>
        <v>0</v>
      </c>
      <c r="K155" s="99">
        <f t="shared" si="19"/>
        <v>0</v>
      </c>
      <c r="L155" s="418"/>
    </row>
    <row r="156" spans="1:12" ht="75" customHeight="1">
      <c r="A156" s="506"/>
      <c r="B156" s="507"/>
      <c r="C156" s="507"/>
      <c r="D156" s="508"/>
      <c r="E156" s="351" t="s">
        <v>74</v>
      </c>
      <c r="F156" s="436"/>
      <c r="G156" s="295" t="s">
        <v>96</v>
      </c>
      <c r="H156" s="91">
        <f>SUM(H157:H159)</f>
        <v>50521.605000000003</v>
      </c>
      <c r="I156" s="91">
        <f t="shared" ref="I156:K156" si="20">SUM(I157:I159)</f>
        <v>31360.183000000001</v>
      </c>
      <c r="J156" s="91">
        <f t="shared" si="20"/>
        <v>11559.029999999997</v>
      </c>
      <c r="K156" s="91">
        <f t="shared" si="20"/>
        <v>7602.3920000000007</v>
      </c>
      <c r="L156" s="418"/>
    </row>
    <row r="157" spans="1:12" ht="75" customHeight="1">
      <c r="A157" s="506"/>
      <c r="B157" s="507"/>
      <c r="C157" s="507"/>
      <c r="D157" s="508"/>
      <c r="E157" s="352"/>
      <c r="F157" s="436"/>
      <c r="G157" s="287" t="s">
        <v>405</v>
      </c>
      <c r="H157" s="99">
        <f t="shared" ref="H157:K158" si="21">H114</f>
        <v>38673.605000000003</v>
      </c>
      <c r="I157" s="99">
        <f t="shared" si="21"/>
        <v>19512.183000000001</v>
      </c>
      <c r="J157" s="99">
        <f t="shared" si="21"/>
        <v>11559.029999999997</v>
      </c>
      <c r="K157" s="99">
        <f t="shared" si="21"/>
        <v>7602.3920000000007</v>
      </c>
      <c r="L157" s="418"/>
    </row>
    <row r="158" spans="1:12" ht="75" customHeight="1">
      <c r="A158" s="506"/>
      <c r="B158" s="507"/>
      <c r="C158" s="507"/>
      <c r="D158" s="508"/>
      <c r="E158" s="352"/>
      <c r="F158" s="436"/>
      <c r="G158" s="287" t="s">
        <v>95</v>
      </c>
      <c r="H158" s="99">
        <f t="shared" si="21"/>
        <v>11698</v>
      </c>
      <c r="I158" s="99">
        <f>I115</f>
        <v>11698</v>
      </c>
      <c r="J158" s="99">
        <f t="shared" si="21"/>
        <v>0</v>
      </c>
      <c r="K158" s="99">
        <f t="shared" si="21"/>
        <v>0</v>
      </c>
      <c r="L158" s="418"/>
    </row>
    <row r="159" spans="1:12" ht="157.5" customHeight="1">
      <c r="A159" s="506"/>
      <c r="B159" s="507"/>
      <c r="C159" s="507"/>
      <c r="D159" s="508"/>
      <c r="E159" s="353"/>
      <c r="F159" s="436"/>
      <c r="G159" s="287" t="s">
        <v>98</v>
      </c>
      <c r="H159" s="99">
        <f>H116</f>
        <v>150</v>
      </c>
      <c r="I159" s="99">
        <f>I116</f>
        <v>150</v>
      </c>
      <c r="J159" s="99">
        <v>0</v>
      </c>
      <c r="K159" s="99">
        <v>0</v>
      </c>
      <c r="L159" s="418"/>
    </row>
    <row r="160" spans="1:12" ht="57.75" customHeight="1">
      <c r="A160" s="506"/>
      <c r="B160" s="507"/>
      <c r="C160" s="507"/>
      <c r="D160" s="508"/>
      <c r="E160" s="351" t="s">
        <v>452</v>
      </c>
      <c r="F160" s="436"/>
      <c r="G160" s="295" t="s">
        <v>96</v>
      </c>
      <c r="H160" s="99">
        <f>H161+H162</f>
        <v>3577.8999999999996</v>
      </c>
      <c r="I160" s="99">
        <f t="shared" ref="I160:K160" si="22">I161+I162</f>
        <v>0</v>
      </c>
      <c r="J160" s="99">
        <f t="shared" si="22"/>
        <v>3577.8999999999996</v>
      </c>
      <c r="K160" s="99">
        <f t="shared" si="22"/>
        <v>0</v>
      </c>
      <c r="L160" s="418"/>
    </row>
    <row r="161" spans="1:12" ht="82.5" customHeight="1">
      <c r="A161" s="506"/>
      <c r="B161" s="507"/>
      <c r="C161" s="507"/>
      <c r="D161" s="508"/>
      <c r="E161" s="352"/>
      <c r="F161" s="436"/>
      <c r="G161" s="287" t="s">
        <v>405</v>
      </c>
      <c r="H161" s="99">
        <f>H35+H50+H57+H73</f>
        <v>3452.8999999999996</v>
      </c>
      <c r="I161" s="99">
        <f>I35+I50+I57+I73</f>
        <v>0</v>
      </c>
      <c r="J161" s="99">
        <f>J35+J50+J57+J73</f>
        <v>3452.8999999999996</v>
      </c>
      <c r="K161" s="99">
        <f>K35+K50+K57+K73</f>
        <v>0</v>
      </c>
      <c r="L161" s="418"/>
    </row>
    <row r="162" spans="1:12" ht="75" customHeight="1">
      <c r="A162" s="506"/>
      <c r="B162" s="507"/>
      <c r="C162" s="507"/>
      <c r="D162" s="508"/>
      <c r="E162" s="353"/>
      <c r="F162" s="436"/>
      <c r="G162" s="287" t="s">
        <v>317</v>
      </c>
      <c r="H162" s="99">
        <f t="shared" ref="H162:I162" si="23">H119</f>
        <v>125</v>
      </c>
      <c r="I162" s="99">
        <f t="shared" si="23"/>
        <v>0</v>
      </c>
      <c r="J162" s="99">
        <f>J119</f>
        <v>125</v>
      </c>
      <c r="K162" s="99">
        <f>K119</f>
        <v>0</v>
      </c>
      <c r="L162" s="418"/>
    </row>
    <row r="163" spans="1:12" ht="75" customHeight="1">
      <c r="A163" s="506"/>
      <c r="B163" s="507"/>
      <c r="C163" s="507"/>
      <c r="D163" s="508"/>
      <c r="E163" s="351" t="s">
        <v>78</v>
      </c>
      <c r="F163" s="436"/>
      <c r="G163" s="295" t="s">
        <v>96</v>
      </c>
      <c r="H163" s="91">
        <f>SUM(H164:H165)</f>
        <v>20467.07</v>
      </c>
      <c r="I163" s="91">
        <f>SUM(I164:I165)</f>
        <v>12611</v>
      </c>
      <c r="J163" s="91">
        <f>SUM(J164:J165)</f>
        <v>4342.1500000000005</v>
      </c>
      <c r="K163" s="91">
        <f>SUM(K164:K165)</f>
        <v>3513.92</v>
      </c>
      <c r="L163" s="418"/>
    </row>
    <row r="164" spans="1:12" ht="75" customHeight="1">
      <c r="A164" s="506"/>
      <c r="B164" s="507"/>
      <c r="C164" s="507"/>
      <c r="D164" s="508"/>
      <c r="E164" s="352"/>
      <c r="F164" s="436"/>
      <c r="G164" s="287" t="s">
        <v>405</v>
      </c>
      <c r="H164" s="99">
        <f t="shared" ref="H164:K165" si="24">H130</f>
        <v>14119.47</v>
      </c>
      <c r="I164" s="99">
        <f t="shared" si="24"/>
        <v>6263.4000000000005</v>
      </c>
      <c r="J164" s="99">
        <f>J130</f>
        <v>4342.1500000000005</v>
      </c>
      <c r="K164" s="99">
        <f t="shared" si="24"/>
        <v>3513.92</v>
      </c>
      <c r="L164" s="418"/>
    </row>
    <row r="165" spans="1:12" ht="75" customHeight="1">
      <c r="A165" s="506"/>
      <c r="B165" s="507"/>
      <c r="C165" s="507"/>
      <c r="D165" s="508"/>
      <c r="E165" s="353"/>
      <c r="F165" s="436"/>
      <c r="G165" s="287" t="s">
        <v>95</v>
      </c>
      <c r="H165" s="99">
        <f t="shared" si="24"/>
        <v>6347.6</v>
      </c>
      <c r="I165" s="99">
        <f t="shared" si="24"/>
        <v>6347.6</v>
      </c>
      <c r="J165" s="99">
        <f t="shared" si="24"/>
        <v>0</v>
      </c>
      <c r="K165" s="99">
        <f t="shared" si="24"/>
        <v>0</v>
      </c>
      <c r="L165" s="418"/>
    </row>
    <row r="166" spans="1:12" ht="75" customHeight="1">
      <c r="A166" s="506"/>
      <c r="B166" s="507"/>
      <c r="C166" s="507"/>
      <c r="D166" s="508"/>
      <c r="E166" s="351" t="s">
        <v>77</v>
      </c>
      <c r="F166" s="436"/>
      <c r="G166" s="295" t="s">
        <v>96</v>
      </c>
      <c r="H166" s="91">
        <f>SUM(H167:H168)</f>
        <v>22515.875</v>
      </c>
      <c r="I166" s="91">
        <f>SUM(I167:I168)</f>
        <v>6738</v>
      </c>
      <c r="J166" s="91">
        <f>SUM(J167:J168)</f>
        <v>7708.3</v>
      </c>
      <c r="K166" s="91">
        <f>SUM(K167:K168)</f>
        <v>8069.5749999999998</v>
      </c>
      <c r="L166" s="418"/>
    </row>
    <row r="167" spans="1:12" ht="75" customHeight="1">
      <c r="A167" s="506"/>
      <c r="B167" s="507"/>
      <c r="C167" s="507"/>
      <c r="D167" s="508"/>
      <c r="E167" s="352"/>
      <c r="F167" s="436"/>
      <c r="G167" s="287" t="s">
        <v>405</v>
      </c>
      <c r="H167" s="99">
        <f t="shared" ref="H167:K168" si="25">H137</f>
        <v>21383.674999999999</v>
      </c>
      <c r="I167" s="99">
        <f t="shared" si="25"/>
        <v>5605.8</v>
      </c>
      <c r="J167" s="99">
        <f t="shared" si="25"/>
        <v>7708.3</v>
      </c>
      <c r="K167" s="99">
        <f t="shared" si="25"/>
        <v>8069.5749999999998</v>
      </c>
      <c r="L167" s="418"/>
    </row>
    <row r="168" spans="1:12" ht="75" customHeight="1">
      <c r="A168" s="506"/>
      <c r="B168" s="507"/>
      <c r="C168" s="507"/>
      <c r="D168" s="508"/>
      <c r="E168" s="353"/>
      <c r="F168" s="436"/>
      <c r="G168" s="287" t="s">
        <v>95</v>
      </c>
      <c r="H168" s="99">
        <f t="shared" si="25"/>
        <v>1132.2</v>
      </c>
      <c r="I168" s="99">
        <f t="shared" si="25"/>
        <v>1132.2</v>
      </c>
      <c r="J168" s="99">
        <f t="shared" si="25"/>
        <v>0</v>
      </c>
      <c r="K168" s="99">
        <f t="shared" si="25"/>
        <v>0</v>
      </c>
      <c r="L168" s="418"/>
    </row>
    <row r="169" spans="1:12" ht="75" customHeight="1">
      <c r="A169" s="506"/>
      <c r="B169" s="507"/>
      <c r="C169" s="507"/>
      <c r="D169" s="508"/>
      <c r="E169" s="36" t="s">
        <v>79</v>
      </c>
      <c r="F169" s="436"/>
      <c r="G169" s="287" t="s">
        <v>405</v>
      </c>
      <c r="H169" s="91">
        <f t="shared" ref="H169:K170" si="26">H27</f>
        <v>6684</v>
      </c>
      <c r="I169" s="91">
        <f t="shared" si="26"/>
        <v>1511</v>
      </c>
      <c r="J169" s="91">
        <f t="shared" si="26"/>
        <v>2890.2000000000003</v>
      </c>
      <c r="K169" s="91">
        <f t="shared" si="26"/>
        <v>2282.7999999999997</v>
      </c>
      <c r="L169" s="418"/>
    </row>
    <row r="170" spans="1:12" ht="75" customHeight="1">
      <c r="A170" s="506"/>
      <c r="B170" s="507"/>
      <c r="C170" s="507"/>
      <c r="D170" s="508"/>
      <c r="E170" s="299" t="s">
        <v>80</v>
      </c>
      <c r="F170" s="436"/>
      <c r="G170" s="287" t="s">
        <v>405</v>
      </c>
      <c r="H170" s="91">
        <f t="shared" si="26"/>
        <v>6957.31</v>
      </c>
      <c r="I170" s="91">
        <f t="shared" si="26"/>
        <v>1388.61</v>
      </c>
      <c r="J170" s="91">
        <f t="shared" si="26"/>
        <v>3075.4000000000005</v>
      </c>
      <c r="K170" s="91">
        <f t="shared" si="26"/>
        <v>2493.3000000000002</v>
      </c>
      <c r="L170" s="418"/>
    </row>
    <row r="171" spans="1:12" ht="75" customHeight="1">
      <c r="A171" s="506"/>
      <c r="B171" s="507"/>
      <c r="C171" s="507"/>
      <c r="D171" s="508"/>
      <c r="E171" s="299" t="s">
        <v>392</v>
      </c>
      <c r="F171" s="436"/>
      <c r="G171" s="287" t="s">
        <v>405</v>
      </c>
      <c r="H171" s="91">
        <f t="shared" ref="H171:K172" si="27">H120</f>
        <v>3000</v>
      </c>
      <c r="I171" s="91">
        <f t="shared" si="27"/>
        <v>3000</v>
      </c>
      <c r="J171" s="91">
        <f t="shared" si="27"/>
        <v>0</v>
      </c>
      <c r="K171" s="91">
        <f t="shared" si="27"/>
        <v>0</v>
      </c>
      <c r="L171" s="419"/>
    </row>
    <row r="172" spans="1:12" ht="107.25" customHeight="1">
      <c r="A172" s="509"/>
      <c r="B172" s="510"/>
      <c r="C172" s="510"/>
      <c r="D172" s="511"/>
      <c r="E172" s="299" t="s">
        <v>458</v>
      </c>
      <c r="F172" s="437"/>
      <c r="G172" s="287" t="s">
        <v>405</v>
      </c>
      <c r="H172" s="91">
        <f t="shared" si="27"/>
        <v>90</v>
      </c>
      <c r="I172" s="91">
        <f t="shared" si="27"/>
        <v>0</v>
      </c>
      <c r="J172" s="91">
        <f t="shared" si="27"/>
        <v>90</v>
      </c>
      <c r="K172" s="91">
        <f t="shared" si="27"/>
        <v>0</v>
      </c>
      <c r="L172" s="312"/>
    </row>
    <row r="173" spans="1:12" ht="48" customHeight="1">
      <c r="A173" s="360" t="s">
        <v>206</v>
      </c>
      <c r="B173" s="361"/>
      <c r="C173" s="361"/>
      <c r="D173" s="361"/>
      <c r="E173" s="361"/>
      <c r="F173" s="361"/>
      <c r="G173" s="361"/>
      <c r="H173" s="361"/>
      <c r="I173" s="361"/>
      <c r="J173" s="361"/>
      <c r="K173" s="361"/>
      <c r="L173" s="362"/>
    </row>
    <row r="174" spans="1:12" ht="310.5" customHeight="1">
      <c r="A174" s="358" t="s">
        <v>214</v>
      </c>
      <c r="B174" s="350" t="s">
        <v>207</v>
      </c>
      <c r="C174" s="351" t="s">
        <v>225</v>
      </c>
      <c r="D174" s="360" t="s">
        <v>339</v>
      </c>
      <c r="E174" s="361"/>
      <c r="F174" s="361"/>
      <c r="G174" s="362"/>
      <c r="H174" s="91">
        <f>SUM(H175:H177)</f>
        <v>16196.574089599999</v>
      </c>
      <c r="I174" s="91">
        <f>SUM(I175:I177)</f>
        <v>5194</v>
      </c>
      <c r="J174" s="91">
        <f>SUM(J175:J177)</f>
        <v>5304.409599999999</v>
      </c>
      <c r="K174" s="91">
        <f>SUM(K175:K177)</f>
        <v>5698.1644895999998</v>
      </c>
      <c r="L174" s="125" t="s">
        <v>265</v>
      </c>
    </row>
    <row r="175" spans="1:12" ht="206.25" customHeight="1">
      <c r="A175" s="358"/>
      <c r="B175" s="350"/>
      <c r="C175" s="352"/>
      <c r="D175" s="21" t="s">
        <v>32</v>
      </c>
      <c r="E175" s="133" t="s">
        <v>79</v>
      </c>
      <c r="F175" s="375" t="s">
        <v>428</v>
      </c>
      <c r="G175" s="375" t="s">
        <v>405</v>
      </c>
      <c r="H175" s="86">
        <f>I175+J175+K175</f>
        <v>7318.1826335999995</v>
      </c>
      <c r="I175" s="87">
        <v>2331.3000000000002</v>
      </c>
      <c r="J175" s="87">
        <v>2387.7535999999996</v>
      </c>
      <c r="K175" s="87">
        <v>2599.1290335999997</v>
      </c>
      <c r="L175" s="242"/>
    </row>
    <row r="176" spans="1:12" ht="109.5" customHeight="1">
      <c r="A176" s="358"/>
      <c r="B176" s="350"/>
      <c r="C176" s="352"/>
      <c r="D176" s="21" t="s">
        <v>32</v>
      </c>
      <c r="E176" s="133" t="s">
        <v>80</v>
      </c>
      <c r="F176" s="383"/>
      <c r="G176" s="383"/>
      <c r="H176" s="86">
        <f>I176+J176+K176</f>
        <v>8808.3914559999994</v>
      </c>
      <c r="I176" s="87">
        <v>2862.7</v>
      </c>
      <c r="J176" s="87">
        <v>2846.6559999999999</v>
      </c>
      <c r="K176" s="87">
        <v>3099.0354559999996</v>
      </c>
      <c r="L176" s="243"/>
    </row>
    <row r="177" spans="1:12" ht="109.5" customHeight="1">
      <c r="A177" s="358"/>
      <c r="B177" s="350"/>
      <c r="C177" s="353"/>
      <c r="D177" s="21" t="s">
        <v>32</v>
      </c>
      <c r="E177" s="133" t="s">
        <v>452</v>
      </c>
      <c r="F177" s="376"/>
      <c r="G177" s="376"/>
      <c r="H177" s="86">
        <f>I177+J177+K177</f>
        <v>70</v>
      </c>
      <c r="I177" s="87">
        <v>0</v>
      </c>
      <c r="J177" s="87">
        <v>70</v>
      </c>
      <c r="K177" s="87">
        <v>0</v>
      </c>
      <c r="L177" s="301"/>
    </row>
    <row r="178" spans="1:12" s="120" customFormat="1" ht="75" customHeight="1">
      <c r="A178" s="358"/>
      <c r="B178" s="350"/>
      <c r="C178" s="363" t="s">
        <v>226</v>
      </c>
      <c r="D178" s="359" t="s">
        <v>340</v>
      </c>
      <c r="E178" s="359"/>
      <c r="F178" s="359"/>
      <c r="G178" s="359"/>
      <c r="H178" s="86">
        <f>H179+H180</f>
        <v>2688.9522999999999</v>
      </c>
      <c r="I178" s="86">
        <f>I179+I180</f>
        <v>833.40000000000009</v>
      </c>
      <c r="J178" s="86">
        <f>J179+J180</f>
        <v>900.7</v>
      </c>
      <c r="K178" s="86">
        <f>K179+K180</f>
        <v>954.85230000000001</v>
      </c>
      <c r="L178" s="380" t="s">
        <v>45</v>
      </c>
    </row>
    <row r="179" spans="1:12" ht="75" customHeight="1">
      <c r="A179" s="358"/>
      <c r="B179" s="350"/>
      <c r="C179" s="364"/>
      <c r="D179" s="21" t="s">
        <v>32</v>
      </c>
      <c r="E179" s="299" t="s">
        <v>79</v>
      </c>
      <c r="F179" s="382" t="s">
        <v>428</v>
      </c>
      <c r="G179" s="382" t="s">
        <v>405</v>
      </c>
      <c r="H179" s="86">
        <f>I179+J179+K179</f>
        <v>1540</v>
      </c>
      <c r="I179" s="87">
        <v>478.8</v>
      </c>
      <c r="J179" s="87">
        <v>513.4</v>
      </c>
      <c r="K179" s="87">
        <v>547.79999999999995</v>
      </c>
      <c r="L179" s="380"/>
    </row>
    <row r="180" spans="1:12" ht="87.75" customHeight="1">
      <c r="A180" s="358"/>
      <c r="B180" s="350"/>
      <c r="C180" s="365"/>
      <c r="D180" s="21" t="s">
        <v>32</v>
      </c>
      <c r="E180" s="207" t="s">
        <v>80</v>
      </c>
      <c r="F180" s="382"/>
      <c r="G180" s="382"/>
      <c r="H180" s="86">
        <f>I180+J180+K180</f>
        <v>1148.9523000000002</v>
      </c>
      <c r="I180" s="87">
        <v>354.6</v>
      </c>
      <c r="J180" s="87">
        <v>387.3</v>
      </c>
      <c r="K180" s="87">
        <f>J180*1.051</f>
        <v>407.0523</v>
      </c>
      <c r="L180" s="380"/>
    </row>
    <row r="181" spans="1:12" ht="158.25" customHeight="1">
      <c r="A181" s="358"/>
      <c r="B181" s="350"/>
      <c r="C181" s="125" t="s">
        <v>227</v>
      </c>
      <c r="D181" s="314" t="s">
        <v>28</v>
      </c>
      <c r="E181" s="299" t="s">
        <v>74</v>
      </c>
      <c r="F181" s="288" t="s">
        <v>428</v>
      </c>
      <c r="G181" s="286" t="s">
        <v>405</v>
      </c>
      <c r="H181" s="86">
        <f>I181+J181+K181</f>
        <v>900</v>
      </c>
      <c r="I181" s="87">
        <v>900</v>
      </c>
      <c r="J181" s="87"/>
      <c r="K181" s="87"/>
      <c r="L181" s="402" t="s">
        <v>71</v>
      </c>
    </row>
    <row r="182" spans="1:12" ht="75" customHeight="1">
      <c r="A182" s="358"/>
      <c r="B182" s="350"/>
      <c r="C182" s="432" t="s">
        <v>228</v>
      </c>
      <c r="D182" s="359" t="s">
        <v>341</v>
      </c>
      <c r="E182" s="359"/>
      <c r="F182" s="359"/>
      <c r="G182" s="359"/>
      <c r="H182" s="86">
        <f>SUM(H183:H185)</f>
        <v>25082.925910400001</v>
      </c>
      <c r="I182" s="86">
        <f>SUM(I183:I185)</f>
        <v>7490.9</v>
      </c>
      <c r="J182" s="86">
        <f>SUM(J183:J185)</f>
        <v>8565.590400000001</v>
      </c>
      <c r="K182" s="86">
        <f>SUM(K183:K185)</f>
        <v>9026.4355104000006</v>
      </c>
      <c r="L182" s="403"/>
    </row>
    <row r="183" spans="1:12" ht="75" customHeight="1">
      <c r="A183" s="358"/>
      <c r="B183" s="350"/>
      <c r="C183" s="433"/>
      <c r="D183" s="311" t="s">
        <v>28</v>
      </c>
      <c r="E183" s="299" t="s">
        <v>74</v>
      </c>
      <c r="F183" s="357" t="s">
        <v>429</v>
      </c>
      <c r="G183" s="382" t="s">
        <v>405</v>
      </c>
      <c r="H183" s="86">
        <f>I183+J183+K183</f>
        <v>3900.5</v>
      </c>
      <c r="I183" s="87">
        <f>600+200</f>
        <v>800</v>
      </c>
      <c r="J183" s="87">
        <v>1500</v>
      </c>
      <c r="K183" s="87">
        <v>1600.5</v>
      </c>
      <c r="L183" s="403"/>
    </row>
    <row r="184" spans="1:12" ht="75" customHeight="1">
      <c r="A184" s="358"/>
      <c r="B184" s="350"/>
      <c r="C184" s="433"/>
      <c r="D184" s="21" t="s">
        <v>35</v>
      </c>
      <c r="E184" s="299" t="s">
        <v>79</v>
      </c>
      <c r="F184" s="357"/>
      <c r="G184" s="382"/>
      <c r="H184" s="86">
        <f>I184+J184+K184</f>
        <v>9630.2173664000002</v>
      </c>
      <c r="I184" s="87">
        <v>3041.9</v>
      </c>
      <c r="J184" s="87">
        <v>3212.2464000000004</v>
      </c>
      <c r="K184" s="87">
        <v>3376.0709664000001</v>
      </c>
      <c r="L184" s="403"/>
    </row>
    <row r="185" spans="1:12" ht="75" customHeight="1">
      <c r="A185" s="358"/>
      <c r="B185" s="350"/>
      <c r="C185" s="434"/>
      <c r="D185" s="21" t="s">
        <v>35</v>
      </c>
      <c r="E185" s="207" t="s">
        <v>80</v>
      </c>
      <c r="F185" s="357"/>
      <c r="G185" s="382"/>
      <c r="H185" s="86">
        <f>I185+J185+K185</f>
        <v>11552.208544000001</v>
      </c>
      <c r="I185" s="87">
        <v>3649</v>
      </c>
      <c r="J185" s="87">
        <v>3853.3440000000001</v>
      </c>
      <c r="K185" s="87">
        <v>4049.864544</v>
      </c>
      <c r="L185" s="403"/>
    </row>
    <row r="186" spans="1:12" ht="179.25" customHeight="1">
      <c r="A186" s="358"/>
      <c r="B186" s="350"/>
      <c r="C186" s="301" t="s">
        <v>229</v>
      </c>
      <c r="D186" s="311" t="s">
        <v>28</v>
      </c>
      <c r="E186" s="299" t="s">
        <v>74</v>
      </c>
      <c r="F186" s="357"/>
      <c r="G186" s="382"/>
      <c r="H186" s="86">
        <f>I186+J186+K186</f>
        <v>420</v>
      </c>
      <c r="I186" s="87">
        <v>420</v>
      </c>
      <c r="J186" s="87"/>
      <c r="K186" s="87"/>
      <c r="L186" s="404"/>
    </row>
    <row r="187" spans="1:12" ht="75" customHeight="1">
      <c r="A187" s="358"/>
      <c r="B187" s="350"/>
      <c r="C187" s="368" t="s">
        <v>230</v>
      </c>
      <c r="D187" s="359" t="s">
        <v>342</v>
      </c>
      <c r="E187" s="359"/>
      <c r="F187" s="359"/>
      <c r="G187" s="359"/>
      <c r="H187" s="86">
        <f>H188+H189</f>
        <v>5857.9</v>
      </c>
      <c r="I187" s="86">
        <f>I188+I189</f>
        <v>1921.3</v>
      </c>
      <c r="J187" s="86">
        <f>J188+J189</f>
        <v>1906.6</v>
      </c>
      <c r="K187" s="86">
        <f>K188+K189</f>
        <v>2030</v>
      </c>
      <c r="L187" s="368" t="s">
        <v>106</v>
      </c>
    </row>
    <row r="188" spans="1:12" ht="102" customHeight="1">
      <c r="A188" s="358"/>
      <c r="B188" s="350"/>
      <c r="C188" s="368"/>
      <c r="D188" s="381" t="s">
        <v>32</v>
      </c>
      <c r="E188" s="299" t="s">
        <v>75</v>
      </c>
      <c r="F188" s="357" t="s">
        <v>428</v>
      </c>
      <c r="G188" s="382" t="s">
        <v>405</v>
      </c>
      <c r="H188" s="86">
        <f>I188+J188+K188</f>
        <v>1745.5</v>
      </c>
      <c r="I188" s="87">
        <f>573.9+0.4</f>
        <v>574.29999999999995</v>
      </c>
      <c r="J188" s="87">
        <v>566.6</v>
      </c>
      <c r="K188" s="87">
        <v>604.6</v>
      </c>
      <c r="L188" s="368"/>
    </row>
    <row r="189" spans="1:12" ht="75" customHeight="1">
      <c r="A189" s="358"/>
      <c r="B189" s="350"/>
      <c r="C189" s="368"/>
      <c r="D189" s="381"/>
      <c r="E189" s="299" t="s">
        <v>77</v>
      </c>
      <c r="F189" s="357"/>
      <c r="G189" s="382"/>
      <c r="H189" s="86">
        <f>I189+J189+K189</f>
        <v>4112.3999999999996</v>
      </c>
      <c r="I189" s="87">
        <v>1347</v>
      </c>
      <c r="J189" s="87">
        <v>1340</v>
      </c>
      <c r="K189" s="87">
        <v>1425.4</v>
      </c>
      <c r="L189" s="368"/>
    </row>
    <row r="190" spans="1:12" ht="135" customHeight="1">
      <c r="A190" s="358"/>
      <c r="B190" s="350"/>
      <c r="C190" s="299" t="s">
        <v>231</v>
      </c>
      <c r="D190" s="134" t="s">
        <v>28</v>
      </c>
      <c r="E190" s="299" t="s">
        <v>76</v>
      </c>
      <c r="F190" s="300" t="s">
        <v>428</v>
      </c>
      <c r="G190" s="278" t="s">
        <v>405</v>
      </c>
      <c r="H190" s="86">
        <f>I190+J190+K190</f>
        <v>533.4</v>
      </c>
      <c r="I190" s="87">
        <v>120</v>
      </c>
      <c r="J190" s="87">
        <v>200</v>
      </c>
      <c r="K190" s="87">
        <v>213.4</v>
      </c>
      <c r="L190" s="125" t="s">
        <v>107</v>
      </c>
    </row>
    <row r="191" spans="1:12" ht="75" customHeight="1">
      <c r="A191" s="358"/>
      <c r="B191" s="350"/>
      <c r="C191" s="468" t="s">
        <v>266</v>
      </c>
      <c r="D191" s="359" t="s">
        <v>343</v>
      </c>
      <c r="E191" s="359"/>
      <c r="F191" s="359"/>
      <c r="G191" s="359"/>
      <c r="H191" s="86">
        <f>H192+H193+H194</f>
        <v>22903.419000000002</v>
      </c>
      <c r="I191" s="86">
        <f>I192+I193+I194</f>
        <v>11499.719000000001</v>
      </c>
      <c r="J191" s="86">
        <f>J192+J193+J194</f>
        <v>11403.7</v>
      </c>
      <c r="K191" s="86">
        <f>K192+K193+K194</f>
        <v>0</v>
      </c>
      <c r="L191" s="380" t="s">
        <v>68</v>
      </c>
    </row>
    <row r="192" spans="1:12" ht="189.75" customHeight="1">
      <c r="A192" s="358"/>
      <c r="B192" s="350"/>
      <c r="C192" s="468"/>
      <c r="D192" s="381" t="s">
        <v>33</v>
      </c>
      <c r="E192" s="368" t="s">
        <v>428</v>
      </c>
      <c r="F192" s="479"/>
      <c r="G192" s="286" t="s">
        <v>98</v>
      </c>
      <c r="H192" s="86">
        <f>I192+J192+K192</f>
        <v>1490.1</v>
      </c>
      <c r="I192" s="87">
        <v>1490.1</v>
      </c>
      <c r="J192" s="92">
        <v>0</v>
      </c>
      <c r="K192" s="87">
        <v>0</v>
      </c>
      <c r="L192" s="380"/>
    </row>
    <row r="193" spans="1:12" ht="204" customHeight="1">
      <c r="A193" s="358"/>
      <c r="B193" s="350"/>
      <c r="C193" s="468"/>
      <c r="D193" s="381"/>
      <c r="E193" s="368"/>
      <c r="F193" s="479"/>
      <c r="G193" s="286" t="s">
        <v>99</v>
      </c>
      <c r="H193" s="86">
        <f>I193+J193+K193</f>
        <v>18013.319000000003</v>
      </c>
      <c r="I193" s="87">
        <f>4342.569+2267.05</f>
        <v>6609.6190000000006</v>
      </c>
      <c r="J193" s="92">
        <f>7670.8+3732.9</f>
        <v>11403.7</v>
      </c>
      <c r="K193" s="87">
        <v>0</v>
      </c>
      <c r="L193" s="380"/>
    </row>
    <row r="194" spans="1:12" ht="85.5" customHeight="1">
      <c r="A194" s="358"/>
      <c r="B194" s="350"/>
      <c r="C194" s="468"/>
      <c r="D194" s="381"/>
      <c r="E194" s="368"/>
      <c r="F194" s="479"/>
      <c r="G194" s="286" t="s">
        <v>407</v>
      </c>
      <c r="H194" s="86">
        <f>I194+J194+K194</f>
        <v>3400</v>
      </c>
      <c r="I194" s="87">
        <f>1600+800+1000</f>
        <v>3400</v>
      </c>
      <c r="J194" s="87">
        <v>0</v>
      </c>
      <c r="K194" s="87">
        <v>0</v>
      </c>
      <c r="L194" s="380"/>
    </row>
    <row r="195" spans="1:12" ht="75" customHeight="1">
      <c r="A195" s="358"/>
      <c r="B195" s="350"/>
      <c r="C195" s="368" t="s">
        <v>267</v>
      </c>
      <c r="D195" s="360" t="s">
        <v>344</v>
      </c>
      <c r="E195" s="361"/>
      <c r="F195" s="361"/>
      <c r="G195" s="362"/>
      <c r="H195" s="86">
        <f>SUM(H196:H200)</f>
        <v>2915.16</v>
      </c>
      <c r="I195" s="86">
        <f>SUM(I196:I200)</f>
        <v>789.51</v>
      </c>
      <c r="J195" s="86">
        <f>SUM(J196:J200)</f>
        <v>1030.3</v>
      </c>
      <c r="K195" s="86">
        <f>SUM(K196:K200)</f>
        <v>1095.3499999999999</v>
      </c>
      <c r="L195" s="368" t="s">
        <v>50</v>
      </c>
    </row>
    <row r="196" spans="1:12" s="120" customFormat="1" ht="75" customHeight="1">
      <c r="A196" s="358"/>
      <c r="B196" s="350"/>
      <c r="C196" s="368"/>
      <c r="D196" s="480" t="s">
        <v>28</v>
      </c>
      <c r="E196" s="380" t="s">
        <v>81</v>
      </c>
      <c r="F196" s="357" t="s">
        <v>429</v>
      </c>
      <c r="G196" s="286" t="s">
        <v>405</v>
      </c>
      <c r="H196" s="86">
        <f>I196+J196+K196</f>
        <v>1045.1100000000001</v>
      </c>
      <c r="I196" s="87">
        <f>307.81</f>
        <v>307.81</v>
      </c>
      <c r="J196" s="87">
        <v>356.7</v>
      </c>
      <c r="K196" s="87">
        <v>380.6</v>
      </c>
      <c r="L196" s="368"/>
    </row>
    <row r="197" spans="1:12" s="120" customFormat="1" ht="170.25" customHeight="1">
      <c r="A197" s="358"/>
      <c r="B197" s="350"/>
      <c r="C197" s="368"/>
      <c r="D197" s="481"/>
      <c r="E197" s="380"/>
      <c r="F197" s="357"/>
      <c r="G197" s="286" t="s">
        <v>98</v>
      </c>
      <c r="H197" s="86">
        <f>I197+J197+K197</f>
        <v>0.6</v>
      </c>
      <c r="I197" s="87">
        <v>0.6</v>
      </c>
      <c r="J197" s="87"/>
      <c r="K197" s="87"/>
      <c r="L197" s="368"/>
    </row>
    <row r="198" spans="1:12" s="120" customFormat="1" ht="75" customHeight="1">
      <c r="A198" s="358"/>
      <c r="B198" s="350"/>
      <c r="C198" s="368"/>
      <c r="D198" s="135" t="s">
        <v>28</v>
      </c>
      <c r="E198" s="299" t="s">
        <v>75</v>
      </c>
      <c r="F198" s="357"/>
      <c r="G198" s="382" t="s">
        <v>405</v>
      </c>
      <c r="H198" s="86">
        <f>I198+J198+K198</f>
        <v>1126.2</v>
      </c>
      <c r="I198" s="87">
        <f>384-96</f>
        <v>288</v>
      </c>
      <c r="J198" s="87">
        <v>405.5</v>
      </c>
      <c r="K198" s="87">
        <v>432.7</v>
      </c>
      <c r="L198" s="368"/>
    </row>
    <row r="199" spans="1:12" s="120" customFormat="1" ht="75" customHeight="1">
      <c r="A199" s="358"/>
      <c r="B199" s="350"/>
      <c r="C199" s="368"/>
      <c r="D199" s="135" t="s">
        <v>28</v>
      </c>
      <c r="E199" s="299" t="s">
        <v>76</v>
      </c>
      <c r="F199" s="357"/>
      <c r="G199" s="382"/>
      <c r="H199" s="86">
        <f>I199+J199+K199</f>
        <v>689.05</v>
      </c>
      <c r="I199" s="87">
        <f>193.3-17</f>
        <v>176.3</v>
      </c>
      <c r="J199" s="87">
        <v>250</v>
      </c>
      <c r="K199" s="87">
        <f>J199*1.051</f>
        <v>262.75</v>
      </c>
      <c r="L199" s="368"/>
    </row>
    <row r="200" spans="1:12" s="120" customFormat="1" ht="75" customHeight="1">
      <c r="A200" s="358"/>
      <c r="B200" s="350"/>
      <c r="C200" s="368"/>
      <c r="D200" s="135" t="s">
        <v>28</v>
      </c>
      <c r="E200" s="299" t="s">
        <v>74</v>
      </c>
      <c r="F200" s="357"/>
      <c r="G200" s="382"/>
      <c r="H200" s="86">
        <f>I200+J200+K200</f>
        <v>54.2</v>
      </c>
      <c r="I200" s="87">
        <v>16.8</v>
      </c>
      <c r="J200" s="87">
        <v>18.100000000000001</v>
      </c>
      <c r="K200" s="87">
        <v>19.3</v>
      </c>
      <c r="L200" s="368"/>
    </row>
    <row r="201" spans="1:12" ht="75" customHeight="1">
      <c r="A201" s="384" t="s">
        <v>65</v>
      </c>
      <c r="B201" s="385"/>
      <c r="C201" s="385"/>
      <c r="D201" s="385"/>
      <c r="E201" s="385"/>
      <c r="F201" s="386"/>
      <c r="G201" s="295"/>
      <c r="H201" s="86">
        <f>H174+H178+H181+H182+H186+H187+H190+H191+H195</f>
        <v>77498.33130000002</v>
      </c>
      <c r="I201" s="86">
        <f>I174+I178+I181+I182+I186+I187+I190+I191+I195</f>
        <v>29168.828999999998</v>
      </c>
      <c r="J201" s="86">
        <f>J174+J178+J181+J182+J186+J187+J190+J191+J195</f>
        <v>29311.3</v>
      </c>
      <c r="K201" s="86">
        <f>K174+K178+K181+K182+K186+K187+K190+K191+K195</f>
        <v>19018.202300000001</v>
      </c>
      <c r="L201" s="336"/>
    </row>
    <row r="202" spans="1:12" s="120" customFormat="1" ht="75" customHeight="1">
      <c r="A202" s="478" t="s">
        <v>17</v>
      </c>
      <c r="B202" s="478"/>
      <c r="C202" s="112"/>
      <c r="D202" s="136"/>
      <c r="E202" s="137"/>
      <c r="F202" s="138"/>
      <c r="G202" s="130" t="s">
        <v>405</v>
      </c>
      <c r="H202" s="98">
        <f>H175+H176+H179+H180+H181+H183+H184+H185+H186+H188+H189+H190+H194+H196+H198+H199+H200+H177</f>
        <v>57994.312299999998</v>
      </c>
      <c r="I202" s="98">
        <f>I175+I176+I179+I180+I181+I183+I184+I185+I186+I188+I189+I190+I194+I196+I198+I199+I200+I177</f>
        <v>21068.51</v>
      </c>
      <c r="J202" s="98">
        <f>J175+J176+J179+J180+J181+J183+J184+J185+J186+J188+J189+J190+J194+J196+J198+J199+J200+J177</f>
        <v>17907.600000000002</v>
      </c>
      <c r="K202" s="98">
        <f>K175+K176+K179+K180+K181+K183+K184+K185+K186+K188+K189+K190+K194+K196+K198+K199+K200+K177</f>
        <v>19018.202300000001</v>
      </c>
      <c r="L202" s="337"/>
    </row>
    <row r="203" spans="1:12" s="120" customFormat="1" ht="181.5" customHeight="1">
      <c r="A203" s="139"/>
      <c r="B203" s="22"/>
      <c r="C203" s="137"/>
      <c r="D203" s="136"/>
      <c r="E203" s="137"/>
      <c r="F203" s="140"/>
      <c r="G203" s="131" t="s">
        <v>98</v>
      </c>
      <c r="H203" s="100">
        <f>H197+H192</f>
        <v>1490.6999999999998</v>
      </c>
      <c r="I203" s="100">
        <f>I197+I192</f>
        <v>1490.6999999999998</v>
      </c>
      <c r="J203" s="100">
        <f>J197+J192</f>
        <v>0</v>
      </c>
      <c r="K203" s="100">
        <f>K197+K192</f>
        <v>0</v>
      </c>
      <c r="L203" s="337"/>
    </row>
    <row r="204" spans="1:12" s="120" customFormat="1" ht="225" customHeight="1">
      <c r="A204" s="139"/>
      <c r="B204" s="22"/>
      <c r="C204" s="137"/>
      <c r="D204" s="136"/>
      <c r="E204" s="137"/>
      <c r="F204" s="140"/>
      <c r="G204" s="132" t="s">
        <v>99</v>
      </c>
      <c r="H204" s="100">
        <f>H193</f>
        <v>18013.319000000003</v>
      </c>
      <c r="I204" s="100">
        <f>I193</f>
        <v>6609.6190000000006</v>
      </c>
      <c r="J204" s="100">
        <f>J193</f>
        <v>11403.7</v>
      </c>
      <c r="K204" s="100">
        <f>K193</f>
        <v>0</v>
      </c>
      <c r="L204" s="337"/>
    </row>
    <row r="205" spans="1:12" s="120" customFormat="1" ht="75" customHeight="1">
      <c r="A205" s="350" t="s">
        <v>268</v>
      </c>
      <c r="B205" s="350"/>
      <c r="C205" s="350"/>
      <c r="D205" s="350"/>
      <c r="E205" s="354" t="s">
        <v>81</v>
      </c>
      <c r="F205" s="354"/>
      <c r="G205" s="141" t="s">
        <v>97</v>
      </c>
      <c r="H205" s="91">
        <f>SUM(H206:H207)</f>
        <v>1045.71</v>
      </c>
      <c r="I205" s="91">
        <f>SUM(I206:I207)</f>
        <v>308.41000000000003</v>
      </c>
      <c r="J205" s="91">
        <f>SUM(J206:J207)</f>
        <v>356.7</v>
      </c>
      <c r="K205" s="91">
        <f>SUM(K206:K207)</f>
        <v>380.6</v>
      </c>
      <c r="L205" s="337"/>
    </row>
    <row r="206" spans="1:12" s="120" customFormat="1" ht="75" customHeight="1">
      <c r="A206" s="350"/>
      <c r="B206" s="350"/>
      <c r="C206" s="350"/>
      <c r="D206" s="350"/>
      <c r="E206" s="354"/>
      <c r="F206" s="354"/>
      <c r="G206" s="295" t="s">
        <v>98</v>
      </c>
      <c r="H206" s="91">
        <f>H197</f>
        <v>0.6</v>
      </c>
      <c r="I206" s="91">
        <f>I197</f>
        <v>0.6</v>
      </c>
      <c r="J206" s="91">
        <f>J197</f>
        <v>0</v>
      </c>
      <c r="K206" s="91">
        <f>K197</f>
        <v>0</v>
      </c>
      <c r="L206" s="337"/>
    </row>
    <row r="207" spans="1:12" s="120" customFormat="1" ht="75" customHeight="1">
      <c r="A207" s="350"/>
      <c r="B207" s="350"/>
      <c r="C207" s="350"/>
      <c r="D207" s="350"/>
      <c r="E207" s="354"/>
      <c r="F207" s="354"/>
      <c r="G207" s="295" t="s">
        <v>405</v>
      </c>
      <c r="H207" s="91">
        <f>H196</f>
        <v>1045.1100000000001</v>
      </c>
      <c r="I207" s="91">
        <f>I196</f>
        <v>307.81</v>
      </c>
      <c r="J207" s="91">
        <f>J196</f>
        <v>356.7</v>
      </c>
      <c r="K207" s="91">
        <f>K196</f>
        <v>380.6</v>
      </c>
      <c r="L207" s="337"/>
    </row>
    <row r="208" spans="1:12" ht="75" customHeight="1">
      <c r="A208" s="350"/>
      <c r="B208" s="350"/>
      <c r="C208" s="350"/>
      <c r="D208" s="350"/>
      <c r="E208" s="354" t="s">
        <v>75</v>
      </c>
      <c r="F208" s="354"/>
      <c r="G208" s="372" t="s">
        <v>405</v>
      </c>
      <c r="H208" s="91">
        <f>H198+H188</f>
        <v>2871.7</v>
      </c>
      <c r="I208" s="91">
        <f>I198+I188</f>
        <v>862.3</v>
      </c>
      <c r="J208" s="91">
        <f>J198+J188</f>
        <v>972.1</v>
      </c>
      <c r="K208" s="91">
        <f>K198+K188</f>
        <v>1037.3</v>
      </c>
      <c r="L208" s="337"/>
    </row>
    <row r="209" spans="1:12" ht="75" customHeight="1">
      <c r="A209" s="350"/>
      <c r="B209" s="350"/>
      <c r="C209" s="350"/>
      <c r="D209" s="350"/>
      <c r="E209" s="354" t="s">
        <v>76</v>
      </c>
      <c r="F209" s="354"/>
      <c r="G209" s="373"/>
      <c r="H209" s="91">
        <f>H199+H190</f>
        <v>1222.4499999999998</v>
      </c>
      <c r="I209" s="91">
        <f>I199+I190</f>
        <v>296.3</v>
      </c>
      <c r="J209" s="91">
        <f>J199+J190</f>
        <v>450</v>
      </c>
      <c r="K209" s="91">
        <f>K199+K190</f>
        <v>476.15</v>
      </c>
      <c r="L209" s="337"/>
    </row>
    <row r="210" spans="1:12" ht="75" customHeight="1">
      <c r="A210" s="350"/>
      <c r="B210" s="350"/>
      <c r="C210" s="350"/>
      <c r="D210" s="350"/>
      <c r="E210" s="354" t="s">
        <v>74</v>
      </c>
      <c r="F210" s="354"/>
      <c r="G210" s="373"/>
      <c r="H210" s="91">
        <f>H200+H186+H183+H181</f>
        <v>5274.7</v>
      </c>
      <c r="I210" s="91">
        <f>I200+I186+I183+I181</f>
        <v>2136.8000000000002</v>
      </c>
      <c r="J210" s="91">
        <f>J200+J186+J183+J181</f>
        <v>1518.1</v>
      </c>
      <c r="K210" s="91">
        <f>K200+K186+K183+K181</f>
        <v>1619.8</v>
      </c>
      <c r="L210" s="337"/>
    </row>
    <row r="211" spans="1:12" ht="75" customHeight="1">
      <c r="A211" s="350"/>
      <c r="B211" s="350"/>
      <c r="C211" s="350"/>
      <c r="D211" s="350"/>
      <c r="E211" s="366" t="s">
        <v>452</v>
      </c>
      <c r="F211" s="367"/>
      <c r="G211" s="373"/>
      <c r="H211" s="91">
        <f>H177</f>
        <v>70</v>
      </c>
      <c r="I211" s="91">
        <f>I177</f>
        <v>0</v>
      </c>
      <c r="J211" s="91">
        <f t="shared" ref="J211:K211" si="28">J177</f>
        <v>70</v>
      </c>
      <c r="K211" s="91">
        <f t="shared" si="28"/>
        <v>0</v>
      </c>
      <c r="L211" s="337"/>
    </row>
    <row r="212" spans="1:12" ht="75" customHeight="1">
      <c r="A212" s="350"/>
      <c r="B212" s="350"/>
      <c r="C212" s="350"/>
      <c r="D212" s="350"/>
      <c r="E212" s="366" t="s">
        <v>77</v>
      </c>
      <c r="F212" s="367"/>
      <c r="G212" s="373"/>
      <c r="H212" s="91">
        <f>H189</f>
        <v>4112.3999999999996</v>
      </c>
      <c r="I212" s="91">
        <f>I189</f>
        <v>1347</v>
      </c>
      <c r="J212" s="91">
        <f>J189</f>
        <v>1340</v>
      </c>
      <c r="K212" s="91">
        <f>K189</f>
        <v>1425.4</v>
      </c>
      <c r="L212" s="337"/>
    </row>
    <row r="213" spans="1:12" ht="75" customHeight="1">
      <c r="A213" s="350"/>
      <c r="B213" s="350"/>
      <c r="C213" s="350"/>
      <c r="D213" s="350"/>
      <c r="E213" s="354" t="s">
        <v>79</v>
      </c>
      <c r="F213" s="354"/>
      <c r="G213" s="373"/>
      <c r="H213" s="91">
        <f t="shared" ref="H213:K214" si="29">H175+H179+H184</f>
        <v>18488.400000000001</v>
      </c>
      <c r="I213" s="91">
        <f t="shared" si="29"/>
        <v>5852</v>
      </c>
      <c r="J213" s="91">
        <f t="shared" si="29"/>
        <v>6113.4</v>
      </c>
      <c r="K213" s="91">
        <f t="shared" si="29"/>
        <v>6523</v>
      </c>
      <c r="L213" s="337"/>
    </row>
    <row r="214" spans="1:12" ht="75" customHeight="1">
      <c r="A214" s="350"/>
      <c r="B214" s="350"/>
      <c r="C214" s="350"/>
      <c r="D214" s="350"/>
      <c r="E214" s="354" t="s">
        <v>80</v>
      </c>
      <c r="F214" s="354"/>
      <c r="G214" s="374"/>
      <c r="H214" s="91">
        <f t="shared" si="29"/>
        <v>21509.552300000003</v>
      </c>
      <c r="I214" s="91">
        <f t="shared" si="29"/>
        <v>6866.2999999999993</v>
      </c>
      <c r="J214" s="91">
        <f t="shared" si="29"/>
        <v>7087.3</v>
      </c>
      <c r="K214" s="91">
        <f t="shared" si="29"/>
        <v>7555.952299999999</v>
      </c>
      <c r="L214" s="337"/>
    </row>
    <row r="215" spans="1:12" ht="75" customHeight="1">
      <c r="A215" s="350"/>
      <c r="B215" s="350"/>
      <c r="C215" s="350"/>
      <c r="D215" s="350"/>
      <c r="E215" s="354" t="s">
        <v>430</v>
      </c>
      <c r="F215" s="354"/>
      <c r="G215" s="141" t="s">
        <v>97</v>
      </c>
      <c r="H215" s="86">
        <f>SUM(H216:H218)</f>
        <v>22903.419000000002</v>
      </c>
      <c r="I215" s="86">
        <f>SUM(I216:I218)</f>
        <v>11499.719000000001</v>
      </c>
      <c r="J215" s="86">
        <f>SUM(J216:J218)</f>
        <v>11403.7</v>
      </c>
      <c r="K215" s="86">
        <f>SUM(K216:K218)</f>
        <v>0</v>
      </c>
      <c r="L215" s="337"/>
    </row>
    <row r="216" spans="1:12" ht="168.75" customHeight="1">
      <c r="A216" s="350"/>
      <c r="B216" s="350"/>
      <c r="C216" s="350"/>
      <c r="D216" s="350"/>
      <c r="E216" s="354"/>
      <c r="F216" s="354"/>
      <c r="G216" s="295" t="s">
        <v>98</v>
      </c>
      <c r="H216" s="86">
        <f t="shared" ref="H216:K218" si="30">H192</f>
        <v>1490.1</v>
      </c>
      <c r="I216" s="86">
        <f t="shared" si="30"/>
        <v>1490.1</v>
      </c>
      <c r="J216" s="86">
        <f t="shared" si="30"/>
        <v>0</v>
      </c>
      <c r="K216" s="86">
        <f t="shared" si="30"/>
        <v>0</v>
      </c>
      <c r="L216" s="337"/>
    </row>
    <row r="217" spans="1:12" ht="227.25" customHeight="1">
      <c r="A217" s="350"/>
      <c r="B217" s="350"/>
      <c r="C217" s="350"/>
      <c r="D217" s="350"/>
      <c r="E217" s="354"/>
      <c r="F217" s="354"/>
      <c r="G217" s="295" t="s">
        <v>99</v>
      </c>
      <c r="H217" s="86">
        <f t="shared" si="30"/>
        <v>18013.319000000003</v>
      </c>
      <c r="I217" s="86">
        <f t="shared" si="30"/>
        <v>6609.6190000000006</v>
      </c>
      <c r="J217" s="86">
        <f t="shared" si="30"/>
        <v>11403.7</v>
      </c>
      <c r="K217" s="86">
        <f t="shared" si="30"/>
        <v>0</v>
      </c>
      <c r="L217" s="337"/>
    </row>
    <row r="218" spans="1:12" ht="75" customHeight="1">
      <c r="A218" s="350"/>
      <c r="B218" s="350"/>
      <c r="C218" s="350"/>
      <c r="D218" s="350"/>
      <c r="E218" s="354"/>
      <c r="F218" s="354"/>
      <c r="G218" s="295" t="s">
        <v>407</v>
      </c>
      <c r="H218" s="86">
        <f t="shared" si="30"/>
        <v>3400</v>
      </c>
      <c r="I218" s="86">
        <f t="shared" si="30"/>
        <v>3400</v>
      </c>
      <c r="J218" s="86">
        <f t="shared" si="30"/>
        <v>0</v>
      </c>
      <c r="K218" s="86">
        <f t="shared" si="30"/>
        <v>0</v>
      </c>
      <c r="L218" s="338"/>
    </row>
    <row r="219" spans="1:12" ht="75" customHeight="1">
      <c r="A219" s="475" t="s">
        <v>382</v>
      </c>
      <c r="B219" s="476"/>
      <c r="C219" s="476"/>
      <c r="D219" s="476"/>
      <c r="E219" s="476"/>
      <c r="F219" s="476"/>
      <c r="G219" s="476"/>
      <c r="H219" s="476"/>
      <c r="I219" s="476"/>
      <c r="J219" s="476"/>
      <c r="K219" s="476"/>
      <c r="L219" s="477"/>
    </row>
    <row r="220" spans="1:12" ht="167.25" hidden="1" customHeight="1">
      <c r="A220" s="400" t="s">
        <v>232</v>
      </c>
      <c r="B220" s="339" t="s">
        <v>208</v>
      </c>
      <c r="C220" s="306" t="s">
        <v>233</v>
      </c>
      <c r="D220" s="127" t="s">
        <v>32</v>
      </c>
      <c r="E220" s="285" t="s">
        <v>430</v>
      </c>
      <c r="F220" s="282"/>
      <c r="G220" s="279" t="s">
        <v>406</v>
      </c>
      <c r="H220" s="32">
        <f>I220+J220+K220</f>
        <v>0</v>
      </c>
      <c r="I220" s="256">
        <v>0</v>
      </c>
      <c r="J220" s="256">
        <v>0</v>
      </c>
      <c r="K220" s="256">
        <v>0</v>
      </c>
      <c r="L220" s="36" t="s">
        <v>316</v>
      </c>
    </row>
    <row r="221" spans="1:12" ht="184.5" hidden="1" customHeight="1">
      <c r="A221" s="401"/>
      <c r="B221" s="341"/>
      <c r="C221" s="306" t="s">
        <v>312</v>
      </c>
      <c r="D221" s="127" t="s">
        <v>32</v>
      </c>
      <c r="E221" s="285" t="s">
        <v>430</v>
      </c>
      <c r="F221" s="288"/>
      <c r="G221" s="279" t="s">
        <v>406</v>
      </c>
      <c r="H221" s="32">
        <f>I221+J221+K221</f>
        <v>0</v>
      </c>
      <c r="I221" s="256">
        <v>0</v>
      </c>
      <c r="J221" s="33">
        <v>0</v>
      </c>
      <c r="K221" s="33">
        <v>0</v>
      </c>
      <c r="L221" s="36" t="s">
        <v>313</v>
      </c>
    </row>
    <row r="222" spans="1:12" ht="75" hidden="1" customHeight="1">
      <c r="A222" s="142"/>
      <c r="B222" s="397"/>
      <c r="C222" s="398"/>
      <c r="D222" s="399"/>
      <c r="E222" s="280" t="s">
        <v>347</v>
      </c>
      <c r="F222" s="143"/>
      <c r="G222" s="279" t="s">
        <v>406</v>
      </c>
      <c r="H222" s="32">
        <f>H220+H221</f>
        <v>0</v>
      </c>
      <c r="I222" s="32">
        <f>I220+I221</f>
        <v>0</v>
      </c>
      <c r="J222" s="32">
        <f>J220+J221</f>
        <v>0</v>
      </c>
      <c r="K222" s="32">
        <f>K220+K221</f>
        <v>0</v>
      </c>
      <c r="L222" s="36"/>
    </row>
    <row r="223" spans="1:12" ht="256.5" customHeight="1">
      <c r="A223" s="317" t="s">
        <v>232</v>
      </c>
      <c r="B223" s="35" t="s">
        <v>209</v>
      </c>
      <c r="C223" s="29" t="s">
        <v>475</v>
      </c>
      <c r="D223" s="311" t="s">
        <v>31</v>
      </c>
      <c r="E223" s="285" t="s">
        <v>430</v>
      </c>
      <c r="F223" s="305"/>
      <c r="G223" s="286" t="s">
        <v>405</v>
      </c>
      <c r="H223" s="32">
        <f>I223+J223+K223</f>
        <v>8955.4</v>
      </c>
      <c r="I223" s="33">
        <v>2894.2</v>
      </c>
      <c r="J223" s="33">
        <f>3049.3+13.1+4+7.1</f>
        <v>3073.5</v>
      </c>
      <c r="K223" s="33">
        <f>2931+56.7</f>
        <v>2987.7</v>
      </c>
      <c r="L223" s="36" t="s">
        <v>69</v>
      </c>
    </row>
    <row r="224" spans="1:12" ht="170.25" customHeight="1">
      <c r="A224" s="355" t="s">
        <v>234</v>
      </c>
      <c r="B224" s="350" t="s">
        <v>93</v>
      </c>
      <c r="C224" s="306" t="s">
        <v>476</v>
      </c>
      <c r="D224" s="311" t="s">
        <v>32</v>
      </c>
      <c r="E224" s="285" t="s">
        <v>430</v>
      </c>
      <c r="F224" s="288"/>
      <c r="G224" s="286" t="s">
        <v>405</v>
      </c>
      <c r="H224" s="144">
        <f>I224+J224+K224</f>
        <v>11573</v>
      </c>
      <c r="I224" s="33">
        <f>15739-1800-2951</f>
        <v>10988</v>
      </c>
      <c r="J224" s="33">
        <f>2500-2000-500+585</f>
        <v>585</v>
      </c>
      <c r="K224" s="33">
        <v>0</v>
      </c>
      <c r="L224" s="36" t="s">
        <v>346</v>
      </c>
    </row>
    <row r="225" spans="1:12" ht="75" customHeight="1">
      <c r="A225" s="355"/>
      <c r="B225" s="350"/>
      <c r="C225" s="380" t="s">
        <v>477</v>
      </c>
      <c r="D225" s="359" t="s">
        <v>345</v>
      </c>
      <c r="E225" s="359"/>
      <c r="F225" s="359"/>
      <c r="G225" s="359"/>
      <c r="H225" s="37">
        <f>H226+H227</f>
        <v>9258.99</v>
      </c>
      <c r="I225" s="34">
        <f>I226+I227</f>
        <v>9258.99</v>
      </c>
      <c r="J225" s="34">
        <f>J226+J227</f>
        <v>0</v>
      </c>
      <c r="K225" s="34">
        <f>K226+K227</f>
        <v>0</v>
      </c>
      <c r="L225" s="351" t="s">
        <v>64</v>
      </c>
    </row>
    <row r="226" spans="1:12" s="10" customFormat="1" ht="231.75" customHeight="1">
      <c r="A226" s="355"/>
      <c r="B226" s="350"/>
      <c r="C226" s="380"/>
      <c r="D226" s="21" t="s">
        <v>35</v>
      </c>
      <c r="E226" s="299" t="s">
        <v>79</v>
      </c>
      <c r="F226" s="286" t="s">
        <v>429</v>
      </c>
      <c r="G226" s="286" t="s">
        <v>99</v>
      </c>
      <c r="H226" s="37">
        <f t="shared" ref="H226:H233" si="31">I226+J226+K226</f>
        <v>2.5</v>
      </c>
      <c r="I226" s="33">
        <v>2.5</v>
      </c>
      <c r="J226" s="33">
        <v>0</v>
      </c>
      <c r="K226" s="33">
        <v>0</v>
      </c>
      <c r="L226" s="352"/>
    </row>
    <row r="227" spans="1:12" s="10" customFormat="1" ht="75" customHeight="1">
      <c r="A227" s="355"/>
      <c r="B227" s="350"/>
      <c r="C227" s="380"/>
      <c r="D227" s="349" t="s">
        <v>97</v>
      </c>
      <c r="E227" s="349"/>
      <c r="F227" s="349"/>
      <c r="G227" s="349"/>
      <c r="H227" s="37">
        <f>H228+H229+H231+H232+H233+H230</f>
        <v>9256.49</v>
      </c>
      <c r="I227" s="34">
        <f>I228+I229+I231+I232+I233+I230</f>
        <v>9256.49</v>
      </c>
      <c r="J227" s="34">
        <f>J228+J229+J231+J232+J233</f>
        <v>0</v>
      </c>
      <c r="K227" s="34">
        <f>K228+K229+K231+K232+K233</f>
        <v>0</v>
      </c>
      <c r="L227" s="352"/>
    </row>
    <row r="228" spans="1:12" s="10" customFormat="1" ht="75" customHeight="1">
      <c r="A228" s="355"/>
      <c r="B228" s="350"/>
      <c r="C228" s="380"/>
      <c r="D228" s="21" t="s">
        <v>35</v>
      </c>
      <c r="E228" s="299" t="s">
        <v>79</v>
      </c>
      <c r="F228" s="382" t="s">
        <v>429</v>
      </c>
      <c r="G228" s="382" t="s">
        <v>405</v>
      </c>
      <c r="H228" s="37">
        <f t="shared" si="31"/>
        <v>241.91</v>
      </c>
      <c r="I228" s="33">
        <f>50+51.31+140.6</f>
        <v>241.91</v>
      </c>
      <c r="J228" s="33">
        <v>0</v>
      </c>
      <c r="K228" s="33">
        <v>0</v>
      </c>
      <c r="L228" s="352"/>
    </row>
    <row r="229" spans="1:12" s="10" customFormat="1" ht="75" customHeight="1">
      <c r="A229" s="355"/>
      <c r="B229" s="350"/>
      <c r="C229" s="380"/>
      <c r="D229" s="21" t="s">
        <v>35</v>
      </c>
      <c r="E229" s="299" t="s">
        <v>80</v>
      </c>
      <c r="F229" s="382"/>
      <c r="G229" s="382"/>
      <c r="H229" s="37">
        <f t="shared" si="31"/>
        <v>187.78</v>
      </c>
      <c r="I229" s="33">
        <f>50+43.38+94.4</f>
        <v>187.78</v>
      </c>
      <c r="J229" s="33">
        <v>0</v>
      </c>
      <c r="K229" s="33">
        <v>0</v>
      </c>
      <c r="L229" s="352"/>
    </row>
    <row r="230" spans="1:12" s="10" customFormat="1" ht="75" customHeight="1">
      <c r="A230" s="355"/>
      <c r="B230" s="350"/>
      <c r="C230" s="380"/>
      <c r="D230" s="21" t="s">
        <v>35</v>
      </c>
      <c r="E230" s="299" t="s">
        <v>81</v>
      </c>
      <c r="F230" s="382"/>
      <c r="G230" s="382"/>
      <c r="H230" s="37">
        <f t="shared" si="31"/>
        <v>206.8</v>
      </c>
      <c r="I230" s="33">
        <v>206.8</v>
      </c>
      <c r="J230" s="33">
        <v>0</v>
      </c>
      <c r="K230" s="33">
        <v>0</v>
      </c>
      <c r="L230" s="352"/>
    </row>
    <row r="231" spans="1:12" s="10" customFormat="1" ht="75" customHeight="1">
      <c r="A231" s="355"/>
      <c r="B231" s="350"/>
      <c r="C231" s="380"/>
      <c r="D231" s="21" t="s">
        <v>28</v>
      </c>
      <c r="E231" s="299" t="s">
        <v>75</v>
      </c>
      <c r="F231" s="382"/>
      <c r="G231" s="382"/>
      <c r="H231" s="37">
        <f t="shared" si="31"/>
        <v>1422.3</v>
      </c>
      <c r="I231" s="33">
        <f>50+571.7+307.8+492.8</f>
        <v>1422.3</v>
      </c>
      <c r="J231" s="33">
        <v>0</v>
      </c>
      <c r="K231" s="33">
        <v>0</v>
      </c>
      <c r="L231" s="352"/>
    </row>
    <row r="232" spans="1:12" s="10" customFormat="1" ht="75" customHeight="1">
      <c r="A232" s="355"/>
      <c r="B232" s="350"/>
      <c r="C232" s="380"/>
      <c r="D232" s="21" t="s">
        <v>28</v>
      </c>
      <c r="E232" s="299" t="s">
        <v>76</v>
      </c>
      <c r="F232" s="382"/>
      <c r="G232" s="382"/>
      <c r="H232" s="37">
        <f t="shared" si="31"/>
        <v>5874.3</v>
      </c>
      <c r="I232" s="33">
        <f>150+1176.7+3635.5+912.1</f>
        <v>5874.3</v>
      </c>
      <c r="J232" s="33">
        <v>0</v>
      </c>
      <c r="K232" s="33">
        <v>0</v>
      </c>
      <c r="L232" s="352"/>
    </row>
    <row r="233" spans="1:12" s="10" customFormat="1" ht="75" customHeight="1">
      <c r="A233" s="355"/>
      <c r="B233" s="350"/>
      <c r="C233" s="380"/>
      <c r="D233" s="21" t="s">
        <v>28</v>
      </c>
      <c r="E233" s="299" t="s">
        <v>74</v>
      </c>
      <c r="F233" s="382"/>
      <c r="G233" s="382"/>
      <c r="H233" s="37">
        <f t="shared" si="31"/>
        <v>1323.4</v>
      </c>
      <c r="I233" s="33">
        <v>1323.4</v>
      </c>
      <c r="J233" s="33">
        <v>0</v>
      </c>
      <c r="K233" s="33">
        <v>0</v>
      </c>
      <c r="L233" s="353"/>
    </row>
    <row r="234" spans="1:12" ht="75" customHeight="1">
      <c r="A234" s="355"/>
      <c r="B234" s="356"/>
      <c r="C234" s="356"/>
      <c r="D234" s="356"/>
      <c r="E234" s="145" t="s">
        <v>348</v>
      </c>
      <c r="F234" s="134"/>
      <c r="G234" s="134"/>
      <c r="H234" s="94">
        <f>H224+H225</f>
        <v>20831.989999999998</v>
      </c>
      <c r="I234" s="94">
        <f>I224+I225</f>
        <v>20246.989999999998</v>
      </c>
      <c r="J234" s="94">
        <f>J224+J225</f>
        <v>585</v>
      </c>
      <c r="K234" s="94">
        <f>K224+K225</f>
        <v>0</v>
      </c>
      <c r="L234" s="336"/>
    </row>
    <row r="235" spans="1:12" ht="139.5" customHeight="1">
      <c r="A235" s="343"/>
      <c r="B235" s="344"/>
      <c r="C235" s="344"/>
      <c r="D235" s="344"/>
      <c r="E235" s="344"/>
      <c r="F235" s="345"/>
      <c r="G235" s="134" t="s">
        <v>405</v>
      </c>
      <c r="H235" s="94">
        <f>H224+H227</f>
        <v>20829.489999999998</v>
      </c>
      <c r="I235" s="101">
        <f>I224+I227</f>
        <v>20244.489999999998</v>
      </c>
      <c r="J235" s="101">
        <f>J224+J227</f>
        <v>585</v>
      </c>
      <c r="K235" s="101">
        <f>K224+K227</f>
        <v>0</v>
      </c>
      <c r="L235" s="337"/>
    </row>
    <row r="236" spans="1:12" ht="210.75" customHeight="1">
      <c r="A236" s="346"/>
      <c r="B236" s="347"/>
      <c r="C236" s="347"/>
      <c r="D236" s="347"/>
      <c r="E236" s="347"/>
      <c r="F236" s="348"/>
      <c r="G236" s="134" t="s">
        <v>99</v>
      </c>
      <c r="H236" s="146">
        <f>H226</f>
        <v>2.5</v>
      </c>
      <c r="I236" s="102">
        <f>I226</f>
        <v>2.5</v>
      </c>
      <c r="J236" s="102">
        <f>J226</f>
        <v>0</v>
      </c>
      <c r="K236" s="102">
        <f>K226</f>
        <v>0</v>
      </c>
      <c r="L236" s="338"/>
    </row>
    <row r="237" spans="1:12" ht="60" customHeight="1">
      <c r="A237" s="384" t="s">
        <v>70</v>
      </c>
      <c r="B237" s="385"/>
      <c r="C237" s="385"/>
      <c r="D237" s="385"/>
      <c r="E237" s="385"/>
      <c r="F237" s="386"/>
      <c r="G237" s="147"/>
      <c r="H237" s="86">
        <f>H222+H223+H234</f>
        <v>29787.39</v>
      </c>
      <c r="I237" s="86">
        <f>I222+I223+I234</f>
        <v>23141.19</v>
      </c>
      <c r="J237" s="86">
        <f>J222+J223+J234</f>
        <v>3658.5</v>
      </c>
      <c r="K237" s="86">
        <f>K222+K223+K234</f>
        <v>2987.7</v>
      </c>
      <c r="L237" s="501"/>
    </row>
    <row r="238" spans="1:12" s="120" customFormat="1" ht="99.75" customHeight="1">
      <c r="A238" s="478" t="s">
        <v>17</v>
      </c>
      <c r="B238" s="478"/>
      <c r="C238" s="112"/>
      <c r="D238" s="136"/>
      <c r="E238" s="137"/>
      <c r="F238" s="138"/>
      <c r="G238" s="130" t="s">
        <v>405</v>
      </c>
      <c r="H238" s="98">
        <f>H235+H223+H222</f>
        <v>29784.89</v>
      </c>
      <c r="I238" s="98">
        <f>I235+I223+I222</f>
        <v>23138.69</v>
      </c>
      <c r="J238" s="98">
        <f>J235+J223+J222</f>
        <v>3658.5</v>
      </c>
      <c r="K238" s="98">
        <f>K235+K223+K222</f>
        <v>2987.7</v>
      </c>
      <c r="L238" s="501"/>
    </row>
    <row r="239" spans="1:12" s="120" customFormat="1" ht="267" customHeight="1">
      <c r="A239" s="148"/>
      <c r="B239" s="291"/>
      <c r="C239" s="112"/>
      <c r="D239" s="136"/>
      <c r="E239" s="137"/>
      <c r="F239" s="138"/>
      <c r="G239" s="132" t="s">
        <v>99</v>
      </c>
      <c r="H239" s="100">
        <f>H226</f>
        <v>2.5</v>
      </c>
      <c r="I239" s="100">
        <f>I226</f>
        <v>2.5</v>
      </c>
      <c r="J239" s="100">
        <f>J226</f>
        <v>0</v>
      </c>
      <c r="K239" s="100">
        <f>K226</f>
        <v>0</v>
      </c>
      <c r="L239" s="501"/>
    </row>
    <row r="240" spans="1:12" s="120" customFormat="1" ht="75" customHeight="1">
      <c r="A240" s="478" t="s">
        <v>94</v>
      </c>
      <c r="B240" s="478"/>
      <c r="C240" s="478"/>
      <c r="D240" s="493"/>
      <c r="E240" s="351" t="s">
        <v>79</v>
      </c>
      <c r="F240" s="498"/>
      <c r="G240" s="141" t="s">
        <v>97</v>
      </c>
      <c r="H240" s="91">
        <f>H241+H242</f>
        <v>244.41</v>
      </c>
      <c r="I240" s="91">
        <f>I241+I242</f>
        <v>244.41</v>
      </c>
      <c r="J240" s="91">
        <f>J241+J242</f>
        <v>0</v>
      </c>
      <c r="K240" s="91">
        <f>K241+K242</f>
        <v>0</v>
      </c>
      <c r="L240" s="501"/>
    </row>
    <row r="241" spans="1:12" s="120" customFormat="1" ht="244.5" customHeight="1">
      <c r="A241" s="494"/>
      <c r="B241" s="494"/>
      <c r="C241" s="494"/>
      <c r="D241" s="495"/>
      <c r="E241" s="352"/>
      <c r="F241" s="499"/>
      <c r="G241" s="295" t="s">
        <v>99</v>
      </c>
      <c r="H241" s="91">
        <f>H226</f>
        <v>2.5</v>
      </c>
      <c r="I241" s="91">
        <f>I226</f>
        <v>2.5</v>
      </c>
      <c r="J241" s="91">
        <f>J226</f>
        <v>0</v>
      </c>
      <c r="K241" s="91">
        <f>K226</f>
        <v>0</v>
      </c>
      <c r="L241" s="501"/>
    </row>
    <row r="242" spans="1:12" ht="77.25" customHeight="1">
      <c r="A242" s="494"/>
      <c r="B242" s="494"/>
      <c r="C242" s="494"/>
      <c r="D242" s="495"/>
      <c r="E242" s="353"/>
      <c r="F242" s="499"/>
      <c r="G242" s="303" t="s">
        <v>405</v>
      </c>
      <c r="H242" s="103">
        <f>H228</f>
        <v>241.91</v>
      </c>
      <c r="I242" s="103">
        <f>I228</f>
        <v>241.91</v>
      </c>
      <c r="J242" s="103">
        <f>J228</f>
        <v>0</v>
      </c>
      <c r="K242" s="103">
        <f>K228</f>
        <v>0</v>
      </c>
      <c r="L242" s="501"/>
    </row>
    <row r="243" spans="1:12" ht="75" customHeight="1">
      <c r="A243" s="494"/>
      <c r="B243" s="494"/>
      <c r="C243" s="494"/>
      <c r="D243" s="495"/>
      <c r="E243" s="299" t="s">
        <v>53</v>
      </c>
      <c r="F243" s="499"/>
      <c r="G243" s="372" t="s">
        <v>405</v>
      </c>
      <c r="H243" s="103">
        <f>H220+H221+H223+H224</f>
        <v>20528.400000000001</v>
      </c>
      <c r="I243" s="103">
        <f>I220+I221+I223+I224</f>
        <v>13882.2</v>
      </c>
      <c r="J243" s="103">
        <f>J220+J221+J223+J224</f>
        <v>3658.5</v>
      </c>
      <c r="K243" s="103">
        <f>K220+K221+K223+K224</f>
        <v>2987.7</v>
      </c>
      <c r="L243" s="501"/>
    </row>
    <row r="244" spans="1:12" ht="75" customHeight="1">
      <c r="A244" s="494"/>
      <c r="B244" s="494"/>
      <c r="C244" s="494"/>
      <c r="D244" s="495"/>
      <c r="E244" s="299" t="s">
        <v>80</v>
      </c>
      <c r="F244" s="499"/>
      <c r="G244" s="373"/>
      <c r="H244" s="103">
        <f>H229</f>
        <v>187.78</v>
      </c>
      <c r="I244" s="103">
        <f>I229</f>
        <v>187.78</v>
      </c>
      <c r="J244" s="103">
        <f>J229</f>
        <v>0</v>
      </c>
      <c r="K244" s="103">
        <f>K229</f>
        <v>0</v>
      </c>
      <c r="L244" s="501"/>
    </row>
    <row r="245" spans="1:12" ht="75" customHeight="1">
      <c r="A245" s="494"/>
      <c r="B245" s="494"/>
      <c r="C245" s="494"/>
      <c r="D245" s="495"/>
      <c r="E245" s="299" t="s">
        <v>75</v>
      </c>
      <c r="F245" s="499"/>
      <c r="G245" s="373"/>
      <c r="H245" s="103">
        <f t="shared" ref="H245:K247" si="32">H231</f>
        <v>1422.3</v>
      </c>
      <c r="I245" s="103">
        <f t="shared" si="32"/>
        <v>1422.3</v>
      </c>
      <c r="J245" s="103">
        <f t="shared" si="32"/>
        <v>0</v>
      </c>
      <c r="K245" s="103">
        <f t="shared" si="32"/>
        <v>0</v>
      </c>
      <c r="L245" s="501"/>
    </row>
    <row r="246" spans="1:12" ht="75" customHeight="1">
      <c r="A246" s="494"/>
      <c r="B246" s="494"/>
      <c r="C246" s="494"/>
      <c r="D246" s="495"/>
      <c r="E246" s="299" t="s">
        <v>76</v>
      </c>
      <c r="F246" s="499"/>
      <c r="G246" s="373"/>
      <c r="H246" s="103">
        <f t="shared" si="32"/>
        <v>5874.3</v>
      </c>
      <c r="I246" s="103">
        <f t="shared" si="32"/>
        <v>5874.3</v>
      </c>
      <c r="J246" s="103">
        <f t="shared" si="32"/>
        <v>0</v>
      </c>
      <c r="K246" s="103">
        <f t="shared" si="32"/>
        <v>0</v>
      </c>
      <c r="L246" s="501"/>
    </row>
    <row r="247" spans="1:12" ht="75" customHeight="1">
      <c r="A247" s="496"/>
      <c r="B247" s="496"/>
      <c r="C247" s="496"/>
      <c r="D247" s="497"/>
      <c r="E247" s="299" t="s">
        <v>74</v>
      </c>
      <c r="F247" s="500"/>
      <c r="G247" s="374"/>
      <c r="H247" s="103">
        <f t="shared" si="32"/>
        <v>1323.4</v>
      </c>
      <c r="I247" s="103">
        <f t="shared" si="32"/>
        <v>1323.4</v>
      </c>
      <c r="J247" s="103">
        <f t="shared" si="32"/>
        <v>0</v>
      </c>
      <c r="K247" s="103">
        <f t="shared" si="32"/>
        <v>0</v>
      </c>
      <c r="L247" s="501"/>
    </row>
    <row r="248" spans="1:12" ht="75" customHeight="1">
      <c r="A248" s="360" t="s">
        <v>235</v>
      </c>
      <c r="B248" s="361"/>
      <c r="C248" s="361"/>
      <c r="D248" s="361"/>
      <c r="E248" s="361"/>
      <c r="F248" s="361"/>
      <c r="G248" s="361"/>
      <c r="H248" s="361"/>
      <c r="I248" s="361"/>
      <c r="J248" s="361"/>
      <c r="K248" s="361"/>
      <c r="L248" s="362"/>
    </row>
    <row r="249" spans="1:12" ht="75" customHeight="1">
      <c r="A249" s="342" t="s">
        <v>236</v>
      </c>
      <c r="B249" s="469" t="s">
        <v>237</v>
      </c>
      <c r="C249" s="472" t="s">
        <v>238</v>
      </c>
      <c r="D249" s="360" t="s">
        <v>349</v>
      </c>
      <c r="E249" s="361"/>
      <c r="F249" s="361"/>
      <c r="G249" s="362"/>
      <c r="H249" s="91">
        <f>H250+H259+H258</f>
        <v>176880.61900000004</v>
      </c>
      <c r="I249" s="91">
        <f>I250+I259+I258</f>
        <v>71668.319000000003</v>
      </c>
      <c r="J249" s="91">
        <f>J250+J259+J258</f>
        <v>95212.3</v>
      </c>
      <c r="K249" s="91">
        <f>K250+K259+K258</f>
        <v>10000</v>
      </c>
      <c r="L249" s="351" t="s">
        <v>100</v>
      </c>
    </row>
    <row r="250" spans="1:12" ht="75" customHeight="1">
      <c r="A250" s="342"/>
      <c r="B250" s="470"/>
      <c r="C250" s="502"/>
      <c r="D250" s="369" t="s">
        <v>96</v>
      </c>
      <c r="E250" s="370"/>
      <c r="F250" s="370"/>
      <c r="G250" s="371"/>
      <c r="H250" s="95">
        <f>H251+H252+H253+H254+H255+H256+H257</f>
        <v>166366.85600000003</v>
      </c>
      <c r="I250" s="95">
        <f>I251+I252+I253+I254+I255+I256+I257</f>
        <v>66904.555999999997</v>
      </c>
      <c r="J250" s="95">
        <f>J251+J252+J253+J254+J255+J256+J257</f>
        <v>89462.3</v>
      </c>
      <c r="K250" s="95">
        <f>K251+K252+K253+K254+K255+K256+K257</f>
        <v>10000</v>
      </c>
      <c r="L250" s="352"/>
    </row>
    <row r="251" spans="1:12" ht="75" customHeight="1">
      <c r="A251" s="342"/>
      <c r="B251" s="470"/>
      <c r="C251" s="502"/>
      <c r="D251" s="314" t="s">
        <v>32</v>
      </c>
      <c r="E251" s="299" t="s">
        <v>430</v>
      </c>
      <c r="F251" s="377" t="s">
        <v>429</v>
      </c>
      <c r="G251" s="375" t="s">
        <v>409</v>
      </c>
      <c r="H251" s="107">
        <f>I251+J251+K251</f>
        <v>59614.600000000006</v>
      </c>
      <c r="I251" s="87">
        <f>14923.3+1800+3000</f>
        <v>19723.3</v>
      </c>
      <c r="J251" s="87">
        <f>19737.5+2000+500+793.8+13000+3860</f>
        <v>39891.300000000003</v>
      </c>
      <c r="K251" s="87">
        <v>0</v>
      </c>
      <c r="L251" s="352"/>
    </row>
    <row r="252" spans="1:12" ht="75" customHeight="1">
      <c r="A252" s="342"/>
      <c r="B252" s="470"/>
      <c r="C252" s="502"/>
      <c r="D252" s="314" t="s">
        <v>28</v>
      </c>
      <c r="E252" s="299" t="s">
        <v>81</v>
      </c>
      <c r="F252" s="378"/>
      <c r="G252" s="383"/>
      <c r="H252" s="86">
        <f t="shared" ref="H252:H274" si="33">I252+J252+K252</f>
        <v>22713.5</v>
      </c>
      <c r="I252" s="89">
        <f>6890.5+50+202</f>
        <v>7142.5</v>
      </c>
      <c r="J252" s="87">
        <f>8400+2000+1000+264+60+47+1300</f>
        <v>13071</v>
      </c>
      <c r="K252" s="87">
        <v>2500</v>
      </c>
      <c r="L252" s="352"/>
    </row>
    <row r="253" spans="1:12" ht="75" customHeight="1">
      <c r="A253" s="342"/>
      <c r="B253" s="470"/>
      <c r="C253" s="502"/>
      <c r="D253" s="149" t="s">
        <v>28</v>
      </c>
      <c r="E253" s="299" t="s">
        <v>75</v>
      </c>
      <c r="F253" s="378"/>
      <c r="G253" s="383"/>
      <c r="H253" s="86">
        <f t="shared" si="33"/>
        <v>3932</v>
      </c>
      <c r="I253" s="89">
        <f>232+200</f>
        <v>432</v>
      </c>
      <c r="J253" s="87">
        <f>1200+1000-1024.7-175.3</f>
        <v>1000</v>
      </c>
      <c r="K253" s="87">
        <v>2500</v>
      </c>
      <c r="L253" s="352"/>
    </row>
    <row r="254" spans="1:12" ht="75" customHeight="1">
      <c r="A254" s="342"/>
      <c r="B254" s="470"/>
      <c r="C254" s="502"/>
      <c r="D254" s="149" t="s">
        <v>28</v>
      </c>
      <c r="E254" s="299" t="s">
        <v>76</v>
      </c>
      <c r="F254" s="378"/>
      <c r="G254" s="383"/>
      <c r="H254" s="86">
        <f t="shared" si="33"/>
        <v>28189.554</v>
      </c>
      <c r="I254" s="89">
        <f>11036+180-26.446</f>
        <v>11189.554</v>
      </c>
      <c r="J254" s="87">
        <f>13500+1000</f>
        <v>14500</v>
      </c>
      <c r="K254" s="87">
        <v>2500</v>
      </c>
      <c r="L254" s="352"/>
    </row>
    <row r="255" spans="1:12" ht="75" customHeight="1">
      <c r="A255" s="342"/>
      <c r="B255" s="470"/>
      <c r="C255" s="502"/>
      <c r="D255" s="149" t="s">
        <v>28</v>
      </c>
      <c r="E255" s="299" t="s">
        <v>74</v>
      </c>
      <c r="F255" s="378"/>
      <c r="G255" s="383"/>
      <c r="H255" s="86">
        <f t="shared" si="33"/>
        <v>38297.202000000005</v>
      </c>
      <c r="I255" s="89">
        <f>20947.39-50.188</f>
        <v>20897.202000000001</v>
      </c>
      <c r="J255" s="87">
        <f>13900+1000</f>
        <v>14900</v>
      </c>
      <c r="K255" s="87">
        <v>2500</v>
      </c>
      <c r="L255" s="352"/>
    </row>
    <row r="256" spans="1:12" ht="99.75" customHeight="1">
      <c r="A256" s="342"/>
      <c r="B256" s="470"/>
      <c r="C256" s="502"/>
      <c r="D256" s="149" t="s">
        <v>29</v>
      </c>
      <c r="E256" s="289" t="s">
        <v>78</v>
      </c>
      <c r="F256" s="378"/>
      <c r="G256" s="383"/>
      <c r="H256" s="86">
        <f t="shared" si="33"/>
        <v>12930</v>
      </c>
      <c r="I256" s="87">
        <f>6800+30</f>
        <v>6830</v>
      </c>
      <c r="J256" s="87">
        <f>5100+1000</f>
        <v>6100</v>
      </c>
      <c r="K256" s="87">
        <v>0</v>
      </c>
      <c r="L256" s="352"/>
    </row>
    <row r="257" spans="1:12" ht="75" customHeight="1">
      <c r="A257" s="342"/>
      <c r="B257" s="470"/>
      <c r="C257" s="502"/>
      <c r="D257" s="314" t="s">
        <v>30</v>
      </c>
      <c r="E257" s="289" t="s">
        <v>77</v>
      </c>
      <c r="F257" s="378"/>
      <c r="G257" s="376"/>
      <c r="H257" s="86">
        <f t="shared" si="33"/>
        <v>690</v>
      </c>
      <c r="I257" s="93">
        <f>590+100</f>
        <v>690</v>
      </c>
      <c r="J257" s="87">
        <v>0</v>
      </c>
      <c r="K257" s="87">
        <v>0</v>
      </c>
      <c r="L257" s="352"/>
    </row>
    <row r="258" spans="1:12" ht="75" customHeight="1">
      <c r="A258" s="342"/>
      <c r="B258" s="470"/>
      <c r="C258" s="502"/>
      <c r="D258" s="314" t="s">
        <v>28</v>
      </c>
      <c r="E258" s="236" t="s">
        <v>452</v>
      </c>
      <c r="F258" s="379"/>
      <c r="G258" s="286" t="s">
        <v>383</v>
      </c>
      <c r="H258" s="86">
        <f>I258+J258+K258</f>
        <v>5750</v>
      </c>
      <c r="I258" s="93">
        <v>0</v>
      </c>
      <c r="J258" s="87">
        <v>5750</v>
      </c>
      <c r="K258" s="87">
        <v>0</v>
      </c>
      <c r="L258" s="352"/>
    </row>
    <row r="259" spans="1:12" ht="75" customHeight="1">
      <c r="A259" s="342"/>
      <c r="B259" s="470"/>
      <c r="C259" s="502"/>
      <c r="D259" s="369" t="s">
        <v>96</v>
      </c>
      <c r="E259" s="370"/>
      <c r="F259" s="370"/>
      <c r="G259" s="371"/>
      <c r="H259" s="86">
        <f>H260+H261+H263+H264+H262</f>
        <v>4763.7630000000008</v>
      </c>
      <c r="I259" s="86">
        <f>I260+I261+I263+I264+I262</f>
        <v>4763.7630000000008</v>
      </c>
      <c r="J259" s="86">
        <f t="shared" ref="J259:K259" si="34">J260+J261+J263+J264+J262</f>
        <v>0</v>
      </c>
      <c r="K259" s="86">
        <f t="shared" si="34"/>
        <v>0</v>
      </c>
      <c r="L259" s="352"/>
    </row>
    <row r="260" spans="1:12" ht="75" customHeight="1">
      <c r="A260" s="342"/>
      <c r="B260" s="470"/>
      <c r="C260" s="502"/>
      <c r="D260" s="149" t="s">
        <v>36</v>
      </c>
      <c r="E260" s="299" t="s">
        <v>81</v>
      </c>
      <c r="F260" s="377" t="s">
        <v>429</v>
      </c>
      <c r="G260" s="377" t="s">
        <v>202</v>
      </c>
      <c r="H260" s="86">
        <f t="shared" si="33"/>
        <v>249.81</v>
      </c>
      <c r="I260" s="93">
        <f>250-0.19</f>
        <v>249.81</v>
      </c>
      <c r="J260" s="87">
        <v>0</v>
      </c>
      <c r="K260" s="87">
        <v>0</v>
      </c>
      <c r="L260" s="352"/>
    </row>
    <row r="261" spans="1:12" ht="75" customHeight="1">
      <c r="A261" s="342"/>
      <c r="B261" s="470"/>
      <c r="C261" s="502"/>
      <c r="D261" s="149" t="s">
        <v>36</v>
      </c>
      <c r="E261" s="299" t="s">
        <v>74</v>
      </c>
      <c r="F261" s="378"/>
      <c r="G261" s="378"/>
      <c r="H261" s="86">
        <f t="shared" si="33"/>
        <v>1187.9530000000004</v>
      </c>
      <c r="I261" s="93">
        <f>1196.053+165.812+50.188-224.1</f>
        <v>1187.9530000000004</v>
      </c>
      <c r="J261" s="87">
        <v>0</v>
      </c>
      <c r="K261" s="87">
        <v>0</v>
      </c>
      <c r="L261" s="352"/>
    </row>
    <row r="262" spans="1:12" ht="75" customHeight="1">
      <c r="A262" s="342"/>
      <c r="B262" s="470"/>
      <c r="C262" s="502"/>
      <c r="D262" s="149" t="s">
        <v>36</v>
      </c>
      <c r="E262" s="236" t="s">
        <v>452</v>
      </c>
      <c r="F262" s="378"/>
      <c r="G262" s="378"/>
      <c r="H262" s="86">
        <f>I262+J262+K262</f>
        <v>0</v>
      </c>
      <c r="I262" s="93">
        <v>0</v>
      </c>
      <c r="J262" s="87">
        <v>0</v>
      </c>
      <c r="K262" s="87">
        <v>0</v>
      </c>
      <c r="L262" s="352"/>
    </row>
    <row r="263" spans="1:12" ht="99.75" customHeight="1">
      <c r="A263" s="342"/>
      <c r="B263" s="470"/>
      <c r="C263" s="502"/>
      <c r="D263" s="149" t="s">
        <v>36</v>
      </c>
      <c r="E263" s="289" t="s">
        <v>78</v>
      </c>
      <c r="F263" s="378"/>
      <c r="G263" s="378"/>
      <c r="H263" s="86">
        <f t="shared" si="33"/>
        <v>926</v>
      </c>
      <c r="I263" s="93">
        <f>930-4</f>
        <v>926</v>
      </c>
      <c r="J263" s="87">
        <v>0</v>
      </c>
      <c r="K263" s="87">
        <v>0</v>
      </c>
      <c r="L263" s="352"/>
    </row>
    <row r="264" spans="1:12" ht="75" customHeight="1">
      <c r="A264" s="342"/>
      <c r="B264" s="470"/>
      <c r="C264" s="473"/>
      <c r="D264" s="149" t="s">
        <v>36</v>
      </c>
      <c r="E264" s="299" t="s">
        <v>430</v>
      </c>
      <c r="F264" s="379"/>
      <c r="G264" s="379"/>
      <c r="H264" s="86">
        <f>I264+J264+K264</f>
        <v>2400</v>
      </c>
      <c r="I264" s="93">
        <v>2400</v>
      </c>
      <c r="J264" s="87">
        <v>0</v>
      </c>
      <c r="K264" s="87">
        <v>0</v>
      </c>
      <c r="L264" s="352"/>
    </row>
    <row r="265" spans="1:12" ht="75" customHeight="1">
      <c r="A265" s="342"/>
      <c r="B265" s="470"/>
      <c r="C265" s="390" t="s">
        <v>239</v>
      </c>
      <c r="D265" s="360" t="s">
        <v>350</v>
      </c>
      <c r="E265" s="361"/>
      <c r="F265" s="361"/>
      <c r="G265" s="362"/>
      <c r="H265" s="86">
        <f>SUM(H266:H272)</f>
        <v>80793.700000000012</v>
      </c>
      <c r="I265" s="86">
        <f>SUM(I266:I272)</f>
        <v>27333.67</v>
      </c>
      <c r="J265" s="86">
        <f>SUM(J266:J272)</f>
        <v>43460.03</v>
      </c>
      <c r="K265" s="86">
        <f>SUM(K266:K272)</f>
        <v>10000</v>
      </c>
      <c r="L265" s="352"/>
    </row>
    <row r="266" spans="1:12" ht="75" customHeight="1">
      <c r="A266" s="342"/>
      <c r="B266" s="470"/>
      <c r="C266" s="391"/>
      <c r="D266" s="149" t="s">
        <v>181</v>
      </c>
      <c r="E266" s="299" t="s">
        <v>81</v>
      </c>
      <c r="F266" s="240" t="s">
        <v>429</v>
      </c>
      <c r="G266" s="382" t="s">
        <v>409</v>
      </c>
      <c r="H266" s="86">
        <f t="shared" si="33"/>
        <v>15979.58</v>
      </c>
      <c r="I266" s="93">
        <f>6150-169.13</f>
        <v>5980.87</v>
      </c>
      <c r="J266" s="87">
        <f>3000+2000+378.71+2000-180+300</f>
        <v>7498.71</v>
      </c>
      <c r="K266" s="87">
        <v>2500</v>
      </c>
      <c r="L266" s="352"/>
    </row>
    <row r="267" spans="1:12" ht="75" customHeight="1">
      <c r="A267" s="342"/>
      <c r="B267" s="470"/>
      <c r="C267" s="391"/>
      <c r="D267" s="149" t="s">
        <v>181</v>
      </c>
      <c r="E267" s="299" t="s">
        <v>75</v>
      </c>
      <c r="F267" s="241"/>
      <c r="G267" s="382"/>
      <c r="H267" s="86">
        <f t="shared" si="33"/>
        <v>11902.249999999998</v>
      </c>
      <c r="I267" s="93">
        <f>169.13</f>
        <v>169.13</v>
      </c>
      <c r="J267" s="87">
        <f>3000+2000+267.12+3000+1024.7-58.7</f>
        <v>9233.119999999999</v>
      </c>
      <c r="K267" s="87">
        <v>2500</v>
      </c>
      <c r="L267" s="352"/>
    </row>
    <row r="268" spans="1:12" ht="75" customHeight="1">
      <c r="A268" s="342"/>
      <c r="B268" s="470"/>
      <c r="C268" s="391"/>
      <c r="D268" s="149" t="s">
        <v>181</v>
      </c>
      <c r="E268" s="299" t="s">
        <v>76</v>
      </c>
      <c r="F268" s="241"/>
      <c r="G268" s="382"/>
      <c r="H268" s="86">
        <f t="shared" si="33"/>
        <v>19618</v>
      </c>
      <c r="I268" s="93">
        <f>6930-395.9</f>
        <v>6534.1</v>
      </c>
      <c r="J268" s="87">
        <f>6000+2000+2583.9</f>
        <v>10583.9</v>
      </c>
      <c r="K268" s="87">
        <v>2500</v>
      </c>
      <c r="L268" s="352"/>
    </row>
    <row r="269" spans="1:12" ht="75" customHeight="1">
      <c r="A269" s="342"/>
      <c r="B269" s="470"/>
      <c r="C269" s="391"/>
      <c r="D269" s="149" t="s">
        <v>181</v>
      </c>
      <c r="E269" s="299" t="s">
        <v>74</v>
      </c>
      <c r="F269" s="241"/>
      <c r="G269" s="382"/>
      <c r="H269" s="86">
        <f t="shared" si="33"/>
        <v>15135</v>
      </c>
      <c r="I269" s="93">
        <v>3500</v>
      </c>
      <c r="J269" s="87">
        <f>3000+1000+1000+1600+2400+180-45</f>
        <v>9135</v>
      </c>
      <c r="K269" s="87">
        <v>2500</v>
      </c>
      <c r="L269" s="352"/>
    </row>
    <row r="270" spans="1:12" ht="75" customHeight="1">
      <c r="A270" s="342"/>
      <c r="B270" s="470"/>
      <c r="C270" s="391"/>
      <c r="D270" s="149" t="s">
        <v>181</v>
      </c>
      <c r="E270" s="236" t="s">
        <v>452</v>
      </c>
      <c r="F270" s="241"/>
      <c r="G270" s="382"/>
      <c r="H270" s="86">
        <f>I270+J270+K270</f>
        <v>1009.3</v>
      </c>
      <c r="I270" s="93">
        <v>0</v>
      </c>
      <c r="J270" s="87">
        <v>1009.3</v>
      </c>
      <c r="K270" s="87">
        <v>0</v>
      </c>
      <c r="L270" s="352"/>
    </row>
    <row r="271" spans="1:12" ht="87.75" customHeight="1">
      <c r="A271" s="342"/>
      <c r="B271" s="470"/>
      <c r="C271" s="391"/>
      <c r="D271" s="149" t="s">
        <v>181</v>
      </c>
      <c r="E271" s="289" t="s">
        <v>78</v>
      </c>
      <c r="F271" s="241"/>
      <c r="G271" s="382"/>
      <c r="H271" s="86">
        <f t="shared" si="33"/>
        <v>16589.57</v>
      </c>
      <c r="I271" s="93">
        <v>10589.57</v>
      </c>
      <c r="J271" s="87">
        <f>5000+1000</f>
        <v>6000</v>
      </c>
      <c r="K271" s="87">
        <v>0</v>
      </c>
      <c r="L271" s="352"/>
    </row>
    <row r="272" spans="1:12" ht="75" customHeight="1">
      <c r="A272" s="342"/>
      <c r="B272" s="470"/>
      <c r="C272" s="392"/>
      <c r="D272" s="149" t="s">
        <v>181</v>
      </c>
      <c r="E272" s="289" t="s">
        <v>77</v>
      </c>
      <c r="F272" s="241"/>
      <c r="G272" s="382"/>
      <c r="H272" s="86">
        <f t="shared" si="33"/>
        <v>560</v>
      </c>
      <c r="I272" s="93">
        <v>560</v>
      </c>
      <c r="J272" s="87">
        <v>0</v>
      </c>
      <c r="K272" s="87">
        <v>0</v>
      </c>
      <c r="L272" s="352"/>
    </row>
    <row r="273" spans="1:12" ht="186" customHeight="1">
      <c r="A273" s="342"/>
      <c r="B273" s="470"/>
      <c r="C273" s="239" t="s">
        <v>351</v>
      </c>
      <c r="D273" s="311" t="s">
        <v>67</v>
      </c>
      <c r="E273" s="289" t="s">
        <v>74</v>
      </c>
      <c r="F273" s="241"/>
      <c r="G273" s="382"/>
      <c r="H273" s="86">
        <f>I273+J273+K273</f>
        <v>6883</v>
      </c>
      <c r="I273" s="87">
        <f>3000+307.7-713.7</f>
        <v>2594</v>
      </c>
      <c r="J273" s="87">
        <f>2289+2000</f>
        <v>4289</v>
      </c>
      <c r="K273" s="87">
        <v>0</v>
      </c>
      <c r="L273" s="352"/>
    </row>
    <row r="274" spans="1:12" ht="339" customHeight="1">
      <c r="A274" s="342"/>
      <c r="B274" s="470"/>
      <c r="C274" s="472" t="s">
        <v>384</v>
      </c>
      <c r="D274" s="474" t="s">
        <v>388</v>
      </c>
      <c r="E274" s="380" t="s">
        <v>430</v>
      </c>
      <c r="F274" s="241"/>
      <c r="G274" s="375" t="s">
        <v>383</v>
      </c>
      <c r="H274" s="86">
        <f t="shared" si="33"/>
        <v>3799.8</v>
      </c>
      <c r="I274" s="87">
        <v>799.7</v>
      </c>
      <c r="J274" s="87">
        <f>2000+1000.1</f>
        <v>3000.1</v>
      </c>
      <c r="K274" s="87">
        <v>0</v>
      </c>
      <c r="L274" s="306" t="s">
        <v>387</v>
      </c>
    </row>
    <row r="275" spans="1:12" ht="96.75" customHeight="1">
      <c r="A275" s="342"/>
      <c r="B275" s="471"/>
      <c r="C275" s="473"/>
      <c r="D275" s="474"/>
      <c r="E275" s="380"/>
      <c r="F275" s="143"/>
      <c r="G275" s="376"/>
      <c r="H275" s="86">
        <f>I275+J275+K275</f>
        <v>15000</v>
      </c>
      <c r="I275" s="87"/>
      <c r="J275" s="87">
        <f>14000+1000</f>
        <v>15000</v>
      </c>
      <c r="K275" s="87"/>
      <c r="L275" s="306" t="s">
        <v>457</v>
      </c>
    </row>
    <row r="276" spans="1:12" ht="75" customHeight="1">
      <c r="A276" s="539" t="s">
        <v>72</v>
      </c>
      <c r="B276" s="540"/>
      <c r="C276" s="540"/>
      <c r="D276" s="540"/>
      <c r="E276" s="540"/>
      <c r="F276" s="540"/>
      <c r="G276" s="541"/>
      <c r="H276" s="86">
        <f>H249+H265+H273+H274+H275</f>
        <v>283357.11900000001</v>
      </c>
      <c r="I276" s="86">
        <f>I249+I265+I273+I274+I275</f>
        <v>102395.689</v>
      </c>
      <c r="J276" s="86">
        <f>J249+J265+J273+J274+J275</f>
        <v>160961.43000000002</v>
      </c>
      <c r="K276" s="86">
        <f>K249+K265+K273+K274+K275</f>
        <v>20000</v>
      </c>
      <c r="L276" s="501"/>
    </row>
    <row r="277" spans="1:12" ht="144" customHeight="1">
      <c r="A277" s="548" t="s">
        <v>17</v>
      </c>
      <c r="B277" s="548"/>
      <c r="C277" s="548"/>
      <c r="D277" s="548"/>
      <c r="E277" s="548"/>
      <c r="F277" s="549"/>
      <c r="G277" s="132" t="s">
        <v>201</v>
      </c>
      <c r="H277" s="104">
        <f>H260+H261+H263+H264+H262</f>
        <v>4763.7630000000008</v>
      </c>
      <c r="I277" s="104">
        <f>I260+I261+I263+I264+I262</f>
        <v>4763.7630000000008</v>
      </c>
      <c r="J277" s="104">
        <f t="shared" ref="J277:K277" si="35">J260+J261+J263+J264+J262</f>
        <v>0</v>
      </c>
      <c r="K277" s="104">
        <f t="shared" si="35"/>
        <v>0</v>
      </c>
      <c r="L277" s="501"/>
    </row>
    <row r="278" spans="1:12" ht="120.75" customHeight="1">
      <c r="A278" s="550"/>
      <c r="B278" s="550"/>
      <c r="C278" s="550"/>
      <c r="D278" s="550"/>
      <c r="E278" s="550"/>
      <c r="F278" s="551"/>
      <c r="G278" s="150" t="s">
        <v>383</v>
      </c>
      <c r="H278" s="104">
        <f t="shared" ref="H278:I278" si="36">H274+H275+H258</f>
        <v>24549.8</v>
      </c>
      <c r="I278" s="104">
        <f t="shared" si="36"/>
        <v>799.7</v>
      </c>
      <c r="J278" s="104">
        <f>J274+J275+J258</f>
        <v>23750.1</v>
      </c>
      <c r="K278" s="104">
        <f>K274+K275+K258</f>
        <v>0</v>
      </c>
      <c r="L278" s="501"/>
    </row>
    <row r="279" spans="1:12" ht="75" customHeight="1">
      <c r="A279" s="552"/>
      <c r="B279" s="552"/>
      <c r="C279" s="552"/>
      <c r="D279" s="552"/>
      <c r="E279" s="552"/>
      <c r="F279" s="553"/>
      <c r="G279" s="132" t="s">
        <v>409</v>
      </c>
      <c r="H279" s="104">
        <f>H250+H265+H273</f>
        <v>254043.55600000004</v>
      </c>
      <c r="I279" s="104">
        <f>I250+I265+I273</f>
        <v>96832.225999999995</v>
      </c>
      <c r="J279" s="104">
        <f>J250+J265+J273</f>
        <v>137211.33000000002</v>
      </c>
      <c r="K279" s="104">
        <f>K250+K265+K273</f>
        <v>20000</v>
      </c>
      <c r="L279" s="501"/>
    </row>
    <row r="280" spans="1:12" ht="75" customHeight="1">
      <c r="A280" s="484" t="s">
        <v>94</v>
      </c>
      <c r="B280" s="485"/>
      <c r="C280" s="485"/>
      <c r="D280" s="486"/>
      <c r="E280" s="351" t="s">
        <v>81</v>
      </c>
      <c r="F280" s="393"/>
      <c r="G280" s="151" t="s">
        <v>96</v>
      </c>
      <c r="H280" s="105">
        <f>SUM(H281:H282)</f>
        <v>38942.89</v>
      </c>
      <c r="I280" s="105">
        <f>SUM(I281:I282)</f>
        <v>13373.179999999998</v>
      </c>
      <c r="J280" s="105">
        <f>SUM(J281:J282)</f>
        <v>20569.71</v>
      </c>
      <c r="K280" s="105">
        <f>SUM(K281:K282)</f>
        <v>5000</v>
      </c>
      <c r="L280" s="501"/>
    </row>
    <row r="281" spans="1:12" ht="75" customHeight="1">
      <c r="A281" s="487"/>
      <c r="B281" s="488"/>
      <c r="C281" s="488"/>
      <c r="D281" s="489"/>
      <c r="E281" s="352"/>
      <c r="F281" s="393"/>
      <c r="G281" s="295" t="s">
        <v>409</v>
      </c>
      <c r="H281" s="91">
        <f>H252+H266</f>
        <v>38693.08</v>
      </c>
      <c r="I281" s="91">
        <f>I252+I266</f>
        <v>13123.369999999999</v>
      </c>
      <c r="J281" s="91">
        <f>J252+J266</f>
        <v>20569.71</v>
      </c>
      <c r="K281" s="91">
        <f>K252+K266</f>
        <v>5000</v>
      </c>
      <c r="L281" s="501"/>
    </row>
    <row r="282" spans="1:12" ht="147.75" customHeight="1">
      <c r="A282" s="487"/>
      <c r="B282" s="488"/>
      <c r="C282" s="488"/>
      <c r="D282" s="489"/>
      <c r="E282" s="353"/>
      <c r="F282" s="393"/>
      <c r="G282" s="295" t="s">
        <v>201</v>
      </c>
      <c r="H282" s="91">
        <f>H260</f>
        <v>249.81</v>
      </c>
      <c r="I282" s="91">
        <f>I260</f>
        <v>249.81</v>
      </c>
      <c r="J282" s="91">
        <f>J260</f>
        <v>0</v>
      </c>
      <c r="K282" s="91">
        <f>K260</f>
        <v>0</v>
      </c>
      <c r="L282" s="501"/>
    </row>
    <row r="283" spans="1:12" ht="75" customHeight="1">
      <c r="A283" s="487"/>
      <c r="B283" s="488"/>
      <c r="C283" s="488"/>
      <c r="D283" s="489"/>
      <c r="E283" s="299" t="s">
        <v>75</v>
      </c>
      <c r="F283" s="393"/>
      <c r="G283" s="393" t="s">
        <v>409</v>
      </c>
      <c r="H283" s="91">
        <f t="shared" ref="H283:K284" si="37">H253+H267</f>
        <v>15834.249999999998</v>
      </c>
      <c r="I283" s="91">
        <f t="shared" si="37"/>
        <v>601.13</v>
      </c>
      <c r="J283" s="91">
        <f t="shared" si="37"/>
        <v>10233.119999999999</v>
      </c>
      <c r="K283" s="91">
        <f t="shared" si="37"/>
        <v>5000</v>
      </c>
      <c r="L283" s="501"/>
    </row>
    <row r="284" spans="1:12" ht="75" customHeight="1">
      <c r="A284" s="487"/>
      <c r="B284" s="488"/>
      <c r="C284" s="488"/>
      <c r="D284" s="489"/>
      <c r="E284" s="299" t="s">
        <v>76</v>
      </c>
      <c r="F284" s="393"/>
      <c r="G284" s="393"/>
      <c r="H284" s="91">
        <f t="shared" si="37"/>
        <v>47807.554000000004</v>
      </c>
      <c r="I284" s="91">
        <f t="shared" si="37"/>
        <v>17723.654000000002</v>
      </c>
      <c r="J284" s="91">
        <f t="shared" si="37"/>
        <v>25083.9</v>
      </c>
      <c r="K284" s="91">
        <f t="shared" si="37"/>
        <v>5000</v>
      </c>
      <c r="L284" s="501"/>
    </row>
    <row r="285" spans="1:12" ht="75" customHeight="1">
      <c r="A285" s="487"/>
      <c r="B285" s="488"/>
      <c r="C285" s="488"/>
      <c r="D285" s="489"/>
      <c r="E285" s="351" t="s">
        <v>74</v>
      </c>
      <c r="F285" s="393"/>
      <c r="G285" s="151" t="s">
        <v>96</v>
      </c>
      <c r="H285" s="91">
        <f>H286+H287</f>
        <v>61503.155000000006</v>
      </c>
      <c r="I285" s="91">
        <f>I286+I287</f>
        <v>28179.155000000002</v>
      </c>
      <c r="J285" s="91">
        <f>J286+J287</f>
        <v>28324</v>
      </c>
      <c r="K285" s="91">
        <f>K286+K287</f>
        <v>5000</v>
      </c>
      <c r="L285" s="501"/>
    </row>
    <row r="286" spans="1:12" ht="75" customHeight="1">
      <c r="A286" s="487"/>
      <c r="B286" s="488"/>
      <c r="C286" s="488"/>
      <c r="D286" s="489"/>
      <c r="E286" s="352"/>
      <c r="F286" s="393"/>
      <c r="G286" s="295" t="s">
        <v>409</v>
      </c>
      <c r="H286" s="91">
        <f>H255+H269+H273</f>
        <v>60315.202000000005</v>
      </c>
      <c r="I286" s="91">
        <f>I255+I269+I273</f>
        <v>26991.202000000001</v>
      </c>
      <c r="J286" s="91">
        <f>J255+J269+J273</f>
        <v>28324</v>
      </c>
      <c r="K286" s="91">
        <f>K255+K269+K273</f>
        <v>5000</v>
      </c>
      <c r="L286" s="501"/>
    </row>
    <row r="287" spans="1:12" ht="143.25" customHeight="1">
      <c r="A287" s="487"/>
      <c r="B287" s="488"/>
      <c r="C287" s="488"/>
      <c r="D287" s="489"/>
      <c r="E287" s="353"/>
      <c r="F287" s="393"/>
      <c r="G287" s="295" t="s">
        <v>201</v>
      </c>
      <c r="H287" s="91">
        <f>H261</f>
        <v>1187.9530000000004</v>
      </c>
      <c r="I287" s="91">
        <f>I261</f>
        <v>1187.9530000000004</v>
      </c>
      <c r="J287" s="91">
        <f>J261</f>
        <v>0</v>
      </c>
      <c r="K287" s="91">
        <f>K261</f>
        <v>0</v>
      </c>
      <c r="L287" s="501"/>
    </row>
    <row r="288" spans="1:12" ht="84.75" customHeight="1">
      <c r="A288" s="487"/>
      <c r="B288" s="488"/>
      <c r="C288" s="488"/>
      <c r="D288" s="489"/>
      <c r="E288" s="351" t="s">
        <v>452</v>
      </c>
      <c r="F288" s="393"/>
      <c r="G288" s="151" t="s">
        <v>96</v>
      </c>
      <c r="H288" s="91">
        <f>H289+H290+H291</f>
        <v>6759.3</v>
      </c>
      <c r="I288" s="91">
        <f t="shared" ref="I288:K288" si="38">I289+I290+I291</f>
        <v>0</v>
      </c>
      <c r="J288" s="91">
        <f>J289+J290+J291</f>
        <v>6759.3</v>
      </c>
      <c r="K288" s="91">
        <f t="shared" si="38"/>
        <v>0</v>
      </c>
      <c r="L288" s="501"/>
    </row>
    <row r="289" spans="1:16" ht="63.75" customHeight="1">
      <c r="A289" s="487"/>
      <c r="B289" s="488"/>
      <c r="C289" s="488"/>
      <c r="D289" s="489"/>
      <c r="E289" s="352"/>
      <c r="F289" s="393"/>
      <c r="G289" s="295" t="s">
        <v>409</v>
      </c>
      <c r="H289" s="91">
        <f>I289+J289+K289</f>
        <v>1009.3</v>
      </c>
      <c r="I289" s="91">
        <v>0</v>
      </c>
      <c r="J289" s="91">
        <f>J270</f>
        <v>1009.3</v>
      </c>
      <c r="K289" s="91">
        <v>0</v>
      </c>
      <c r="L289" s="501"/>
    </row>
    <row r="290" spans="1:16" ht="143.25" customHeight="1">
      <c r="A290" s="487"/>
      <c r="B290" s="488"/>
      <c r="C290" s="488"/>
      <c r="D290" s="489"/>
      <c r="E290" s="352"/>
      <c r="F290" s="393"/>
      <c r="G290" s="132" t="s">
        <v>201</v>
      </c>
      <c r="H290" s="91">
        <f>I290+J290+K290</f>
        <v>0</v>
      </c>
      <c r="I290" s="91">
        <f>I262</f>
        <v>0</v>
      </c>
      <c r="J290" s="91">
        <f t="shared" ref="J290:K290" si="39">J262</f>
        <v>0</v>
      </c>
      <c r="K290" s="91">
        <f t="shared" si="39"/>
        <v>0</v>
      </c>
      <c r="L290" s="501"/>
    </row>
    <row r="291" spans="1:16" ht="118.5" customHeight="1">
      <c r="A291" s="487"/>
      <c r="B291" s="488"/>
      <c r="C291" s="488"/>
      <c r="D291" s="489"/>
      <c r="E291" s="353"/>
      <c r="F291" s="393"/>
      <c r="G291" s="132" t="s">
        <v>383</v>
      </c>
      <c r="H291" s="91">
        <f t="shared" ref="H291:I291" si="40">H258</f>
        <v>5750</v>
      </c>
      <c r="I291" s="91">
        <f t="shared" si="40"/>
        <v>0</v>
      </c>
      <c r="J291" s="91">
        <f>J258</f>
        <v>5750</v>
      </c>
      <c r="K291" s="91">
        <f>K258</f>
        <v>0</v>
      </c>
      <c r="L291" s="501"/>
    </row>
    <row r="292" spans="1:16" ht="75" customHeight="1">
      <c r="A292" s="487"/>
      <c r="B292" s="488"/>
      <c r="C292" s="488"/>
      <c r="D292" s="489"/>
      <c r="E292" s="351" t="s">
        <v>78</v>
      </c>
      <c r="F292" s="393"/>
      <c r="G292" s="151" t="s">
        <v>96</v>
      </c>
      <c r="H292" s="91">
        <f>H293+H294</f>
        <v>30445.57</v>
      </c>
      <c r="I292" s="91">
        <f>I293+I294</f>
        <v>18345.57</v>
      </c>
      <c r="J292" s="91">
        <f>J293+J294</f>
        <v>12100</v>
      </c>
      <c r="K292" s="91">
        <f>K293+K294</f>
        <v>0</v>
      </c>
      <c r="L292" s="501"/>
    </row>
    <row r="293" spans="1:16" ht="75" customHeight="1">
      <c r="A293" s="487"/>
      <c r="B293" s="488"/>
      <c r="C293" s="488"/>
      <c r="D293" s="489"/>
      <c r="E293" s="352"/>
      <c r="F293" s="393"/>
      <c r="G293" s="295" t="s">
        <v>409</v>
      </c>
      <c r="H293" s="91">
        <f>H256+H271</f>
        <v>29519.57</v>
      </c>
      <c r="I293" s="91">
        <f>I256+I271</f>
        <v>17419.57</v>
      </c>
      <c r="J293" s="91">
        <f>J256+J271</f>
        <v>12100</v>
      </c>
      <c r="K293" s="91">
        <f>K256+K271</f>
        <v>0</v>
      </c>
      <c r="L293" s="501"/>
    </row>
    <row r="294" spans="1:16" ht="139.5" customHeight="1">
      <c r="A294" s="487"/>
      <c r="B294" s="488"/>
      <c r="C294" s="488"/>
      <c r="D294" s="489"/>
      <c r="E294" s="353"/>
      <c r="F294" s="393"/>
      <c r="G294" s="295" t="s">
        <v>201</v>
      </c>
      <c r="H294" s="91">
        <f>H263</f>
        <v>926</v>
      </c>
      <c r="I294" s="91">
        <f>I263</f>
        <v>926</v>
      </c>
      <c r="J294" s="91">
        <f>J263</f>
        <v>0</v>
      </c>
      <c r="K294" s="91">
        <f>K263</f>
        <v>0</v>
      </c>
      <c r="L294" s="501"/>
    </row>
    <row r="295" spans="1:16" ht="99.75" customHeight="1">
      <c r="A295" s="487"/>
      <c r="B295" s="488"/>
      <c r="C295" s="488"/>
      <c r="D295" s="489"/>
      <c r="E295" s="299" t="s">
        <v>77</v>
      </c>
      <c r="F295" s="393"/>
      <c r="G295" s="152" t="s">
        <v>409</v>
      </c>
      <c r="H295" s="91">
        <f>H257+H272</f>
        <v>1250</v>
      </c>
      <c r="I295" s="91">
        <f>I257+I272</f>
        <v>1250</v>
      </c>
      <c r="J295" s="91">
        <f>J257+J272</f>
        <v>0</v>
      </c>
      <c r="K295" s="91">
        <f>K257+K272</f>
        <v>0</v>
      </c>
      <c r="L295" s="501"/>
    </row>
    <row r="296" spans="1:16" ht="75" customHeight="1">
      <c r="A296" s="487"/>
      <c r="B296" s="488"/>
      <c r="C296" s="488"/>
      <c r="D296" s="489"/>
      <c r="E296" s="351" t="s">
        <v>430</v>
      </c>
      <c r="F296" s="393"/>
      <c r="G296" s="151" t="s">
        <v>96</v>
      </c>
      <c r="H296" s="91">
        <f>H297+H298</f>
        <v>78414.400000000009</v>
      </c>
      <c r="I296" s="91">
        <f>I297+I298</f>
        <v>20523</v>
      </c>
      <c r="J296" s="91">
        <f>J297+J298</f>
        <v>57891.4</v>
      </c>
      <c r="K296" s="91">
        <f>K297+K298</f>
        <v>0</v>
      </c>
      <c r="L296" s="501"/>
    </row>
    <row r="297" spans="1:16" ht="75" customHeight="1">
      <c r="A297" s="487"/>
      <c r="B297" s="488"/>
      <c r="C297" s="488"/>
      <c r="D297" s="489"/>
      <c r="E297" s="352"/>
      <c r="F297" s="393"/>
      <c r="G297" s="304" t="s">
        <v>383</v>
      </c>
      <c r="H297" s="91">
        <f>H274+H275</f>
        <v>18799.8</v>
      </c>
      <c r="I297" s="91">
        <f>I274+I275</f>
        <v>799.7</v>
      </c>
      <c r="J297" s="91">
        <f>J274+J275</f>
        <v>18000.099999999999</v>
      </c>
      <c r="K297" s="91">
        <f>K274+K275</f>
        <v>0</v>
      </c>
      <c r="L297" s="501"/>
    </row>
    <row r="298" spans="1:16" ht="75" customHeight="1">
      <c r="A298" s="490"/>
      <c r="B298" s="491"/>
      <c r="C298" s="491"/>
      <c r="D298" s="492"/>
      <c r="E298" s="353"/>
      <c r="F298" s="393"/>
      <c r="G298" s="303" t="s">
        <v>409</v>
      </c>
      <c r="H298" s="91">
        <f>H251</f>
        <v>59614.600000000006</v>
      </c>
      <c r="I298" s="91">
        <f>I251</f>
        <v>19723.3</v>
      </c>
      <c r="J298" s="91">
        <f>J251</f>
        <v>39891.300000000003</v>
      </c>
      <c r="K298" s="91">
        <f>K251</f>
        <v>0</v>
      </c>
      <c r="L298" s="501"/>
    </row>
    <row r="299" spans="1:16" ht="75" customHeight="1">
      <c r="A299" s="539" t="s">
        <v>101</v>
      </c>
      <c r="B299" s="540"/>
      <c r="C299" s="540"/>
      <c r="D299" s="540"/>
      <c r="E299" s="540"/>
      <c r="F299" s="541"/>
      <c r="G299" s="153"/>
      <c r="H299" s="86">
        <v>636622.19999999995</v>
      </c>
      <c r="I299" s="86">
        <f>I139+I201+I237+I276</f>
        <v>291091.83100000001</v>
      </c>
      <c r="J299" s="86">
        <v>257509.5</v>
      </c>
      <c r="K299" s="86">
        <f t="shared" ref="K299" si="41">K139+K201+K237+K276</f>
        <v>88020.929299999989</v>
      </c>
      <c r="L299" s="336"/>
      <c r="N299" s="253"/>
      <c r="P299" s="254"/>
    </row>
    <row r="300" spans="1:16" ht="75" customHeight="1">
      <c r="A300" s="542" t="s">
        <v>102</v>
      </c>
      <c r="B300" s="542"/>
      <c r="C300" s="542"/>
      <c r="D300" s="542"/>
      <c r="E300" s="542"/>
      <c r="F300" s="543"/>
      <c r="G300" s="303" t="s">
        <v>406</v>
      </c>
      <c r="H300" s="86">
        <f>H140+H202+H238</f>
        <v>277906.41229999997</v>
      </c>
      <c r="I300" s="86">
        <f t="shared" ref="I300:K300" si="42">I140+I202+I238</f>
        <v>124866.12299999998</v>
      </c>
      <c r="J300" s="86">
        <f>J140+J202+J238</f>
        <v>85019.360000000015</v>
      </c>
      <c r="K300" s="86">
        <f t="shared" si="42"/>
        <v>68020.929299999989</v>
      </c>
      <c r="L300" s="337"/>
      <c r="N300" s="253"/>
      <c r="P300" s="254"/>
    </row>
    <row r="301" spans="1:16" ht="75" customHeight="1">
      <c r="A301" s="544"/>
      <c r="B301" s="544"/>
      <c r="C301" s="544"/>
      <c r="D301" s="544"/>
      <c r="E301" s="544"/>
      <c r="F301" s="545"/>
      <c r="G301" s="303" t="s">
        <v>409</v>
      </c>
      <c r="H301" s="86">
        <v>254043.5</v>
      </c>
      <c r="I301" s="86">
        <f>I279</f>
        <v>96832.225999999995</v>
      </c>
      <c r="J301" s="86">
        <v>137211.29999999999</v>
      </c>
      <c r="K301" s="86">
        <f t="shared" ref="J301:K301" si="43">K279</f>
        <v>20000</v>
      </c>
      <c r="L301" s="337"/>
      <c r="N301" s="253"/>
      <c r="P301" s="254"/>
    </row>
    <row r="302" spans="1:16" ht="102" customHeight="1">
      <c r="A302" s="544"/>
      <c r="B302" s="544"/>
      <c r="C302" s="544"/>
      <c r="D302" s="544"/>
      <c r="E302" s="544"/>
      <c r="F302" s="545"/>
      <c r="G302" s="303" t="s">
        <v>95</v>
      </c>
      <c r="H302" s="86">
        <f>H141</f>
        <v>52689.700000000004</v>
      </c>
      <c r="I302" s="86">
        <f>I141</f>
        <v>52689.700000000004</v>
      </c>
      <c r="J302" s="86">
        <f>J141</f>
        <v>0</v>
      </c>
      <c r="K302" s="86">
        <f>K141</f>
        <v>0</v>
      </c>
      <c r="L302" s="337"/>
      <c r="N302" s="253"/>
      <c r="P302" s="254"/>
    </row>
    <row r="303" spans="1:16" ht="219" customHeight="1">
      <c r="A303" s="544"/>
      <c r="B303" s="544"/>
      <c r="C303" s="544"/>
      <c r="D303" s="544"/>
      <c r="E303" s="544"/>
      <c r="F303" s="545"/>
      <c r="G303" s="295" t="s">
        <v>99</v>
      </c>
      <c r="H303" s="86">
        <f>H204+H239</f>
        <v>18015.819000000003</v>
      </c>
      <c r="I303" s="86">
        <f>I204+I239</f>
        <v>6612.1190000000006</v>
      </c>
      <c r="J303" s="86">
        <f>J204+J239</f>
        <v>11403.7</v>
      </c>
      <c r="K303" s="86">
        <f>K204+K239</f>
        <v>0</v>
      </c>
      <c r="L303" s="337"/>
      <c r="N303" s="253"/>
      <c r="P303" s="254"/>
    </row>
    <row r="304" spans="1:16" ht="168" customHeight="1">
      <c r="A304" s="544"/>
      <c r="B304" s="544"/>
      <c r="C304" s="544"/>
      <c r="D304" s="544"/>
      <c r="E304" s="544"/>
      <c r="F304" s="545"/>
      <c r="G304" s="303" t="s">
        <v>98</v>
      </c>
      <c r="H304" s="86">
        <f>H142+H203</f>
        <v>4468.2</v>
      </c>
      <c r="I304" s="86">
        <f>I142+I203</f>
        <v>4468.2</v>
      </c>
      <c r="J304" s="86">
        <f>J142+J203</f>
        <v>0</v>
      </c>
      <c r="K304" s="86">
        <f>K142+K203</f>
        <v>0</v>
      </c>
      <c r="L304" s="337"/>
      <c r="N304" s="253"/>
      <c r="P304" s="254"/>
    </row>
    <row r="305" spans="1:16" ht="160.5" customHeight="1">
      <c r="A305" s="544"/>
      <c r="B305" s="544"/>
      <c r="C305" s="544"/>
      <c r="D305" s="544"/>
      <c r="E305" s="544"/>
      <c r="F305" s="545"/>
      <c r="G305" s="295" t="s">
        <v>201</v>
      </c>
      <c r="H305" s="86">
        <f t="shared" ref="H305:K306" si="44">H277</f>
        <v>4763.7630000000008</v>
      </c>
      <c r="I305" s="86">
        <f>I277</f>
        <v>4763.7630000000008</v>
      </c>
      <c r="J305" s="86">
        <f t="shared" si="44"/>
        <v>0</v>
      </c>
      <c r="K305" s="86">
        <f t="shared" si="44"/>
        <v>0</v>
      </c>
      <c r="L305" s="337"/>
      <c r="N305" s="253"/>
      <c r="P305" s="254"/>
    </row>
    <row r="306" spans="1:16" ht="75" customHeight="1">
      <c r="A306" s="544"/>
      <c r="B306" s="544"/>
      <c r="C306" s="544"/>
      <c r="D306" s="544"/>
      <c r="E306" s="544"/>
      <c r="F306" s="545"/>
      <c r="G306" s="304" t="s">
        <v>383</v>
      </c>
      <c r="H306" s="86">
        <f t="shared" si="44"/>
        <v>24549.8</v>
      </c>
      <c r="I306" s="86">
        <f t="shared" si="44"/>
        <v>799.7</v>
      </c>
      <c r="J306" s="86">
        <f>J278</f>
        <v>23750.1</v>
      </c>
      <c r="K306" s="86">
        <f t="shared" si="44"/>
        <v>0</v>
      </c>
      <c r="L306" s="337"/>
      <c r="N306" s="253">
        <f t="shared" ref="N306" si="45">I306+J306+K306</f>
        <v>24549.8</v>
      </c>
      <c r="P306" s="254">
        <f t="shared" ref="P306" si="46">H306-N306</f>
        <v>0</v>
      </c>
    </row>
    <row r="307" spans="1:16" ht="75" customHeight="1">
      <c r="A307" s="546"/>
      <c r="B307" s="546"/>
      <c r="C307" s="546"/>
      <c r="D307" s="546"/>
      <c r="E307" s="546"/>
      <c r="F307" s="547"/>
      <c r="G307" s="303" t="s">
        <v>317</v>
      </c>
      <c r="H307" s="86">
        <f>H143</f>
        <v>185</v>
      </c>
      <c r="I307" s="86">
        <f>I143</f>
        <v>60</v>
      </c>
      <c r="J307" s="86">
        <f>J143</f>
        <v>125</v>
      </c>
      <c r="K307" s="86">
        <f>K143</f>
        <v>0</v>
      </c>
      <c r="L307" s="337"/>
      <c r="N307" s="253">
        <f>I307+J307+K307</f>
        <v>185</v>
      </c>
      <c r="P307" s="254">
        <f>H307-N307</f>
        <v>0</v>
      </c>
    </row>
    <row r="308" spans="1:16" ht="75" customHeight="1">
      <c r="A308" s="542" t="s">
        <v>94</v>
      </c>
      <c r="B308" s="542"/>
      <c r="C308" s="542"/>
      <c r="D308" s="543"/>
      <c r="E308" s="339" t="s">
        <v>81</v>
      </c>
      <c r="F308" s="387"/>
      <c r="G308" s="303" t="s">
        <v>89</v>
      </c>
      <c r="H308" s="86">
        <f>SUM(H309:H314)</f>
        <v>83026.170000000013</v>
      </c>
      <c r="I308" s="86">
        <f>SUM(I309:I314)</f>
        <v>41972.020000000004</v>
      </c>
      <c r="J308" s="86">
        <f>SUM(J309:J314)</f>
        <v>30647.65</v>
      </c>
      <c r="K308" s="86">
        <f>SUM(K309:K314)</f>
        <v>10406.5</v>
      </c>
      <c r="L308" s="154"/>
    </row>
    <row r="309" spans="1:16" ht="75" customHeight="1">
      <c r="A309" s="544"/>
      <c r="B309" s="544"/>
      <c r="C309" s="544"/>
      <c r="D309" s="545"/>
      <c r="E309" s="340"/>
      <c r="F309" s="388"/>
      <c r="G309" s="286" t="s">
        <v>405</v>
      </c>
      <c r="H309" s="87">
        <f>H145+H207</f>
        <v>31389.88</v>
      </c>
      <c r="I309" s="87">
        <f>I145+I207</f>
        <v>15905.439999999999</v>
      </c>
      <c r="J309" s="87">
        <f>J145+J207</f>
        <v>10077.940000000002</v>
      </c>
      <c r="K309" s="87">
        <f t="shared" ref="K309" si="47">K145+K207</f>
        <v>5406.5</v>
      </c>
      <c r="L309" s="155"/>
    </row>
    <row r="310" spans="1:16" ht="75" customHeight="1">
      <c r="A310" s="544"/>
      <c r="B310" s="544"/>
      <c r="C310" s="544"/>
      <c r="D310" s="545"/>
      <c r="E310" s="340"/>
      <c r="F310" s="388"/>
      <c r="G310" s="278" t="s">
        <v>95</v>
      </c>
      <c r="H310" s="87">
        <f>H148</f>
        <v>12485.6</v>
      </c>
      <c r="I310" s="87">
        <f>I148</f>
        <v>12485.6</v>
      </c>
      <c r="J310" s="87">
        <f>J148</f>
        <v>0</v>
      </c>
      <c r="K310" s="87">
        <f>K148</f>
        <v>0</v>
      </c>
      <c r="L310" s="155"/>
    </row>
    <row r="311" spans="1:16" ht="174.75" customHeight="1">
      <c r="A311" s="544"/>
      <c r="B311" s="544"/>
      <c r="C311" s="544"/>
      <c r="D311" s="545"/>
      <c r="E311" s="340"/>
      <c r="F311" s="388"/>
      <c r="G311" s="278" t="str">
        <f>G146</f>
        <v>Субвенція з місцевого бюджету на здійснення переданих видатків у сфері охорони здоров'я за рахунок коштів медичної субвенції (загальний фонд)</v>
      </c>
      <c r="H311" s="89">
        <f>H146+H206</f>
        <v>147.79999999999998</v>
      </c>
      <c r="I311" s="89">
        <f>I146+I206</f>
        <v>147.79999999999998</v>
      </c>
      <c r="J311" s="89">
        <f>J146+J206</f>
        <v>0</v>
      </c>
      <c r="K311" s="89">
        <f>K146+K206</f>
        <v>0</v>
      </c>
      <c r="L311" s="155"/>
    </row>
    <row r="312" spans="1:16" ht="147.75" customHeight="1">
      <c r="A312" s="544"/>
      <c r="B312" s="544"/>
      <c r="C312" s="544"/>
      <c r="D312" s="545"/>
      <c r="E312" s="340"/>
      <c r="F312" s="388"/>
      <c r="G312" s="278" t="s">
        <v>201</v>
      </c>
      <c r="H312" s="87">
        <f>H282</f>
        <v>249.81</v>
      </c>
      <c r="I312" s="87">
        <f>I282</f>
        <v>249.81</v>
      </c>
      <c r="J312" s="87">
        <f>J282</f>
        <v>0</v>
      </c>
      <c r="K312" s="87">
        <f>K282</f>
        <v>0</v>
      </c>
      <c r="L312" s="155"/>
    </row>
    <row r="313" spans="1:16" ht="75" customHeight="1">
      <c r="A313" s="544"/>
      <c r="B313" s="544"/>
      <c r="C313" s="544"/>
      <c r="D313" s="545"/>
      <c r="E313" s="340"/>
      <c r="F313" s="388"/>
      <c r="G313" s="286" t="s">
        <v>317</v>
      </c>
      <c r="H313" s="87">
        <f>H147</f>
        <v>60</v>
      </c>
      <c r="I313" s="87">
        <f>I147</f>
        <v>60</v>
      </c>
      <c r="J313" s="87">
        <f>J147</f>
        <v>0</v>
      </c>
      <c r="K313" s="87">
        <f>K147</f>
        <v>0</v>
      </c>
      <c r="L313" s="155"/>
    </row>
    <row r="314" spans="1:16" ht="85.5" customHeight="1">
      <c r="A314" s="544"/>
      <c r="B314" s="544"/>
      <c r="C314" s="544"/>
      <c r="D314" s="545"/>
      <c r="E314" s="341"/>
      <c r="F314" s="388"/>
      <c r="G314" s="286" t="s">
        <v>409</v>
      </c>
      <c r="H314" s="87">
        <f>H281</f>
        <v>38693.08</v>
      </c>
      <c r="I314" s="87">
        <f>I281</f>
        <v>13123.369999999999</v>
      </c>
      <c r="J314" s="87">
        <f>J281</f>
        <v>20569.71</v>
      </c>
      <c r="K314" s="87">
        <f>K281</f>
        <v>5000</v>
      </c>
      <c r="L314" s="155"/>
    </row>
    <row r="315" spans="1:16" ht="75" customHeight="1">
      <c r="A315" s="544"/>
      <c r="B315" s="544"/>
      <c r="C315" s="544"/>
      <c r="D315" s="545"/>
      <c r="E315" s="339" t="s">
        <v>75</v>
      </c>
      <c r="F315" s="388"/>
      <c r="G315" s="303" t="s">
        <v>89</v>
      </c>
      <c r="H315" s="86">
        <f>SUM(H316:H318)</f>
        <v>59070.850000000006</v>
      </c>
      <c r="I315" s="86">
        <f>SUM(I316:I318)</f>
        <v>21952.03</v>
      </c>
      <c r="J315" s="86">
        <f>SUM(J316:J318)</f>
        <v>21488.22</v>
      </c>
      <c r="K315" s="86">
        <f>SUM(K316:K318)</f>
        <v>15630.599999999999</v>
      </c>
      <c r="L315" s="155"/>
    </row>
    <row r="316" spans="1:16" ht="75" customHeight="1">
      <c r="A316" s="544"/>
      <c r="B316" s="544"/>
      <c r="C316" s="544"/>
      <c r="D316" s="545"/>
      <c r="E316" s="340"/>
      <c r="F316" s="388"/>
      <c r="G316" s="286" t="s">
        <v>405</v>
      </c>
      <c r="H316" s="87">
        <f>H150+H208+H245</f>
        <v>35076.500000000007</v>
      </c>
      <c r="I316" s="87">
        <f>I150+I208+I245</f>
        <v>13190.799999999997</v>
      </c>
      <c r="J316" s="87">
        <f>J150+J208+J245</f>
        <v>11255.1</v>
      </c>
      <c r="K316" s="87">
        <f>K150+K208+K245</f>
        <v>10630.599999999999</v>
      </c>
      <c r="L316" s="290"/>
    </row>
    <row r="317" spans="1:16" ht="75" customHeight="1">
      <c r="A317" s="544"/>
      <c r="B317" s="544"/>
      <c r="C317" s="544"/>
      <c r="D317" s="545"/>
      <c r="E317" s="340"/>
      <c r="F317" s="388"/>
      <c r="G317" s="278" t="s">
        <v>95</v>
      </c>
      <c r="H317" s="87">
        <f>H151</f>
        <v>8160.1</v>
      </c>
      <c r="I317" s="87">
        <f>I151</f>
        <v>8160.1</v>
      </c>
      <c r="J317" s="87">
        <f>J151</f>
        <v>0</v>
      </c>
      <c r="K317" s="87">
        <f>K151</f>
        <v>0</v>
      </c>
      <c r="L317" s="155"/>
    </row>
    <row r="318" spans="1:16" ht="75" customHeight="1">
      <c r="A318" s="544"/>
      <c r="B318" s="544"/>
      <c r="C318" s="544"/>
      <c r="D318" s="545"/>
      <c r="E318" s="341"/>
      <c r="F318" s="388"/>
      <c r="G318" s="286" t="s">
        <v>409</v>
      </c>
      <c r="H318" s="87">
        <f>H283</f>
        <v>15834.249999999998</v>
      </c>
      <c r="I318" s="87">
        <f>I283</f>
        <v>601.13</v>
      </c>
      <c r="J318" s="87">
        <f>J283</f>
        <v>10233.119999999999</v>
      </c>
      <c r="K318" s="87">
        <f>K283</f>
        <v>5000</v>
      </c>
      <c r="L318" s="290"/>
    </row>
    <row r="319" spans="1:16" ht="75" customHeight="1">
      <c r="A319" s="544"/>
      <c r="B319" s="544"/>
      <c r="C319" s="544"/>
      <c r="D319" s="545"/>
      <c r="E319" s="339" t="s">
        <v>76</v>
      </c>
      <c r="F319" s="388"/>
      <c r="G319" s="303" t="s">
        <v>89</v>
      </c>
      <c r="H319" s="86">
        <f>SUM(H320:H323)</f>
        <v>105089.784</v>
      </c>
      <c r="I319" s="86">
        <f>SUM(I320:I323)</f>
        <v>56314.853999999999</v>
      </c>
      <c r="J319" s="86">
        <f>SUM(J320:J323)</f>
        <v>35864.94</v>
      </c>
      <c r="K319" s="86">
        <f>SUM(K320:K323)</f>
        <v>12909.99</v>
      </c>
      <c r="L319" s="290"/>
    </row>
    <row r="320" spans="1:16" ht="75" customHeight="1">
      <c r="A320" s="544"/>
      <c r="B320" s="544"/>
      <c r="C320" s="544"/>
      <c r="D320" s="545"/>
      <c r="E320" s="340"/>
      <c r="F320" s="388"/>
      <c r="G320" s="286" t="s">
        <v>405</v>
      </c>
      <c r="H320" s="87">
        <f>H153+H209+H246</f>
        <v>41735.729999999996</v>
      </c>
      <c r="I320" s="87">
        <f>I153+I209+I246</f>
        <v>23044.699999999997</v>
      </c>
      <c r="J320" s="87">
        <f>J153+J209+J246</f>
        <v>10781.04</v>
      </c>
      <c r="K320" s="87">
        <f>K153+K209+K246</f>
        <v>7909.99</v>
      </c>
      <c r="L320" s="290"/>
    </row>
    <row r="321" spans="1:12" ht="91.5" customHeight="1">
      <c r="A321" s="544"/>
      <c r="B321" s="544"/>
      <c r="C321" s="544"/>
      <c r="D321" s="545"/>
      <c r="E321" s="340"/>
      <c r="F321" s="388"/>
      <c r="G321" s="278" t="s">
        <v>95</v>
      </c>
      <c r="H321" s="87">
        <f t="shared" ref="H321:K322" si="48">H154</f>
        <v>12866.2</v>
      </c>
      <c r="I321" s="87">
        <f t="shared" si="48"/>
        <v>12866.2</v>
      </c>
      <c r="J321" s="87">
        <f t="shared" si="48"/>
        <v>0</v>
      </c>
      <c r="K321" s="87">
        <f t="shared" si="48"/>
        <v>0</v>
      </c>
      <c r="L321" s="290"/>
    </row>
    <row r="322" spans="1:12" ht="159" customHeight="1">
      <c r="A322" s="544"/>
      <c r="B322" s="544"/>
      <c r="C322" s="544"/>
      <c r="D322" s="545"/>
      <c r="E322" s="340"/>
      <c r="F322" s="388"/>
      <c r="G322" s="278" t="s">
        <v>98</v>
      </c>
      <c r="H322" s="87">
        <f t="shared" si="48"/>
        <v>2680.3</v>
      </c>
      <c r="I322" s="87">
        <f t="shared" si="48"/>
        <v>2680.3</v>
      </c>
      <c r="J322" s="87">
        <f t="shared" si="48"/>
        <v>0</v>
      </c>
      <c r="K322" s="87">
        <f t="shared" si="48"/>
        <v>0</v>
      </c>
      <c r="L322" s="290"/>
    </row>
    <row r="323" spans="1:12" ht="75" customHeight="1">
      <c r="A323" s="544"/>
      <c r="B323" s="544"/>
      <c r="C323" s="544"/>
      <c r="D323" s="545"/>
      <c r="E323" s="341"/>
      <c r="F323" s="388"/>
      <c r="G323" s="286" t="s">
        <v>409</v>
      </c>
      <c r="H323" s="87">
        <f>H284</f>
        <v>47807.554000000004</v>
      </c>
      <c r="I323" s="87">
        <f>I284</f>
        <v>17723.654000000002</v>
      </c>
      <c r="J323" s="87">
        <f>J284</f>
        <v>25083.9</v>
      </c>
      <c r="K323" s="87">
        <f>K284</f>
        <v>5000</v>
      </c>
      <c r="L323" s="290"/>
    </row>
    <row r="324" spans="1:12" ht="75" customHeight="1">
      <c r="A324" s="544"/>
      <c r="B324" s="544"/>
      <c r="C324" s="544"/>
      <c r="D324" s="545"/>
      <c r="E324" s="339" t="s">
        <v>74</v>
      </c>
      <c r="F324" s="388"/>
      <c r="G324" s="303" t="s">
        <v>89</v>
      </c>
      <c r="H324" s="86">
        <f>SUM(H325:H328)</f>
        <v>118472.86000000002</v>
      </c>
      <c r="I324" s="86">
        <f>SUM(I325:I328)</f>
        <v>62849.538</v>
      </c>
      <c r="J324" s="86">
        <f>SUM(J325:J328)</f>
        <v>41401.129999999997</v>
      </c>
      <c r="K324" s="86">
        <f>SUM(K325:K328)</f>
        <v>14222.192000000001</v>
      </c>
      <c r="L324" s="290"/>
    </row>
    <row r="325" spans="1:12" ht="75" customHeight="1">
      <c r="A325" s="544"/>
      <c r="B325" s="544"/>
      <c r="C325" s="544"/>
      <c r="D325" s="545"/>
      <c r="E325" s="340"/>
      <c r="F325" s="388"/>
      <c r="G325" s="287" t="s">
        <v>405</v>
      </c>
      <c r="H325" s="87">
        <f>H157+H210+H247</f>
        <v>45271.705000000002</v>
      </c>
      <c r="I325" s="87">
        <f>I157+I210+I247</f>
        <v>22972.383000000002</v>
      </c>
      <c r="J325" s="87">
        <f>J157+J210+J247</f>
        <v>13077.129999999997</v>
      </c>
      <c r="K325" s="87">
        <f>K157+K210+K247</f>
        <v>9222.1920000000009</v>
      </c>
      <c r="L325" s="290"/>
    </row>
    <row r="326" spans="1:12" ht="75" customHeight="1">
      <c r="A326" s="544"/>
      <c r="B326" s="544"/>
      <c r="C326" s="544"/>
      <c r="D326" s="545"/>
      <c r="E326" s="340"/>
      <c r="F326" s="388"/>
      <c r="G326" s="278" t="s">
        <v>95</v>
      </c>
      <c r="H326" s="87">
        <f>H158</f>
        <v>11698</v>
      </c>
      <c r="I326" s="87">
        <f>I158</f>
        <v>11698</v>
      </c>
      <c r="J326" s="87">
        <f>J158</f>
        <v>0</v>
      </c>
      <c r="K326" s="87">
        <f>K158</f>
        <v>0</v>
      </c>
      <c r="L326" s="290"/>
    </row>
    <row r="327" spans="1:12" ht="168.75" customHeight="1">
      <c r="A327" s="544"/>
      <c r="B327" s="544"/>
      <c r="C327" s="544"/>
      <c r="D327" s="545"/>
      <c r="E327" s="340"/>
      <c r="F327" s="388"/>
      <c r="G327" s="278" t="s">
        <v>201</v>
      </c>
      <c r="H327" s="87">
        <f>H287</f>
        <v>1187.9530000000004</v>
      </c>
      <c r="I327" s="87">
        <f>I287</f>
        <v>1187.9530000000004</v>
      </c>
      <c r="J327" s="87">
        <f>J287</f>
        <v>0</v>
      </c>
      <c r="K327" s="87">
        <f>K287</f>
        <v>0</v>
      </c>
      <c r="L327" s="290"/>
    </row>
    <row r="328" spans="1:12" ht="75" customHeight="1">
      <c r="A328" s="544"/>
      <c r="B328" s="544"/>
      <c r="C328" s="544"/>
      <c r="D328" s="545"/>
      <c r="E328" s="341"/>
      <c r="F328" s="388"/>
      <c r="G328" s="286" t="s">
        <v>409</v>
      </c>
      <c r="H328" s="87">
        <f>H286</f>
        <v>60315.202000000005</v>
      </c>
      <c r="I328" s="87">
        <f>I286</f>
        <v>26991.202000000001</v>
      </c>
      <c r="J328" s="87">
        <f>J286</f>
        <v>28324</v>
      </c>
      <c r="K328" s="87">
        <f>K286</f>
        <v>5000</v>
      </c>
      <c r="L328" s="290"/>
    </row>
    <row r="329" spans="1:12" ht="75" customHeight="1">
      <c r="A329" s="544"/>
      <c r="B329" s="544"/>
      <c r="C329" s="544"/>
      <c r="D329" s="545"/>
      <c r="E329" s="394" t="s">
        <v>452</v>
      </c>
      <c r="F329" s="388"/>
      <c r="G329" s="303" t="s">
        <v>89</v>
      </c>
      <c r="H329" s="87">
        <f>H330+H331+H332+H334+H333</f>
        <v>9397.9</v>
      </c>
      <c r="I329" s="87">
        <f t="shared" ref="I329:K329" si="49">I330+I331+I332+I334+I333</f>
        <v>0</v>
      </c>
      <c r="J329" s="87">
        <f t="shared" si="49"/>
        <v>10407.200000000001</v>
      </c>
      <c r="K329" s="87">
        <f t="shared" si="49"/>
        <v>0</v>
      </c>
      <c r="L329" s="290"/>
    </row>
    <row r="330" spans="1:12" ht="75" customHeight="1">
      <c r="A330" s="544"/>
      <c r="B330" s="544"/>
      <c r="C330" s="544"/>
      <c r="D330" s="545"/>
      <c r="E330" s="395"/>
      <c r="F330" s="388"/>
      <c r="G330" s="287" t="s">
        <v>405</v>
      </c>
      <c r="H330" s="87">
        <f t="shared" ref="H330:I330" si="50">H161+H177</f>
        <v>3522.8999999999996</v>
      </c>
      <c r="I330" s="87">
        <f t="shared" si="50"/>
        <v>0</v>
      </c>
      <c r="J330" s="87">
        <f>J161+J177</f>
        <v>3522.8999999999996</v>
      </c>
      <c r="K330" s="87">
        <f>K161+K177</f>
        <v>0</v>
      </c>
      <c r="L330" s="290"/>
    </row>
    <row r="331" spans="1:12" ht="52.5" customHeight="1">
      <c r="A331" s="544"/>
      <c r="B331" s="544"/>
      <c r="C331" s="544"/>
      <c r="D331" s="545"/>
      <c r="E331" s="395"/>
      <c r="F331" s="388"/>
      <c r="G331" s="286" t="s">
        <v>409</v>
      </c>
      <c r="H331" s="87">
        <v>0</v>
      </c>
      <c r="I331" s="87">
        <v>0</v>
      </c>
      <c r="J331" s="87">
        <f>J289</f>
        <v>1009.3</v>
      </c>
      <c r="K331" s="87">
        <v>0</v>
      </c>
      <c r="L331" s="290"/>
    </row>
    <row r="332" spans="1:12" ht="154.5" customHeight="1">
      <c r="A332" s="544"/>
      <c r="B332" s="544"/>
      <c r="C332" s="544"/>
      <c r="D332" s="545"/>
      <c r="E332" s="395"/>
      <c r="F332" s="388"/>
      <c r="G332" s="237" t="s">
        <v>201</v>
      </c>
      <c r="H332" s="87">
        <f>H290</f>
        <v>0</v>
      </c>
      <c r="I332" s="87">
        <f>I290</f>
        <v>0</v>
      </c>
      <c r="J332" s="87">
        <f t="shared" ref="J332:K332" si="51">J290</f>
        <v>0</v>
      </c>
      <c r="K332" s="87">
        <f t="shared" si="51"/>
        <v>0</v>
      </c>
      <c r="L332" s="290"/>
    </row>
    <row r="333" spans="1:12" ht="79.5" customHeight="1">
      <c r="A333" s="544"/>
      <c r="B333" s="544"/>
      <c r="C333" s="544"/>
      <c r="D333" s="545"/>
      <c r="E333" s="395"/>
      <c r="F333" s="388"/>
      <c r="G333" s="132" t="s">
        <v>317</v>
      </c>
      <c r="H333" s="87">
        <f t="shared" ref="H333:I333" si="52">H162</f>
        <v>125</v>
      </c>
      <c r="I333" s="87">
        <f t="shared" si="52"/>
        <v>0</v>
      </c>
      <c r="J333" s="87">
        <f>J162</f>
        <v>125</v>
      </c>
      <c r="K333" s="87">
        <f>K162</f>
        <v>0</v>
      </c>
      <c r="L333" s="290"/>
    </row>
    <row r="334" spans="1:12" ht="94.5" customHeight="1">
      <c r="A334" s="544"/>
      <c r="B334" s="544"/>
      <c r="C334" s="544"/>
      <c r="D334" s="545"/>
      <c r="E334" s="396"/>
      <c r="F334" s="388"/>
      <c r="G334" s="132" t="s">
        <v>383</v>
      </c>
      <c r="H334" s="87">
        <f t="shared" ref="H334:I334" si="53">H291</f>
        <v>5750</v>
      </c>
      <c r="I334" s="87">
        <f t="shared" si="53"/>
        <v>0</v>
      </c>
      <c r="J334" s="87">
        <f>J291</f>
        <v>5750</v>
      </c>
      <c r="K334" s="87">
        <f>K291</f>
        <v>0</v>
      </c>
      <c r="L334" s="290"/>
    </row>
    <row r="335" spans="1:12" ht="75" customHeight="1">
      <c r="A335" s="544"/>
      <c r="B335" s="544"/>
      <c r="C335" s="544"/>
      <c r="D335" s="545"/>
      <c r="E335" s="339" t="s">
        <v>78</v>
      </c>
      <c r="F335" s="388"/>
      <c r="G335" s="303" t="s">
        <v>89</v>
      </c>
      <c r="H335" s="86">
        <f>SUM(H336:H339)</f>
        <v>50912.639999999999</v>
      </c>
      <c r="I335" s="86">
        <f>SUM(I336:I339)</f>
        <v>30956.57</v>
      </c>
      <c r="J335" s="86">
        <f>SUM(J336:J339)</f>
        <v>16442.150000000001</v>
      </c>
      <c r="K335" s="86">
        <f>SUM(K336:K339)</f>
        <v>3513.92</v>
      </c>
      <c r="L335" s="290"/>
    </row>
    <row r="336" spans="1:12" ht="75" customHeight="1">
      <c r="A336" s="544"/>
      <c r="B336" s="544"/>
      <c r="C336" s="544"/>
      <c r="D336" s="545"/>
      <c r="E336" s="340"/>
      <c r="F336" s="388"/>
      <c r="G336" s="287" t="s">
        <v>405</v>
      </c>
      <c r="H336" s="87">
        <f t="shared" ref="H336:K337" si="54">H164</f>
        <v>14119.47</v>
      </c>
      <c r="I336" s="87">
        <f t="shared" si="54"/>
        <v>6263.4000000000005</v>
      </c>
      <c r="J336" s="87">
        <f>J164+J90</f>
        <v>4342.1500000000005</v>
      </c>
      <c r="K336" s="87">
        <f t="shared" si="54"/>
        <v>3513.92</v>
      </c>
      <c r="L336" s="290"/>
    </row>
    <row r="337" spans="1:12" ht="75" customHeight="1">
      <c r="A337" s="544"/>
      <c r="B337" s="544"/>
      <c r="C337" s="544"/>
      <c r="D337" s="545"/>
      <c r="E337" s="340"/>
      <c r="F337" s="388"/>
      <c r="G337" s="278" t="s">
        <v>95</v>
      </c>
      <c r="H337" s="87">
        <f t="shared" si="54"/>
        <v>6347.6</v>
      </c>
      <c r="I337" s="87">
        <f t="shared" si="54"/>
        <v>6347.6</v>
      </c>
      <c r="J337" s="87">
        <f t="shared" si="54"/>
        <v>0</v>
      </c>
      <c r="K337" s="87">
        <f t="shared" si="54"/>
        <v>0</v>
      </c>
      <c r="L337" s="290"/>
    </row>
    <row r="338" spans="1:12" ht="198" customHeight="1">
      <c r="A338" s="544"/>
      <c r="B338" s="544"/>
      <c r="C338" s="544"/>
      <c r="D338" s="545"/>
      <c r="E338" s="340"/>
      <c r="F338" s="388"/>
      <c r="G338" s="278" t="s">
        <v>201</v>
      </c>
      <c r="H338" s="87">
        <f>H294</f>
        <v>926</v>
      </c>
      <c r="I338" s="87">
        <f>I294</f>
        <v>926</v>
      </c>
      <c r="J338" s="87">
        <f>J294</f>
        <v>0</v>
      </c>
      <c r="K338" s="87">
        <f>K294</f>
        <v>0</v>
      </c>
      <c r="L338" s="290"/>
    </row>
    <row r="339" spans="1:12" ht="75" customHeight="1">
      <c r="A339" s="544"/>
      <c r="B339" s="544"/>
      <c r="C339" s="544"/>
      <c r="D339" s="545"/>
      <c r="E339" s="341"/>
      <c r="F339" s="388"/>
      <c r="G339" s="286" t="s">
        <v>409</v>
      </c>
      <c r="H339" s="87">
        <f>H293</f>
        <v>29519.57</v>
      </c>
      <c r="I339" s="87">
        <f>I293</f>
        <v>17419.57</v>
      </c>
      <c r="J339" s="87">
        <f>J293</f>
        <v>12100</v>
      </c>
      <c r="K339" s="87">
        <f>K293</f>
        <v>0</v>
      </c>
      <c r="L339" s="290"/>
    </row>
    <row r="340" spans="1:12" ht="75" customHeight="1">
      <c r="A340" s="544"/>
      <c r="B340" s="544"/>
      <c r="C340" s="544"/>
      <c r="D340" s="545"/>
      <c r="E340" s="339" t="s">
        <v>77</v>
      </c>
      <c r="F340" s="388"/>
      <c r="G340" s="303" t="s">
        <v>89</v>
      </c>
      <c r="H340" s="86">
        <f>SUM(H341:H343)</f>
        <v>27878.274999999998</v>
      </c>
      <c r="I340" s="86">
        <f>SUM(I341:I343)</f>
        <v>9335</v>
      </c>
      <c r="J340" s="86">
        <f>SUM(J341:J343)</f>
        <v>9048.2999999999993</v>
      </c>
      <c r="K340" s="86">
        <f>SUM(K341:K343)</f>
        <v>9494.9750000000004</v>
      </c>
      <c r="L340" s="290"/>
    </row>
    <row r="341" spans="1:12" ht="75" customHeight="1">
      <c r="A341" s="544"/>
      <c r="B341" s="544"/>
      <c r="C341" s="544"/>
      <c r="D341" s="545"/>
      <c r="E341" s="340"/>
      <c r="F341" s="388"/>
      <c r="G341" s="287" t="s">
        <v>405</v>
      </c>
      <c r="H341" s="87">
        <f>H167+H212</f>
        <v>25496.074999999997</v>
      </c>
      <c r="I341" s="87">
        <f>I167+I212</f>
        <v>6952.8</v>
      </c>
      <c r="J341" s="87">
        <f>J133+J135+J189</f>
        <v>9048.2999999999993</v>
      </c>
      <c r="K341" s="87">
        <f>K167+K212</f>
        <v>9494.9750000000004</v>
      </c>
      <c r="L341" s="290"/>
    </row>
    <row r="342" spans="1:12" ht="75" customHeight="1">
      <c r="A342" s="544"/>
      <c r="B342" s="544"/>
      <c r="C342" s="544"/>
      <c r="D342" s="545"/>
      <c r="E342" s="340"/>
      <c r="F342" s="388"/>
      <c r="G342" s="278" t="s">
        <v>95</v>
      </c>
      <c r="H342" s="87">
        <f>H168</f>
        <v>1132.2</v>
      </c>
      <c r="I342" s="87">
        <f>I168</f>
        <v>1132.2</v>
      </c>
      <c r="J342" s="87">
        <f>J168</f>
        <v>0</v>
      </c>
      <c r="K342" s="87">
        <f>K168</f>
        <v>0</v>
      </c>
      <c r="L342" s="290"/>
    </row>
    <row r="343" spans="1:12" ht="75" customHeight="1">
      <c r="A343" s="544"/>
      <c r="B343" s="544"/>
      <c r="C343" s="544"/>
      <c r="D343" s="545"/>
      <c r="E343" s="341"/>
      <c r="F343" s="388"/>
      <c r="G343" s="286" t="s">
        <v>409</v>
      </c>
      <c r="H343" s="87">
        <f>H295</f>
        <v>1250</v>
      </c>
      <c r="I343" s="87">
        <f>I295</f>
        <v>1250</v>
      </c>
      <c r="J343" s="87">
        <f>J295</f>
        <v>0</v>
      </c>
      <c r="K343" s="87">
        <f>K295</f>
        <v>0</v>
      </c>
      <c r="L343" s="290"/>
    </row>
    <row r="344" spans="1:12" ht="75" customHeight="1">
      <c r="A344" s="544"/>
      <c r="B344" s="544"/>
      <c r="C344" s="544"/>
      <c r="D344" s="545"/>
      <c r="E344" s="339" t="s">
        <v>79</v>
      </c>
      <c r="F344" s="388"/>
      <c r="G344" s="303" t="s">
        <v>89</v>
      </c>
      <c r="H344" s="86">
        <f>SUM(H345:H346)</f>
        <v>25416.81</v>
      </c>
      <c r="I344" s="86">
        <f>SUM(I345:I346)</f>
        <v>7607.41</v>
      </c>
      <c r="J344" s="86">
        <f>SUM(J345:J346)</f>
        <v>9003.6</v>
      </c>
      <c r="K344" s="86">
        <f>SUM(K345:K346)</f>
        <v>8805.7999999999993</v>
      </c>
      <c r="L344" s="290"/>
    </row>
    <row r="345" spans="1:12" ht="75" customHeight="1">
      <c r="A345" s="544"/>
      <c r="B345" s="544"/>
      <c r="C345" s="544"/>
      <c r="D345" s="545"/>
      <c r="E345" s="340"/>
      <c r="F345" s="388"/>
      <c r="G345" s="287" t="s">
        <v>405</v>
      </c>
      <c r="H345" s="87">
        <f>H169+H213+H242</f>
        <v>25414.31</v>
      </c>
      <c r="I345" s="87">
        <f>I169+I213+I242</f>
        <v>7604.91</v>
      </c>
      <c r="J345" s="87">
        <f>J169+J213+J242+J91</f>
        <v>9003.6</v>
      </c>
      <c r="K345" s="87">
        <f>K169+K213+K242</f>
        <v>8805.7999999999993</v>
      </c>
      <c r="L345" s="290"/>
    </row>
    <row r="346" spans="1:12" ht="222.75" customHeight="1">
      <c r="A346" s="544"/>
      <c r="B346" s="544"/>
      <c r="C346" s="544"/>
      <c r="D346" s="545"/>
      <c r="E346" s="341"/>
      <c r="F346" s="388"/>
      <c r="G346" s="156" t="s">
        <v>99</v>
      </c>
      <c r="H346" s="87">
        <f>H241</f>
        <v>2.5</v>
      </c>
      <c r="I346" s="87">
        <f>I241</f>
        <v>2.5</v>
      </c>
      <c r="J346" s="87">
        <f>J241</f>
        <v>0</v>
      </c>
      <c r="K346" s="87">
        <f>K241</f>
        <v>0</v>
      </c>
      <c r="L346" s="290"/>
    </row>
    <row r="347" spans="1:12" ht="75" customHeight="1">
      <c r="A347" s="544"/>
      <c r="B347" s="544"/>
      <c r="C347" s="544"/>
      <c r="D347" s="545"/>
      <c r="E347" s="339" t="s">
        <v>80</v>
      </c>
      <c r="F347" s="388"/>
      <c r="G347" s="303" t="s">
        <v>89</v>
      </c>
      <c r="H347" s="86">
        <f>H348</f>
        <v>28654.6423</v>
      </c>
      <c r="I347" s="86">
        <f>I348</f>
        <v>8442.69</v>
      </c>
      <c r="J347" s="86">
        <f>J348</f>
        <v>10162.700000000001</v>
      </c>
      <c r="K347" s="86">
        <f>K348</f>
        <v>10049.2523</v>
      </c>
      <c r="L347" s="290"/>
    </row>
    <row r="348" spans="1:12" ht="75" customHeight="1">
      <c r="A348" s="544"/>
      <c r="B348" s="544"/>
      <c r="C348" s="544"/>
      <c r="D348" s="545"/>
      <c r="E348" s="341"/>
      <c r="F348" s="388"/>
      <c r="G348" s="287" t="s">
        <v>405</v>
      </c>
      <c r="H348" s="87">
        <f>I348+J348+K348</f>
        <v>28654.6423</v>
      </c>
      <c r="I348" s="87">
        <f>I170+I214+I244</f>
        <v>8442.69</v>
      </c>
      <c r="J348" s="87">
        <f>J170+J214+J244+J92</f>
        <v>10162.700000000001</v>
      </c>
      <c r="K348" s="87">
        <f>K170+K214+K244</f>
        <v>10049.2523</v>
      </c>
      <c r="L348" s="290"/>
    </row>
    <row r="349" spans="1:12" ht="82.5" customHeight="1">
      <c r="A349" s="544"/>
      <c r="B349" s="544"/>
      <c r="C349" s="544"/>
      <c r="D349" s="545"/>
      <c r="E349" s="293" t="s">
        <v>392</v>
      </c>
      <c r="F349" s="388"/>
      <c r="G349" s="287" t="s">
        <v>405</v>
      </c>
      <c r="H349" s="86">
        <f>H171</f>
        <v>3000</v>
      </c>
      <c r="I349" s="86">
        <f>I171</f>
        <v>3000</v>
      </c>
      <c r="J349" s="86">
        <f>J171</f>
        <v>0</v>
      </c>
      <c r="K349" s="86">
        <f>K171</f>
        <v>0</v>
      </c>
      <c r="L349" s="290"/>
    </row>
    <row r="350" spans="1:12" ht="107.25" customHeight="1">
      <c r="A350" s="544"/>
      <c r="B350" s="544"/>
      <c r="C350" s="544"/>
      <c r="D350" s="545"/>
      <c r="E350" s="280" t="s">
        <v>458</v>
      </c>
      <c r="F350" s="388"/>
      <c r="G350" s="287" t="s">
        <v>405</v>
      </c>
      <c r="H350" s="86">
        <f>H172</f>
        <v>90</v>
      </c>
      <c r="I350" s="86">
        <f>I172</f>
        <v>0</v>
      </c>
      <c r="J350" s="86">
        <f t="shared" ref="J350:K350" si="55">J172</f>
        <v>90</v>
      </c>
      <c r="K350" s="86">
        <f t="shared" si="55"/>
        <v>0</v>
      </c>
      <c r="L350" s="290"/>
    </row>
    <row r="351" spans="1:12" ht="75" customHeight="1">
      <c r="A351" s="544"/>
      <c r="B351" s="544"/>
      <c r="C351" s="544"/>
      <c r="D351" s="545"/>
      <c r="E351" s="339" t="s">
        <v>430</v>
      </c>
      <c r="F351" s="388"/>
      <c r="G351" s="303" t="s">
        <v>89</v>
      </c>
      <c r="H351" s="86">
        <f>SUM(H352:H356)</f>
        <v>127596.21900000001</v>
      </c>
      <c r="I351" s="86">
        <f>SUM(I352:I356)</f>
        <v>45904.919000000002</v>
      </c>
      <c r="J351" s="86">
        <f>SUM(J352:J356)</f>
        <v>78703.600000000006</v>
      </c>
      <c r="K351" s="86">
        <f>SUM(K352:K356)</f>
        <v>2987.7</v>
      </c>
      <c r="L351" s="290"/>
    </row>
    <row r="352" spans="1:12" ht="75" customHeight="1">
      <c r="A352" s="544"/>
      <c r="B352" s="544"/>
      <c r="C352" s="544"/>
      <c r="D352" s="545"/>
      <c r="E352" s="340"/>
      <c r="F352" s="388"/>
      <c r="G352" s="287" t="s">
        <v>405</v>
      </c>
      <c r="H352" s="87">
        <f>H218+H243</f>
        <v>23928.400000000001</v>
      </c>
      <c r="I352" s="87">
        <f>I218+I243</f>
        <v>17282.2</v>
      </c>
      <c r="J352" s="87">
        <f>J218+J243</f>
        <v>3658.5</v>
      </c>
      <c r="K352" s="87">
        <f>K218+K243</f>
        <v>2987.7</v>
      </c>
      <c r="L352" s="290"/>
    </row>
    <row r="353" spans="1:12" ht="223.5" customHeight="1">
      <c r="A353" s="544"/>
      <c r="B353" s="544"/>
      <c r="C353" s="544"/>
      <c r="D353" s="545"/>
      <c r="E353" s="340"/>
      <c r="F353" s="388"/>
      <c r="G353" s="286" t="s">
        <v>99</v>
      </c>
      <c r="H353" s="87">
        <f>H217</f>
        <v>18013.319000000003</v>
      </c>
      <c r="I353" s="87">
        <f>I217</f>
        <v>6609.6190000000006</v>
      </c>
      <c r="J353" s="87">
        <f>J217</f>
        <v>11403.7</v>
      </c>
      <c r="K353" s="87">
        <f>K217</f>
        <v>0</v>
      </c>
      <c r="L353" s="290"/>
    </row>
    <row r="354" spans="1:12" ht="173.25" customHeight="1">
      <c r="A354" s="544"/>
      <c r="B354" s="544"/>
      <c r="C354" s="544"/>
      <c r="D354" s="545"/>
      <c r="E354" s="340"/>
      <c r="F354" s="388"/>
      <c r="G354" s="286" t="s">
        <v>98</v>
      </c>
      <c r="H354" s="87">
        <f>H216</f>
        <v>1490.1</v>
      </c>
      <c r="I354" s="87">
        <f>I216</f>
        <v>1490.1</v>
      </c>
      <c r="J354" s="87">
        <f>J216</f>
        <v>0</v>
      </c>
      <c r="K354" s="87">
        <f>K216</f>
        <v>0</v>
      </c>
      <c r="L354" s="290"/>
    </row>
    <row r="355" spans="1:12" ht="75" customHeight="1">
      <c r="A355" s="544"/>
      <c r="B355" s="544"/>
      <c r="C355" s="544"/>
      <c r="D355" s="545"/>
      <c r="E355" s="340"/>
      <c r="F355" s="388"/>
      <c r="G355" s="279" t="s">
        <v>383</v>
      </c>
      <c r="H355" s="87">
        <f>H306</f>
        <v>24549.8</v>
      </c>
      <c r="I355" s="87">
        <f>I306</f>
        <v>799.7</v>
      </c>
      <c r="J355" s="87">
        <f>J306</f>
        <v>23750.1</v>
      </c>
      <c r="K355" s="87">
        <f>K306</f>
        <v>0</v>
      </c>
      <c r="L355" s="290"/>
    </row>
    <row r="356" spans="1:12" ht="75" customHeight="1">
      <c r="A356" s="546"/>
      <c r="B356" s="546"/>
      <c r="C356" s="546"/>
      <c r="D356" s="547"/>
      <c r="E356" s="341"/>
      <c r="F356" s="389"/>
      <c r="G356" s="286" t="s">
        <v>409</v>
      </c>
      <c r="H356" s="87">
        <f>H298</f>
        <v>59614.600000000006</v>
      </c>
      <c r="I356" s="87">
        <f>I298</f>
        <v>19723.3</v>
      </c>
      <c r="J356" s="87">
        <f>J298</f>
        <v>39891.300000000003</v>
      </c>
      <c r="K356" s="87">
        <f>K298</f>
        <v>0</v>
      </c>
      <c r="L356" s="296"/>
    </row>
    <row r="357" spans="1:12" ht="75" customHeight="1">
      <c r="A357" s="537" t="s">
        <v>240</v>
      </c>
      <c r="B357" s="537"/>
      <c r="C357" s="537"/>
      <c r="D357" s="537"/>
      <c r="E357" s="537"/>
      <c r="F357" s="537"/>
      <c r="G357" s="537"/>
      <c r="H357" s="537"/>
      <c r="I357" s="537"/>
      <c r="J357" s="537"/>
      <c r="K357" s="537"/>
      <c r="L357" s="538"/>
    </row>
    <row r="358" spans="1:12" ht="75" customHeight="1">
      <c r="A358" s="302" t="s">
        <v>242</v>
      </c>
      <c r="B358" s="534" t="s">
        <v>241</v>
      </c>
      <c r="C358" s="535"/>
      <c r="D358" s="535"/>
      <c r="E358" s="535"/>
      <c r="F358" s="536"/>
      <c r="G358" s="157" t="s">
        <v>84</v>
      </c>
      <c r="H358" s="86">
        <f>SUM(H359:H363)</f>
        <v>2035.825</v>
      </c>
      <c r="I358" s="86">
        <f>SUM(I359:I363)</f>
        <v>729.5</v>
      </c>
      <c r="J358" s="86">
        <f>SUM(J359:J363)</f>
        <v>630.9</v>
      </c>
      <c r="K358" s="86">
        <f>SUM(K359:K363)</f>
        <v>675.42499999999995</v>
      </c>
      <c r="L358" s="351" t="s">
        <v>243</v>
      </c>
    </row>
    <row r="359" spans="1:12" ht="75" customHeight="1">
      <c r="A359" s="554" t="s">
        <v>246</v>
      </c>
      <c r="B359" s="542"/>
      <c r="C359" s="542"/>
      <c r="D359" s="543"/>
      <c r="E359" s="299" t="s">
        <v>81</v>
      </c>
      <c r="F359" s="498"/>
      <c r="G359" s="375" t="s">
        <v>405</v>
      </c>
      <c r="H359" s="86">
        <f>I359+J359+K359</f>
        <v>76</v>
      </c>
      <c r="I359" s="87">
        <v>76</v>
      </c>
      <c r="J359" s="87">
        <v>0</v>
      </c>
      <c r="K359" s="87">
        <v>0</v>
      </c>
      <c r="L359" s="352"/>
    </row>
    <row r="360" spans="1:12" ht="75" customHeight="1">
      <c r="A360" s="555"/>
      <c r="B360" s="544"/>
      <c r="C360" s="544"/>
      <c r="D360" s="545"/>
      <c r="E360" s="299" t="s">
        <v>75</v>
      </c>
      <c r="F360" s="499"/>
      <c r="G360" s="383"/>
      <c r="H360" s="86">
        <f>I360+J360+K360</f>
        <v>510.50000000000006</v>
      </c>
      <c r="I360" s="87">
        <f>24.3+148</f>
        <v>172.3</v>
      </c>
      <c r="J360" s="87">
        <v>163.4</v>
      </c>
      <c r="K360" s="87">
        <v>174.8</v>
      </c>
      <c r="L360" s="352"/>
    </row>
    <row r="361" spans="1:12" ht="75" customHeight="1">
      <c r="A361" s="555"/>
      <c r="B361" s="544"/>
      <c r="C361" s="544"/>
      <c r="D361" s="545"/>
      <c r="E361" s="299" t="s">
        <v>76</v>
      </c>
      <c r="F361" s="499"/>
      <c r="G361" s="383"/>
      <c r="H361" s="86">
        <f>I361+J361+K361</f>
        <v>41.5</v>
      </c>
      <c r="I361" s="87">
        <v>41.5</v>
      </c>
      <c r="J361" s="87">
        <v>0</v>
      </c>
      <c r="K361" s="87">
        <v>0</v>
      </c>
      <c r="L361" s="352"/>
    </row>
    <row r="362" spans="1:12" ht="90" customHeight="1">
      <c r="A362" s="555"/>
      <c r="B362" s="544"/>
      <c r="C362" s="544"/>
      <c r="D362" s="545"/>
      <c r="E362" s="299" t="s">
        <v>78</v>
      </c>
      <c r="F362" s="499"/>
      <c r="G362" s="383"/>
      <c r="H362" s="86">
        <f>I362+J362+K362</f>
        <v>9.5</v>
      </c>
      <c r="I362" s="87">
        <v>9.5</v>
      </c>
      <c r="J362" s="87">
        <v>0</v>
      </c>
      <c r="K362" s="87">
        <v>0</v>
      </c>
      <c r="L362" s="352"/>
    </row>
    <row r="363" spans="1:12" ht="75" customHeight="1">
      <c r="A363" s="556"/>
      <c r="B363" s="546"/>
      <c r="C363" s="546"/>
      <c r="D363" s="547"/>
      <c r="E363" s="289" t="s">
        <v>77</v>
      </c>
      <c r="F363" s="500"/>
      <c r="G363" s="376"/>
      <c r="H363" s="86">
        <f>I363+J363+K363</f>
        <v>1398.325</v>
      </c>
      <c r="I363" s="87">
        <v>430.2</v>
      </c>
      <c r="J363" s="87">
        <f>430+37.5</f>
        <v>467.5</v>
      </c>
      <c r="K363" s="87">
        <f>460+40.625</f>
        <v>500.625</v>
      </c>
      <c r="L363" s="353"/>
    </row>
    <row r="364" spans="1:12" ht="75" customHeight="1">
      <c r="A364" s="158" t="s">
        <v>269</v>
      </c>
      <c r="B364" s="440" t="s">
        <v>244</v>
      </c>
      <c r="C364" s="441"/>
      <c r="D364" s="441"/>
      <c r="E364" s="441"/>
      <c r="F364" s="442"/>
      <c r="G364" s="157" t="s">
        <v>84</v>
      </c>
      <c r="H364" s="86">
        <f>H369+H370+H371+H372+H366+H365+H367+H368+H373</f>
        <v>42832.227000000006</v>
      </c>
      <c r="I364" s="86">
        <f t="shared" ref="I364:K364" si="56">I369+I370+I371+I372+I366+I365+I367+I368+I373</f>
        <v>21897.487000000001</v>
      </c>
      <c r="J364" s="86">
        <f>J369+J370+J371+J372+J366+J365+J367+J368+J373</f>
        <v>10805.1</v>
      </c>
      <c r="K364" s="86">
        <f t="shared" si="56"/>
        <v>10129.64</v>
      </c>
      <c r="L364" s="159"/>
    </row>
    <row r="365" spans="1:12" ht="75" customHeight="1">
      <c r="A365" s="503" t="s">
        <v>246</v>
      </c>
      <c r="B365" s="504"/>
      <c r="C365" s="504"/>
      <c r="D365" s="505"/>
      <c r="E365" s="299" t="s">
        <v>81</v>
      </c>
      <c r="F365" s="280"/>
      <c r="G365" s="286" t="s">
        <v>405</v>
      </c>
      <c r="H365" s="86">
        <f t="shared" ref="H365:H372" si="57">I365+J365+K365</f>
        <v>117.64</v>
      </c>
      <c r="I365" s="86"/>
      <c r="J365" s="86"/>
      <c r="K365" s="86">
        <f>90.64+15+12</f>
        <v>117.64</v>
      </c>
      <c r="L365" s="160"/>
    </row>
    <row r="366" spans="1:12" ht="75" customHeight="1">
      <c r="A366" s="506"/>
      <c r="B366" s="507"/>
      <c r="C366" s="507"/>
      <c r="D366" s="508"/>
      <c r="E366" s="299" t="s">
        <v>81</v>
      </c>
      <c r="F366" s="280"/>
      <c r="G366" s="286" t="s">
        <v>409</v>
      </c>
      <c r="H366" s="86">
        <f>I366+J366+K366</f>
        <v>10049.6</v>
      </c>
      <c r="I366" s="86">
        <v>49.6</v>
      </c>
      <c r="J366" s="86"/>
      <c r="K366" s="86">
        <v>10000</v>
      </c>
      <c r="L366" s="160"/>
    </row>
    <row r="367" spans="1:12" ht="87.75" customHeight="1">
      <c r="A367" s="506"/>
      <c r="B367" s="507"/>
      <c r="C367" s="507"/>
      <c r="D367" s="508"/>
      <c r="E367" s="289" t="s">
        <v>78</v>
      </c>
      <c r="F367" s="292"/>
      <c r="G367" s="286" t="s">
        <v>405</v>
      </c>
      <c r="H367" s="86">
        <f>I367+J367+K367</f>
        <v>15</v>
      </c>
      <c r="I367" s="86"/>
      <c r="J367" s="87">
        <v>15</v>
      </c>
      <c r="K367" s="86"/>
      <c r="L367" s="160"/>
    </row>
    <row r="368" spans="1:12" ht="79.5" customHeight="1">
      <c r="A368" s="506"/>
      <c r="B368" s="507"/>
      <c r="C368" s="507"/>
      <c r="D368" s="508"/>
      <c r="E368" s="289" t="s">
        <v>78</v>
      </c>
      <c r="F368" s="292"/>
      <c r="G368" s="286" t="s">
        <v>409</v>
      </c>
      <c r="H368" s="86">
        <f>I368+J368+K368</f>
        <v>5285</v>
      </c>
      <c r="I368" s="86"/>
      <c r="J368" s="87">
        <v>5285</v>
      </c>
      <c r="K368" s="86"/>
      <c r="L368" s="160"/>
    </row>
    <row r="369" spans="1:14" ht="75" customHeight="1">
      <c r="A369" s="506"/>
      <c r="B369" s="507"/>
      <c r="C369" s="507"/>
      <c r="D369" s="508"/>
      <c r="E369" s="351" t="s">
        <v>74</v>
      </c>
      <c r="F369" s="498"/>
      <c r="G369" s="286" t="s">
        <v>405</v>
      </c>
      <c r="H369" s="86">
        <f t="shared" si="57"/>
        <v>347.5</v>
      </c>
      <c r="I369" s="87">
        <f>199+30</f>
        <v>229</v>
      </c>
      <c r="J369" s="87">
        <v>106.5</v>
      </c>
      <c r="K369" s="87">
        <v>12</v>
      </c>
      <c r="L369" s="351" t="s">
        <v>245</v>
      </c>
    </row>
    <row r="370" spans="1:14" ht="75" customHeight="1">
      <c r="A370" s="506"/>
      <c r="B370" s="507"/>
      <c r="C370" s="507"/>
      <c r="D370" s="508"/>
      <c r="E370" s="352"/>
      <c r="F370" s="499"/>
      <c r="G370" s="286" t="s">
        <v>409</v>
      </c>
      <c r="H370" s="86">
        <f t="shared" si="57"/>
        <v>6599.6870000000008</v>
      </c>
      <c r="I370" s="87">
        <f>7269.3-500+49.587-799.7</f>
        <v>6019.1870000000008</v>
      </c>
      <c r="J370" s="87">
        <f>130+410+40.5</f>
        <v>580.5</v>
      </c>
      <c r="K370" s="93"/>
      <c r="L370" s="352"/>
    </row>
    <row r="371" spans="1:14" ht="75" customHeight="1">
      <c r="A371" s="506"/>
      <c r="B371" s="507"/>
      <c r="C371" s="507"/>
      <c r="D371" s="508"/>
      <c r="E371" s="352"/>
      <c r="F371" s="499"/>
      <c r="G371" s="278" t="s">
        <v>369</v>
      </c>
      <c r="H371" s="88">
        <f t="shared" si="57"/>
        <v>19376.800000000003</v>
      </c>
      <c r="I371" s="89">
        <v>14714.7</v>
      </c>
      <c r="J371" s="89">
        <v>4662.1000000000004</v>
      </c>
      <c r="K371" s="88"/>
      <c r="L371" s="352"/>
      <c r="N371" s="251"/>
    </row>
    <row r="372" spans="1:14" ht="75" customHeight="1">
      <c r="A372" s="506"/>
      <c r="B372" s="507"/>
      <c r="C372" s="507"/>
      <c r="D372" s="508"/>
      <c r="E372" s="353"/>
      <c r="F372" s="500"/>
      <c r="G372" s="286" t="s">
        <v>83</v>
      </c>
      <c r="H372" s="86">
        <f t="shared" si="57"/>
        <v>885</v>
      </c>
      <c r="I372" s="87">
        <v>885</v>
      </c>
      <c r="J372" s="87">
        <v>0</v>
      </c>
      <c r="K372" s="87">
        <v>0</v>
      </c>
      <c r="L372" s="352"/>
    </row>
    <row r="373" spans="1:14" ht="142.5" customHeight="1">
      <c r="A373" s="509"/>
      <c r="B373" s="510"/>
      <c r="C373" s="510"/>
      <c r="D373" s="511"/>
      <c r="E373" s="284" t="s">
        <v>452</v>
      </c>
      <c r="F373" s="309"/>
      <c r="G373" s="286" t="s">
        <v>201</v>
      </c>
      <c r="H373" s="86">
        <f>I373+J373+K373</f>
        <v>156</v>
      </c>
      <c r="I373" s="87">
        <v>0</v>
      </c>
      <c r="J373" s="87">
        <v>156</v>
      </c>
      <c r="K373" s="87">
        <v>0</v>
      </c>
      <c r="L373" s="283"/>
    </row>
    <row r="374" spans="1:14" ht="75" customHeight="1">
      <c r="A374" s="158" t="s">
        <v>270</v>
      </c>
      <c r="B374" s="350" t="s">
        <v>446</v>
      </c>
      <c r="C374" s="350"/>
      <c r="D374" s="350"/>
      <c r="E374" s="350"/>
      <c r="F374" s="350"/>
      <c r="G374" s="309" t="s">
        <v>84</v>
      </c>
      <c r="H374" s="86">
        <f>H375</f>
        <v>21743.4</v>
      </c>
      <c r="I374" s="86">
        <f>I375</f>
        <v>6238.8</v>
      </c>
      <c r="J374" s="86">
        <f t="shared" ref="I374:K376" si="58">J375</f>
        <v>3304.6</v>
      </c>
      <c r="K374" s="86">
        <f t="shared" si="58"/>
        <v>12200</v>
      </c>
      <c r="L374" s="351" t="s">
        <v>60</v>
      </c>
    </row>
    <row r="375" spans="1:14" ht="75" customHeight="1">
      <c r="A375" s="512" t="s">
        <v>246</v>
      </c>
      <c r="B375" s="513"/>
      <c r="C375" s="513"/>
      <c r="D375" s="514"/>
      <c r="E375" s="299" t="s">
        <v>74</v>
      </c>
      <c r="F375" s="309"/>
      <c r="G375" s="286" t="s">
        <v>103</v>
      </c>
      <c r="H375" s="86">
        <f>I375+J375+K375</f>
        <v>21743.4</v>
      </c>
      <c r="I375" s="87">
        <v>6238.8</v>
      </c>
      <c r="J375" s="87">
        <v>3304.6</v>
      </c>
      <c r="K375" s="87">
        <v>12200</v>
      </c>
      <c r="L375" s="353"/>
    </row>
    <row r="376" spans="1:14" ht="114.75" customHeight="1">
      <c r="A376" s="158" t="s">
        <v>271</v>
      </c>
      <c r="B376" s="350" t="s">
        <v>445</v>
      </c>
      <c r="C376" s="350"/>
      <c r="D376" s="350"/>
      <c r="E376" s="350"/>
      <c r="F376" s="350"/>
      <c r="G376" s="309" t="s">
        <v>84</v>
      </c>
      <c r="H376" s="86">
        <f>H377</f>
        <v>6848</v>
      </c>
      <c r="I376" s="86">
        <f t="shared" si="58"/>
        <v>6848</v>
      </c>
      <c r="J376" s="86">
        <f t="shared" si="58"/>
        <v>0</v>
      </c>
      <c r="K376" s="86">
        <f t="shared" si="58"/>
        <v>0</v>
      </c>
      <c r="L376" s="351" t="s">
        <v>387</v>
      </c>
    </row>
    <row r="377" spans="1:14" ht="144" customHeight="1">
      <c r="A377" s="512" t="s">
        <v>246</v>
      </c>
      <c r="B377" s="513"/>
      <c r="C377" s="513"/>
      <c r="D377" s="514"/>
      <c r="E377" s="299"/>
      <c r="F377" s="309"/>
      <c r="G377" s="286" t="s">
        <v>385</v>
      </c>
      <c r="H377" s="86">
        <f>I377+J377+K377</f>
        <v>6848</v>
      </c>
      <c r="I377" s="87">
        <v>6848</v>
      </c>
      <c r="J377" s="87">
        <v>0</v>
      </c>
      <c r="K377" s="87">
        <v>0</v>
      </c>
      <c r="L377" s="353"/>
    </row>
    <row r="378" spans="1:14" ht="75" customHeight="1">
      <c r="A378" s="302" t="s">
        <v>272</v>
      </c>
      <c r="B378" s="350" t="s">
        <v>247</v>
      </c>
      <c r="C378" s="350"/>
      <c r="D378" s="350"/>
      <c r="E378" s="350"/>
      <c r="F378" s="350"/>
      <c r="G378" s="309" t="s">
        <v>84</v>
      </c>
      <c r="H378" s="86">
        <f>I378+J378+K378</f>
        <v>19254.899999999998</v>
      </c>
      <c r="I378" s="86">
        <f>I379+I384</f>
        <v>12454.899999999998</v>
      </c>
      <c r="J378" s="86">
        <f t="shared" ref="J378:K378" si="59">J379+J384</f>
        <v>6800</v>
      </c>
      <c r="K378" s="86">
        <f t="shared" si="59"/>
        <v>0</v>
      </c>
      <c r="L378" s="351" t="s">
        <v>60</v>
      </c>
    </row>
    <row r="379" spans="1:14" ht="145.5" customHeight="1">
      <c r="A379" s="519"/>
      <c r="B379" s="519"/>
      <c r="C379" s="519"/>
      <c r="D379" s="519"/>
      <c r="E379" s="299" t="s">
        <v>85</v>
      </c>
      <c r="F379" s="295"/>
      <c r="G379" s="375" t="s">
        <v>409</v>
      </c>
      <c r="H379" s="86">
        <f>H380+H381+H382+H383</f>
        <v>19254.899999999998</v>
      </c>
      <c r="I379" s="86">
        <f t="shared" ref="I379:K379" si="60">I380+I381+I382+I383</f>
        <v>12454.899999999998</v>
      </c>
      <c r="J379" s="86">
        <f t="shared" si="60"/>
        <v>6800</v>
      </c>
      <c r="K379" s="86">
        <f t="shared" si="60"/>
        <v>0</v>
      </c>
      <c r="L379" s="352"/>
    </row>
    <row r="380" spans="1:14" ht="75" customHeight="1">
      <c r="A380" s="515" t="s">
        <v>246</v>
      </c>
      <c r="B380" s="516"/>
      <c r="C380" s="516"/>
      <c r="D380" s="516"/>
      <c r="E380" s="299" t="s">
        <v>75</v>
      </c>
      <c r="F380" s="295"/>
      <c r="G380" s="383"/>
      <c r="H380" s="86">
        <f t="shared" ref="H380:H384" si="61">I380+J380+K380</f>
        <v>18513.3</v>
      </c>
      <c r="I380" s="217">
        <v>11713.3</v>
      </c>
      <c r="J380" s="87">
        <v>6800</v>
      </c>
      <c r="K380" s="87">
        <v>0</v>
      </c>
      <c r="L380" s="352"/>
    </row>
    <row r="381" spans="1:14" ht="70.5" customHeight="1">
      <c r="A381" s="517"/>
      <c r="B381" s="518"/>
      <c r="C381" s="518"/>
      <c r="D381" s="518"/>
      <c r="E381" s="299" t="s">
        <v>76</v>
      </c>
      <c r="F381" s="295"/>
      <c r="G381" s="383"/>
      <c r="H381" s="86">
        <f t="shared" si="61"/>
        <v>204.3</v>
      </c>
      <c r="I381" s="87">
        <v>204.3</v>
      </c>
      <c r="J381" s="87">
        <v>0</v>
      </c>
      <c r="K381" s="87">
        <v>0</v>
      </c>
      <c r="L381" s="352"/>
    </row>
    <row r="382" spans="1:14" ht="96" customHeight="1">
      <c r="A382" s="517"/>
      <c r="B382" s="518"/>
      <c r="C382" s="518"/>
      <c r="D382" s="518"/>
      <c r="E382" s="289" t="s">
        <v>78</v>
      </c>
      <c r="F382" s="295"/>
      <c r="G382" s="383"/>
      <c r="H382" s="86">
        <f t="shared" si="61"/>
        <v>537.29999999999995</v>
      </c>
      <c r="I382" s="217">
        <v>537.29999999999995</v>
      </c>
      <c r="J382" s="87">
        <v>0</v>
      </c>
      <c r="K382" s="87">
        <v>0</v>
      </c>
      <c r="L382" s="352"/>
    </row>
    <row r="383" spans="1:14" ht="75" customHeight="1">
      <c r="A383" s="297"/>
      <c r="B383" s="298"/>
      <c r="C383" s="298"/>
      <c r="D383" s="298"/>
      <c r="E383" s="299" t="s">
        <v>74</v>
      </c>
      <c r="F383" s="161"/>
      <c r="G383" s="376"/>
      <c r="H383" s="86">
        <f t="shared" si="61"/>
        <v>0</v>
      </c>
      <c r="I383" s="90">
        <v>0</v>
      </c>
      <c r="J383" s="90">
        <v>0</v>
      </c>
      <c r="K383" s="90">
        <v>0</v>
      </c>
      <c r="L383" s="283"/>
    </row>
    <row r="384" spans="1:14" ht="170.25" customHeight="1">
      <c r="A384" s="297"/>
      <c r="B384" s="298"/>
      <c r="C384" s="298"/>
      <c r="D384" s="298"/>
      <c r="E384" s="299" t="s">
        <v>452</v>
      </c>
      <c r="F384" s="161"/>
      <c r="G384" s="237" t="s">
        <v>201</v>
      </c>
      <c r="H384" s="86">
        <f t="shared" si="61"/>
        <v>0</v>
      </c>
      <c r="I384" s="90">
        <v>0</v>
      </c>
      <c r="J384" s="90"/>
      <c r="K384" s="90">
        <v>0</v>
      </c>
      <c r="L384" s="283"/>
    </row>
    <row r="385" spans="1:12" ht="75" customHeight="1">
      <c r="A385" s="162" t="s">
        <v>273</v>
      </c>
      <c r="B385" s="520" t="s">
        <v>248</v>
      </c>
      <c r="C385" s="521"/>
      <c r="D385" s="521"/>
      <c r="E385" s="521"/>
      <c r="F385" s="163"/>
      <c r="G385" s="309" t="s">
        <v>84</v>
      </c>
      <c r="H385" s="106">
        <f>SUM(H386:H395)</f>
        <v>1690105.9175197</v>
      </c>
      <c r="I385" s="106">
        <f>SUM(I386:I395)</f>
        <v>500635.6</v>
      </c>
      <c r="J385" s="106">
        <f>SUM(J386:J395)</f>
        <v>647450.38469999994</v>
      </c>
      <c r="K385" s="106">
        <f>SUM(K386:K395)</f>
        <v>542019.93281969998</v>
      </c>
      <c r="L385" s="351" t="s">
        <v>87</v>
      </c>
    </row>
    <row r="386" spans="1:12" ht="75" customHeight="1">
      <c r="A386" s="522" t="s">
        <v>246</v>
      </c>
      <c r="B386" s="523"/>
      <c r="C386" s="523"/>
      <c r="D386" s="524"/>
      <c r="E386" s="299" t="s">
        <v>81</v>
      </c>
      <c r="F386" s="309"/>
      <c r="G386" s="375" t="s">
        <v>86</v>
      </c>
      <c r="H386" s="86">
        <f>I386+J386+K386</f>
        <v>308609.45589119999</v>
      </c>
      <c r="I386" s="87">
        <v>97670.399999999994</v>
      </c>
      <c r="J386" s="87">
        <f>I386*1.053</f>
        <v>102846.93119999999</v>
      </c>
      <c r="K386" s="87">
        <f>J386*1.051</f>
        <v>108092.12469119999</v>
      </c>
      <c r="L386" s="352"/>
    </row>
    <row r="387" spans="1:12" ht="75" customHeight="1">
      <c r="A387" s="525"/>
      <c r="B387" s="526"/>
      <c r="C387" s="526"/>
      <c r="D387" s="527"/>
      <c r="E387" s="299" t="s">
        <v>75</v>
      </c>
      <c r="F387" s="309"/>
      <c r="G387" s="383"/>
      <c r="H387" s="86">
        <f t="shared" ref="H387:H395" si="62">I387+J387+K387</f>
        <v>132625.60000000001</v>
      </c>
      <c r="I387" s="87">
        <v>37455.599999999999</v>
      </c>
      <c r="J387" s="87">
        <v>49373</v>
      </c>
      <c r="K387" s="87">
        <v>45797</v>
      </c>
      <c r="L387" s="352"/>
    </row>
    <row r="388" spans="1:12" ht="75" customHeight="1">
      <c r="A388" s="525"/>
      <c r="B388" s="526"/>
      <c r="C388" s="526"/>
      <c r="D388" s="527"/>
      <c r="E388" s="299" t="s">
        <v>76</v>
      </c>
      <c r="F388" s="309"/>
      <c r="G388" s="383"/>
      <c r="H388" s="86">
        <f t="shared" si="62"/>
        <v>425093.5</v>
      </c>
      <c r="I388" s="87">
        <v>117838.5</v>
      </c>
      <c r="J388" s="87">
        <v>209889.5</v>
      </c>
      <c r="K388" s="87">
        <v>97365.5</v>
      </c>
      <c r="L388" s="352"/>
    </row>
    <row r="389" spans="1:12" ht="75" customHeight="1">
      <c r="A389" s="525"/>
      <c r="B389" s="526"/>
      <c r="C389" s="526"/>
      <c r="D389" s="527"/>
      <c r="E389" s="299" t="s">
        <v>74</v>
      </c>
      <c r="F389" s="309"/>
      <c r="G389" s="383"/>
      <c r="H389" s="86">
        <f t="shared" si="62"/>
        <v>241584.30000000002</v>
      </c>
      <c r="I389" s="87">
        <v>70008.100000000006</v>
      </c>
      <c r="J389" s="87">
        <v>83168.3</v>
      </c>
      <c r="K389" s="87">
        <v>88407.9</v>
      </c>
      <c r="L389" s="352"/>
    </row>
    <row r="390" spans="1:12" ht="93.75" customHeight="1">
      <c r="A390" s="525"/>
      <c r="B390" s="526"/>
      <c r="C390" s="526"/>
      <c r="D390" s="527"/>
      <c r="E390" s="289" t="s">
        <v>78</v>
      </c>
      <c r="F390" s="294"/>
      <c r="G390" s="383"/>
      <c r="H390" s="86">
        <f t="shared" si="62"/>
        <v>151724.92559999999</v>
      </c>
      <c r="I390" s="93">
        <v>36775.4</v>
      </c>
      <c r="J390" s="87">
        <v>56045.599999999999</v>
      </c>
      <c r="K390" s="87">
        <f t="shared" ref="K390:K395" si="63">J390*1.051</f>
        <v>58903.925599999995</v>
      </c>
      <c r="L390" s="352"/>
    </row>
    <row r="391" spans="1:12" ht="75" customHeight="1">
      <c r="A391" s="525"/>
      <c r="B391" s="526"/>
      <c r="C391" s="526"/>
      <c r="D391" s="527"/>
      <c r="E391" s="289" t="s">
        <v>77</v>
      </c>
      <c r="F391" s="309"/>
      <c r="G391" s="383"/>
      <c r="H391" s="86">
        <f t="shared" si="62"/>
        <v>3457.1846999999998</v>
      </c>
      <c r="I391" s="87">
        <v>1817</v>
      </c>
      <c r="J391" s="87">
        <v>799.7</v>
      </c>
      <c r="K391" s="87">
        <f t="shared" si="63"/>
        <v>840.48469999999998</v>
      </c>
      <c r="L391" s="352"/>
    </row>
    <row r="392" spans="1:12" ht="75" customHeight="1">
      <c r="A392" s="525"/>
      <c r="B392" s="526"/>
      <c r="C392" s="526"/>
      <c r="D392" s="527"/>
      <c r="E392" s="299" t="s">
        <v>79</v>
      </c>
      <c r="F392" s="309"/>
      <c r="G392" s="383"/>
      <c r="H392" s="86">
        <f t="shared" si="62"/>
        <v>216311.68752849998</v>
      </c>
      <c r="I392" s="87">
        <v>68459.5</v>
      </c>
      <c r="J392" s="87">
        <f>I392*1.053</f>
        <v>72087.853499999997</v>
      </c>
      <c r="K392" s="87">
        <f t="shared" si="63"/>
        <v>75764.334028499987</v>
      </c>
      <c r="L392" s="352"/>
    </row>
    <row r="393" spans="1:12" ht="75" customHeight="1">
      <c r="A393" s="525"/>
      <c r="B393" s="526"/>
      <c r="C393" s="526"/>
      <c r="D393" s="527"/>
      <c r="E393" s="299" t="s">
        <v>80</v>
      </c>
      <c r="F393" s="309"/>
      <c r="G393" s="383"/>
      <c r="H393" s="86">
        <f t="shared" si="62"/>
        <v>192325.35250000001</v>
      </c>
      <c r="I393" s="87">
        <v>66381.5</v>
      </c>
      <c r="J393" s="87">
        <v>66343.199999999997</v>
      </c>
      <c r="K393" s="87">
        <f>63675.5+152.8-K395</f>
        <v>59600.652500000004</v>
      </c>
      <c r="L393" s="352"/>
    </row>
    <row r="394" spans="1:12" ht="96" customHeight="1">
      <c r="A394" s="525"/>
      <c r="B394" s="526"/>
      <c r="C394" s="526"/>
      <c r="D394" s="527"/>
      <c r="E394" s="299" t="s">
        <v>324</v>
      </c>
      <c r="F394" s="309"/>
      <c r="G394" s="383"/>
      <c r="H394" s="86">
        <f t="shared" si="62"/>
        <v>7096.1638000000003</v>
      </c>
      <c r="I394" s="87">
        <v>1202</v>
      </c>
      <c r="J394" s="87">
        <v>2873.8</v>
      </c>
      <c r="K394" s="87">
        <f t="shared" si="63"/>
        <v>3020.3638000000001</v>
      </c>
      <c r="L394" s="352"/>
    </row>
    <row r="395" spans="1:12" ht="104.25" customHeight="1">
      <c r="A395" s="528"/>
      <c r="B395" s="529"/>
      <c r="C395" s="529"/>
      <c r="D395" s="530"/>
      <c r="E395" s="299" t="s">
        <v>325</v>
      </c>
      <c r="F395" s="309"/>
      <c r="G395" s="376"/>
      <c r="H395" s="86">
        <f t="shared" si="62"/>
        <v>11277.747500000001</v>
      </c>
      <c r="I395" s="87">
        <v>3027.6</v>
      </c>
      <c r="J395" s="87">
        <v>4022.5</v>
      </c>
      <c r="K395" s="87">
        <f t="shared" si="63"/>
        <v>4227.6475</v>
      </c>
      <c r="L395" s="353"/>
    </row>
    <row r="396" spans="1:12" ht="75" customHeight="1">
      <c r="A396" s="162" t="s">
        <v>386</v>
      </c>
      <c r="B396" s="164" t="s">
        <v>249</v>
      </c>
      <c r="C396" s="165"/>
      <c r="D396" s="163"/>
      <c r="E396" s="165"/>
      <c r="F396" s="163"/>
      <c r="G396" s="309" t="s">
        <v>84</v>
      </c>
      <c r="H396" s="106">
        <f>SUM(H397:H401)</f>
        <v>75152.0386</v>
      </c>
      <c r="I396" s="106">
        <f>SUM(I397:I401)</f>
        <v>22375.3</v>
      </c>
      <c r="J396" s="106">
        <f>SUM(J397:J401)</f>
        <v>25731.800000000003</v>
      </c>
      <c r="K396" s="106">
        <f>SUM(K397:K401)</f>
        <v>27044.938600000001</v>
      </c>
      <c r="L396" s="351" t="s">
        <v>104</v>
      </c>
    </row>
    <row r="397" spans="1:12" ht="75" customHeight="1">
      <c r="A397" s="484" t="s">
        <v>246</v>
      </c>
      <c r="B397" s="485"/>
      <c r="C397" s="485"/>
      <c r="D397" s="486"/>
      <c r="E397" s="299" t="s">
        <v>81</v>
      </c>
      <c r="F397" s="482"/>
      <c r="G397" s="375" t="s">
        <v>92</v>
      </c>
      <c r="H397" s="86">
        <f>I397+J397+K397</f>
        <v>14988.7772</v>
      </c>
      <c r="I397" s="87">
        <v>4083.2</v>
      </c>
      <c r="J397" s="87">
        <v>5317.2</v>
      </c>
      <c r="K397" s="87">
        <f>J397*1.051</f>
        <v>5588.3771999999999</v>
      </c>
      <c r="L397" s="352"/>
    </row>
    <row r="398" spans="1:12" ht="75" customHeight="1">
      <c r="A398" s="487"/>
      <c r="B398" s="488"/>
      <c r="C398" s="488"/>
      <c r="D398" s="489"/>
      <c r="E398" s="299" t="s">
        <v>75</v>
      </c>
      <c r="F398" s="482"/>
      <c r="G398" s="383"/>
      <c r="H398" s="86">
        <f>I398+J398+K398</f>
        <v>29582.1</v>
      </c>
      <c r="I398" s="87">
        <v>9433.9</v>
      </c>
      <c r="J398" s="87">
        <v>9823.2000000000007</v>
      </c>
      <c r="K398" s="87">
        <v>10325</v>
      </c>
      <c r="L398" s="352"/>
    </row>
    <row r="399" spans="1:12" ht="75" customHeight="1">
      <c r="A399" s="487"/>
      <c r="B399" s="488"/>
      <c r="C399" s="488"/>
      <c r="D399" s="489"/>
      <c r="E399" s="299" t="s">
        <v>76</v>
      </c>
      <c r="F399" s="482"/>
      <c r="G399" s="383"/>
      <c r="H399" s="86">
        <f>I399+J399+K399</f>
        <v>3139.2442000000001</v>
      </c>
      <c r="I399" s="87">
        <v>1018.1</v>
      </c>
      <c r="J399" s="87">
        <v>1034.2</v>
      </c>
      <c r="K399" s="87">
        <f>J399*1.051</f>
        <v>1086.9441999999999</v>
      </c>
      <c r="L399" s="352"/>
    </row>
    <row r="400" spans="1:12" ht="108" customHeight="1">
      <c r="A400" s="487"/>
      <c r="B400" s="488"/>
      <c r="C400" s="488"/>
      <c r="D400" s="489"/>
      <c r="E400" s="299" t="s">
        <v>78</v>
      </c>
      <c r="F400" s="482"/>
      <c r="G400" s="383"/>
      <c r="H400" s="86">
        <f>I400+J400+K400</f>
        <v>4047.5172000000002</v>
      </c>
      <c r="I400" s="93">
        <v>853.7</v>
      </c>
      <c r="J400" s="87">
        <v>1557.2</v>
      </c>
      <c r="K400" s="87">
        <f>J400*1.051</f>
        <v>1636.6171999999999</v>
      </c>
      <c r="L400" s="352"/>
    </row>
    <row r="401" spans="1:12" ht="80.25" customHeight="1">
      <c r="A401" s="490"/>
      <c r="B401" s="491"/>
      <c r="C401" s="491"/>
      <c r="D401" s="492"/>
      <c r="E401" s="299" t="s">
        <v>77</v>
      </c>
      <c r="F401" s="483"/>
      <c r="G401" s="383"/>
      <c r="H401" s="86">
        <f>I401+J401+K401</f>
        <v>23394.400000000001</v>
      </c>
      <c r="I401" s="87">
        <v>6986.4</v>
      </c>
      <c r="J401" s="87">
        <v>8000</v>
      </c>
      <c r="K401" s="87">
        <f>J401*1.051</f>
        <v>8408</v>
      </c>
      <c r="L401" s="353"/>
    </row>
    <row r="402" spans="1:12" ht="35.25" customHeight="1">
      <c r="A402" s="158"/>
      <c r="B402" s="350"/>
      <c r="C402" s="350"/>
      <c r="D402" s="350"/>
      <c r="E402" s="350"/>
      <c r="F402" s="350"/>
      <c r="G402" s="309"/>
      <c r="H402" s="86"/>
      <c r="I402" s="86"/>
      <c r="J402" s="86"/>
      <c r="K402" s="86"/>
      <c r="L402" s="351"/>
    </row>
    <row r="403" spans="1:12" ht="35.25" customHeight="1">
      <c r="A403" s="512"/>
      <c r="B403" s="513"/>
      <c r="C403" s="513"/>
      <c r="D403" s="514"/>
      <c r="E403" s="299"/>
      <c r="F403" s="309"/>
      <c r="G403" s="286"/>
      <c r="H403" s="86"/>
      <c r="I403" s="87"/>
      <c r="J403" s="87"/>
      <c r="K403" s="87"/>
      <c r="L403" s="353"/>
    </row>
    <row r="404" spans="1:12" ht="50.25" customHeight="1">
      <c r="A404" s="534" t="s">
        <v>88</v>
      </c>
      <c r="B404" s="535"/>
      <c r="C404" s="535"/>
      <c r="D404" s="535"/>
      <c r="E404" s="535"/>
      <c r="F404" s="536"/>
      <c r="G404" s="153"/>
      <c r="H404" s="86">
        <f>H299+H358+H364+H374+H378+H385+H396+H376</f>
        <v>2494594.5081197</v>
      </c>
      <c r="I404" s="86">
        <f>I299+I358+I364+I374+I378+I385+I396+I376</f>
        <v>862271.41800000006</v>
      </c>
      <c r="J404" s="86">
        <f>J299+J358+J364+J374+J378+J385+J396+J376</f>
        <v>952232.28469999996</v>
      </c>
      <c r="K404" s="86">
        <f>K299+K358+K364+K374+K378+K385+K396+K376</f>
        <v>680090.8657197</v>
      </c>
      <c r="L404" s="336"/>
    </row>
    <row r="405" spans="1:12" ht="75" customHeight="1">
      <c r="A405" s="531" t="s">
        <v>91</v>
      </c>
      <c r="B405" s="478"/>
      <c r="C405" s="478"/>
      <c r="D405" s="478"/>
      <c r="E405" s="478"/>
      <c r="F405" s="493"/>
      <c r="G405" s="286" t="s">
        <v>405</v>
      </c>
      <c r="H405" s="87">
        <f>H300+H358+H369+H367+H365</f>
        <v>280422.37729999999</v>
      </c>
      <c r="I405" s="87">
        <f>I300+I358+I369</f>
        <v>125824.62299999998</v>
      </c>
      <c r="J405" s="87">
        <f>J300+J358+J369+J367</f>
        <v>85771.760000000009</v>
      </c>
      <c r="K405" s="87">
        <f>K300+K358+K369+K365</f>
        <v>68825.994299999991</v>
      </c>
      <c r="L405" s="337"/>
    </row>
    <row r="406" spans="1:12" ht="75" customHeight="1">
      <c r="A406" s="532"/>
      <c r="B406" s="494"/>
      <c r="C406" s="494"/>
      <c r="D406" s="494"/>
      <c r="E406" s="494"/>
      <c r="F406" s="495"/>
      <c r="G406" s="286" t="s">
        <v>409</v>
      </c>
      <c r="H406" s="87">
        <f>H301+H370+H379+H366+H368</f>
        <v>295232.68699999998</v>
      </c>
      <c r="I406" s="87">
        <f>I301+I370+I379+I366+I368</f>
        <v>115355.913</v>
      </c>
      <c r="J406" s="87">
        <f>J301+J370+J379+J366+J368</f>
        <v>149876.79999999999</v>
      </c>
      <c r="K406" s="87">
        <f>K301+K370+K379+K366+K368</f>
        <v>30000</v>
      </c>
      <c r="L406" s="337"/>
    </row>
    <row r="407" spans="1:12" ht="75" customHeight="1">
      <c r="A407" s="532"/>
      <c r="B407" s="494"/>
      <c r="C407" s="494"/>
      <c r="D407" s="494"/>
      <c r="E407" s="494"/>
      <c r="F407" s="495"/>
      <c r="G407" s="278" t="s">
        <v>95</v>
      </c>
      <c r="H407" s="87">
        <f>H302</f>
        <v>52689.700000000004</v>
      </c>
      <c r="I407" s="87">
        <f>I302</f>
        <v>52689.700000000004</v>
      </c>
      <c r="J407" s="87">
        <f>J302</f>
        <v>0</v>
      </c>
      <c r="K407" s="87">
        <f>K302</f>
        <v>0</v>
      </c>
      <c r="L407" s="337"/>
    </row>
    <row r="408" spans="1:12" ht="174.75" customHeight="1">
      <c r="A408" s="532"/>
      <c r="B408" s="494"/>
      <c r="C408" s="494"/>
      <c r="D408" s="494"/>
      <c r="E408" s="494"/>
      <c r="F408" s="495"/>
      <c r="G408" s="278" t="s">
        <v>98</v>
      </c>
      <c r="H408" s="87">
        <f>H304</f>
        <v>4468.2</v>
      </c>
      <c r="I408" s="87">
        <f>I304</f>
        <v>4468.2</v>
      </c>
      <c r="J408" s="87">
        <f>J304</f>
        <v>0</v>
      </c>
      <c r="K408" s="87">
        <f>K304</f>
        <v>0</v>
      </c>
      <c r="L408" s="337"/>
    </row>
    <row r="409" spans="1:12" ht="227.25" customHeight="1">
      <c r="A409" s="532"/>
      <c r="B409" s="494"/>
      <c r="C409" s="494"/>
      <c r="D409" s="494"/>
      <c r="E409" s="494"/>
      <c r="F409" s="495"/>
      <c r="G409" s="156" t="s">
        <v>99</v>
      </c>
      <c r="H409" s="87">
        <f>H303</f>
        <v>18015.819000000003</v>
      </c>
      <c r="I409" s="87">
        <f>I303</f>
        <v>6612.1190000000006</v>
      </c>
      <c r="J409" s="87">
        <f>J303</f>
        <v>11403.7</v>
      </c>
      <c r="K409" s="87">
        <f>K303</f>
        <v>0</v>
      </c>
      <c r="L409" s="337"/>
    </row>
    <row r="410" spans="1:12" ht="154.5" customHeight="1">
      <c r="A410" s="532"/>
      <c r="B410" s="494"/>
      <c r="C410" s="494"/>
      <c r="D410" s="494"/>
      <c r="E410" s="494"/>
      <c r="F410" s="495"/>
      <c r="G410" s="278" t="s">
        <v>201</v>
      </c>
      <c r="H410" s="87">
        <f>H305+H384</f>
        <v>4763.7630000000008</v>
      </c>
      <c r="I410" s="87">
        <f>I305</f>
        <v>4763.7630000000008</v>
      </c>
      <c r="J410" s="87">
        <f>J373</f>
        <v>156</v>
      </c>
      <c r="K410" s="87">
        <f>K305</f>
        <v>0</v>
      </c>
      <c r="L410" s="337"/>
    </row>
    <row r="411" spans="1:12" ht="75" customHeight="1">
      <c r="A411" s="532"/>
      <c r="B411" s="494"/>
      <c r="C411" s="494"/>
      <c r="D411" s="494"/>
      <c r="E411" s="494"/>
      <c r="F411" s="495"/>
      <c r="G411" s="286" t="s">
        <v>317</v>
      </c>
      <c r="H411" s="87">
        <f>H307</f>
        <v>185</v>
      </c>
      <c r="I411" s="87">
        <f>I307</f>
        <v>60</v>
      </c>
      <c r="J411" s="87">
        <f>J307</f>
        <v>125</v>
      </c>
      <c r="K411" s="87">
        <f>K307</f>
        <v>0</v>
      </c>
      <c r="L411" s="337"/>
    </row>
    <row r="412" spans="1:12" ht="75" customHeight="1">
      <c r="A412" s="532"/>
      <c r="B412" s="494"/>
      <c r="C412" s="494"/>
      <c r="D412" s="494"/>
      <c r="E412" s="494"/>
      <c r="F412" s="495"/>
      <c r="G412" s="279" t="s">
        <v>383</v>
      </c>
      <c r="H412" s="87">
        <f>H306</f>
        <v>24549.8</v>
      </c>
      <c r="I412" s="87">
        <f>I306</f>
        <v>799.7</v>
      </c>
      <c r="J412" s="87">
        <f>J306</f>
        <v>23750.1</v>
      </c>
      <c r="K412" s="87">
        <f>K306</f>
        <v>0</v>
      </c>
      <c r="L412" s="337"/>
    </row>
    <row r="413" spans="1:12" ht="102" customHeight="1">
      <c r="A413" s="532"/>
      <c r="B413" s="494"/>
      <c r="C413" s="494"/>
      <c r="D413" s="494"/>
      <c r="E413" s="494"/>
      <c r="F413" s="495"/>
      <c r="G413" s="286" t="s">
        <v>385</v>
      </c>
      <c r="H413" s="87">
        <f>H377</f>
        <v>6848</v>
      </c>
      <c r="I413" s="87">
        <f>I377</f>
        <v>6848</v>
      </c>
      <c r="J413" s="87">
        <f>J377</f>
        <v>0</v>
      </c>
      <c r="K413" s="87">
        <f>K377</f>
        <v>0</v>
      </c>
      <c r="L413" s="337"/>
    </row>
    <row r="414" spans="1:12" ht="99.75" customHeight="1">
      <c r="A414" s="532"/>
      <c r="B414" s="494"/>
      <c r="C414" s="494"/>
      <c r="D414" s="494"/>
      <c r="E414" s="494"/>
      <c r="F414" s="495"/>
      <c r="G414" s="287" t="s">
        <v>82</v>
      </c>
      <c r="H414" s="87">
        <f t="shared" ref="H414:K415" si="64">H371</f>
        <v>19376.800000000003</v>
      </c>
      <c r="I414" s="87">
        <f t="shared" si="64"/>
        <v>14714.7</v>
      </c>
      <c r="J414" s="87">
        <f t="shared" si="64"/>
        <v>4662.1000000000004</v>
      </c>
      <c r="K414" s="87">
        <f t="shared" si="64"/>
        <v>0</v>
      </c>
      <c r="L414" s="337"/>
    </row>
    <row r="415" spans="1:12" ht="75" customHeight="1">
      <c r="A415" s="532"/>
      <c r="B415" s="494"/>
      <c r="C415" s="494"/>
      <c r="D415" s="494"/>
      <c r="E415" s="494"/>
      <c r="F415" s="495"/>
      <c r="G415" s="287" t="s">
        <v>83</v>
      </c>
      <c r="H415" s="87">
        <f t="shared" si="64"/>
        <v>885</v>
      </c>
      <c r="I415" s="87">
        <f t="shared" si="64"/>
        <v>885</v>
      </c>
      <c r="J415" s="87">
        <f t="shared" si="64"/>
        <v>0</v>
      </c>
      <c r="K415" s="87">
        <f t="shared" si="64"/>
        <v>0</v>
      </c>
      <c r="L415" s="337"/>
    </row>
    <row r="416" spans="1:12" ht="75" customHeight="1">
      <c r="A416" s="532"/>
      <c r="B416" s="494"/>
      <c r="C416" s="494"/>
      <c r="D416" s="494"/>
      <c r="E416" s="494"/>
      <c r="F416" s="495"/>
      <c r="G416" s="287" t="s">
        <v>103</v>
      </c>
      <c r="H416" s="87">
        <f>H375</f>
        <v>21743.4</v>
      </c>
      <c r="I416" s="87">
        <f>I375</f>
        <v>6238.8</v>
      </c>
      <c r="J416" s="87">
        <f>J375</f>
        <v>3304.6</v>
      </c>
      <c r="K416" s="87">
        <f>K375</f>
        <v>12200</v>
      </c>
      <c r="L416" s="337"/>
    </row>
    <row r="417" spans="1:12" ht="75" customHeight="1">
      <c r="A417" s="532"/>
      <c r="B417" s="494"/>
      <c r="C417" s="494"/>
      <c r="D417" s="494"/>
      <c r="E417" s="494"/>
      <c r="F417" s="495"/>
      <c r="G417" s="286" t="s">
        <v>86</v>
      </c>
      <c r="H417" s="87">
        <f>H385</f>
        <v>1690105.9175197</v>
      </c>
      <c r="I417" s="87">
        <f>I385</f>
        <v>500635.6</v>
      </c>
      <c r="J417" s="87">
        <f>J385</f>
        <v>647450.38469999994</v>
      </c>
      <c r="K417" s="87">
        <f>K385</f>
        <v>542019.93281969998</v>
      </c>
      <c r="L417" s="337"/>
    </row>
    <row r="418" spans="1:12" ht="91.5" customHeight="1">
      <c r="A418" s="533"/>
      <c r="B418" s="496"/>
      <c r="C418" s="496"/>
      <c r="D418" s="496"/>
      <c r="E418" s="496"/>
      <c r="F418" s="497"/>
      <c r="G418" s="286" t="s">
        <v>90</v>
      </c>
      <c r="H418" s="87">
        <f>H396</f>
        <v>75152.0386</v>
      </c>
      <c r="I418" s="87">
        <f>I396</f>
        <v>22375.3</v>
      </c>
      <c r="J418" s="87">
        <f>J396</f>
        <v>25731.800000000003</v>
      </c>
      <c r="K418" s="87">
        <f>K396</f>
        <v>27044.938600000001</v>
      </c>
      <c r="L418" s="337"/>
    </row>
    <row r="419" spans="1:12" ht="75" customHeight="1">
      <c r="A419" s="531" t="s">
        <v>94</v>
      </c>
      <c r="B419" s="478"/>
      <c r="C419" s="478"/>
      <c r="D419" s="493"/>
      <c r="E419" s="350" t="s">
        <v>81</v>
      </c>
      <c r="F419" s="393"/>
      <c r="G419" s="295" t="s">
        <v>89</v>
      </c>
      <c r="H419" s="86">
        <f>SUM(H420:H427)</f>
        <v>406700.40309120005</v>
      </c>
      <c r="I419" s="86">
        <f>SUM(I420:I427)</f>
        <v>143801.62</v>
      </c>
      <c r="J419" s="86">
        <f>SUM(J420:J427)</f>
        <v>138811.7812</v>
      </c>
      <c r="K419" s="86">
        <f>SUM(K420:K427)</f>
        <v>124087.00189119999</v>
      </c>
      <c r="L419" s="337"/>
    </row>
    <row r="420" spans="1:12" ht="75" customHeight="1">
      <c r="A420" s="532"/>
      <c r="B420" s="494"/>
      <c r="C420" s="494"/>
      <c r="D420" s="495"/>
      <c r="E420" s="350"/>
      <c r="F420" s="393"/>
      <c r="G420" s="286" t="s">
        <v>405</v>
      </c>
      <c r="H420" s="87">
        <f>H309+H359</f>
        <v>31465.88</v>
      </c>
      <c r="I420" s="87">
        <f>I309+I359</f>
        <v>15981.439999999999</v>
      </c>
      <c r="J420" s="87">
        <f>J309+J359</f>
        <v>10077.940000000002</v>
      </c>
      <c r="K420" s="87">
        <f>K309+K359</f>
        <v>5406.5</v>
      </c>
      <c r="L420" s="337"/>
    </row>
    <row r="421" spans="1:12" ht="75" customHeight="1">
      <c r="A421" s="532"/>
      <c r="B421" s="494"/>
      <c r="C421" s="494"/>
      <c r="D421" s="495"/>
      <c r="E421" s="350"/>
      <c r="F421" s="393"/>
      <c r="G421" s="278" t="s">
        <v>95</v>
      </c>
      <c r="H421" s="87">
        <f t="shared" ref="H421:K424" si="65">H310</f>
        <v>12485.6</v>
      </c>
      <c r="I421" s="87">
        <f t="shared" si="65"/>
        <v>12485.6</v>
      </c>
      <c r="J421" s="87">
        <f t="shared" si="65"/>
        <v>0</v>
      </c>
      <c r="K421" s="87">
        <f t="shared" si="65"/>
        <v>0</v>
      </c>
      <c r="L421" s="337"/>
    </row>
    <row r="422" spans="1:12" ht="174.75" customHeight="1">
      <c r="A422" s="532"/>
      <c r="B422" s="494"/>
      <c r="C422" s="494"/>
      <c r="D422" s="495"/>
      <c r="E422" s="350"/>
      <c r="F422" s="393"/>
      <c r="G422" s="278" t="s">
        <v>98</v>
      </c>
      <c r="H422" s="87">
        <f t="shared" si="65"/>
        <v>147.79999999999998</v>
      </c>
      <c r="I422" s="87">
        <f t="shared" si="65"/>
        <v>147.79999999999998</v>
      </c>
      <c r="J422" s="87">
        <f t="shared" si="65"/>
        <v>0</v>
      </c>
      <c r="K422" s="87">
        <f t="shared" si="65"/>
        <v>0</v>
      </c>
      <c r="L422" s="337"/>
    </row>
    <row r="423" spans="1:12" ht="150" customHeight="1">
      <c r="A423" s="532"/>
      <c r="B423" s="494"/>
      <c r="C423" s="494"/>
      <c r="D423" s="495"/>
      <c r="E423" s="350"/>
      <c r="F423" s="393"/>
      <c r="G423" s="278" t="s">
        <v>201</v>
      </c>
      <c r="H423" s="87">
        <f t="shared" si="65"/>
        <v>249.81</v>
      </c>
      <c r="I423" s="87">
        <f t="shared" si="65"/>
        <v>249.81</v>
      </c>
      <c r="J423" s="87">
        <f t="shared" si="65"/>
        <v>0</v>
      </c>
      <c r="K423" s="87">
        <f t="shared" si="65"/>
        <v>0</v>
      </c>
      <c r="L423" s="337"/>
    </row>
    <row r="424" spans="1:12" ht="75" customHeight="1">
      <c r="A424" s="532"/>
      <c r="B424" s="494"/>
      <c r="C424" s="494"/>
      <c r="D424" s="495"/>
      <c r="E424" s="350"/>
      <c r="F424" s="393"/>
      <c r="G424" s="286" t="s">
        <v>317</v>
      </c>
      <c r="H424" s="87">
        <f t="shared" si="65"/>
        <v>60</v>
      </c>
      <c r="I424" s="87">
        <f t="shared" si="65"/>
        <v>60</v>
      </c>
      <c r="J424" s="87">
        <f t="shared" si="65"/>
        <v>0</v>
      </c>
      <c r="K424" s="87">
        <f t="shared" si="65"/>
        <v>0</v>
      </c>
      <c r="L424" s="337"/>
    </row>
    <row r="425" spans="1:12" ht="75" customHeight="1">
      <c r="A425" s="532"/>
      <c r="B425" s="494"/>
      <c r="C425" s="494"/>
      <c r="D425" s="495"/>
      <c r="E425" s="350"/>
      <c r="F425" s="393"/>
      <c r="G425" s="286" t="s">
        <v>86</v>
      </c>
      <c r="H425" s="87">
        <f>H386</f>
        <v>308609.45589119999</v>
      </c>
      <c r="I425" s="87">
        <f>I386</f>
        <v>97670.399999999994</v>
      </c>
      <c r="J425" s="87">
        <f>J386</f>
        <v>102846.93119999999</v>
      </c>
      <c r="K425" s="87">
        <f>K386</f>
        <v>108092.12469119999</v>
      </c>
      <c r="L425" s="337"/>
    </row>
    <row r="426" spans="1:12" ht="75" customHeight="1">
      <c r="A426" s="532"/>
      <c r="B426" s="494"/>
      <c r="C426" s="494"/>
      <c r="D426" s="495"/>
      <c r="E426" s="350"/>
      <c r="F426" s="393"/>
      <c r="G426" s="286" t="s">
        <v>409</v>
      </c>
      <c r="H426" s="87">
        <f>H314</f>
        <v>38693.08</v>
      </c>
      <c r="I426" s="87">
        <f>I314</f>
        <v>13123.369999999999</v>
      </c>
      <c r="J426" s="87">
        <f>J314</f>
        <v>20569.71</v>
      </c>
      <c r="K426" s="87">
        <f>K314</f>
        <v>5000</v>
      </c>
      <c r="L426" s="337"/>
    </row>
    <row r="427" spans="1:12" ht="87.75" customHeight="1">
      <c r="A427" s="532"/>
      <c r="B427" s="494"/>
      <c r="C427" s="494"/>
      <c r="D427" s="495"/>
      <c r="E427" s="350"/>
      <c r="F427" s="393"/>
      <c r="G427" s="286" t="s">
        <v>90</v>
      </c>
      <c r="H427" s="87">
        <f>H397</f>
        <v>14988.7772</v>
      </c>
      <c r="I427" s="87">
        <f>I397</f>
        <v>4083.2</v>
      </c>
      <c r="J427" s="87">
        <f>J397</f>
        <v>5317.2</v>
      </c>
      <c r="K427" s="87">
        <f>K397</f>
        <v>5588.3771999999999</v>
      </c>
      <c r="L427" s="337"/>
    </row>
    <row r="428" spans="1:12" ht="75" customHeight="1">
      <c r="A428" s="532"/>
      <c r="B428" s="494"/>
      <c r="C428" s="494"/>
      <c r="D428" s="495"/>
      <c r="E428" s="350" t="s">
        <v>75</v>
      </c>
      <c r="F428" s="393"/>
      <c r="G428" s="295" t="s">
        <v>89</v>
      </c>
      <c r="H428" s="86">
        <f>SUM(H429:H433)</f>
        <v>240302.35</v>
      </c>
      <c r="I428" s="86">
        <f>SUM(I429:I433)</f>
        <v>80727.12999999999</v>
      </c>
      <c r="J428" s="86">
        <f>SUM(J429:J433)</f>
        <v>87647.819999999992</v>
      </c>
      <c r="K428" s="86">
        <f>SUM(K429:K433)</f>
        <v>71927.399999999994</v>
      </c>
      <c r="L428" s="337"/>
    </row>
    <row r="429" spans="1:12" ht="75" customHeight="1">
      <c r="A429" s="532"/>
      <c r="B429" s="494"/>
      <c r="C429" s="494"/>
      <c r="D429" s="495"/>
      <c r="E429" s="350"/>
      <c r="F429" s="393"/>
      <c r="G429" s="286" t="s">
        <v>405</v>
      </c>
      <c r="H429" s="87">
        <f>H316+H360</f>
        <v>35587.000000000007</v>
      </c>
      <c r="I429" s="87">
        <f>I316+I360</f>
        <v>13363.099999999997</v>
      </c>
      <c r="J429" s="87">
        <f>J316+J360</f>
        <v>11418.5</v>
      </c>
      <c r="K429" s="87">
        <f>K316+K360</f>
        <v>10805.399999999998</v>
      </c>
      <c r="L429" s="337"/>
    </row>
    <row r="430" spans="1:12" ht="75" customHeight="1">
      <c r="A430" s="532"/>
      <c r="B430" s="494"/>
      <c r="C430" s="494"/>
      <c r="D430" s="495"/>
      <c r="E430" s="350"/>
      <c r="F430" s="393"/>
      <c r="G430" s="278" t="s">
        <v>95</v>
      </c>
      <c r="H430" s="87">
        <f>H317</f>
        <v>8160.1</v>
      </c>
      <c r="I430" s="87">
        <f>I317</f>
        <v>8160.1</v>
      </c>
      <c r="J430" s="87">
        <f>J317</f>
        <v>0</v>
      </c>
      <c r="K430" s="87">
        <f>K317</f>
        <v>0</v>
      </c>
      <c r="L430" s="337"/>
    </row>
    <row r="431" spans="1:12" ht="75" customHeight="1">
      <c r="A431" s="532"/>
      <c r="B431" s="494"/>
      <c r="C431" s="494"/>
      <c r="D431" s="495"/>
      <c r="E431" s="350"/>
      <c r="F431" s="393"/>
      <c r="G431" s="287" t="s">
        <v>86</v>
      </c>
      <c r="H431" s="87">
        <f>H387</f>
        <v>132625.60000000001</v>
      </c>
      <c r="I431" s="87">
        <f>I387</f>
        <v>37455.599999999999</v>
      </c>
      <c r="J431" s="87">
        <f>J387</f>
        <v>49373</v>
      </c>
      <c r="K431" s="87">
        <f>K387</f>
        <v>45797</v>
      </c>
      <c r="L431" s="337"/>
    </row>
    <row r="432" spans="1:12" ht="75" customHeight="1">
      <c r="A432" s="532"/>
      <c r="B432" s="494"/>
      <c r="C432" s="494"/>
      <c r="D432" s="495"/>
      <c r="E432" s="350"/>
      <c r="F432" s="393"/>
      <c r="G432" s="286" t="s">
        <v>409</v>
      </c>
      <c r="H432" s="87">
        <f>H318+H380</f>
        <v>34347.549999999996</v>
      </c>
      <c r="I432" s="87">
        <f>I318+I380</f>
        <v>12314.429999999998</v>
      </c>
      <c r="J432" s="87">
        <f>J318+J380</f>
        <v>17033.12</v>
      </c>
      <c r="K432" s="87">
        <f>K318+K380</f>
        <v>5000</v>
      </c>
      <c r="L432" s="337"/>
    </row>
    <row r="433" spans="1:12" ht="75" customHeight="1">
      <c r="A433" s="532"/>
      <c r="B433" s="494"/>
      <c r="C433" s="494"/>
      <c r="D433" s="495"/>
      <c r="E433" s="350"/>
      <c r="F433" s="393"/>
      <c r="G433" s="286" t="s">
        <v>90</v>
      </c>
      <c r="H433" s="87">
        <f>H398</f>
        <v>29582.1</v>
      </c>
      <c r="I433" s="87">
        <f>I398</f>
        <v>9433.9</v>
      </c>
      <c r="J433" s="87">
        <f>J398</f>
        <v>9823.2000000000007</v>
      </c>
      <c r="K433" s="87">
        <f>K398</f>
        <v>10325</v>
      </c>
      <c r="L433" s="337"/>
    </row>
    <row r="434" spans="1:12" ht="75" customHeight="1">
      <c r="A434" s="532"/>
      <c r="B434" s="494"/>
      <c r="C434" s="494"/>
      <c r="D434" s="495"/>
      <c r="E434" s="350" t="s">
        <v>76</v>
      </c>
      <c r="F434" s="393"/>
      <c r="G434" s="295" t="s">
        <v>89</v>
      </c>
      <c r="H434" s="86">
        <f>SUM(H435:H440)</f>
        <v>533568.32819999999</v>
      </c>
      <c r="I434" s="86">
        <f>SUM(I435:I440)</f>
        <v>175417.25400000002</v>
      </c>
      <c r="J434" s="86">
        <f>SUM(J435:J440)</f>
        <v>246788.64</v>
      </c>
      <c r="K434" s="86">
        <f>SUM(K435:K440)</f>
        <v>111362.4342</v>
      </c>
      <c r="L434" s="337"/>
    </row>
    <row r="435" spans="1:12" ht="75" customHeight="1">
      <c r="A435" s="532"/>
      <c r="B435" s="494"/>
      <c r="C435" s="494"/>
      <c r="D435" s="495"/>
      <c r="E435" s="350"/>
      <c r="F435" s="393"/>
      <c r="G435" s="286" t="s">
        <v>405</v>
      </c>
      <c r="H435" s="87">
        <f>H320+H361</f>
        <v>41777.229999999996</v>
      </c>
      <c r="I435" s="87">
        <f>I320+I361</f>
        <v>23086.199999999997</v>
      </c>
      <c r="J435" s="87">
        <f>J320+J361</f>
        <v>10781.04</v>
      </c>
      <c r="K435" s="87">
        <f>K320+K361</f>
        <v>7909.99</v>
      </c>
      <c r="L435" s="337"/>
    </row>
    <row r="436" spans="1:12" ht="75" customHeight="1">
      <c r="A436" s="532"/>
      <c r="B436" s="494"/>
      <c r="C436" s="494"/>
      <c r="D436" s="495"/>
      <c r="E436" s="350"/>
      <c r="F436" s="393"/>
      <c r="G436" s="278" t="s">
        <v>95</v>
      </c>
      <c r="H436" s="87">
        <f t="shared" ref="H436:K437" si="66">H321</f>
        <v>12866.2</v>
      </c>
      <c r="I436" s="87">
        <f t="shared" si="66"/>
        <v>12866.2</v>
      </c>
      <c r="J436" s="87">
        <f t="shared" si="66"/>
        <v>0</v>
      </c>
      <c r="K436" s="87">
        <f t="shared" si="66"/>
        <v>0</v>
      </c>
      <c r="L436" s="337"/>
    </row>
    <row r="437" spans="1:12" ht="171" customHeight="1">
      <c r="A437" s="532"/>
      <c r="B437" s="494"/>
      <c r="C437" s="494"/>
      <c r="D437" s="495"/>
      <c r="E437" s="350"/>
      <c r="F437" s="393"/>
      <c r="G437" s="278" t="s">
        <v>98</v>
      </c>
      <c r="H437" s="87">
        <f t="shared" si="66"/>
        <v>2680.3</v>
      </c>
      <c r="I437" s="87">
        <f t="shared" si="66"/>
        <v>2680.3</v>
      </c>
      <c r="J437" s="87">
        <f t="shared" si="66"/>
        <v>0</v>
      </c>
      <c r="K437" s="87">
        <f t="shared" si="66"/>
        <v>0</v>
      </c>
      <c r="L437" s="337"/>
    </row>
    <row r="438" spans="1:12" ht="75" customHeight="1">
      <c r="A438" s="532"/>
      <c r="B438" s="494"/>
      <c r="C438" s="494"/>
      <c r="D438" s="495"/>
      <c r="E438" s="350"/>
      <c r="F438" s="393"/>
      <c r="G438" s="287" t="s">
        <v>86</v>
      </c>
      <c r="H438" s="87">
        <f>H388</f>
        <v>425093.5</v>
      </c>
      <c r="I438" s="87">
        <f>I388</f>
        <v>117838.5</v>
      </c>
      <c r="J438" s="87">
        <f>J388</f>
        <v>209889.5</v>
      </c>
      <c r="K438" s="87">
        <f>K388</f>
        <v>97365.5</v>
      </c>
      <c r="L438" s="337"/>
    </row>
    <row r="439" spans="1:12" ht="75" customHeight="1">
      <c r="A439" s="532"/>
      <c r="B439" s="494"/>
      <c r="C439" s="494"/>
      <c r="D439" s="495"/>
      <c r="E439" s="350"/>
      <c r="F439" s="393"/>
      <c r="G439" s="286" t="s">
        <v>409</v>
      </c>
      <c r="H439" s="87">
        <f>H323+H381</f>
        <v>48011.854000000007</v>
      </c>
      <c r="I439" s="87">
        <f>I323+I381</f>
        <v>17927.954000000002</v>
      </c>
      <c r="J439" s="87">
        <f>J323+J381</f>
        <v>25083.9</v>
      </c>
      <c r="K439" s="87">
        <f>K323+K381</f>
        <v>5000</v>
      </c>
      <c r="L439" s="337"/>
    </row>
    <row r="440" spans="1:12" ht="75" customHeight="1">
      <c r="A440" s="532"/>
      <c r="B440" s="494"/>
      <c r="C440" s="494"/>
      <c r="D440" s="495"/>
      <c r="E440" s="350"/>
      <c r="F440" s="393"/>
      <c r="G440" s="286" t="s">
        <v>90</v>
      </c>
      <c r="H440" s="87">
        <f>H399</f>
        <v>3139.2442000000001</v>
      </c>
      <c r="I440" s="87">
        <f>I399</f>
        <v>1018.1</v>
      </c>
      <c r="J440" s="87">
        <f>J399</f>
        <v>1034.2</v>
      </c>
      <c r="K440" s="87">
        <f>K399</f>
        <v>1086.9441999999999</v>
      </c>
      <c r="L440" s="337"/>
    </row>
    <row r="441" spans="1:12" ht="75" customHeight="1">
      <c r="A441" s="532"/>
      <c r="B441" s="494"/>
      <c r="C441" s="494"/>
      <c r="D441" s="495"/>
      <c r="E441" s="339" t="s">
        <v>74</v>
      </c>
      <c r="F441" s="393"/>
      <c r="G441" s="295" t="s">
        <v>89</v>
      </c>
      <c r="H441" s="86">
        <f>SUM(H442:H449)</f>
        <v>409009.54700000008</v>
      </c>
      <c r="I441" s="86">
        <f>SUM(I442:I449)</f>
        <v>160944.32500000001</v>
      </c>
      <c r="J441" s="86">
        <f>SUM(J442:J449)</f>
        <v>133223.13</v>
      </c>
      <c r="K441" s="86">
        <f>SUM(K442:K449)</f>
        <v>114842.09199999999</v>
      </c>
      <c r="L441" s="337"/>
    </row>
    <row r="442" spans="1:12" ht="75" customHeight="1">
      <c r="A442" s="532"/>
      <c r="B442" s="494"/>
      <c r="C442" s="494"/>
      <c r="D442" s="495"/>
      <c r="E442" s="340"/>
      <c r="F442" s="393"/>
      <c r="G442" s="287" t="s">
        <v>405</v>
      </c>
      <c r="H442" s="87">
        <f>H325+H369</f>
        <v>45619.205000000002</v>
      </c>
      <c r="I442" s="87">
        <f>I325+I369</f>
        <v>23201.383000000002</v>
      </c>
      <c r="J442" s="87">
        <f>J325+J369</f>
        <v>13183.629999999997</v>
      </c>
      <c r="K442" s="87">
        <f>K325+K369</f>
        <v>9234.1920000000009</v>
      </c>
      <c r="L442" s="337"/>
    </row>
    <row r="443" spans="1:12" ht="75" customHeight="1">
      <c r="A443" s="532"/>
      <c r="B443" s="494"/>
      <c r="C443" s="494"/>
      <c r="D443" s="495"/>
      <c r="E443" s="340"/>
      <c r="F443" s="393"/>
      <c r="G443" s="278" t="s">
        <v>95</v>
      </c>
      <c r="H443" s="87">
        <f t="shared" ref="H443:K444" si="67">H326</f>
        <v>11698</v>
      </c>
      <c r="I443" s="87">
        <f t="shared" si="67"/>
        <v>11698</v>
      </c>
      <c r="J443" s="87">
        <f t="shared" si="67"/>
        <v>0</v>
      </c>
      <c r="K443" s="87">
        <f t="shared" si="67"/>
        <v>0</v>
      </c>
      <c r="L443" s="337"/>
    </row>
    <row r="444" spans="1:12" ht="162.75" customHeight="1">
      <c r="A444" s="532"/>
      <c r="B444" s="494"/>
      <c r="C444" s="494"/>
      <c r="D444" s="495"/>
      <c r="E444" s="340"/>
      <c r="F444" s="393"/>
      <c r="G444" s="278" t="s">
        <v>201</v>
      </c>
      <c r="H444" s="87">
        <f t="shared" si="67"/>
        <v>1187.9530000000004</v>
      </c>
      <c r="I444" s="87">
        <f t="shared" si="67"/>
        <v>1187.9530000000004</v>
      </c>
      <c r="J444" s="87">
        <f t="shared" si="67"/>
        <v>0</v>
      </c>
      <c r="K444" s="87">
        <f t="shared" si="67"/>
        <v>0</v>
      </c>
      <c r="L444" s="337"/>
    </row>
    <row r="445" spans="1:12" ht="75" customHeight="1">
      <c r="A445" s="532"/>
      <c r="B445" s="494"/>
      <c r="C445" s="494"/>
      <c r="D445" s="495"/>
      <c r="E445" s="340"/>
      <c r="F445" s="393"/>
      <c r="G445" s="287" t="s">
        <v>86</v>
      </c>
      <c r="H445" s="87">
        <f>H389</f>
        <v>241584.30000000002</v>
      </c>
      <c r="I445" s="87">
        <f>I389</f>
        <v>70008.100000000006</v>
      </c>
      <c r="J445" s="87">
        <f>J389</f>
        <v>83168.3</v>
      </c>
      <c r="K445" s="87">
        <f>K389</f>
        <v>88407.9</v>
      </c>
      <c r="L445" s="337"/>
    </row>
    <row r="446" spans="1:12" ht="75" customHeight="1">
      <c r="A446" s="532"/>
      <c r="B446" s="494"/>
      <c r="C446" s="494"/>
      <c r="D446" s="495"/>
      <c r="E446" s="340"/>
      <c r="F446" s="393"/>
      <c r="G446" s="286" t="s">
        <v>409</v>
      </c>
      <c r="H446" s="87">
        <f>H328+H370</f>
        <v>66914.88900000001</v>
      </c>
      <c r="I446" s="87">
        <f>I328+I370</f>
        <v>33010.389000000003</v>
      </c>
      <c r="J446" s="87">
        <f>J328+J370</f>
        <v>28904.5</v>
      </c>
      <c r="K446" s="87">
        <f>K328+K370</f>
        <v>5000</v>
      </c>
      <c r="L446" s="337"/>
    </row>
    <row r="447" spans="1:12" ht="75" customHeight="1">
      <c r="A447" s="532"/>
      <c r="B447" s="494"/>
      <c r="C447" s="494"/>
      <c r="D447" s="495"/>
      <c r="E447" s="340"/>
      <c r="F447" s="393"/>
      <c r="G447" s="287" t="s">
        <v>369</v>
      </c>
      <c r="H447" s="87">
        <f t="shared" ref="H447:K448" si="68">H371</f>
        <v>19376.800000000003</v>
      </c>
      <c r="I447" s="87">
        <f t="shared" si="68"/>
        <v>14714.7</v>
      </c>
      <c r="J447" s="87">
        <f t="shared" si="68"/>
        <v>4662.1000000000004</v>
      </c>
      <c r="K447" s="87">
        <f t="shared" si="68"/>
        <v>0</v>
      </c>
      <c r="L447" s="337"/>
    </row>
    <row r="448" spans="1:12" ht="75" customHeight="1">
      <c r="A448" s="532"/>
      <c r="B448" s="494"/>
      <c r="C448" s="494"/>
      <c r="D448" s="495"/>
      <c r="E448" s="340"/>
      <c r="F448" s="393"/>
      <c r="G448" s="287" t="s">
        <v>83</v>
      </c>
      <c r="H448" s="87">
        <f t="shared" si="68"/>
        <v>885</v>
      </c>
      <c r="I448" s="87">
        <f t="shared" si="68"/>
        <v>885</v>
      </c>
      <c r="J448" s="87">
        <f t="shared" si="68"/>
        <v>0</v>
      </c>
      <c r="K448" s="87">
        <f t="shared" si="68"/>
        <v>0</v>
      </c>
      <c r="L448" s="337"/>
    </row>
    <row r="449" spans="1:12" ht="75" customHeight="1">
      <c r="A449" s="532"/>
      <c r="B449" s="494"/>
      <c r="C449" s="494"/>
      <c r="D449" s="495"/>
      <c r="E449" s="341"/>
      <c r="F449" s="393"/>
      <c r="G449" s="287" t="s">
        <v>103</v>
      </c>
      <c r="H449" s="87">
        <f>H375</f>
        <v>21743.4</v>
      </c>
      <c r="I449" s="87">
        <f>I375</f>
        <v>6238.8</v>
      </c>
      <c r="J449" s="87">
        <f>J375</f>
        <v>3304.6</v>
      </c>
      <c r="K449" s="87">
        <f>K375</f>
        <v>12200</v>
      </c>
      <c r="L449" s="337"/>
    </row>
    <row r="450" spans="1:12" ht="75" customHeight="1">
      <c r="A450" s="532"/>
      <c r="B450" s="494"/>
      <c r="C450" s="494"/>
      <c r="D450" s="495"/>
      <c r="E450" s="339" t="s">
        <v>452</v>
      </c>
      <c r="F450" s="393"/>
      <c r="G450" s="295" t="s">
        <v>89</v>
      </c>
      <c r="H450" s="87">
        <f>H451+H452+H453+H455+H454</f>
        <v>9553.9</v>
      </c>
      <c r="I450" s="87">
        <f t="shared" ref="I450:K450" si="69">I451+I452+I453+I455+I454</f>
        <v>0</v>
      </c>
      <c r="J450" s="87">
        <f t="shared" si="69"/>
        <v>10563.2</v>
      </c>
      <c r="K450" s="87">
        <f t="shared" si="69"/>
        <v>0</v>
      </c>
      <c r="L450" s="337"/>
    </row>
    <row r="451" spans="1:12" ht="75" customHeight="1">
      <c r="A451" s="532"/>
      <c r="B451" s="494"/>
      <c r="C451" s="494"/>
      <c r="D451" s="495"/>
      <c r="E451" s="340"/>
      <c r="F451" s="393"/>
      <c r="G451" s="287" t="s">
        <v>405</v>
      </c>
      <c r="H451" s="87">
        <f t="shared" ref="H451:I452" si="70">H330</f>
        <v>3522.8999999999996</v>
      </c>
      <c r="I451" s="87">
        <f t="shared" si="70"/>
        <v>0</v>
      </c>
      <c r="J451" s="87">
        <f>J330</f>
        <v>3522.8999999999996</v>
      </c>
      <c r="K451" s="87">
        <f t="shared" ref="K451" si="71">K330</f>
        <v>0</v>
      </c>
      <c r="L451" s="337"/>
    </row>
    <row r="452" spans="1:12" ht="75" customHeight="1">
      <c r="A452" s="532"/>
      <c r="B452" s="494"/>
      <c r="C452" s="494"/>
      <c r="D452" s="495"/>
      <c r="E452" s="340"/>
      <c r="F452" s="393"/>
      <c r="G452" s="286" t="s">
        <v>409</v>
      </c>
      <c r="H452" s="87">
        <f>H331</f>
        <v>0</v>
      </c>
      <c r="I452" s="87">
        <f t="shared" si="70"/>
        <v>0</v>
      </c>
      <c r="J452" s="87">
        <f t="shared" ref="J452:K452" si="72">J331</f>
        <v>1009.3</v>
      </c>
      <c r="K452" s="87">
        <f t="shared" si="72"/>
        <v>0</v>
      </c>
      <c r="L452" s="337"/>
    </row>
    <row r="453" spans="1:12" ht="157.5" customHeight="1">
      <c r="A453" s="532"/>
      <c r="B453" s="494"/>
      <c r="C453" s="494"/>
      <c r="D453" s="495"/>
      <c r="E453" s="340"/>
      <c r="F453" s="393"/>
      <c r="G453" s="278" t="s">
        <v>201</v>
      </c>
      <c r="H453" s="87">
        <f>H384+H373</f>
        <v>156</v>
      </c>
      <c r="I453" s="87">
        <f>I332</f>
        <v>0</v>
      </c>
      <c r="J453" s="87">
        <f>J373</f>
        <v>156</v>
      </c>
      <c r="K453" s="87">
        <f t="shared" ref="K453" si="73">K332</f>
        <v>0</v>
      </c>
      <c r="L453" s="337"/>
    </row>
    <row r="454" spans="1:12" ht="75" customHeight="1">
      <c r="A454" s="532"/>
      <c r="B454" s="494"/>
      <c r="C454" s="494"/>
      <c r="D454" s="495"/>
      <c r="E454" s="340"/>
      <c r="F454" s="393"/>
      <c r="G454" s="286" t="s">
        <v>317</v>
      </c>
      <c r="H454" s="87">
        <f t="shared" ref="H454:I454" si="74">H333</f>
        <v>125</v>
      </c>
      <c r="I454" s="87">
        <f t="shared" si="74"/>
        <v>0</v>
      </c>
      <c r="J454" s="87">
        <f>J333</f>
        <v>125</v>
      </c>
      <c r="K454" s="87">
        <f>K333</f>
        <v>0</v>
      </c>
      <c r="L454" s="337"/>
    </row>
    <row r="455" spans="1:12" ht="157.5" customHeight="1">
      <c r="A455" s="532"/>
      <c r="B455" s="494"/>
      <c r="C455" s="494"/>
      <c r="D455" s="495"/>
      <c r="E455" s="341"/>
      <c r="F455" s="393"/>
      <c r="G455" s="132" t="s">
        <v>383</v>
      </c>
      <c r="H455" s="87">
        <f t="shared" ref="H455:I455" si="75">H334</f>
        <v>5750</v>
      </c>
      <c r="I455" s="87">
        <f t="shared" si="75"/>
        <v>0</v>
      </c>
      <c r="J455" s="87">
        <f>J334</f>
        <v>5750</v>
      </c>
      <c r="K455" s="87">
        <f>K334</f>
        <v>0</v>
      </c>
      <c r="L455" s="337"/>
    </row>
    <row r="456" spans="1:12" ht="75" customHeight="1">
      <c r="A456" s="532"/>
      <c r="B456" s="494"/>
      <c r="C456" s="494"/>
      <c r="D456" s="495"/>
      <c r="E456" s="350" t="s">
        <v>78</v>
      </c>
      <c r="F456" s="393"/>
      <c r="G456" s="295" t="s">
        <v>89</v>
      </c>
      <c r="H456" s="86">
        <f>SUM(H457:H462)</f>
        <v>207231.88279999999</v>
      </c>
      <c r="I456" s="86">
        <f>SUM(I457:I462)</f>
        <v>69132.47</v>
      </c>
      <c r="J456" s="86">
        <f>SUM(J457:J462)</f>
        <v>74044.95</v>
      </c>
      <c r="K456" s="86">
        <f>SUM(K457:K462)</f>
        <v>64054.462799999994</v>
      </c>
      <c r="L456" s="337"/>
    </row>
    <row r="457" spans="1:12" ht="75" customHeight="1">
      <c r="A457" s="532"/>
      <c r="B457" s="494"/>
      <c r="C457" s="494"/>
      <c r="D457" s="495"/>
      <c r="E457" s="350"/>
      <c r="F457" s="393"/>
      <c r="G457" s="287" t="s">
        <v>405</v>
      </c>
      <c r="H457" s="87">
        <f>H336+H362</f>
        <v>14128.97</v>
      </c>
      <c r="I457" s="87">
        <f>I336+I362</f>
        <v>6272.9000000000005</v>
      </c>
      <c r="J457" s="87">
        <f>J336+J362</f>
        <v>4342.1500000000005</v>
      </c>
      <c r="K457" s="87">
        <f>K336+K362</f>
        <v>3513.92</v>
      </c>
      <c r="L457" s="337"/>
    </row>
    <row r="458" spans="1:12" ht="154.5" customHeight="1">
      <c r="A458" s="532"/>
      <c r="B458" s="494"/>
      <c r="C458" s="494"/>
      <c r="D458" s="495"/>
      <c r="E458" s="350"/>
      <c r="F458" s="393"/>
      <c r="G458" s="278" t="s">
        <v>201</v>
      </c>
      <c r="H458" s="87">
        <f>H338</f>
        <v>926</v>
      </c>
      <c r="I458" s="87">
        <f>I338</f>
        <v>926</v>
      </c>
      <c r="J458" s="87">
        <f>J338</f>
        <v>0</v>
      </c>
      <c r="K458" s="87">
        <f>K338</f>
        <v>0</v>
      </c>
      <c r="L458" s="337"/>
    </row>
    <row r="459" spans="1:12" ht="75" customHeight="1">
      <c r="A459" s="532"/>
      <c r="B459" s="494"/>
      <c r="C459" s="494"/>
      <c r="D459" s="495"/>
      <c r="E459" s="350"/>
      <c r="F459" s="393"/>
      <c r="G459" s="278" t="s">
        <v>95</v>
      </c>
      <c r="H459" s="87">
        <f>H337</f>
        <v>6347.6</v>
      </c>
      <c r="I459" s="87">
        <f>I337</f>
        <v>6347.6</v>
      </c>
      <c r="J459" s="87">
        <f>J337</f>
        <v>0</v>
      </c>
      <c r="K459" s="87">
        <f>K337</f>
        <v>0</v>
      </c>
      <c r="L459" s="337"/>
    </row>
    <row r="460" spans="1:12" ht="75" customHeight="1">
      <c r="A460" s="532"/>
      <c r="B460" s="494"/>
      <c r="C460" s="494"/>
      <c r="D460" s="495"/>
      <c r="E460" s="350"/>
      <c r="F460" s="393"/>
      <c r="G460" s="287" t="s">
        <v>86</v>
      </c>
      <c r="H460" s="87">
        <f>H390</f>
        <v>151724.92559999999</v>
      </c>
      <c r="I460" s="87">
        <f>I390</f>
        <v>36775.4</v>
      </c>
      <c r="J460" s="87">
        <f>J390</f>
        <v>56045.599999999999</v>
      </c>
      <c r="K460" s="87">
        <f>K390</f>
        <v>58903.925599999995</v>
      </c>
      <c r="L460" s="337"/>
    </row>
    <row r="461" spans="1:12" ht="75" customHeight="1">
      <c r="A461" s="532"/>
      <c r="B461" s="494"/>
      <c r="C461" s="494"/>
      <c r="D461" s="495"/>
      <c r="E461" s="350"/>
      <c r="F461" s="393"/>
      <c r="G461" s="286" t="s">
        <v>409</v>
      </c>
      <c r="H461" s="87">
        <f>H339+H382</f>
        <v>30056.87</v>
      </c>
      <c r="I461" s="87">
        <f>I339+I382</f>
        <v>17956.87</v>
      </c>
      <c r="J461" s="87">
        <f>J339+J382</f>
        <v>12100</v>
      </c>
      <c r="K461" s="87">
        <f>K339+K382</f>
        <v>0</v>
      </c>
      <c r="L461" s="337"/>
    </row>
    <row r="462" spans="1:12" ht="75" customHeight="1">
      <c r="A462" s="532"/>
      <c r="B462" s="494"/>
      <c r="C462" s="494"/>
      <c r="D462" s="495"/>
      <c r="E462" s="350"/>
      <c r="F462" s="393"/>
      <c r="G462" s="286" t="s">
        <v>90</v>
      </c>
      <c r="H462" s="87">
        <f>H400</f>
        <v>4047.5172000000002</v>
      </c>
      <c r="I462" s="87">
        <f>I400</f>
        <v>853.7</v>
      </c>
      <c r="J462" s="87">
        <f>J400</f>
        <v>1557.2</v>
      </c>
      <c r="K462" s="87">
        <f>K400</f>
        <v>1636.6171999999999</v>
      </c>
      <c r="L462" s="337"/>
    </row>
    <row r="463" spans="1:12" ht="75" customHeight="1">
      <c r="A463" s="532"/>
      <c r="B463" s="494"/>
      <c r="C463" s="494"/>
      <c r="D463" s="495"/>
      <c r="E463" s="350" t="s">
        <v>77</v>
      </c>
      <c r="F463" s="393"/>
      <c r="G463" s="295" t="s">
        <v>89</v>
      </c>
      <c r="H463" s="86">
        <f>SUM(H464:H468)</f>
        <v>56128.184699999998</v>
      </c>
      <c r="I463" s="86">
        <f>SUM(I464:I468)</f>
        <v>18568.599999999999</v>
      </c>
      <c r="J463" s="86">
        <f>SUM(J464:J468)</f>
        <v>18315.5</v>
      </c>
      <c r="K463" s="86">
        <f>SUM(K464:K468)</f>
        <v>19244.084699999999</v>
      </c>
      <c r="L463" s="337"/>
    </row>
    <row r="464" spans="1:12" ht="75" customHeight="1">
      <c r="A464" s="532"/>
      <c r="B464" s="494"/>
      <c r="C464" s="494"/>
      <c r="D464" s="495"/>
      <c r="E464" s="350"/>
      <c r="F464" s="393"/>
      <c r="G464" s="287" t="s">
        <v>405</v>
      </c>
      <c r="H464" s="87">
        <f>H341+H363</f>
        <v>26894.399999999998</v>
      </c>
      <c r="I464" s="87">
        <f>I341+I363</f>
        <v>7383</v>
      </c>
      <c r="J464" s="87">
        <f>J341+J363</f>
        <v>9515.7999999999993</v>
      </c>
      <c r="K464" s="87">
        <f>K341+K363</f>
        <v>9995.6</v>
      </c>
      <c r="L464" s="337"/>
    </row>
    <row r="465" spans="1:12" ht="75" customHeight="1">
      <c r="A465" s="532"/>
      <c r="B465" s="494"/>
      <c r="C465" s="494"/>
      <c r="D465" s="495"/>
      <c r="E465" s="350"/>
      <c r="F465" s="393"/>
      <c r="G465" s="278" t="s">
        <v>95</v>
      </c>
      <c r="H465" s="87">
        <f>H342</f>
        <v>1132.2</v>
      </c>
      <c r="I465" s="87">
        <f>I342</f>
        <v>1132.2</v>
      </c>
      <c r="J465" s="87">
        <f>J342</f>
        <v>0</v>
      </c>
      <c r="K465" s="87">
        <f>K342</f>
        <v>0</v>
      </c>
      <c r="L465" s="337"/>
    </row>
    <row r="466" spans="1:12" ht="75" customHeight="1">
      <c r="A466" s="532"/>
      <c r="B466" s="494"/>
      <c r="C466" s="494"/>
      <c r="D466" s="495"/>
      <c r="E466" s="350"/>
      <c r="F466" s="393"/>
      <c r="G466" s="287" t="s">
        <v>86</v>
      </c>
      <c r="H466" s="87">
        <f>H391</f>
        <v>3457.1846999999998</v>
      </c>
      <c r="I466" s="87">
        <f>I391</f>
        <v>1817</v>
      </c>
      <c r="J466" s="87">
        <f>J391</f>
        <v>799.7</v>
      </c>
      <c r="K466" s="87">
        <f>K391</f>
        <v>840.48469999999998</v>
      </c>
      <c r="L466" s="337"/>
    </row>
    <row r="467" spans="1:12" ht="75" customHeight="1">
      <c r="A467" s="532"/>
      <c r="B467" s="494"/>
      <c r="C467" s="494"/>
      <c r="D467" s="495"/>
      <c r="E467" s="350"/>
      <c r="F467" s="393"/>
      <c r="G467" s="286" t="s">
        <v>409</v>
      </c>
      <c r="H467" s="87">
        <f>H343</f>
        <v>1250</v>
      </c>
      <c r="I467" s="87">
        <f>I343</f>
        <v>1250</v>
      </c>
      <c r="J467" s="87">
        <f>J343</f>
        <v>0</v>
      </c>
      <c r="K467" s="87">
        <f>K343</f>
        <v>0</v>
      </c>
      <c r="L467" s="337"/>
    </row>
    <row r="468" spans="1:12" ht="75" customHeight="1">
      <c r="A468" s="532"/>
      <c r="B468" s="494"/>
      <c r="C468" s="494"/>
      <c r="D468" s="495"/>
      <c r="E468" s="350"/>
      <c r="F468" s="393"/>
      <c r="G468" s="286" t="s">
        <v>90</v>
      </c>
      <c r="H468" s="87">
        <f>H401</f>
        <v>23394.400000000001</v>
      </c>
      <c r="I468" s="87">
        <f>I401</f>
        <v>6986.4</v>
      </c>
      <c r="J468" s="87">
        <f>J401</f>
        <v>8000</v>
      </c>
      <c r="K468" s="87">
        <f>K401</f>
        <v>8408</v>
      </c>
      <c r="L468" s="337"/>
    </row>
    <row r="469" spans="1:12" ht="75" customHeight="1">
      <c r="A469" s="532"/>
      <c r="B469" s="494"/>
      <c r="C469" s="494"/>
      <c r="D469" s="495"/>
      <c r="E469" s="339" t="s">
        <v>79</v>
      </c>
      <c r="F469" s="393"/>
      <c r="G469" s="295" t="s">
        <v>89</v>
      </c>
      <c r="H469" s="86">
        <f>SUM(H470:H472)</f>
        <v>248824.66132849999</v>
      </c>
      <c r="I469" s="86">
        <f>SUM(I470:I472)</f>
        <v>77268.91</v>
      </c>
      <c r="J469" s="86">
        <f>SUM(J470:J472)</f>
        <v>83965.253500000006</v>
      </c>
      <c r="K469" s="86">
        <f>SUM(K470:K472)</f>
        <v>87590.497828499996</v>
      </c>
      <c r="L469" s="337"/>
    </row>
    <row r="470" spans="1:12" ht="75" customHeight="1">
      <c r="A470" s="532"/>
      <c r="B470" s="494"/>
      <c r="C470" s="494"/>
      <c r="D470" s="495"/>
      <c r="E470" s="340"/>
      <c r="F470" s="393"/>
      <c r="G470" s="287" t="s">
        <v>405</v>
      </c>
      <c r="H470" s="87">
        <f t="shared" ref="H470:K471" si="76">H345</f>
        <v>25414.31</v>
      </c>
      <c r="I470" s="87">
        <f t="shared" si="76"/>
        <v>7604.91</v>
      </c>
      <c r="J470" s="87">
        <f t="shared" si="76"/>
        <v>9003.6</v>
      </c>
      <c r="K470" s="87">
        <f t="shared" si="76"/>
        <v>8805.7999999999993</v>
      </c>
      <c r="L470" s="337"/>
    </row>
    <row r="471" spans="1:12" ht="204" customHeight="1">
      <c r="A471" s="532"/>
      <c r="B471" s="494"/>
      <c r="C471" s="494"/>
      <c r="D471" s="495"/>
      <c r="E471" s="340"/>
      <c r="F471" s="393"/>
      <c r="G471" s="156" t="s">
        <v>99</v>
      </c>
      <c r="H471" s="87">
        <f t="shared" si="76"/>
        <v>2.5</v>
      </c>
      <c r="I471" s="87">
        <f t="shared" si="76"/>
        <v>2.5</v>
      </c>
      <c r="J471" s="87">
        <f t="shared" si="76"/>
        <v>0</v>
      </c>
      <c r="K471" s="87">
        <f t="shared" si="76"/>
        <v>0</v>
      </c>
      <c r="L471" s="337"/>
    </row>
    <row r="472" spans="1:12" ht="75" customHeight="1">
      <c r="A472" s="532"/>
      <c r="B472" s="494"/>
      <c r="C472" s="494"/>
      <c r="D472" s="495"/>
      <c r="E472" s="341"/>
      <c r="F472" s="393"/>
      <c r="G472" s="129" t="s">
        <v>86</v>
      </c>
      <c r="H472" s="87">
        <f>H392+H394</f>
        <v>223407.85132849999</v>
      </c>
      <c r="I472" s="87">
        <f>I392+I394</f>
        <v>69661.5</v>
      </c>
      <c r="J472" s="87">
        <f>J392+J394</f>
        <v>74961.6535</v>
      </c>
      <c r="K472" s="87">
        <f>K392+K394</f>
        <v>78784.697828499993</v>
      </c>
      <c r="L472" s="337"/>
    </row>
    <row r="473" spans="1:12" ht="75" customHeight="1">
      <c r="A473" s="532"/>
      <c r="B473" s="494"/>
      <c r="C473" s="494"/>
      <c r="D473" s="495"/>
      <c r="E473" s="350" t="s">
        <v>80</v>
      </c>
      <c r="F473" s="393"/>
      <c r="G473" s="295" t="s">
        <v>89</v>
      </c>
      <c r="H473" s="86">
        <f>SUM(H474:H475)</f>
        <v>232257.74230000001</v>
      </c>
      <c r="I473" s="86">
        <f>SUM(I474:I475)</f>
        <v>77851.790000000008</v>
      </c>
      <c r="J473" s="86">
        <f>SUM(J474:J475)</f>
        <v>80528.399999999994</v>
      </c>
      <c r="K473" s="86">
        <f>SUM(K474:K475)</f>
        <v>73877.55230000001</v>
      </c>
      <c r="L473" s="337"/>
    </row>
    <row r="474" spans="1:12" ht="75" customHeight="1">
      <c r="A474" s="532"/>
      <c r="B474" s="494"/>
      <c r="C474" s="494"/>
      <c r="D474" s="495"/>
      <c r="E474" s="350"/>
      <c r="F474" s="393"/>
      <c r="G474" s="287" t="s">
        <v>405</v>
      </c>
      <c r="H474" s="87">
        <f>H348</f>
        <v>28654.6423</v>
      </c>
      <c r="I474" s="87">
        <f>I348</f>
        <v>8442.69</v>
      </c>
      <c r="J474" s="87">
        <f>J348</f>
        <v>10162.700000000001</v>
      </c>
      <c r="K474" s="87">
        <f>K348</f>
        <v>10049.2523</v>
      </c>
      <c r="L474" s="337"/>
    </row>
    <row r="475" spans="1:12" ht="75" customHeight="1">
      <c r="A475" s="532"/>
      <c r="B475" s="494"/>
      <c r="C475" s="494"/>
      <c r="D475" s="495"/>
      <c r="E475" s="350"/>
      <c r="F475" s="393"/>
      <c r="G475" s="129" t="s">
        <v>86</v>
      </c>
      <c r="H475" s="87">
        <f>H393+H395</f>
        <v>203603.1</v>
      </c>
      <c r="I475" s="87">
        <f>I393+I395</f>
        <v>69409.100000000006</v>
      </c>
      <c r="J475" s="87">
        <f>J393+J395</f>
        <v>70365.7</v>
      </c>
      <c r="K475" s="87">
        <f>K393+K395</f>
        <v>63828.3</v>
      </c>
      <c r="L475" s="337"/>
    </row>
    <row r="476" spans="1:12" ht="75" customHeight="1">
      <c r="A476" s="532"/>
      <c r="B476" s="494"/>
      <c r="C476" s="494"/>
      <c r="D476" s="495"/>
      <c r="E476" s="280" t="s">
        <v>392</v>
      </c>
      <c r="F476" s="393"/>
      <c r="G476" s="287" t="s">
        <v>405</v>
      </c>
      <c r="H476" s="86">
        <f>H349</f>
        <v>3000</v>
      </c>
      <c r="I476" s="86">
        <f>I349</f>
        <v>3000</v>
      </c>
      <c r="J476" s="86">
        <f>J349</f>
        <v>0</v>
      </c>
      <c r="K476" s="86">
        <f>K349</f>
        <v>0</v>
      </c>
      <c r="L476" s="337"/>
    </row>
    <row r="477" spans="1:12" ht="122.25" customHeight="1">
      <c r="A477" s="532"/>
      <c r="B477" s="494"/>
      <c r="C477" s="494"/>
      <c r="D477" s="495"/>
      <c r="E477" s="280" t="s">
        <v>458</v>
      </c>
      <c r="F477" s="393"/>
      <c r="G477" s="287" t="s">
        <v>405</v>
      </c>
      <c r="H477" s="86">
        <f>H350</f>
        <v>90</v>
      </c>
      <c r="I477" s="86">
        <f>I350</f>
        <v>0</v>
      </c>
      <c r="J477" s="86">
        <f t="shared" ref="J477:K477" si="77">J350</f>
        <v>90</v>
      </c>
      <c r="K477" s="86">
        <f t="shared" si="77"/>
        <v>0</v>
      </c>
      <c r="L477" s="337"/>
    </row>
    <row r="478" spans="1:12" ht="75" customHeight="1">
      <c r="A478" s="532"/>
      <c r="B478" s="494"/>
      <c r="C478" s="494"/>
      <c r="D478" s="495"/>
      <c r="E478" s="350" t="s">
        <v>430</v>
      </c>
      <c r="F478" s="393"/>
      <c r="G478" s="295" t="s">
        <v>89</v>
      </c>
      <c r="H478" s="86">
        <f>SUM(H479:H484)</f>
        <v>128694.21900000001</v>
      </c>
      <c r="I478" s="86">
        <f>SUM(I479:I484)</f>
        <v>52752.919000000009</v>
      </c>
      <c r="J478" s="86">
        <f>SUM(J479:J484)</f>
        <v>72953.600000000006</v>
      </c>
      <c r="K478" s="86">
        <f>SUM(K479:K484)</f>
        <v>2987.7</v>
      </c>
      <c r="L478" s="337"/>
    </row>
    <row r="479" spans="1:12" ht="75" customHeight="1">
      <c r="A479" s="532"/>
      <c r="B479" s="494"/>
      <c r="C479" s="494"/>
      <c r="D479" s="495"/>
      <c r="E479" s="350"/>
      <c r="F479" s="393"/>
      <c r="G479" s="287" t="s">
        <v>405</v>
      </c>
      <c r="H479" s="87">
        <f>H352</f>
        <v>23928.400000000001</v>
      </c>
      <c r="I479" s="87">
        <f>I352</f>
        <v>17282.2</v>
      </c>
      <c r="J479" s="87">
        <f>J352</f>
        <v>3658.5</v>
      </c>
      <c r="K479" s="87">
        <f>K352</f>
        <v>2987.7</v>
      </c>
      <c r="L479" s="337"/>
    </row>
    <row r="480" spans="1:12" ht="227.25" customHeight="1">
      <c r="A480" s="532"/>
      <c r="B480" s="494"/>
      <c r="C480" s="494"/>
      <c r="D480" s="495"/>
      <c r="E480" s="350"/>
      <c r="F480" s="393"/>
      <c r="G480" s="278" t="s">
        <v>98</v>
      </c>
      <c r="H480" s="87">
        <f>H354</f>
        <v>1490.1</v>
      </c>
      <c r="I480" s="87">
        <f>I354</f>
        <v>1490.1</v>
      </c>
      <c r="J480" s="87">
        <f>J354</f>
        <v>0</v>
      </c>
      <c r="K480" s="87">
        <f>K354</f>
        <v>0</v>
      </c>
      <c r="L480" s="337"/>
    </row>
    <row r="481" spans="1:12" ht="260.25" customHeight="1">
      <c r="A481" s="532"/>
      <c r="B481" s="494"/>
      <c r="C481" s="494"/>
      <c r="D481" s="495"/>
      <c r="E481" s="350"/>
      <c r="F481" s="393"/>
      <c r="G481" s="156" t="s">
        <v>99</v>
      </c>
      <c r="H481" s="87">
        <f>H353</f>
        <v>18013.319000000003</v>
      </c>
      <c r="I481" s="87">
        <f>I353</f>
        <v>6609.6190000000006</v>
      </c>
      <c r="J481" s="87">
        <f>J353</f>
        <v>11403.7</v>
      </c>
      <c r="K481" s="87">
        <f>K353</f>
        <v>0</v>
      </c>
      <c r="L481" s="337"/>
    </row>
    <row r="482" spans="1:12" ht="75" customHeight="1">
      <c r="A482" s="532"/>
      <c r="B482" s="494"/>
      <c r="C482" s="494"/>
      <c r="D482" s="495"/>
      <c r="E482" s="350"/>
      <c r="F482" s="393"/>
      <c r="G482" s="279" t="s">
        <v>383</v>
      </c>
      <c r="H482" s="87">
        <f>H297</f>
        <v>18799.8</v>
      </c>
      <c r="I482" s="87">
        <f>I297</f>
        <v>799.7</v>
      </c>
      <c r="J482" s="87">
        <f>J297</f>
        <v>18000.099999999999</v>
      </c>
      <c r="K482" s="87">
        <f>K297</f>
        <v>0</v>
      </c>
      <c r="L482" s="337"/>
    </row>
    <row r="483" spans="1:12" ht="126.75" customHeight="1">
      <c r="A483" s="532"/>
      <c r="B483" s="494"/>
      <c r="C483" s="494"/>
      <c r="D483" s="495"/>
      <c r="E483" s="350"/>
      <c r="F483" s="393"/>
      <c r="G483" s="286" t="s">
        <v>385</v>
      </c>
      <c r="H483" s="87">
        <f>H377</f>
        <v>6848</v>
      </c>
      <c r="I483" s="87">
        <f>I377</f>
        <v>6848</v>
      </c>
      <c r="J483" s="87">
        <f>J377</f>
        <v>0</v>
      </c>
      <c r="K483" s="87">
        <f>K377</f>
        <v>0</v>
      </c>
      <c r="L483" s="337"/>
    </row>
    <row r="484" spans="1:12" ht="75" customHeight="1">
      <c r="A484" s="533"/>
      <c r="B484" s="496"/>
      <c r="C484" s="496"/>
      <c r="D484" s="497"/>
      <c r="E484" s="350"/>
      <c r="F484" s="393"/>
      <c r="G484" s="286" t="s">
        <v>409</v>
      </c>
      <c r="H484" s="87">
        <f>H356</f>
        <v>59614.600000000006</v>
      </c>
      <c r="I484" s="87">
        <f>I356</f>
        <v>19723.3</v>
      </c>
      <c r="J484" s="87">
        <f>J356</f>
        <v>39891.300000000003</v>
      </c>
      <c r="K484" s="87">
        <f>K356</f>
        <v>0</v>
      </c>
      <c r="L484" s="338"/>
    </row>
    <row r="485" spans="1:12" s="210" customFormat="1" ht="75" customHeight="1">
      <c r="A485" s="209"/>
      <c r="B485" s="210" t="s">
        <v>495</v>
      </c>
      <c r="C485" s="211"/>
      <c r="D485" s="212"/>
      <c r="E485" s="212"/>
      <c r="F485" s="209"/>
      <c r="G485" s="213"/>
      <c r="H485" s="213"/>
      <c r="I485" s="209" t="s">
        <v>496</v>
      </c>
      <c r="J485" s="213"/>
      <c r="K485" s="213"/>
      <c r="L485" s="214"/>
    </row>
    <row r="486" spans="1:12" s="210" customFormat="1" ht="75" customHeight="1">
      <c r="A486" s="209"/>
      <c r="C486" s="211"/>
      <c r="D486" s="212"/>
      <c r="E486" s="212"/>
      <c r="F486" s="209"/>
      <c r="G486" s="213"/>
      <c r="H486" s="213"/>
      <c r="I486" s="209"/>
      <c r="J486" s="213"/>
      <c r="K486" s="213"/>
      <c r="L486" s="214"/>
    </row>
    <row r="487" spans="1:12" ht="75" customHeight="1">
      <c r="A487" s="216" t="s">
        <v>27</v>
      </c>
      <c r="B487" s="215"/>
    </row>
    <row r="489" spans="1:12" s="80" customFormat="1" ht="75" customHeight="1">
      <c r="C489" s="81"/>
      <c r="D489" s="82"/>
      <c r="F489" s="83"/>
      <c r="G489" s="83"/>
      <c r="H489" s="83"/>
      <c r="I489" s="84"/>
      <c r="J489" s="83"/>
      <c r="K489" s="109"/>
      <c r="L489" s="166"/>
    </row>
    <row r="490" spans="1:12" ht="75" customHeight="1">
      <c r="A490" s="24"/>
      <c r="B490" s="24"/>
      <c r="C490" s="30"/>
      <c r="D490" s="25"/>
      <c r="E490" s="31"/>
      <c r="F490" s="26"/>
      <c r="G490" s="23"/>
      <c r="H490" s="26"/>
      <c r="I490" s="27"/>
      <c r="J490" s="26"/>
    </row>
    <row r="491" spans="1:12" ht="75" customHeight="1">
      <c r="A491" s="24"/>
      <c r="B491" s="24"/>
      <c r="C491" s="30"/>
      <c r="D491" s="25"/>
      <c r="E491" s="31"/>
      <c r="F491" s="26"/>
      <c r="G491" s="23"/>
      <c r="H491" s="26"/>
      <c r="I491" s="27"/>
      <c r="J491" s="26"/>
    </row>
    <row r="492" spans="1:12" ht="75" customHeight="1">
      <c r="A492" s="24"/>
      <c r="B492" s="24"/>
      <c r="C492" s="30"/>
      <c r="D492" s="25"/>
      <c r="E492" s="31"/>
      <c r="F492" s="26"/>
      <c r="G492" s="23"/>
      <c r="H492" s="26"/>
      <c r="I492" s="27"/>
      <c r="J492" s="26"/>
    </row>
    <row r="493" spans="1:12" ht="75" customHeight="1">
      <c r="A493" s="85"/>
      <c r="B493" s="24"/>
      <c r="D493" s="25"/>
      <c r="E493" s="31"/>
      <c r="F493" s="26"/>
      <c r="G493" s="23"/>
      <c r="H493" s="26"/>
      <c r="I493" s="26"/>
      <c r="J493" s="26"/>
    </row>
  </sheetData>
  <autoFilter ref="A6:L485">
    <filterColumn colId="3"/>
    <filterColumn colId="7" showButton="0"/>
    <filterColumn colId="8" showButton="0"/>
    <filterColumn colId="9" showButton="0"/>
  </autoFilter>
  <mergeCells count="302">
    <mergeCell ref="A29:A94"/>
    <mergeCell ref="D51:G51"/>
    <mergeCell ref="E101:F105"/>
    <mergeCell ref="E95:F99"/>
    <mergeCell ref="E100:F100"/>
    <mergeCell ref="B29:B94"/>
    <mergeCell ref="G80:G82"/>
    <mergeCell ref="G84:G94"/>
    <mergeCell ref="D79:G79"/>
    <mergeCell ref="D68:G68"/>
    <mergeCell ref="C29:C44"/>
    <mergeCell ref="F62:F63"/>
    <mergeCell ref="D64:G64"/>
    <mergeCell ref="E62:E63"/>
    <mergeCell ref="C85:C89"/>
    <mergeCell ref="C45:C50"/>
    <mergeCell ref="F46:F50"/>
    <mergeCell ref="A95:D121"/>
    <mergeCell ref="E121:F121"/>
    <mergeCell ref="E117:F119"/>
    <mergeCell ref="C51:C57"/>
    <mergeCell ref="D40:E40"/>
    <mergeCell ref="G38:G39"/>
    <mergeCell ref="F31:F44"/>
    <mergeCell ref="A357:L357"/>
    <mergeCell ref="B358:F358"/>
    <mergeCell ref="L358:L363"/>
    <mergeCell ref="A276:G276"/>
    <mergeCell ref="A299:F299"/>
    <mergeCell ref="G359:G363"/>
    <mergeCell ref="E285:E287"/>
    <mergeCell ref="L299:L307"/>
    <mergeCell ref="A300:F307"/>
    <mergeCell ref="E296:E298"/>
    <mergeCell ref="L276:L298"/>
    <mergeCell ref="A277:F279"/>
    <mergeCell ref="A308:D356"/>
    <mergeCell ref="A280:D298"/>
    <mergeCell ref="A359:D363"/>
    <mergeCell ref="E335:E339"/>
    <mergeCell ref="E340:E343"/>
    <mergeCell ref="E344:E346"/>
    <mergeCell ref="E351:E356"/>
    <mergeCell ref="F359:F363"/>
    <mergeCell ref="E347:E348"/>
    <mergeCell ref="G283:G284"/>
    <mergeCell ref="L404:L484"/>
    <mergeCell ref="A405:F418"/>
    <mergeCell ref="A419:D484"/>
    <mergeCell ref="E419:E427"/>
    <mergeCell ref="F419:F484"/>
    <mergeCell ref="E428:E433"/>
    <mergeCell ref="E434:E440"/>
    <mergeCell ref="E441:E449"/>
    <mergeCell ref="E456:E462"/>
    <mergeCell ref="E463:E468"/>
    <mergeCell ref="E469:E472"/>
    <mergeCell ref="E473:E475"/>
    <mergeCell ref="E478:E484"/>
    <mergeCell ref="A404:F404"/>
    <mergeCell ref="E450:E455"/>
    <mergeCell ref="B364:F364"/>
    <mergeCell ref="E369:E372"/>
    <mergeCell ref="L369:L372"/>
    <mergeCell ref="A365:D373"/>
    <mergeCell ref="F369:F372"/>
    <mergeCell ref="B402:F402"/>
    <mergeCell ref="L396:L401"/>
    <mergeCell ref="L385:L395"/>
    <mergeCell ref="L374:L375"/>
    <mergeCell ref="A377:D377"/>
    <mergeCell ref="L402:L403"/>
    <mergeCell ref="A403:D403"/>
    <mergeCell ref="A380:D382"/>
    <mergeCell ref="A375:D375"/>
    <mergeCell ref="B378:F378"/>
    <mergeCell ref="A379:D379"/>
    <mergeCell ref="G397:G401"/>
    <mergeCell ref="G386:G395"/>
    <mergeCell ref="B385:E385"/>
    <mergeCell ref="A386:D395"/>
    <mergeCell ref="L378:L382"/>
    <mergeCell ref="G379:G383"/>
    <mergeCell ref="B376:F376"/>
    <mergeCell ref="L376:L377"/>
    <mergeCell ref="F397:F401"/>
    <mergeCell ref="A397:D401"/>
    <mergeCell ref="B374:F374"/>
    <mergeCell ref="A140:F143"/>
    <mergeCell ref="E144:E148"/>
    <mergeCell ref="E166:E168"/>
    <mergeCell ref="A240:D247"/>
    <mergeCell ref="E240:E242"/>
    <mergeCell ref="F240:F247"/>
    <mergeCell ref="A248:L248"/>
    <mergeCell ref="G266:G273"/>
    <mergeCell ref="L249:L273"/>
    <mergeCell ref="L237:L247"/>
    <mergeCell ref="A238:B238"/>
    <mergeCell ref="G260:G264"/>
    <mergeCell ref="D265:G265"/>
    <mergeCell ref="C249:C264"/>
    <mergeCell ref="F251:F258"/>
    <mergeCell ref="L234:L236"/>
    <mergeCell ref="A144:D172"/>
    <mergeCell ref="A173:L173"/>
    <mergeCell ref="G188:G189"/>
    <mergeCell ref="D182:G182"/>
    <mergeCell ref="C195:C200"/>
    <mergeCell ref="F179:F180"/>
    <mergeCell ref="D187:G187"/>
    <mergeCell ref="C191:C194"/>
    <mergeCell ref="D191:G191"/>
    <mergeCell ref="B174:B200"/>
    <mergeCell ref="A249:A275"/>
    <mergeCell ref="B249:B275"/>
    <mergeCell ref="C274:C275"/>
    <mergeCell ref="D274:D275"/>
    <mergeCell ref="E274:E275"/>
    <mergeCell ref="C225:C233"/>
    <mergeCell ref="A219:L219"/>
    <mergeCell ref="A201:F201"/>
    <mergeCell ref="A202:B202"/>
    <mergeCell ref="F196:F200"/>
    <mergeCell ref="E214:F214"/>
    <mergeCell ref="E215:F218"/>
    <mergeCell ref="G228:G233"/>
    <mergeCell ref="E208:F208"/>
    <mergeCell ref="G208:G214"/>
    <mergeCell ref="F192:F194"/>
    <mergeCell ref="E196:E197"/>
    <mergeCell ref="D196:D197"/>
    <mergeCell ref="E210:F210"/>
    <mergeCell ref="A10:L10"/>
    <mergeCell ref="F12:F13"/>
    <mergeCell ref="G12:G13"/>
    <mergeCell ref="F18:F19"/>
    <mergeCell ref="G18:G19"/>
    <mergeCell ref="L11:L16"/>
    <mergeCell ref="B11:B25"/>
    <mergeCell ref="C11:C13"/>
    <mergeCell ref="C14:C16"/>
    <mergeCell ref="C17:C19"/>
    <mergeCell ref="D11:G11"/>
    <mergeCell ref="D14:G14"/>
    <mergeCell ref="D17:G17"/>
    <mergeCell ref="G15:G16"/>
    <mergeCell ref="F15:F16"/>
    <mergeCell ref="A4:L4"/>
    <mergeCell ref="A6:A8"/>
    <mergeCell ref="B6:B8"/>
    <mergeCell ref="C6:C8"/>
    <mergeCell ref="D6:D8"/>
    <mergeCell ref="E6:E8"/>
    <mergeCell ref="F6:F8"/>
    <mergeCell ref="G6:G8"/>
    <mergeCell ref="H6:K6"/>
    <mergeCell ref="L6:L8"/>
    <mergeCell ref="H7:H8"/>
    <mergeCell ref="I7:K7"/>
    <mergeCell ref="L26:L28"/>
    <mergeCell ref="G27:G28"/>
    <mergeCell ref="L17:L19"/>
    <mergeCell ref="F24:F25"/>
    <mergeCell ref="G24:G25"/>
    <mergeCell ref="A26:D28"/>
    <mergeCell ref="E26:G26"/>
    <mergeCell ref="F27:F28"/>
    <mergeCell ref="D23:G23"/>
    <mergeCell ref="F21:F22"/>
    <mergeCell ref="G21:G22"/>
    <mergeCell ref="D20:G20"/>
    <mergeCell ref="C20:C22"/>
    <mergeCell ref="A11:A25"/>
    <mergeCell ref="C23:C25"/>
    <mergeCell ref="L29:L44"/>
    <mergeCell ref="L68:L72"/>
    <mergeCell ref="L62:L63"/>
    <mergeCell ref="G36:G37"/>
    <mergeCell ref="G31:G35"/>
    <mergeCell ref="G46:G50"/>
    <mergeCell ref="F52:F57"/>
    <mergeCell ref="G54:G57"/>
    <mergeCell ref="G65:G67"/>
    <mergeCell ref="D29:G29"/>
    <mergeCell ref="E52:E53"/>
    <mergeCell ref="D52:D53"/>
    <mergeCell ref="G40:G44"/>
    <mergeCell ref="D45:G45"/>
    <mergeCell ref="D61:G61"/>
    <mergeCell ref="L51:L57"/>
    <mergeCell ref="F69:F73"/>
    <mergeCell ref="G69:G73"/>
    <mergeCell ref="L45:L50"/>
    <mergeCell ref="F65:F67"/>
    <mergeCell ref="A122:A127"/>
    <mergeCell ref="B132:B135"/>
    <mergeCell ref="C122:C124"/>
    <mergeCell ref="D122:G122"/>
    <mergeCell ref="F123:F128"/>
    <mergeCell ref="B122:B128"/>
    <mergeCell ref="A129:D131"/>
    <mergeCell ref="C132:C134"/>
    <mergeCell ref="D123:D124"/>
    <mergeCell ref="E123:E124"/>
    <mergeCell ref="D132:G132"/>
    <mergeCell ref="E133:E134"/>
    <mergeCell ref="D133:D134"/>
    <mergeCell ref="A132:A135"/>
    <mergeCell ref="F133:F135"/>
    <mergeCell ref="L139:L171"/>
    <mergeCell ref="L136:L138"/>
    <mergeCell ref="C68:C73"/>
    <mergeCell ref="E109:F112"/>
    <mergeCell ref="E106:F108"/>
    <mergeCell ref="E113:F116"/>
    <mergeCell ref="D195:G195"/>
    <mergeCell ref="L187:L189"/>
    <mergeCell ref="L181:L186"/>
    <mergeCell ref="L178:L180"/>
    <mergeCell ref="G183:G186"/>
    <mergeCell ref="C182:C185"/>
    <mergeCell ref="E156:E159"/>
    <mergeCell ref="A139:G139"/>
    <mergeCell ref="A174:A200"/>
    <mergeCell ref="D188:D189"/>
    <mergeCell ref="C187:C189"/>
    <mergeCell ref="F144:F172"/>
    <mergeCell ref="C174:C177"/>
    <mergeCell ref="F175:F177"/>
    <mergeCell ref="G175:G177"/>
    <mergeCell ref="E160:E162"/>
    <mergeCell ref="G198:G200"/>
    <mergeCell ref="F188:F189"/>
    <mergeCell ref="L79:L83"/>
    <mergeCell ref="C61:C63"/>
    <mergeCell ref="C64:C67"/>
    <mergeCell ref="D62:D63"/>
    <mergeCell ref="L85:L92"/>
    <mergeCell ref="E120:F120"/>
    <mergeCell ref="D85:E85"/>
    <mergeCell ref="F80:F92"/>
    <mergeCell ref="C79:C83"/>
    <mergeCell ref="L64:L67"/>
    <mergeCell ref="L95:L115"/>
    <mergeCell ref="L122:L127"/>
    <mergeCell ref="L191:L194"/>
    <mergeCell ref="D192:D194"/>
    <mergeCell ref="E192:E194"/>
    <mergeCell ref="G179:G180"/>
    <mergeCell ref="G251:G257"/>
    <mergeCell ref="A237:F237"/>
    <mergeCell ref="E308:E314"/>
    <mergeCell ref="F308:F356"/>
    <mergeCell ref="E315:E318"/>
    <mergeCell ref="E319:E323"/>
    <mergeCell ref="E324:E328"/>
    <mergeCell ref="F183:F186"/>
    <mergeCell ref="C265:C272"/>
    <mergeCell ref="E280:E282"/>
    <mergeCell ref="F280:F298"/>
    <mergeCell ref="E292:E294"/>
    <mergeCell ref="E288:E291"/>
    <mergeCell ref="E329:E334"/>
    <mergeCell ref="B222:D222"/>
    <mergeCell ref="E212:F212"/>
    <mergeCell ref="E213:F213"/>
    <mergeCell ref="A220:A221"/>
    <mergeCell ref="F228:F233"/>
    <mergeCell ref="E211:F211"/>
    <mergeCell ref="L195:L200"/>
    <mergeCell ref="D225:G225"/>
    <mergeCell ref="D259:G259"/>
    <mergeCell ref="D250:G250"/>
    <mergeCell ref="G243:G247"/>
    <mergeCell ref="D249:G249"/>
    <mergeCell ref="G274:G275"/>
    <mergeCell ref="F260:F264"/>
    <mergeCell ref="L132:L135"/>
    <mergeCell ref="L129:L131"/>
    <mergeCell ref="E129:E131"/>
    <mergeCell ref="F129:F131"/>
    <mergeCell ref="A235:F236"/>
    <mergeCell ref="D227:G227"/>
    <mergeCell ref="B224:B233"/>
    <mergeCell ref="A205:D218"/>
    <mergeCell ref="E163:E165"/>
    <mergeCell ref="E149:E151"/>
    <mergeCell ref="E152:E155"/>
    <mergeCell ref="B220:B221"/>
    <mergeCell ref="E209:F209"/>
    <mergeCell ref="A224:A234"/>
    <mergeCell ref="B234:D234"/>
    <mergeCell ref="L225:L233"/>
    <mergeCell ref="L201:L218"/>
    <mergeCell ref="F136:F138"/>
    <mergeCell ref="A136:D138"/>
    <mergeCell ref="E136:E138"/>
    <mergeCell ref="D178:G178"/>
    <mergeCell ref="D174:G174"/>
    <mergeCell ref="C178:C180"/>
    <mergeCell ref="E205:F207"/>
  </mergeCells>
  <pageMargins left="0.78740157480314965" right="0.19685039370078741" top="0.19685039370078741" bottom="0.19685039370078741" header="0.31496062992125984" footer="0.31496062992125984"/>
  <pageSetup paperSize="9" scale="30" fitToHeight="25" orientation="landscape" r:id="rId1"/>
  <rowBreaks count="24" manualBreakCount="24">
    <brk id="22" max="11" man="1"/>
    <brk id="37" max="11" man="1"/>
    <brk id="57" max="11" man="1"/>
    <brk id="71" max="11" man="1"/>
    <brk id="83" max="11" man="1"/>
    <brk id="102" max="11" man="1"/>
    <brk id="119" max="11" man="1"/>
    <brk id="137" max="11" man="1"/>
    <brk id="153" max="11" man="1"/>
    <brk id="172" max="11" man="1"/>
    <brk id="185" max="11" man="1"/>
    <brk id="198" max="11" man="1"/>
    <brk id="215" max="11" man="1"/>
    <brk id="229" max="11" man="1"/>
    <brk id="241" max="11" man="1"/>
    <brk id="259" max="11" man="1"/>
    <brk id="274" max="11" man="1"/>
    <brk id="289" max="11" man="1"/>
    <brk id="303" max="11" man="1"/>
    <brk id="320" max="11" man="1"/>
    <brk id="337" max="11" man="1"/>
    <brk id="352" max="11" man="1"/>
    <brk id="370" max="11" man="1"/>
    <brk id="387" max="11" man="1"/>
  </rowBreaks>
</worksheet>
</file>

<file path=xl/worksheets/sheet3.xml><?xml version="1.0" encoding="utf-8"?>
<worksheet xmlns="http://schemas.openxmlformats.org/spreadsheetml/2006/main" xmlns:r="http://schemas.openxmlformats.org/officeDocument/2006/relationships">
  <dimension ref="A1:N370"/>
  <sheetViews>
    <sheetView view="pageBreakPreview" zoomScale="40" zoomScaleNormal="61" zoomScaleSheetLayoutView="40" workbookViewId="0">
      <pane ySplit="10" topLeftCell="A11" activePane="bottomLeft" state="frozen"/>
      <selection pane="bottomLeft" activeCell="I365" sqref="I365"/>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19.28515625" style="43" bestFit="1" customWidth="1"/>
    <col min="14" max="14" width="18.7109375" style="43" customWidth="1"/>
    <col min="15" max="16384" width="9.140625" style="43"/>
  </cols>
  <sheetData>
    <row r="1" spans="1:14" ht="52.5" customHeight="1">
      <c r="H1" s="78" t="s">
        <v>454</v>
      </c>
    </row>
    <row r="2" spans="1:14" ht="202.5" customHeight="1">
      <c r="H2" s="601" t="s">
        <v>453</v>
      </c>
      <c r="I2" s="601"/>
      <c r="J2" s="601"/>
      <c r="K2" s="601"/>
    </row>
    <row r="3" spans="1:14" ht="54" customHeight="1">
      <c r="A3" s="44"/>
      <c r="H3" s="602" t="s">
        <v>487</v>
      </c>
      <c r="I3" s="602"/>
      <c r="J3" s="602"/>
      <c r="K3" s="602"/>
    </row>
    <row r="4" spans="1:14" ht="43.5" customHeight="1">
      <c r="H4" s="78"/>
      <c r="I4" s="78"/>
      <c r="J4" s="78"/>
      <c r="K4" s="79"/>
    </row>
    <row r="5" spans="1:14" ht="36" customHeight="1">
      <c r="A5" s="603" t="s">
        <v>397</v>
      </c>
      <c r="B5" s="603"/>
      <c r="C5" s="603"/>
      <c r="D5" s="603"/>
      <c r="E5" s="603"/>
      <c r="F5" s="603"/>
      <c r="G5" s="603"/>
      <c r="H5" s="603"/>
      <c r="I5" s="603"/>
      <c r="J5" s="603"/>
      <c r="K5" s="603"/>
    </row>
    <row r="6" spans="1:14" ht="47.25" customHeight="1">
      <c r="A6" s="45"/>
    </row>
    <row r="7" spans="1:14">
      <c r="A7" s="604" t="s">
        <v>109</v>
      </c>
      <c r="B7" s="604" t="s">
        <v>89</v>
      </c>
      <c r="C7" s="604" t="s">
        <v>110</v>
      </c>
      <c r="D7" s="604"/>
      <c r="E7" s="604"/>
      <c r="F7" s="604" t="s">
        <v>411</v>
      </c>
      <c r="G7" s="604"/>
      <c r="H7" s="604"/>
      <c r="I7" s="604" t="s">
        <v>111</v>
      </c>
      <c r="J7" s="604"/>
      <c r="K7" s="604"/>
    </row>
    <row r="8" spans="1:14">
      <c r="A8" s="604"/>
      <c r="B8" s="604"/>
      <c r="C8" s="604"/>
      <c r="D8" s="604"/>
      <c r="E8" s="604"/>
      <c r="F8" s="604"/>
      <c r="G8" s="604"/>
      <c r="H8" s="604"/>
      <c r="I8" s="604"/>
      <c r="J8" s="604"/>
      <c r="K8" s="604"/>
    </row>
    <row r="9" spans="1:14">
      <c r="A9" s="604"/>
      <c r="B9" s="604"/>
      <c r="C9" s="605" t="s">
        <v>97</v>
      </c>
      <c r="D9" s="605" t="s">
        <v>112</v>
      </c>
      <c r="E9" s="605"/>
      <c r="F9" s="605" t="s">
        <v>97</v>
      </c>
      <c r="G9" s="605" t="s">
        <v>112</v>
      </c>
      <c r="H9" s="605"/>
      <c r="I9" s="605" t="s">
        <v>97</v>
      </c>
      <c r="J9" s="605" t="s">
        <v>112</v>
      </c>
      <c r="K9" s="605"/>
    </row>
    <row r="10" spans="1:14" ht="40.5">
      <c r="A10" s="604"/>
      <c r="B10" s="604"/>
      <c r="C10" s="605"/>
      <c r="D10" s="222" t="s">
        <v>113</v>
      </c>
      <c r="E10" s="222" t="s">
        <v>114</v>
      </c>
      <c r="F10" s="605"/>
      <c r="G10" s="222" t="s">
        <v>113</v>
      </c>
      <c r="H10" s="222" t="s">
        <v>114</v>
      </c>
      <c r="I10" s="605"/>
      <c r="J10" s="222" t="s">
        <v>113</v>
      </c>
      <c r="K10" s="222" t="s">
        <v>114</v>
      </c>
    </row>
    <row r="11" spans="1:14">
      <c r="A11" s="221">
        <v>1</v>
      </c>
      <c r="B11" s="46">
        <v>2</v>
      </c>
      <c r="C11" s="222">
        <v>3</v>
      </c>
      <c r="D11" s="222">
        <v>4</v>
      </c>
      <c r="E11" s="222">
        <v>5</v>
      </c>
      <c r="F11" s="222">
        <v>6</v>
      </c>
      <c r="G11" s="222">
        <v>7</v>
      </c>
      <c r="H11" s="222">
        <v>8</v>
      </c>
      <c r="I11" s="222">
        <v>9</v>
      </c>
      <c r="J11" s="222">
        <v>10</v>
      </c>
      <c r="K11" s="222">
        <v>11</v>
      </c>
    </row>
    <row r="12" spans="1:14" ht="46.5">
      <c r="A12" s="47" t="s">
        <v>315</v>
      </c>
      <c r="B12" s="38">
        <f>B15+B205+B291+B333</f>
        <v>636622250.29999995</v>
      </c>
      <c r="C12" s="38">
        <f t="shared" ref="C12:K12" si="0">C15+C205+C291+C333</f>
        <v>291091831</v>
      </c>
      <c r="D12" s="38">
        <f t="shared" si="0"/>
        <v>188696142</v>
      </c>
      <c r="E12" s="38">
        <f t="shared" si="0"/>
        <v>102395689</v>
      </c>
      <c r="F12" s="38">
        <f t="shared" si="0"/>
        <v>257509490</v>
      </c>
      <c r="G12" s="38">
        <f t="shared" si="0"/>
        <v>96548060</v>
      </c>
      <c r="H12" s="38">
        <f t="shared" si="0"/>
        <v>160961430</v>
      </c>
      <c r="I12" s="38">
        <f t="shared" si="0"/>
        <v>88020929.299999997</v>
      </c>
      <c r="J12" s="38">
        <f t="shared" si="0"/>
        <v>68020929.299999997</v>
      </c>
      <c r="K12" s="38">
        <f t="shared" si="0"/>
        <v>20000000</v>
      </c>
    </row>
    <row r="13" spans="1:14" ht="45.75" customHeight="1">
      <c r="A13" s="590" t="s">
        <v>150</v>
      </c>
      <c r="B13" s="590"/>
      <c r="C13" s="590"/>
      <c r="D13" s="590"/>
      <c r="E13" s="590"/>
      <c r="F13" s="590"/>
      <c r="G13" s="590"/>
      <c r="H13" s="590"/>
      <c r="I13" s="590"/>
      <c r="J13" s="590"/>
      <c r="K13" s="590"/>
    </row>
    <row r="14" spans="1:14" ht="22.5">
      <c r="A14" s="585" t="s">
        <v>256</v>
      </c>
      <c r="B14" s="585"/>
      <c r="C14" s="585"/>
      <c r="D14" s="585"/>
      <c r="E14" s="585"/>
      <c r="F14" s="585"/>
      <c r="G14" s="585"/>
      <c r="H14" s="585"/>
      <c r="I14" s="585"/>
      <c r="J14" s="585"/>
      <c r="K14" s="585"/>
    </row>
    <row r="15" spans="1:14" ht="22.5">
      <c r="A15" s="48" t="s">
        <v>291</v>
      </c>
      <c r="B15" s="38">
        <f>B19+B24+B29+B55+B60+B65+B70+B79+B94+B103+B111+B122+B129+B142+B154+B164+B188+B201+B136+B38+B171+B180+B193+B47</f>
        <v>245979410</v>
      </c>
      <c r="C15" s="38">
        <f>C19+C24+C29+C55+C60+C65+C70+C79+C94+C103+C111+C122+C129+C142+C154+C164+C188+C201+C136+C38</f>
        <v>136386123</v>
      </c>
      <c r="D15" s="38">
        <f>D19+D24+D29+D55+D60+D65+D70+D79+D94+D103+D111+D122+D129+D142+D154+D164+D188+D201+D136</f>
        <v>136386123</v>
      </c>
      <c r="E15" s="38">
        <f>E19+E24+E29+E55+E60+E65+E70+E79+E94+E103+E111+E122+E129+E142+E154+E164+E188+E201+E136</f>
        <v>0</v>
      </c>
      <c r="F15" s="38">
        <f>F19+F24+F29+F55+F60+F65+F70+F79+F94+F103+F111+F122+F129+F142+F154+F164+F188+F201+F136+F38+F171+F180+F47+F193</f>
        <v>63578260</v>
      </c>
      <c r="G15" s="38">
        <f>G19+G24+G29+G55+G60+G65+G70+G79+G94+G103+G111+G122+G129+G142+G154+G164+G188+G201+G136+G38+G171+G180+G47+G193</f>
        <v>63578260</v>
      </c>
      <c r="H15" s="38">
        <f>H19+H24+H29+H55+H60+H65+H70+H79+H94+H103+H111+H122+H129+H142+H154+H164+H188+H201+H136</f>
        <v>0</v>
      </c>
      <c r="I15" s="38">
        <f>I19+I24+I29+I55+I60+I65+I70+I79+I94+I103+I111+I122+I129+I142+I154+I164+I188+I201+I136+I38</f>
        <v>46015027</v>
      </c>
      <c r="J15" s="38">
        <f>J19+J24+J29+J55+J60+J65+J70+J79+J94+J103+J111+J122+J129+J142+J154+J164+J188+J201+J136+J38</f>
        <v>46015027</v>
      </c>
      <c r="K15" s="38">
        <f>K19+K24+K29+K55+K60+K65+K70+K79+K94+K103+K111+K122+K129+K142+K154+K164+K188+K201+K136</f>
        <v>0</v>
      </c>
      <c r="M15" s="43">
        <f>C15+F15+I15</f>
        <v>245979410</v>
      </c>
      <c r="N15" s="43">
        <f>M15-B15</f>
        <v>0</v>
      </c>
    </row>
    <row r="16" spans="1:14" ht="22.5">
      <c r="A16" s="48" t="s">
        <v>117</v>
      </c>
      <c r="B16" s="586"/>
      <c r="C16" s="587"/>
      <c r="D16" s="587"/>
      <c r="E16" s="587"/>
      <c r="F16" s="587"/>
      <c r="G16" s="587"/>
      <c r="H16" s="587"/>
      <c r="I16" s="587"/>
      <c r="J16" s="587"/>
      <c r="K16" s="588"/>
    </row>
    <row r="17" spans="1:11" ht="23.25">
      <c r="A17" s="49" t="s">
        <v>115</v>
      </c>
      <c r="B17" s="594" t="s">
        <v>274</v>
      </c>
      <c r="C17" s="594"/>
      <c r="D17" s="594"/>
      <c r="E17" s="594"/>
      <c r="F17" s="594"/>
      <c r="G17" s="594"/>
      <c r="H17" s="594"/>
      <c r="I17" s="594"/>
      <c r="J17" s="594"/>
      <c r="K17" s="594"/>
    </row>
    <row r="18" spans="1:11" ht="20.25" customHeight="1">
      <c r="A18" s="167" t="s">
        <v>159</v>
      </c>
      <c r="B18" s="577" t="s">
        <v>160</v>
      </c>
      <c r="C18" s="578"/>
      <c r="D18" s="578"/>
      <c r="E18" s="578"/>
      <c r="F18" s="578"/>
      <c r="G18" s="578"/>
      <c r="H18" s="578"/>
      <c r="I18" s="578"/>
      <c r="J18" s="578"/>
      <c r="K18" s="579"/>
    </row>
    <row r="19" spans="1:11" ht="22.5">
      <c r="A19" s="220" t="s">
        <v>120</v>
      </c>
      <c r="B19" s="38">
        <f>C19+F19+I19</f>
        <v>342000</v>
      </c>
      <c r="C19" s="39">
        <f>D19+E19</f>
        <v>240000</v>
      </c>
      <c r="D19" s="39">
        <f>'Додаток 3'!I11*1000</f>
        <v>240000</v>
      </c>
      <c r="E19" s="39">
        <v>0</v>
      </c>
      <c r="F19" s="39">
        <f>G19+H19</f>
        <v>102000</v>
      </c>
      <c r="G19" s="39">
        <f>'Додаток 3'!J11*1000</f>
        <v>102000</v>
      </c>
      <c r="H19" s="39">
        <v>0</v>
      </c>
      <c r="I19" s="39">
        <f>J19+K19</f>
        <v>0</v>
      </c>
      <c r="J19" s="39">
        <v>0</v>
      </c>
      <c r="K19" s="39">
        <v>0</v>
      </c>
    </row>
    <row r="20" spans="1:11" ht="23.25">
      <c r="A20" s="220" t="s">
        <v>353</v>
      </c>
      <c r="B20" s="38"/>
      <c r="C20" s="40">
        <v>2</v>
      </c>
      <c r="D20" s="40">
        <v>2</v>
      </c>
      <c r="E20" s="39"/>
      <c r="F20" s="40">
        <v>2</v>
      </c>
      <c r="G20" s="40">
        <v>2</v>
      </c>
      <c r="H20" s="40"/>
      <c r="I20" s="40"/>
      <c r="J20" s="39"/>
      <c r="K20" s="39"/>
    </row>
    <row r="21" spans="1:11" ht="46.5">
      <c r="A21" s="220" t="s">
        <v>354</v>
      </c>
      <c r="B21" s="42"/>
      <c r="C21" s="40">
        <f>C19/C20</f>
        <v>120000</v>
      </c>
      <c r="D21" s="40">
        <f>D19/D20</f>
        <v>120000</v>
      </c>
      <c r="E21" s="40"/>
      <c r="F21" s="40">
        <f>F19/F20</f>
        <v>51000</v>
      </c>
      <c r="G21" s="40">
        <f>G19/G20</f>
        <v>51000</v>
      </c>
      <c r="H21" s="40"/>
      <c r="I21" s="40"/>
      <c r="J21" s="40"/>
      <c r="K21" s="39"/>
    </row>
    <row r="22" spans="1:11" ht="23.25">
      <c r="A22" s="49" t="s">
        <v>115</v>
      </c>
      <c r="B22" s="594" t="s">
        <v>479</v>
      </c>
      <c r="C22" s="594"/>
      <c r="D22" s="594"/>
      <c r="E22" s="594"/>
      <c r="F22" s="594"/>
      <c r="G22" s="594"/>
      <c r="H22" s="594"/>
      <c r="I22" s="594"/>
      <c r="J22" s="594"/>
      <c r="K22" s="594"/>
    </row>
    <row r="23" spans="1:11" ht="20.25" customHeight="1">
      <c r="A23" s="167" t="s">
        <v>159</v>
      </c>
      <c r="B23" s="577" t="s">
        <v>160</v>
      </c>
      <c r="C23" s="578"/>
      <c r="D23" s="578"/>
      <c r="E23" s="578"/>
      <c r="F23" s="578"/>
      <c r="G23" s="578"/>
      <c r="H23" s="578"/>
      <c r="I23" s="578"/>
      <c r="J23" s="578"/>
      <c r="K23" s="579"/>
    </row>
    <row r="24" spans="1:11" ht="22.5">
      <c r="A24" s="220" t="s">
        <v>120</v>
      </c>
      <c r="B24" s="38">
        <f>C24+F24+I24</f>
        <v>8180910</v>
      </c>
      <c r="C24" s="39">
        <f>D24+E24</f>
        <v>1577810</v>
      </c>
      <c r="D24" s="39">
        <f>'Додаток 3'!I14*1000</f>
        <v>1577810</v>
      </c>
      <c r="E24" s="39">
        <v>0</v>
      </c>
      <c r="F24" s="39">
        <f>G24+H24</f>
        <v>3779200.0000000005</v>
      </c>
      <c r="G24" s="39">
        <f>'Додаток 3'!J14*1000</f>
        <v>3779200.0000000005</v>
      </c>
      <c r="H24" s="39">
        <v>0</v>
      </c>
      <c r="I24" s="39">
        <f>J24+K24</f>
        <v>2823899.9999999995</v>
      </c>
      <c r="J24" s="39">
        <f>'Додаток 3'!K14*1000</f>
        <v>2823899.9999999995</v>
      </c>
      <c r="K24" s="39">
        <v>0</v>
      </c>
    </row>
    <row r="25" spans="1:11" ht="23.25">
      <c r="A25" s="220" t="s">
        <v>353</v>
      </c>
      <c r="B25" s="38"/>
      <c r="C25" s="40">
        <v>2</v>
      </c>
      <c r="D25" s="40">
        <v>2</v>
      </c>
      <c r="E25" s="39"/>
      <c r="F25" s="40">
        <v>2</v>
      </c>
      <c r="G25" s="40">
        <v>2</v>
      </c>
      <c r="H25" s="40"/>
      <c r="I25" s="40">
        <v>2</v>
      </c>
      <c r="J25" s="40">
        <v>2</v>
      </c>
      <c r="K25" s="39"/>
    </row>
    <row r="26" spans="1:11" ht="46.5">
      <c r="A26" s="220" t="s">
        <v>354</v>
      </c>
      <c r="B26" s="42"/>
      <c r="C26" s="40">
        <f>C24/C25</f>
        <v>788905</v>
      </c>
      <c r="D26" s="40">
        <f>D24/D25</f>
        <v>788905</v>
      </c>
      <c r="E26" s="40"/>
      <c r="F26" s="40">
        <f>F24/F25</f>
        <v>1889600.0000000002</v>
      </c>
      <c r="G26" s="40">
        <f>G24/G25</f>
        <v>1889600.0000000002</v>
      </c>
      <c r="H26" s="40"/>
      <c r="I26" s="40">
        <f>I24/I25</f>
        <v>1411949.9999999998</v>
      </c>
      <c r="J26" s="40">
        <f>J24/J25</f>
        <v>1411949.9999999998</v>
      </c>
      <c r="K26" s="39"/>
    </row>
    <row r="27" spans="1:11" ht="23.25">
      <c r="A27" s="49" t="s">
        <v>115</v>
      </c>
      <c r="B27" s="594" t="s">
        <v>370</v>
      </c>
      <c r="C27" s="594"/>
      <c r="D27" s="594"/>
      <c r="E27" s="594"/>
      <c r="F27" s="594"/>
      <c r="G27" s="594"/>
      <c r="H27" s="594"/>
      <c r="I27" s="594"/>
      <c r="J27" s="594"/>
      <c r="K27" s="594"/>
    </row>
    <row r="28" spans="1:11" ht="20.25" customHeight="1">
      <c r="A28" s="167" t="s">
        <v>147</v>
      </c>
      <c r="B28" s="590" t="s">
        <v>398</v>
      </c>
      <c r="C28" s="590"/>
      <c r="D28" s="590"/>
      <c r="E28" s="590"/>
      <c r="F28" s="590"/>
      <c r="G28" s="590"/>
      <c r="H28" s="590"/>
      <c r="I28" s="590"/>
      <c r="J28" s="590"/>
      <c r="K28" s="590"/>
    </row>
    <row r="29" spans="1:11" ht="22.5">
      <c r="A29" s="220" t="s">
        <v>120</v>
      </c>
      <c r="B29" s="38">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20" t="s">
        <v>276</v>
      </c>
      <c r="B30" s="38"/>
      <c r="C30" s="40"/>
      <c r="D30" s="39"/>
      <c r="E30" s="39"/>
      <c r="F30" s="40"/>
      <c r="G30" s="40"/>
      <c r="H30" s="40"/>
      <c r="I30" s="40"/>
      <c r="J30" s="39"/>
      <c r="K30" s="39"/>
    </row>
    <row r="31" spans="1:11" ht="26.25" customHeight="1">
      <c r="A31" s="50" t="s">
        <v>277</v>
      </c>
      <c r="B31" s="38"/>
      <c r="C31" s="40">
        <v>30486</v>
      </c>
      <c r="D31" s="40">
        <v>30486</v>
      </c>
      <c r="E31" s="39"/>
      <c r="F31" s="40">
        <v>36796</v>
      </c>
      <c r="G31" s="40">
        <v>36796</v>
      </c>
      <c r="H31" s="40"/>
      <c r="I31" s="40">
        <v>42186</v>
      </c>
      <c r="J31" s="40">
        <v>42186</v>
      </c>
      <c r="K31" s="39"/>
    </row>
    <row r="32" spans="1:11" ht="23.25">
      <c r="A32" s="50" t="s">
        <v>278</v>
      </c>
      <c r="B32" s="38"/>
      <c r="C32" s="40">
        <v>30486</v>
      </c>
      <c r="D32" s="40">
        <v>30486</v>
      </c>
      <c r="E32" s="39"/>
      <c r="F32" s="40">
        <v>36796</v>
      </c>
      <c r="G32" s="40">
        <v>36796</v>
      </c>
      <c r="H32" s="40"/>
      <c r="I32" s="40">
        <v>42186</v>
      </c>
      <c r="J32" s="40">
        <v>42186</v>
      </c>
      <c r="K32" s="39"/>
    </row>
    <row r="33" spans="1:11" ht="23.25">
      <c r="A33" s="220" t="s">
        <v>275</v>
      </c>
      <c r="B33" s="38"/>
      <c r="C33" s="40"/>
      <c r="D33" s="40"/>
      <c r="E33" s="40"/>
      <c r="F33" s="40"/>
      <c r="G33" s="40"/>
      <c r="H33" s="40"/>
      <c r="I33" s="40"/>
      <c r="J33" s="40"/>
      <c r="K33" s="39"/>
    </row>
    <row r="34" spans="1:11" ht="23.25">
      <c r="A34" s="50" t="s">
        <v>279</v>
      </c>
      <c r="B34" s="38"/>
      <c r="C34" s="40">
        <v>30.73</v>
      </c>
      <c r="D34" s="40">
        <v>30.73</v>
      </c>
      <c r="E34" s="40"/>
      <c r="F34" s="40">
        <v>31.78</v>
      </c>
      <c r="G34" s="40">
        <v>31.78</v>
      </c>
      <c r="H34" s="40"/>
      <c r="I34" s="40">
        <f>J29/I31</f>
        <v>29.488455885838903</v>
      </c>
      <c r="J34" s="40">
        <f>K29/J31</f>
        <v>0</v>
      </c>
      <c r="K34" s="39"/>
    </row>
    <row r="35" spans="1:11" ht="23.25" customHeight="1">
      <c r="A35" s="50" t="s">
        <v>180</v>
      </c>
      <c r="B35" s="42"/>
      <c r="C35" s="40">
        <f>C32/C31*100</f>
        <v>100</v>
      </c>
      <c r="D35" s="40">
        <f>D32/D31*100</f>
        <v>100</v>
      </c>
      <c r="E35" s="40"/>
      <c r="F35" s="40">
        <f>F32/F31*100</f>
        <v>100</v>
      </c>
      <c r="G35" s="40">
        <f>G32/G31*100</f>
        <v>100</v>
      </c>
      <c r="H35" s="40"/>
      <c r="I35" s="40">
        <f>I32/I31*100</f>
        <v>100</v>
      </c>
      <c r="J35" s="40">
        <f>J32/J31*100</f>
        <v>100</v>
      </c>
      <c r="K35" s="39"/>
    </row>
    <row r="36" spans="1:11" ht="23.25" customHeight="1">
      <c r="A36" s="175" t="s">
        <v>412</v>
      </c>
      <c r="B36" s="595" t="s">
        <v>413</v>
      </c>
      <c r="C36" s="596"/>
      <c r="D36" s="596"/>
      <c r="E36" s="596"/>
      <c r="F36" s="596"/>
      <c r="G36" s="596"/>
      <c r="H36" s="596"/>
      <c r="I36" s="596"/>
      <c r="J36" s="596"/>
      <c r="K36" s="597"/>
    </row>
    <row r="37" spans="1:11" ht="23.25" customHeight="1">
      <c r="A37" s="167" t="s">
        <v>147</v>
      </c>
      <c r="B37" s="590" t="s">
        <v>398</v>
      </c>
      <c r="C37" s="590"/>
      <c r="D37" s="590"/>
      <c r="E37" s="590"/>
      <c r="F37" s="590"/>
      <c r="G37" s="590"/>
      <c r="H37" s="590"/>
      <c r="I37" s="590"/>
      <c r="J37" s="590"/>
      <c r="K37" s="590"/>
    </row>
    <row r="38" spans="1:11" ht="23.25" customHeight="1">
      <c r="A38" s="220" t="s">
        <v>120</v>
      </c>
      <c r="B38" s="42">
        <f>C38+F38+I38</f>
        <v>1522000</v>
      </c>
      <c r="C38" s="40">
        <f>D38+E38</f>
        <v>0</v>
      </c>
      <c r="D38" s="40"/>
      <c r="E38" s="40">
        <v>0</v>
      </c>
      <c r="F38" s="40">
        <f>G38+H38</f>
        <v>813800.00000000012</v>
      </c>
      <c r="G38" s="41">
        <f>'Додаток 3'!J20*1000</f>
        <v>813800.00000000012</v>
      </c>
      <c r="H38" s="40">
        <v>0</v>
      </c>
      <c r="I38" s="40">
        <f>J38+K38</f>
        <v>708200</v>
      </c>
      <c r="J38" s="41">
        <f>'Додаток 3'!K20*1000</f>
        <v>708200</v>
      </c>
      <c r="K38" s="39">
        <v>0</v>
      </c>
    </row>
    <row r="39" spans="1:11" ht="23.25" customHeight="1">
      <c r="A39" s="220" t="s">
        <v>276</v>
      </c>
      <c r="B39" s="42"/>
      <c r="C39" s="40"/>
      <c r="D39" s="40"/>
      <c r="E39" s="40"/>
      <c r="F39" s="41"/>
      <c r="G39" s="41"/>
      <c r="H39" s="40"/>
      <c r="I39" s="41"/>
      <c r="J39" s="41"/>
      <c r="K39" s="39"/>
    </row>
    <row r="40" spans="1:11" ht="44.25" customHeight="1">
      <c r="A40" s="185" t="s">
        <v>414</v>
      </c>
      <c r="B40" s="42"/>
      <c r="C40" s="40"/>
      <c r="D40" s="40"/>
      <c r="E40" s="40"/>
      <c r="F40" s="58">
        <v>4</v>
      </c>
      <c r="G40" s="58">
        <v>4</v>
      </c>
      <c r="H40" s="40"/>
      <c r="I40" s="58">
        <v>4</v>
      </c>
      <c r="J40" s="58">
        <v>4</v>
      </c>
      <c r="K40" s="39"/>
    </row>
    <row r="41" spans="1:11" ht="56.25" customHeight="1">
      <c r="A41" s="185" t="s">
        <v>415</v>
      </c>
      <c r="B41" s="42"/>
      <c r="C41" s="40"/>
      <c r="D41" s="40"/>
      <c r="E41" s="40"/>
      <c r="F41" s="58">
        <v>26</v>
      </c>
      <c r="G41" s="58">
        <v>26</v>
      </c>
      <c r="H41" s="40"/>
      <c r="I41" s="58">
        <v>26</v>
      </c>
      <c r="J41" s="58">
        <v>26</v>
      </c>
      <c r="K41" s="39"/>
    </row>
    <row r="42" spans="1:11" ht="23.25" customHeight="1">
      <c r="A42" s="220" t="s">
        <v>275</v>
      </c>
      <c r="B42" s="42"/>
      <c r="C42" s="40"/>
      <c r="D42" s="40"/>
      <c r="E42" s="40"/>
      <c r="F42" s="58"/>
      <c r="G42" s="58"/>
      <c r="H42" s="40"/>
      <c r="I42" s="58"/>
      <c r="J42" s="58"/>
      <c r="K42" s="39"/>
    </row>
    <row r="43" spans="1:11" ht="23.25" customHeight="1">
      <c r="A43" s="190" t="s">
        <v>416</v>
      </c>
      <c r="B43" s="42"/>
      <c r="C43" s="40"/>
      <c r="D43" s="40"/>
      <c r="E43" s="40"/>
      <c r="F43" s="186">
        <v>142500</v>
      </c>
      <c r="G43" s="58">
        <v>142500</v>
      </c>
      <c r="H43" s="40"/>
      <c r="I43" s="58">
        <v>116000</v>
      </c>
      <c r="J43" s="58">
        <v>116000</v>
      </c>
      <c r="K43" s="39"/>
    </row>
    <row r="44" spans="1:11" ht="23.25" customHeight="1">
      <c r="A44" s="190" t="s">
        <v>417</v>
      </c>
      <c r="B44" s="42"/>
      <c r="C44" s="40"/>
      <c r="D44" s="40"/>
      <c r="E44" s="40"/>
      <c r="F44" s="58">
        <v>7838.4615384615381</v>
      </c>
      <c r="G44" s="58">
        <v>7838</v>
      </c>
      <c r="H44" s="40"/>
      <c r="I44" s="58">
        <v>7838.4615384615381</v>
      </c>
      <c r="J44" s="58">
        <v>7838</v>
      </c>
      <c r="K44" s="39"/>
    </row>
    <row r="45" spans="1:11" ht="23.25" customHeight="1">
      <c r="A45" s="175" t="s">
        <v>412</v>
      </c>
      <c r="B45" s="595" t="s">
        <v>432</v>
      </c>
      <c r="C45" s="596"/>
      <c r="D45" s="596"/>
      <c r="E45" s="596"/>
      <c r="F45" s="596"/>
      <c r="G45" s="596"/>
      <c r="H45" s="596"/>
      <c r="I45" s="596"/>
      <c r="J45" s="596"/>
      <c r="K45" s="597"/>
    </row>
    <row r="46" spans="1:11" ht="23.25" customHeight="1">
      <c r="A46" s="167" t="s">
        <v>159</v>
      </c>
      <c r="B46" s="577" t="s">
        <v>160</v>
      </c>
      <c r="C46" s="578"/>
      <c r="D46" s="578"/>
      <c r="E46" s="578"/>
      <c r="F46" s="578"/>
      <c r="G46" s="578"/>
      <c r="H46" s="578"/>
      <c r="I46" s="578"/>
      <c r="J46" s="578"/>
      <c r="K46" s="579"/>
    </row>
    <row r="47" spans="1:11" ht="23.25" customHeight="1">
      <c r="A47" s="220" t="s">
        <v>120</v>
      </c>
      <c r="B47" s="219">
        <f>C47+F47+I47</f>
        <v>101300</v>
      </c>
      <c r="C47" s="219">
        <f>D47</f>
        <v>0</v>
      </c>
      <c r="D47" s="219"/>
      <c r="E47" s="219"/>
      <c r="F47" s="219">
        <f>G47</f>
        <v>101300</v>
      </c>
      <c r="G47" s="219">
        <f>'Додаток 3'!J23*1000</f>
        <v>101300</v>
      </c>
      <c r="H47" s="219"/>
      <c r="I47" s="219">
        <f>J47</f>
        <v>0</v>
      </c>
      <c r="J47" s="219"/>
      <c r="K47" s="219"/>
    </row>
    <row r="48" spans="1:11" ht="23.25" customHeight="1">
      <c r="A48" s="187" t="s">
        <v>122</v>
      </c>
      <c r="B48" s="219"/>
      <c r="C48" s="40"/>
      <c r="D48" s="40"/>
      <c r="E48" s="40"/>
      <c r="F48" s="219"/>
      <c r="G48" s="58"/>
      <c r="H48" s="40"/>
      <c r="I48" s="58"/>
      <c r="J48" s="58"/>
      <c r="K48" s="39"/>
    </row>
    <row r="49" spans="1:11" ht="23.25" customHeight="1">
      <c r="A49" s="192" t="s">
        <v>434</v>
      </c>
      <c r="B49" s="219"/>
      <c r="C49" s="40"/>
      <c r="D49" s="40"/>
      <c r="E49" s="40"/>
      <c r="F49" s="219">
        <f t="shared" ref="F49:F52" si="1">G49</f>
        <v>5064</v>
      </c>
      <c r="G49" s="195">
        <v>5064</v>
      </c>
      <c r="H49" s="40"/>
      <c r="I49" s="58"/>
      <c r="J49" s="58"/>
      <c r="K49" s="39"/>
    </row>
    <row r="50" spans="1:11" ht="23.25" customHeight="1">
      <c r="A50" s="192" t="s">
        <v>422</v>
      </c>
      <c r="B50" s="219"/>
      <c r="C50" s="40"/>
      <c r="D50" s="40"/>
      <c r="E50" s="40"/>
      <c r="F50" s="219">
        <f t="shared" si="1"/>
        <v>1688</v>
      </c>
      <c r="G50" s="191">
        <v>1688</v>
      </c>
      <c r="H50" s="40"/>
      <c r="I50" s="58"/>
      <c r="J50" s="58"/>
      <c r="K50" s="39"/>
    </row>
    <row r="51" spans="1:11" ht="23.25" customHeight="1">
      <c r="A51" s="187" t="s">
        <v>123</v>
      </c>
      <c r="B51" s="219"/>
      <c r="C51" s="40"/>
      <c r="D51" s="40"/>
      <c r="E51" s="40"/>
      <c r="F51" s="219"/>
      <c r="G51" s="58"/>
      <c r="H51" s="40"/>
      <c r="I51" s="58"/>
      <c r="J51" s="58"/>
      <c r="K51" s="39"/>
    </row>
    <row r="52" spans="1:11" ht="23.25" customHeight="1">
      <c r="A52" s="196" t="s">
        <v>423</v>
      </c>
      <c r="B52" s="219"/>
      <c r="C52" s="40"/>
      <c r="D52" s="40"/>
      <c r="E52" s="40"/>
      <c r="F52" s="219">
        <f t="shared" si="1"/>
        <v>60.011848341232231</v>
      </c>
      <c r="G52" s="58">
        <f>G47/G50</f>
        <v>60.011848341232231</v>
      </c>
      <c r="H52" s="40"/>
      <c r="I52" s="58"/>
      <c r="J52" s="58"/>
      <c r="K52" s="39"/>
    </row>
    <row r="53" spans="1:11" ht="23.25">
      <c r="A53" s="49" t="s">
        <v>115</v>
      </c>
      <c r="B53" s="594" t="s">
        <v>280</v>
      </c>
      <c r="C53" s="594"/>
      <c r="D53" s="594"/>
      <c r="E53" s="594"/>
      <c r="F53" s="594"/>
      <c r="G53" s="594"/>
      <c r="H53" s="594"/>
      <c r="I53" s="594"/>
      <c r="J53" s="594"/>
      <c r="K53" s="594"/>
    </row>
    <row r="54" spans="1:11" ht="22.5">
      <c r="A54" s="167" t="s">
        <v>118</v>
      </c>
      <c r="B54" s="590" t="s">
        <v>119</v>
      </c>
      <c r="C54" s="590"/>
      <c r="D54" s="590"/>
      <c r="E54" s="590"/>
      <c r="F54" s="590"/>
      <c r="G54" s="590"/>
      <c r="H54" s="590"/>
      <c r="I54" s="590"/>
      <c r="J54" s="590"/>
      <c r="K54" s="590"/>
    </row>
    <row r="55" spans="1:11" ht="22.5">
      <c r="A55" s="220" t="s">
        <v>120</v>
      </c>
      <c r="B55" s="38">
        <f>C55+F55+I55</f>
        <v>78490730</v>
      </c>
      <c r="C55" s="39">
        <f>D55+E55</f>
        <v>72386530</v>
      </c>
      <c r="D55" s="39">
        <f>'Додаток 3'!I29*1000</f>
        <v>72386530</v>
      </c>
      <c r="E55" s="39">
        <v>0</v>
      </c>
      <c r="F55" s="39">
        <f>G55+H55</f>
        <v>6104200</v>
      </c>
      <c r="G55" s="39">
        <f>'Додаток 3'!J29*1000</f>
        <v>6104200</v>
      </c>
      <c r="H55" s="39">
        <v>0</v>
      </c>
      <c r="I55" s="39">
        <v>0</v>
      </c>
      <c r="J55" s="39">
        <v>0</v>
      </c>
      <c r="K55" s="39">
        <v>0</v>
      </c>
    </row>
    <row r="56" spans="1:11" ht="23.25">
      <c r="A56" s="220" t="s">
        <v>353</v>
      </c>
      <c r="B56" s="38"/>
      <c r="C56" s="40">
        <v>4</v>
      </c>
      <c r="D56" s="40">
        <v>4</v>
      </c>
      <c r="E56" s="39"/>
      <c r="F56" s="40">
        <v>4</v>
      </c>
      <c r="G56" s="40">
        <v>4</v>
      </c>
      <c r="H56" s="40"/>
      <c r="I56" s="40"/>
      <c r="J56" s="39"/>
      <c r="K56" s="39"/>
    </row>
    <row r="57" spans="1:11" ht="46.5">
      <c r="A57" s="220" t="s">
        <v>354</v>
      </c>
      <c r="B57" s="42"/>
      <c r="C57" s="40">
        <f>C55/C56</f>
        <v>18096632.5</v>
      </c>
      <c r="D57" s="40">
        <f>D55/D56</f>
        <v>18096632.5</v>
      </c>
      <c r="E57" s="40"/>
      <c r="F57" s="40">
        <f>F55/F56</f>
        <v>1526050</v>
      </c>
      <c r="G57" s="40">
        <f>G55/G56</f>
        <v>1526050</v>
      </c>
      <c r="H57" s="40"/>
      <c r="I57" s="40"/>
      <c r="J57" s="40"/>
      <c r="K57" s="39"/>
    </row>
    <row r="58" spans="1:11" ht="23.25">
      <c r="A58" s="49" t="s">
        <v>115</v>
      </c>
      <c r="B58" s="594" t="s">
        <v>281</v>
      </c>
      <c r="C58" s="594"/>
      <c r="D58" s="594"/>
      <c r="E58" s="594"/>
      <c r="F58" s="594"/>
      <c r="G58" s="594"/>
      <c r="H58" s="594"/>
      <c r="I58" s="594"/>
      <c r="J58" s="594"/>
      <c r="K58" s="594"/>
    </row>
    <row r="59" spans="1:11" ht="22.5">
      <c r="A59" s="167" t="s">
        <v>118</v>
      </c>
      <c r="B59" s="590" t="s">
        <v>119</v>
      </c>
      <c r="C59" s="590"/>
      <c r="D59" s="590"/>
      <c r="E59" s="590"/>
      <c r="F59" s="590"/>
      <c r="G59" s="590"/>
      <c r="H59" s="590"/>
      <c r="I59" s="590"/>
      <c r="J59" s="590"/>
      <c r="K59" s="590"/>
    </row>
    <row r="60" spans="1:11" ht="22.5">
      <c r="A60" s="220" t="s">
        <v>120</v>
      </c>
      <c r="B60" s="38">
        <f>C60+F60+I60</f>
        <v>64711341.999999985</v>
      </c>
      <c r="C60" s="39">
        <f>D60+E60</f>
        <v>18275899.999999996</v>
      </c>
      <c r="D60" s="39">
        <f>'Додаток 3'!I45*1000</f>
        <v>18275899.999999996</v>
      </c>
      <c r="E60" s="39">
        <v>0</v>
      </c>
      <c r="F60" s="39">
        <f>G60+H60</f>
        <v>27445309.999999996</v>
      </c>
      <c r="G60" s="39">
        <f>'Додаток 3'!J45*1000</f>
        <v>27445309.999999996</v>
      </c>
      <c r="H60" s="39">
        <v>0</v>
      </c>
      <c r="I60" s="39">
        <f>J60</f>
        <v>18990131.999999996</v>
      </c>
      <c r="J60" s="39">
        <f>'Додаток 3'!K45*1000</f>
        <v>18990131.999999996</v>
      </c>
      <c r="K60" s="39">
        <v>0</v>
      </c>
    </row>
    <row r="61" spans="1:11" ht="23.25">
      <c r="A61" s="220" t="s">
        <v>353</v>
      </c>
      <c r="B61" s="38"/>
      <c r="C61" s="40">
        <v>4</v>
      </c>
      <c r="D61" s="40">
        <v>4</v>
      </c>
      <c r="E61" s="39"/>
      <c r="F61" s="40">
        <v>4</v>
      </c>
      <c r="G61" s="40">
        <v>4</v>
      </c>
      <c r="H61" s="40"/>
      <c r="I61" s="40">
        <v>4</v>
      </c>
      <c r="J61" s="40">
        <v>4</v>
      </c>
      <c r="K61" s="39"/>
    </row>
    <row r="62" spans="1:11" ht="46.5">
      <c r="A62" s="220" t="s">
        <v>354</v>
      </c>
      <c r="B62" s="42"/>
      <c r="C62" s="40">
        <f>C60/C61</f>
        <v>4568974.9999999991</v>
      </c>
      <c r="D62" s="40">
        <f>D60/D61</f>
        <v>4568974.9999999991</v>
      </c>
      <c r="E62" s="40"/>
      <c r="F62" s="40">
        <f>G60/F61</f>
        <v>6861327.4999999991</v>
      </c>
      <c r="G62" s="40">
        <f>H60/G61</f>
        <v>0</v>
      </c>
      <c r="H62" s="40"/>
      <c r="I62" s="40">
        <f>J60/I61</f>
        <v>4747532.9999999991</v>
      </c>
      <c r="J62" s="40">
        <f>K60/J61</f>
        <v>0</v>
      </c>
      <c r="K62" s="39"/>
    </row>
    <row r="63" spans="1:11" ht="23.25">
      <c r="A63" s="49" t="s">
        <v>115</v>
      </c>
      <c r="B63" s="594" t="s">
        <v>282</v>
      </c>
      <c r="C63" s="594"/>
      <c r="D63" s="594"/>
      <c r="E63" s="594"/>
      <c r="F63" s="594"/>
      <c r="G63" s="594"/>
      <c r="H63" s="594"/>
      <c r="I63" s="594"/>
      <c r="J63" s="594"/>
      <c r="K63" s="594"/>
    </row>
    <row r="64" spans="1:11" ht="22.5">
      <c r="A64" s="167" t="s">
        <v>118</v>
      </c>
      <c r="B64" s="590" t="s">
        <v>119</v>
      </c>
      <c r="C64" s="590"/>
      <c r="D64" s="590"/>
      <c r="E64" s="590"/>
      <c r="F64" s="590"/>
      <c r="G64" s="590"/>
      <c r="H64" s="590"/>
      <c r="I64" s="590"/>
      <c r="J64" s="590"/>
      <c r="K64" s="590"/>
    </row>
    <row r="65" spans="1:11" ht="22.5">
      <c r="A65" s="220" t="s">
        <v>120</v>
      </c>
      <c r="B65" s="38">
        <f>C65+F65+I65</f>
        <v>9972655</v>
      </c>
      <c r="C65" s="39">
        <f>D65+E65</f>
        <v>4584213</v>
      </c>
      <c r="D65" s="39">
        <f>'Додаток 3'!I51*1000</f>
        <v>4584213</v>
      </c>
      <c r="E65" s="39">
        <v>0</v>
      </c>
      <c r="F65" s="39">
        <f>G65+H65</f>
        <v>2606900</v>
      </c>
      <c r="G65" s="39">
        <f>'Додаток 3'!J51*1000</f>
        <v>2606900</v>
      </c>
      <c r="H65" s="39">
        <v>0</v>
      </c>
      <c r="I65" s="39">
        <f>J65+K65</f>
        <v>2781542</v>
      </c>
      <c r="J65" s="39">
        <f>'Додаток 3'!K51*1000</f>
        <v>2781542</v>
      </c>
      <c r="K65" s="39">
        <v>0</v>
      </c>
    </row>
    <row r="66" spans="1:11" ht="51" customHeight="1">
      <c r="A66" s="220" t="s">
        <v>436</v>
      </c>
      <c r="B66" s="38"/>
      <c r="C66" s="40">
        <v>439112</v>
      </c>
      <c r="D66" s="40">
        <v>439112</v>
      </c>
      <c r="E66" s="39"/>
      <c r="F66" s="40">
        <v>352641</v>
      </c>
      <c r="G66" s="40">
        <v>352641</v>
      </c>
      <c r="H66" s="40"/>
      <c r="I66" s="40">
        <v>352641</v>
      </c>
      <c r="J66" s="40">
        <v>352641</v>
      </c>
      <c r="K66" s="39"/>
    </row>
    <row r="67" spans="1:11" ht="51" customHeight="1">
      <c r="A67" s="220" t="s">
        <v>380</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115</v>
      </c>
      <c r="B68" s="594" t="s">
        <v>51</v>
      </c>
      <c r="C68" s="594"/>
      <c r="D68" s="594"/>
      <c r="E68" s="594"/>
      <c r="F68" s="594"/>
      <c r="G68" s="594"/>
      <c r="H68" s="594"/>
      <c r="I68" s="594"/>
      <c r="J68" s="594"/>
      <c r="K68" s="594"/>
    </row>
    <row r="69" spans="1:11" ht="22.5">
      <c r="A69" s="167" t="s">
        <v>118</v>
      </c>
      <c r="B69" s="590" t="s">
        <v>119</v>
      </c>
      <c r="C69" s="590"/>
      <c r="D69" s="590"/>
      <c r="E69" s="590"/>
      <c r="F69" s="590"/>
      <c r="G69" s="590"/>
      <c r="H69" s="590"/>
      <c r="I69" s="590"/>
      <c r="J69" s="590"/>
      <c r="K69" s="590"/>
    </row>
    <row r="70" spans="1:11" ht="22.5">
      <c r="A70" s="220" t="s">
        <v>120</v>
      </c>
      <c r="B70" s="38">
        <f>C70+F70+I70</f>
        <v>1307300</v>
      </c>
      <c r="C70" s="39">
        <f>D70+E70</f>
        <v>690000</v>
      </c>
      <c r="D70" s="39">
        <f>'Додаток 3'!I58*1000</f>
        <v>690000</v>
      </c>
      <c r="E70" s="39">
        <v>0</v>
      </c>
      <c r="F70" s="39">
        <f>G70+H70</f>
        <v>300000</v>
      </c>
      <c r="G70" s="39">
        <f>'Додаток 3'!J58*1000</f>
        <v>300000</v>
      </c>
      <c r="H70" s="39">
        <v>0</v>
      </c>
      <c r="I70" s="39">
        <f>J70+K70</f>
        <v>317300</v>
      </c>
      <c r="J70" s="39">
        <f>'Додаток 3'!K58*1000</f>
        <v>317300</v>
      </c>
      <c r="K70" s="39">
        <v>0</v>
      </c>
    </row>
    <row r="71" spans="1:11" ht="24" customHeight="1">
      <c r="A71" s="220" t="s">
        <v>276</v>
      </c>
      <c r="B71" s="38"/>
      <c r="C71" s="40"/>
      <c r="D71" s="39"/>
      <c r="E71" s="39"/>
      <c r="F71" s="40"/>
      <c r="G71" s="40"/>
      <c r="H71" s="40"/>
      <c r="I71" s="40"/>
      <c r="J71" s="39"/>
      <c r="K71" s="39"/>
    </row>
    <row r="72" spans="1:11" ht="24" customHeight="1">
      <c r="A72" s="50" t="s">
        <v>438</v>
      </c>
      <c r="B72" s="38"/>
      <c r="C72" s="40">
        <v>170</v>
      </c>
      <c r="D72" s="40">
        <v>170</v>
      </c>
      <c r="E72" s="39"/>
      <c r="F72" s="40">
        <v>170</v>
      </c>
      <c r="G72" s="40">
        <v>170</v>
      </c>
      <c r="H72" s="40"/>
      <c r="I72" s="40">
        <v>170</v>
      </c>
      <c r="J72" s="40">
        <v>170</v>
      </c>
      <c r="K72" s="39"/>
    </row>
    <row r="73" spans="1:11" ht="24" customHeight="1">
      <c r="A73" s="50" t="s">
        <v>437</v>
      </c>
      <c r="B73" s="38"/>
      <c r="C73" s="40">
        <v>170</v>
      </c>
      <c r="D73" s="40">
        <v>170</v>
      </c>
      <c r="E73" s="39"/>
      <c r="F73" s="40">
        <v>170</v>
      </c>
      <c r="G73" s="40">
        <v>170</v>
      </c>
      <c r="H73" s="40"/>
      <c r="I73" s="40">
        <v>170</v>
      </c>
      <c r="J73" s="40">
        <v>170</v>
      </c>
      <c r="K73" s="39"/>
    </row>
    <row r="74" spans="1:11" ht="23.25">
      <c r="A74" s="220" t="s">
        <v>275</v>
      </c>
      <c r="B74" s="42"/>
      <c r="C74" s="40"/>
      <c r="D74" s="40"/>
      <c r="E74" s="40"/>
      <c r="F74" s="40"/>
      <c r="G74" s="40"/>
      <c r="H74" s="40"/>
      <c r="I74" s="40"/>
      <c r="J74" s="40"/>
      <c r="K74" s="39"/>
    </row>
    <row r="75" spans="1:11" ht="46.5">
      <c r="A75" s="50" t="s">
        <v>283</v>
      </c>
      <c r="B75" s="42"/>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284</v>
      </c>
      <c r="B76" s="42"/>
      <c r="C76" s="40">
        <f>C73/C72*100</f>
        <v>100</v>
      </c>
      <c r="D76" s="40">
        <f>D73/D72*100</f>
        <v>100</v>
      </c>
      <c r="E76" s="40"/>
      <c r="F76" s="40">
        <f>F73/F72*100</f>
        <v>100</v>
      </c>
      <c r="G76" s="40">
        <f>G73/G72*100</f>
        <v>100</v>
      </c>
      <c r="H76" s="40"/>
      <c r="I76" s="40">
        <f>I73/I72*100</f>
        <v>100</v>
      </c>
      <c r="J76" s="40">
        <f>J73/J72*100</f>
        <v>100</v>
      </c>
      <c r="K76" s="39"/>
    </row>
    <row r="77" spans="1:11" ht="23.25">
      <c r="A77" s="49" t="s">
        <v>115</v>
      </c>
      <c r="B77" s="594" t="s">
        <v>52</v>
      </c>
      <c r="C77" s="594"/>
      <c r="D77" s="594"/>
      <c r="E77" s="594"/>
      <c r="F77" s="594"/>
      <c r="G77" s="594"/>
      <c r="H77" s="594"/>
      <c r="I77" s="594"/>
      <c r="J77" s="594"/>
      <c r="K77" s="594"/>
    </row>
    <row r="78" spans="1:11" ht="22.5">
      <c r="A78" s="167" t="s">
        <v>118</v>
      </c>
      <c r="B78" s="590" t="s">
        <v>119</v>
      </c>
      <c r="C78" s="590"/>
      <c r="D78" s="590"/>
      <c r="E78" s="590"/>
      <c r="F78" s="590"/>
      <c r="G78" s="590"/>
      <c r="H78" s="590"/>
      <c r="I78" s="590"/>
      <c r="J78" s="590"/>
      <c r="K78" s="590"/>
    </row>
    <row r="79" spans="1:11" ht="22.5">
      <c r="A79" s="220" t="s">
        <v>120</v>
      </c>
      <c r="B79" s="38">
        <f>C79+F79+I79</f>
        <v>1200000</v>
      </c>
      <c r="C79" s="39">
        <f>D79+E79</f>
        <v>1200000</v>
      </c>
      <c r="D79" s="39">
        <f>'Додаток 3'!I59*1000</f>
        <v>1200000</v>
      </c>
      <c r="E79" s="39">
        <v>0</v>
      </c>
      <c r="F79" s="39">
        <f>G79+H79</f>
        <v>0</v>
      </c>
      <c r="G79" s="39">
        <f>'Додаток 3'!J59*1000</f>
        <v>0</v>
      </c>
      <c r="H79" s="39">
        <v>0</v>
      </c>
      <c r="I79" s="39">
        <f>J79+K79</f>
        <v>0</v>
      </c>
      <c r="J79" s="39">
        <f>'Додаток 3'!K59*1000</f>
        <v>0</v>
      </c>
      <c r="K79" s="39">
        <v>0</v>
      </c>
    </row>
    <row r="80" spans="1:11" ht="22.5" customHeight="1">
      <c r="A80" s="51" t="s">
        <v>131</v>
      </c>
      <c r="B80" s="38"/>
      <c r="C80" s="39">
        <v>200000</v>
      </c>
      <c r="D80" s="39">
        <v>200000</v>
      </c>
      <c r="E80" s="39"/>
      <c r="F80" s="39"/>
      <c r="G80" s="39"/>
      <c r="H80" s="39"/>
      <c r="I80" s="39"/>
      <c r="J80" s="39"/>
      <c r="K80" s="39"/>
    </row>
    <row r="81" spans="1:11" ht="46.5">
      <c r="A81" s="51" t="s">
        <v>132</v>
      </c>
      <c r="B81" s="38"/>
      <c r="C81" s="39">
        <v>1000000</v>
      </c>
      <c r="D81" s="39">
        <v>1000000</v>
      </c>
      <c r="E81" s="39"/>
      <c r="F81" s="39"/>
      <c r="G81" s="39"/>
      <c r="H81" s="39"/>
      <c r="I81" s="39"/>
      <c r="J81" s="39"/>
      <c r="K81" s="39"/>
    </row>
    <row r="82" spans="1:11" ht="24" customHeight="1">
      <c r="A82" s="220" t="s">
        <v>276</v>
      </c>
      <c r="B82" s="38"/>
      <c r="C82" s="40"/>
      <c r="D82" s="39"/>
      <c r="E82" s="39"/>
      <c r="F82" s="40"/>
      <c r="G82" s="40"/>
      <c r="H82" s="40"/>
      <c r="I82" s="40"/>
      <c r="J82" s="39"/>
      <c r="K82" s="39"/>
    </row>
    <row r="83" spans="1:11" ht="46.5">
      <c r="A83" s="51" t="s">
        <v>133</v>
      </c>
      <c r="B83" s="42"/>
      <c r="C83" s="168">
        <v>30</v>
      </c>
      <c r="D83" s="168">
        <v>30</v>
      </c>
      <c r="E83" s="40"/>
      <c r="F83" s="168"/>
      <c r="G83" s="40"/>
      <c r="H83" s="40"/>
      <c r="I83" s="168"/>
      <c r="J83" s="40"/>
      <c r="K83" s="39"/>
    </row>
    <row r="84" spans="1:11" ht="46.5">
      <c r="A84" s="51" t="s">
        <v>134</v>
      </c>
      <c r="B84" s="42"/>
      <c r="C84" s="168">
        <v>170</v>
      </c>
      <c r="D84" s="168">
        <v>170</v>
      </c>
      <c r="E84" s="40"/>
      <c r="F84" s="168"/>
      <c r="G84" s="40"/>
      <c r="H84" s="40"/>
      <c r="I84" s="168"/>
      <c r="J84" s="40"/>
      <c r="K84" s="39"/>
    </row>
    <row r="85" spans="1:11" ht="23.25" customHeight="1">
      <c r="A85" s="51" t="s">
        <v>135</v>
      </c>
      <c r="B85" s="42"/>
      <c r="C85" s="168">
        <v>30</v>
      </c>
      <c r="D85" s="168">
        <v>30</v>
      </c>
      <c r="E85" s="40"/>
      <c r="F85" s="168"/>
      <c r="G85" s="40"/>
      <c r="H85" s="40"/>
      <c r="I85" s="168"/>
      <c r="J85" s="40"/>
      <c r="K85" s="39"/>
    </row>
    <row r="86" spans="1:11" ht="46.5">
      <c r="A86" s="51" t="s">
        <v>136</v>
      </c>
      <c r="B86" s="42"/>
      <c r="C86" s="168">
        <v>55</v>
      </c>
      <c r="D86" s="168">
        <v>55</v>
      </c>
      <c r="E86" s="40"/>
      <c r="F86" s="168"/>
      <c r="G86" s="40"/>
      <c r="H86" s="40"/>
      <c r="I86" s="168"/>
      <c r="J86" s="40"/>
      <c r="K86" s="39"/>
    </row>
    <row r="87" spans="1:11" ht="23.25">
      <c r="A87" s="220" t="s">
        <v>123</v>
      </c>
      <c r="B87" s="42"/>
      <c r="C87" s="40"/>
      <c r="D87" s="40"/>
      <c r="E87" s="40"/>
      <c r="F87" s="40"/>
      <c r="G87" s="40"/>
      <c r="H87" s="40"/>
      <c r="I87" s="40"/>
      <c r="J87" s="40"/>
      <c r="K87" s="39"/>
    </row>
    <row r="88" spans="1:11" ht="23.25">
      <c r="A88" s="51" t="s">
        <v>137</v>
      </c>
      <c r="B88" s="42"/>
      <c r="C88" s="40">
        <f>C80/C83</f>
        <v>6666.666666666667</v>
      </c>
      <c r="D88" s="40">
        <f>D80/D83</f>
        <v>6666.666666666667</v>
      </c>
      <c r="E88" s="40"/>
      <c r="F88" s="40"/>
      <c r="G88" s="40"/>
      <c r="H88" s="40"/>
      <c r="I88" s="40"/>
      <c r="J88" s="40"/>
      <c r="K88" s="39"/>
    </row>
    <row r="89" spans="1:11" ht="46.5">
      <c r="A89" s="51" t="s">
        <v>138</v>
      </c>
      <c r="B89" s="42"/>
      <c r="C89" s="40">
        <f>C81/C86</f>
        <v>18181.81818181818</v>
      </c>
      <c r="D89" s="40">
        <f>D81/D86</f>
        <v>18181.81818181818</v>
      </c>
      <c r="E89" s="40"/>
      <c r="F89" s="40"/>
      <c r="G89" s="40"/>
      <c r="H89" s="40"/>
      <c r="I89" s="40"/>
      <c r="J89" s="40"/>
      <c r="K89" s="39"/>
    </row>
    <row r="90" spans="1:11" ht="46.5">
      <c r="A90" s="51" t="s">
        <v>139</v>
      </c>
      <c r="B90" s="42"/>
      <c r="C90" s="40">
        <f>C85/C83*100</f>
        <v>100</v>
      </c>
      <c r="D90" s="40">
        <f>D85/D83*100</f>
        <v>100</v>
      </c>
      <c r="E90" s="40"/>
      <c r="F90" s="40"/>
      <c r="G90" s="40"/>
      <c r="H90" s="40"/>
      <c r="I90" s="40"/>
      <c r="J90" s="40"/>
      <c r="K90" s="39"/>
    </row>
    <row r="91" spans="1:11" ht="46.5">
      <c r="A91" s="51" t="s">
        <v>140</v>
      </c>
      <c r="B91" s="42"/>
      <c r="C91" s="40">
        <f>C86/C84*100</f>
        <v>32.352941176470587</v>
      </c>
      <c r="D91" s="40">
        <f>D86/D84*100</f>
        <v>32.352941176470587</v>
      </c>
      <c r="E91" s="40"/>
      <c r="F91" s="40"/>
      <c r="G91" s="40"/>
      <c r="H91" s="40"/>
      <c r="I91" s="40"/>
      <c r="J91" s="40"/>
      <c r="K91" s="39"/>
    </row>
    <row r="92" spans="1:11" ht="23.25">
      <c r="A92" s="49" t="s">
        <v>115</v>
      </c>
      <c r="B92" s="594" t="s">
        <v>355</v>
      </c>
      <c r="C92" s="594"/>
      <c r="D92" s="594"/>
      <c r="E92" s="594"/>
      <c r="F92" s="594"/>
      <c r="G92" s="594"/>
      <c r="H92" s="594"/>
      <c r="I92" s="594"/>
      <c r="J92" s="594"/>
      <c r="K92" s="594"/>
    </row>
    <row r="93" spans="1:11" ht="22.5">
      <c r="A93" s="167" t="s">
        <v>118</v>
      </c>
      <c r="B93" s="590" t="s">
        <v>119</v>
      </c>
      <c r="C93" s="590"/>
      <c r="D93" s="590"/>
      <c r="E93" s="590"/>
      <c r="F93" s="590"/>
      <c r="G93" s="590"/>
      <c r="H93" s="590"/>
      <c r="I93" s="590"/>
      <c r="J93" s="590"/>
      <c r="K93" s="590"/>
    </row>
    <row r="94" spans="1:11" ht="22.5">
      <c r="A94" s="220" t="s">
        <v>120</v>
      </c>
      <c r="B94" s="38">
        <f>C94+F94+I94</f>
        <v>1300000</v>
      </c>
      <c r="C94" s="39">
        <f>D94+E94</f>
        <v>1000000</v>
      </c>
      <c r="D94" s="39">
        <f>'Додаток 3'!I60*1000</f>
        <v>1000000</v>
      </c>
      <c r="E94" s="39">
        <v>0</v>
      </c>
      <c r="F94" s="39">
        <f>G94+H94</f>
        <v>300000</v>
      </c>
      <c r="G94" s="39">
        <f>'Додаток 3'!J60*1000</f>
        <v>300000</v>
      </c>
      <c r="H94" s="39">
        <v>0</v>
      </c>
      <c r="I94" s="39">
        <f>J94+K94</f>
        <v>0</v>
      </c>
      <c r="J94" s="39">
        <f>'Додаток 3'!K60*1000</f>
        <v>0</v>
      </c>
      <c r="K94" s="39">
        <v>0</v>
      </c>
    </row>
    <row r="95" spans="1:11" ht="24" customHeight="1">
      <c r="A95" s="220" t="s">
        <v>276</v>
      </c>
      <c r="B95" s="38"/>
      <c r="C95" s="40"/>
      <c r="D95" s="39"/>
      <c r="E95" s="39"/>
      <c r="F95" s="40"/>
      <c r="G95" s="40"/>
      <c r="H95" s="40"/>
      <c r="I95" s="40"/>
      <c r="J95" s="39"/>
      <c r="K95" s="39"/>
    </row>
    <row r="96" spans="1:11" ht="46.5">
      <c r="A96" s="51" t="s">
        <v>141</v>
      </c>
      <c r="B96" s="42"/>
      <c r="C96" s="168">
        <v>750</v>
      </c>
      <c r="D96" s="168">
        <v>750</v>
      </c>
      <c r="E96" s="40"/>
      <c r="F96" s="168">
        <v>750</v>
      </c>
      <c r="G96" s="168">
        <v>750</v>
      </c>
      <c r="H96" s="40"/>
      <c r="I96" s="168"/>
      <c r="J96" s="40"/>
      <c r="K96" s="39"/>
    </row>
    <row r="97" spans="1:11" ht="23.25">
      <c r="A97" s="51" t="s">
        <v>142</v>
      </c>
      <c r="B97" s="42"/>
      <c r="C97" s="168">
        <v>37</v>
      </c>
      <c r="D97" s="168">
        <v>37</v>
      </c>
      <c r="E97" s="40"/>
      <c r="F97" s="168">
        <v>10</v>
      </c>
      <c r="G97" s="168">
        <v>10</v>
      </c>
      <c r="H97" s="40"/>
      <c r="I97" s="168"/>
      <c r="J97" s="40"/>
      <c r="K97" s="39"/>
    </row>
    <row r="98" spans="1:11" ht="23.25">
      <c r="A98" s="220" t="s">
        <v>123</v>
      </c>
      <c r="B98" s="42"/>
      <c r="C98" s="40"/>
      <c r="D98" s="40"/>
      <c r="E98" s="40"/>
      <c r="F98" s="40"/>
      <c r="G98" s="40"/>
      <c r="H98" s="40"/>
      <c r="I98" s="40"/>
      <c r="J98" s="40"/>
      <c r="K98" s="39"/>
    </row>
    <row r="99" spans="1:11" ht="26.25" customHeight="1">
      <c r="A99" s="51" t="s">
        <v>137</v>
      </c>
      <c r="B99" s="42"/>
      <c r="C99" s="40">
        <f>C94/C97</f>
        <v>27027.027027027027</v>
      </c>
      <c r="D99" s="40">
        <f>D94/D97</f>
        <v>27027.027027027027</v>
      </c>
      <c r="E99" s="40"/>
      <c r="F99" s="40">
        <f>F94/F97</f>
        <v>30000</v>
      </c>
      <c r="G99" s="40">
        <f>G94/G97</f>
        <v>30000</v>
      </c>
      <c r="H99" s="40"/>
      <c r="I99" s="40"/>
      <c r="J99" s="40"/>
      <c r="K99" s="39"/>
    </row>
    <row r="100" spans="1:11" ht="46.5">
      <c r="A100" s="51" t="s">
        <v>143</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115</v>
      </c>
      <c r="B101" s="594" t="s">
        <v>379</v>
      </c>
      <c r="C101" s="594"/>
      <c r="D101" s="594"/>
      <c r="E101" s="594"/>
      <c r="F101" s="594"/>
      <c r="G101" s="594"/>
      <c r="H101" s="594"/>
      <c r="I101" s="594"/>
      <c r="J101" s="594"/>
      <c r="K101" s="594"/>
    </row>
    <row r="102" spans="1:11" ht="22.5">
      <c r="A102" s="167" t="s">
        <v>118</v>
      </c>
      <c r="B102" s="590" t="s">
        <v>119</v>
      </c>
      <c r="C102" s="590"/>
      <c r="D102" s="590"/>
      <c r="E102" s="590"/>
      <c r="F102" s="590"/>
      <c r="G102" s="590"/>
      <c r="H102" s="590"/>
      <c r="I102" s="590"/>
      <c r="J102" s="590"/>
      <c r="K102" s="590"/>
    </row>
    <row r="103" spans="1:11" ht="22.5">
      <c r="A103" s="220" t="s">
        <v>120</v>
      </c>
      <c r="B103" s="220">
        <f>C103+F103+I103</f>
        <v>3883000</v>
      </c>
      <c r="C103" s="39">
        <f>D103+E103</f>
        <v>3883000</v>
      </c>
      <c r="D103" s="39">
        <f>'Додаток 3'!I61*1000</f>
        <v>3883000</v>
      </c>
      <c r="E103" s="39">
        <v>0</v>
      </c>
      <c r="F103" s="39">
        <f>G103+H103</f>
        <v>0</v>
      </c>
      <c r="G103" s="39">
        <f>'Додаток 3'!J61*1000</f>
        <v>0</v>
      </c>
      <c r="H103" s="39">
        <v>0</v>
      </c>
      <c r="I103" s="39">
        <f>J103+K103</f>
        <v>0</v>
      </c>
      <c r="J103" s="39">
        <f>'Додаток 3'!K61*1000</f>
        <v>0</v>
      </c>
      <c r="K103" s="39">
        <v>0</v>
      </c>
    </row>
    <row r="104" spans="1:11" ht="24" customHeight="1">
      <c r="A104" s="220" t="s">
        <v>276</v>
      </c>
      <c r="B104" s="38"/>
      <c r="C104" s="40"/>
      <c r="D104" s="39"/>
      <c r="E104" s="39"/>
      <c r="F104" s="40"/>
      <c r="G104" s="40"/>
      <c r="H104" s="40"/>
      <c r="I104" s="40"/>
      <c r="J104" s="39"/>
      <c r="K104" s="39"/>
    </row>
    <row r="105" spans="1:11" ht="48.75" customHeight="1">
      <c r="A105" s="51" t="s">
        <v>144</v>
      </c>
      <c r="B105" s="42"/>
      <c r="C105" s="40">
        <v>70</v>
      </c>
      <c r="D105" s="40">
        <v>70</v>
      </c>
      <c r="E105" s="40"/>
      <c r="F105" s="40"/>
      <c r="G105" s="40"/>
      <c r="H105" s="40"/>
      <c r="I105" s="40"/>
      <c r="J105" s="40"/>
      <c r="K105" s="39"/>
    </row>
    <row r="106" spans="1:11" ht="47.25" customHeight="1">
      <c r="A106" s="51" t="s">
        <v>352</v>
      </c>
      <c r="B106" s="42"/>
      <c r="C106" s="168">
        <v>70</v>
      </c>
      <c r="D106" s="168">
        <v>70</v>
      </c>
      <c r="E106" s="40"/>
      <c r="F106" s="168"/>
      <c r="G106" s="40"/>
      <c r="H106" s="40"/>
      <c r="I106" s="168"/>
      <c r="J106" s="40"/>
      <c r="K106" s="39"/>
    </row>
    <row r="107" spans="1:11" ht="23.25">
      <c r="A107" s="220" t="s">
        <v>123</v>
      </c>
      <c r="B107" s="42"/>
      <c r="C107" s="40"/>
      <c r="D107" s="40"/>
      <c r="E107" s="40"/>
      <c r="F107" s="40"/>
      <c r="G107" s="40"/>
      <c r="H107" s="40"/>
      <c r="I107" s="40"/>
      <c r="J107" s="40"/>
      <c r="K107" s="39"/>
    </row>
    <row r="108" spans="1:11" ht="69.75">
      <c r="A108" s="51" t="s">
        <v>145</v>
      </c>
      <c r="B108" s="42"/>
      <c r="C108" s="40">
        <f>C103/C106</f>
        <v>55471.428571428572</v>
      </c>
      <c r="D108" s="40">
        <f>D103/D106</f>
        <v>55471.428571428572</v>
      </c>
      <c r="E108" s="40"/>
      <c r="F108" s="40"/>
      <c r="G108" s="40"/>
      <c r="H108" s="40"/>
      <c r="I108" s="40"/>
      <c r="J108" s="40"/>
      <c r="K108" s="39"/>
    </row>
    <row r="109" spans="1:11" ht="23.25">
      <c r="A109" s="49" t="s">
        <v>115</v>
      </c>
      <c r="B109" s="606" t="s">
        <v>55</v>
      </c>
      <c r="C109" s="607"/>
      <c r="D109" s="607"/>
      <c r="E109" s="607"/>
      <c r="F109" s="607"/>
      <c r="G109" s="607"/>
      <c r="H109" s="607"/>
      <c r="I109" s="607"/>
      <c r="J109" s="607"/>
      <c r="K109" s="608"/>
    </row>
    <row r="110" spans="1:11" ht="22.5">
      <c r="A110" s="167" t="s">
        <v>118</v>
      </c>
      <c r="B110" s="589" t="s">
        <v>119</v>
      </c>
      <c r="C110" s="589"/>
      <c r="D110" s="589"/>
      <c r="E110" s="589"/>
      <c r="F110" s="589"/>
      <c r="G110" s="589"/>
      <c r="H110" s="589"/>
      <c r="I110" s="589"/>
      <c r="J110" s="589"/>
      <c r="K110" s="589"/>
    </row>
    <row r="111" spans="1:11" ht="22.5">
      <c r="A111" s="220" t="s">
        <v>120</v>
      </c>
      <c r="B111" s="220">
        <f>C111+F111+I111</f>
        <v>850000</v>
      </c>
      <c r="C111" s="39">
        <f>D111+E111</f>
        <v>850000</v>
      </c>
      <c r="D111" s="39">
        <f>'Додаток 3'!I64*1000</f>
        <v>850000</v>
      </c>
      <c r="E111" s="220"/>
      <c r="F111" s="169"/>
      <c r="G111" s="169">
        <f>'Додаток 3'!J64*1000</f>
        <v>0</v>
      </c>
      <c r="H111" s="169"/>
      <c r="I111" s="169"/>
      <c r="J111" s="169"/>
      <c r="K111" s="169"/>
    </row>
    <row r="112" spans="1:11" ht="23.25">
      <c r="A112" s="220" t="s">
        <v>122</v>
      </c>
      <c r="B112" s="40"/>
      <c r="C112" s="40"/>
      <c r="D112" s="40"/>
      <c r="E112" s="40"/>
      <c r="F112" s="40"/>
      <c r="G112" s="40"/>
      <c r="H112" s="40"/>
      <c r="I112" s="40"/>
      <c r="J112" s="40"/>
      <c r="K112" s="39"/>
    </row>
    <row r="113" spans="1:11" ht="22.5" customHeight="1">
      <c r="A113" s="51" t="s">
        <v>356</v>
      </c>
      <c r="B113" s="42"/>
      <c r="C113" s="40">
        <v>1200</v>
      </c>
      <c r="D113" s="40">
        <v>1200</v>
      </c>
      <c r="E113" s="40"/>
      <c r="F113" s="40"/>
      <c r="G113" s="40"/>
      <c r="H113" s="40"/>
      <c r="I113" s="40"/>
      <c r="J113" s="40"/>
      <c r="K113" s="39"/>
    </row>
    <row r="114" spans="1:11" ht="23.25">
      <c r="A114" s="51" t="s">
        <v>203</v>
      </c>
      <c r="B114" s="42"/>
      <c r="C114" s="168">
        <v>845</v>
      </c>
      <c r="D114" s="168">
        <v>845</v>
      </c>
      <c r="E114" s="40"/>
      <c r="F114" s="168"/>
      <c r="G114" s="40"/>
      <c r="H114" s="40"/>
      <c r="I114" s="168"/>
      <c r="J114" s="40"/>
      <c r="K114" s="39"/>
    </row>
    <row r="115" spans="1:11" ht="23.25">
      <c r="A115" s="220" t="s">
        <v>123</v>
      </c>
      <c r="B115" s="42"/>
      <c r="C115" s="40"/>
      <c r="D115" s="40"/>
      <c r="E115" s="40"/>
      <c r="F115" s="40"/>
      <c r="G115" s="40"/>
      <c r="H115" s="40"/>
      <c r="I115" s="40"/>
      <c r="J115" s="40"/>
      <c r="K115" s="39"/>
    </row>
    <row r="116" spans="1:11" ht="23.25">
      <c r="A116" s="51" t="s">
        <v>378</v>
      </c>
      <c r="B116" s="42"/>
      <c r="C116" s="40">
        <f>C111/C114</f>
        <v>1005.9171597633136</v>
      </c>
      <c r="D116" s="40">
        <f>D111/D114</f>
        <v>1005.9171597633136</v>
      </c>
      <c r="E116" s="40"/>
      <c r="F116" s="40"/>
      <c r="G116" s="40"/>
      <c r="H116" s="40"/>
      <c r="I116" s="40"/>
      <c r="J116" s="40"/>
      <c r="K116" s="39"/>
    </row>
    <row r="117" spans="1:11" ht="23.25">
      <c r="A117" s="59" t="s">
        <v>124</v>
      </c>
      <c r="B117" s="42"/>
      <c r="C117" s="40"/>
      <c r="D117" s="40"/>
      <c r="E117" s="40"/>
      <c r="F117" s="40"/>
      <c r="G117" s="40"/>
      <c r="H117" s="40"/>
      <c r="I117" s="40"/>
      <c r="J117" s="40"/>
      <c r="K117" s="39"/>
    </row>
    <row r="118" spans="1:11" ht="23.25">
      <c r="A118" s="51" t="s">
        <v>357</v>
      </c>
      <c r="B118" s="42"/>
      <c r="C118" s="40">
        <f>C114/C113*100</f>
        <v>70.416666666666671</v>
      </c>
      <c r="D118" s="40">
        <f>D114/D113*100</f>
        <v>70.416666666666671</v>
      </c>
      <c r="E118" s="40"/>
      <c r="F118" s="40"/>
      <c r="G118" s="40"/>
      <c r="H118" s="40"/>
      <c r="I118" s="40"/>
      <c r="J118" s="40"/>
      <c r="K118" s="39"/>
    </row>
    <row r="119" spans="1:11" ht="23.25">
      <c r="A119" s="52" t="s">
        <v>115</v>
      </c>
      <c r="B119" s="581" t="s">
        <v>285</v>
      </c>
      <c r="C119" s="581"/>
      <c r="D119" s="581"/>
      <c r="E119" s="581"/>
      <c r="F119" s="581"/>
      <c r="G119" s="581"/>
      <c r="H119" s="581"/>
      <c r="I119" s="581"/>
      <c r="J119" s="581"/>
      <c r="K119" s="581"/>
    </row>
    <row r="120" spans="1:11" ht="22.5">
      <c r="A120" s="167" t="s">
        <v>118</v>
      </c>
      <c r="B120" s="589" t="s">
        <v>119</v>
      </c>
      <c r="C120" s="589"/>
      <c r="D120" s="589"/>
      <c r="E120" s="589"/>
      <c r="F120" s="589"/>
      <c r="G120" s="589"/>
      <c r="H120" s="589"/>
      <c r="I120" s="589"/>
      <c r="J120" s="589"/>
      <c r="K120" s="589"/>
    </row>
    <row r="121" spans="1:11" ht="22.5">
      <c r="A121" s="167" t="s">
        <v>125</v>
      </c>
      <c r="B121" s="589" t="s">
        <v>126</v>
      </c>
      <c r="C121" s="589"/>
      <c r="D121" s="589"/>
      <c r="E121" s="589"/>
      <c r="F121" s="589"/>
      <c r="G121" s="589"/>
      <c r="H121" s="589"/>
      <c r="I121" s="589"/>
      <c r="J121" s="589"/>
      <c r="K121" s="589"/>
    </row>
    <row r="122" spans="1:11" ht="22.5">
      <c r="A122" s="220" t="s">
        <v>120</v>
      </c>
      <c r="B122" s="220">
        <f>C122+F122+I122</f>
        <v>6385688.0000000009</v>
      </c>
      <c r="C122" s="169">
        <f>D122+E122</f>
        <v>2947900.0000000005</v>
      </c>
      <c r="D122" s="169">
        <f>('Додаток 3'!I68+'Додаток 3'!I127)*1000</f>
        <v>2947900.0000000005</v>
      </c>
      <c r="E122" s="220"/>
      <c r="F122" s="169">
        <f>G122+H122</f>
        <v>1659800.0000000002</v>
      </c>
      <c r="G122" s="169">
        <f>('Додаток 3'!J127+'Додаток 3'!J68)*1000</f>
        <v>1659800.0000000002</v>
      </c>
      <c r="H122" s="169"/>
      <c r="I122" s="169">
        <f>J122+K122</f>
        <v>1777987.9999999998</v>
      </c>
      <c r="J122" s="169">
        <f>('Додаток 3'!K68+'Додаток 3'!K127)*1000</f>
        <v>1777987.9999999998</v>
      </c>
      <c r="K122" s="169"/>
    </row>
    <row r="123" spans="1:11" ht="23.25">
      <c r="A123" s="220" t="s">
        <v>122</v>
      </c>
      <c r="B123" s="42"/>
      <c r="C123" s="40"/>
      <c r="D123" s="40"/>
      <c r="E123" s="40"/>
      <c r="F123" s="40"/>
      <c r="G123" s="40"/>
      <c r="H123" s="40"/>
      <c r="I123" s="40"/>
      <c r="J123" s="40"/>
      <c r="K123" s="39"/>
    </row>
    <row r="124" spans="1:11" ht="23.25">
      <c r="A124" s="53" t="s">
        <v>130</v>
      </c>
      <c r="B124" s="42"/>
      <c r="C124" s="40">
        <v>46</v>
      </c>
      <c r="D124" s="40">
        <v>46</v>
      </c>
      <c r="E124" s="40"/>
      <c r="F124" s="40">
        <f>20+3</f>
        <v>23</v>
      </c>
      <c r="G124" s="40">
        <f>20+3</f>
        <v>23</v>
      </c>
      <c r="H124" s="40"/>
      <c r="I124" s="40">
        <v>23</v>
      </c>
      <c r="J124" s="40">
        <v>23</v>
      </c>
      <c r="K124" s="39"/>
    </row>
    <row r="125" spans="1:11" ht="23.25">
      <c r="A125" s="220" t="s">
        <v>123</v>
      </c>
      <c r="B125" s="42"/>
      <c r="C125" s="40"/>
      <c r="D125" s="40"/>
      <c r="E125" s="40"/>
      <c r="F125" s="40"/>
      <c r="G125" s="40"/>
      <c r="H125" s="40"/>
      <c r="I125" s="40"/>
      <c r="J125" s="40"/>
      <c r="K125" s="39"/>
    </row>
    <row r="126" spans="1:11" ht="45.75" customHeight="1">
      <c r="A126" s="53" t="s">
        <v>359</v>
      </c>
      <c r="B126" s="42"/>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115</v>
      </c>
      <c r="B127" s="581" t="s">
        <v>286</v>
      </c>
      <c r="C127" s="581"/>
      <c r="D127" s="581"/>
      <c r="E127" s="581"/>
      <c r="F127" s="581"/>
      <c r="G127" s="581"/>
      <c r="H127" s="581"/>
      <c r="I127" s="581"/>
      <c r="J127" s="581"/>
      <c r="K127" s="581"/>
    </row>
    <row r="128" spans="1:11" ht="22.5" customHeight="1">
      <c r="A128" s="167" t="s">
        <v>147</v>
      </c>
      <c r="B128" s="577" t="s">
        <v>164</v>
      </c>
      <c r="C128" s="578"/>
      <c r="D128" s="578"/>
      <c r="E128" s="578"/>
      <c r="F128" s="578"/>
      <c r="G128" s="578"/>
      <c r="H128" s="578"/>
      <c r="I128" s="578"/>
      <c r="J128" s="578"/>
      <c r="K128" s="579"/>
    </row>
    <row r="129" spans="1:11" ht="22.5">
      <c r="A129" s="220" t="s">
        <v>120</v>
      </c>
      <c r="B129" s="220">
        <f>C129+F129+I129</f>
        <v>5834000</v>
      </c>
      <c r="C129" s="220">
        <f>D129+E129</f>
        <v>1700000</v>
      </c>
      <c r="D129" s="220">
        <f>'Додаток 3'!I74*1000</f>
        <v>1700000</v>
      </c>
      <c r="E129" s="169"/>
      <c r="F129" s="169">
        <f>G129+H129</f>
        <v>2000000</v>
      </c>
      <c r="G129" s="169">
        <f>'Додаток 3'!J74*1000</f>
        <v>2000000</v>
      </c>
      <c r="H129" s="169"/>
      <c r="I129" s="169">
        <f>J129+K129</f>
        <v>2134000</v>
      </c>
      <c r="J129" s="169">
        <f>'Додаток 3'!K74*1000</f>
        <v>2134000</v>
      </c>
      <c r="K129" s="169"/>
    </row>
    <row r="130" spans="1:11" ht="23.25">
      <c r="A130" s="220" t="s">
        <v>122</v>
      </c>
      <c r="B130" s="42"/>
      <c r="C130" s="40"/>
      <c r="D130" s="40"/>
      <c r="E130" s="40"/>
      <c r="F130" s="40"/>
      <c r="G130" s="40"/>
      <c r="H130" s="40"/>
      <c r="I130" s="40"/>
      <c r="J130" s="40"/>
      <c r="K130" s="39"/>
    </row>
    <row r="131" spans="1:11" ht="80.25" customHeight="1">
      <c r="A131" s="53" t="s">
        <v>439</v>
      </c>
      <c r="B131" s="42"/>
      <c r="C131" s="40">
        <v>6217</v>
      </c>
      <c r="D131" s="40">
        <v>6217</v>
      </c>
      <c r="E131" s="40"/>
      <c r="F131" s="40">
        <v>6601</v>
      </c>
      <c r="G131" s="40">
        <v>6601</v>
      </c>
      <c r="H131" s="40"/>
      <c r="I131" s="40">
        <v>6217</v>
      </c>
      <c r="J131" s="40">
        <v>6217</v>
      </c>
      <c r="K131" s="39"/>
    </row>
    <row r="132" spans="1:11" ht="23.25">
      <c r="A132" s="220" t="s">
        <v>123</v>
      </c>
      <c r="B132" s="42"/>
      <c r="C132" s="40"/>
      <c r="D132" s="40"/>
      <c r="E132" s="40"/>
      <c r="F132" s="40"/>
      <c r="G132" s="40"/>
      <c r="H132" s="40"/>
      <c r="I132" s="40"/>
      <c r="J132" s="40"/>
      <c r="K132" s="39"/>
    </row>
    <row r="133" spans="1:11" ht="48.75" customHeight="1">
      <c r="A133" s="53" t="s">
        <v>360</v>
      </c>
      <c r="B133" s="42"/>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115</v>
      </c>
      <c r="B134" s="594" t="s">
        <v>410</v>
      </c>
      <c r="C134" s="594"/>
      <c r="D134" s="594"/>
      <c r="E134" s="594"/>
      <c r="F134" s="594"/>
      <c r="G134" s="594"/>
      <c r="H134" s="594"/>
      <c r="I134" s="594"/>
      <c r="J134" s="594"/>
      <c r="K134" s="594"/>
    </row>
    <row r="135" spans="1:11" ht="20.25" customHeight="1">
      <c r="A135" s="167" t="s">
        <v>394</v>
      </c>
      <c r="B135" s="577" t="s">
        <v>395</v>
      </c>
      <c r="C135" s="578"/>
      <c r="D135" s="578"/>
      <c r="E135" s="578"/>
      <c r="F135" s="578"/>
      <c r="G135" s="578"/>
      <c r="H135" s="578"/>
      <c r="I135" s="578"/>
      <c r="J135" s="578"/>
      <c r="K135" s="579"/>
    </row>
    <row r="136" spans="1:11" ht="22.5">
      <c r="A136" s="220" t="s">
        <v>120</v>
      </c>
      <c r="B136" s="38">
        <f>C136+F136+I136</f>
        <v>3090000</v>
      </c>
      <c r="C136" s="39">
        <f>D136+E136</f>
        <v>3000000</v>
      </c>
      <c r="D136" s="39">
        <f>'Додаток 3'!I75*1000</f>
        <v>3000000</v>
      </c>
      <c r="E136" s="39">
        <v>0</v>
      </c>
      <c r="F136" s="39">
        <f>G136+H136</f>
        <v>90000</v>
      </c>
      <c r="G136" s="39">
        <f>'Додаток 3'!J76*1000</f>
        <v>90000</v>
      </c>
      <c r="H136" s="39">
        <v>0</v>
      </c>
      <c r="I136" s="39">
        <f>J136+K136</f>
        <v>0</v>
      </c>
      <c r="J136" s="39">
        <v>0</v>
      </c>
      <c r="K136" s="39">
        <v>0</v>
      </c>
    </row>
    <row r="137" spans="1:11" ht="23.25">
      <c r="A137" s="220" t="s">
        <v>353</v>
      </c>
      <c r="B137" s="38"/>
      <c r="C137" s="40">
        <v>1</v>
      </c>
      <c r="D137" s="40">
        <v>1</v>
      </c>
      <c r="E137" s="39"/>
      <c r="F137" s="40">
        <v>1</v>
      </c>
      <c r="G137" s="40">
        <v>1</v>
      </c>
      <c r="H137" s="40"/>
      <c r="I137" s="40"/>
      <c r="J137" s="39"/>
      <c r="K137" s="39"/>
    </row>
    <row r="138" spans="1:11" ht="46.5">
      <c r="A138" s="220" t="s">
        <v>358</v>
      </c>
      <c r="B138" s="42"/>
      <c r="C138" s="40">
        <f>C136/C137/3</f>
        <v>1000000</v>
      </c>
      <c r="D138" s="40">
        <f>D136/D137/3</f>
        <v>1000000</v>
      </c>
      <c r="E138" s="40"/>
      <c r="F138" s="40">
        <f>F136/F137/3</f>
        <v>30000</v>
      </c>
      <c r="G138" s="40">
        <f>G136/G137/3</f>
        <v>30000</v>
      </c>
      <c r="H138" s="40"/>
      <c r="I138" s="40"/>
      <c r="J138" s="40"/>
      <c r="K138" s="39"/>
    </row>
    <row r="139" spans="1:11" ht="23.25">
      <c r="A139" s="52" t="s">
        <v>115</v>
      </c>
      <c r="B139" s="581" t="s">
        <v>444</v>
      </c>
      <c r="C139" s="581"/>
      <c r="D139" s="581"/>
      <c r="E139" s="581"/>
      <c r="F139" s="581"/>
      <c r="G139" s="581"/>
      <c r="H139" s="581"/>
      <c r="I139" s="581"/>
      <c r="J139" s="581"/>
      <c r="K139" s="581"/>
    </row>
    <row r="140" spans="1:11" ht="22.5">
      <c r="A140" s="167" t="s">
        <v>118</v>
      </c>
      <c r="B140" s="589" t="s">
        <v>440</v>
      </c>
      <c r="C140" s="589"/>
      <c r="D140" s="589"/>
      <c r="E140" s="589"/>
      <c r="F140" s="589"/>
      <c r="G140" s="589"/>
      <c r="H140" s="589"/>
      <c r="I140" s="589"/>
      <c r="J140" s="589"/>
      <c r="K140" s="589"/>
    </row>
    <row r="141" spans="1:11" ht="22.5">
      <c r="A141" s="167" t="s">
        <v>147</v>
      </c>
      <c r="B141" s="577" t="s">
        <v>441</v>
      </c>
      <c r="C141" s="578"/>
      <c r="D141" s="578"/>
      <c r="E141" s="578"/>
      <c r="F141" s="578"/>
      <c r="G141" s="578"/>
      <c r="H141" s="578"/>
      <c r="I141" s="578"/>
      <c r="J141" s="578"/>
      <c r="K141" s="579"/>
    </row>
    <row r="142" spans="1:11" ht="22.5">
      <c r="A142" s="220" t="s">
        <v>120</v>
      </c>
      <c r="B142" s="219">
        <f>C142+F142+I142</f>
        <v>2173500</v>
      </c>
      <c r="C142" s="219">
        <f>D142+E142</f>
        <v>1867700</v>
      </c>
      <c r="D142" s="219">
        <f>'Додаток 3'!I77*1000</f>
        <v>1867700</v>
      </c>
      <c r="E142" s="219"/>
      <c r="F142" s="219">
        <f>G142+H142</f>
        <v>305800</v>
      </c>
      <c r="G142" s="219">
        <f>'Додаток 3'!J77*1000</f>
        <v>305800</v>
      </c>
      <c r="H142" s="219"/>
      <c r="I142" s="219">
        <f>J142+K142</f>
        <v>0</v>
      </c>
      <c r="J142" s="219">
        <f>'Додаток 3'!K77*1000</f>
        <v>0</v>
      </c>
      <c r="K142" s="171"/>
    </row>
    <row r="143" spans="1:11" ht="50.25" customHeight="1">
      <c r="A143" s="51" t="s">
        <v>375</v>
      </c>
      <c r="B143" s="42"/>
      <c r="C143" s="40">
        <v>44900</v>
      </c>
      <c r="D143" s="40">
        <v>44900</v>
      </c>
      <c r="E143" s="40"/>
      <c r="F143" s="40">
        <v>40000</v>
      </c>
      <c r="G143" s="40">
        <v>40000</v>
      </c>
      <c r="H143" s="40"/>
      <c r="I143" s="40"/>
      <c r="J143" s="40"/>
      <c r="K143" s="39"/>
    </row>
    <row r="144" spans="1:11" ht="23.25">
      <c r="A144" s="51" t="s">
        <v>151</v>
      </c>
      <c r="B144" s="42"/>
      <c r="C144" s="40">
        <v>335300</v>
      </c>
      <c r="D144" s="40">
        <v>335300</v>
      </c>
      <c r="E144" s="40"/>
      <c r="F144" s="40">
        <v>243800</v>
      </c>
      <c r="G144" s="40">
        <v>243800</v>
      </c>
      <c r="H144" s="40"/>
      <c r="I144" s="40"/>
      <c r="J144" s="40"/>
      <c r="K144" s="39"/>
    </row>
    <row r="145" spans="1:11" ht="23.25">
      <c r="A145" s="220" t="s">
        <v>122</v>
      </c>
      <c r="B145" s="42"/>
      <c r="C145" s="40"/>
      <c r="D145" s="40"/>
      <c r="E145" s="40"/>
      <c r="F145" s="40"/>
      <c r="G145" s="40"/>
      <c r="H145" s="40"/>
      <c r="I145" s="40"/>
      <c r="J145" s="40"/>
      <c r="K145" s="39"/>
    </row>
    <row r="146" spans="1:11" ht="45.75" customHeight="1">
      <c r="A146" s="172" t="s">
        <v>374</v>
      </c>
      <c r="B146" s="42"/>
      <c r="C146" s="40">
        <v>8</v>
      </c>
      <c r="D146" s="40">
        <v>8</v>
      </c>
      <c r="E146" s="40"/>
      <c r="F146" s="40">
        <v>7</v>
      </c>
      <c r="G146" s="40">
        <v>7</v>
      </c>
      <c r="H146" s="40"/>
      <c r="I146" s="40"/>
      <c r="J146" s="40"/>
      <c r="K146" s="39"/>
    </row>
    <row r="147" spans="1:11" ht="23.25">
      <c r="A147" s="172" t="s">
        <v>152</v>
      </c>
      <c r="B147" s="42"/>
      <c r="C147" s="40">
        <v>100</v>
      </c>
      <c r="D147" s="40">
        <v>100</v>
      </c>
      <c r="E147" s="40"/>
      <c r="F147" s="40">
        <v>26</v>
      </c>
      <c r="G147" s="40">
        <v>26</v>
      </c>
      <c r="H147" s="40"/>
      <c r="I147" s="40"/>
      <c r="J147" s="40"/>
      <c r="K147" s="39"/>
    </row>
    <row r="148" spans="1:11" ht="23.25">
      <c r="A148" s="220" t="s">
        <v>123</v>
      </c>
      <c r="B148" s="42"/>
      <c r="C148" s="40"/>
      <c r="D148" s="40"/>
      <c r="E148" s="40"/>
      <c r="F148" s="40"/>
      <c r="G148" s="40"/>
      <c r="H148" s="40"/>
      <c r="I148" s="40"/>
      <c r="J148" s="40"/>
      <c r="K148" s="39"/>
    </row>
    <row r="149" spans="1:11" ht="47.25" customHeight="1">
      <c r="A149" s="173" t="s">
        <v>377</v>
      </c>
      <c r="B149" s="42"/>
      <c r="C149" s="40">
        <f>C143/C146/12</f>
        <v>467.70833333333331</v>
      </c>
      <c r="D149" s="40">
        <f>D143/D146/12</f>
        <v>467.70833333333331</v>
      </c>
      <c r="E149" s="40"/>
      <c r="F149" s="40">
        <v>7838</v>
      </c>
      <c r="G149" s="40">
        <v>7838</v>
      </c>
      <c r="H149" s="40"/>
      <c r="I149" s="40"/>
      <c r="J149" s="40"/>
      <c r="K149" s="39"/>
    </row>
    <row r="150" spans="1:11" ht="46.5">
      <c r="A150" s="173" t="s">
        <v>376</v>
      </c>
      <c r="B150" s="42"/>
      <c r="C150" s="40">
        <f>C144/C147/12</f>
        <v>279.41666666666669</v>
      </c>
      <c r="D150" s="40">
        <f>D144/D147/12</f>
        <v>279.41666666666669</v>
      </c>
      <c r="E150" s="40"/>
      <c r="F150" s="40">
        <v>5714</v>
      </c>
      <c r="G150" s="40">
        <v>5714</v>
      </c>
      <c r="H150" s="40"/>
      <c r="I150" s="40"/>
      <c r="J150" s="40"/>
      <c r="K150" s="39"/>
    </row>
    <row r="151" spans="1:11" ht="46.5">
      <c r="A151" s="173" t="s">
        <v>288</v>
      </c>
      <c r="B151" s="42"/>
      <c r="C151" s="40">
        <f>C142/12</f>
        <v>155641.66666666666</v>
      </c>
      <c r="D151" s="40">
        <f>D142/12</f>
        <v>155641.66666666666</v>
      </c>
      <c r="E151" s="40"/>
      <c r="F151" s="40">
        <v>142500</v>
      </c>
      <c r="G151" s="40">
        <v>142500</v>
      </c>
      <c r="H151" s="40"/>
      <c r="I151" s="40">
        <f>I142/12</f>
        <v>0</v>
      </c>
      <c r="J151" s="40"/>
      <c r="K151" s="39"/>
    </row>
    <row r="152" spans="1:11" ht="23.25">
      <c r="A152" s="52" t="s">
        <v>115</v>
      </c>
      <c r="B152" s="581" t="s">
        <v>287</v>
      </c>
      <c r="C152" s="581"/>
      <c r="D152" s="581"/>
      <c r="E152" s="581"/>
      <c r="F152" s="581"/>
      <c r="G152" s="581"/>
      <c r="H152" s="581"/>
      <c r="I152" s="581"/>
      <c r="J152" s="581"/>
      <c r="K152" s="581"/>
    </row>
    <row r="153" spans="1:11" ht="22.5">
      <c r="A153" s="167" t="s">
        <v>118</v>
      </c>
      <c r="B153" s="589" t="s">
        <v>119</v>
      </c>
      <c r="C153" s="589"/>
      <c r="D153" s="589"/>
      <c r="E153" s="589"/>
      <c r="F153" s="589"/>
      <c r="G153" s="589"/>
      <c r="H153" s="589"/>
      <c r="I153" s="589"/>
      <c r="J153" s="589"/>
      <c r="K153" s="589"/>
    </row>
    <row r="154" spans="1:11" ht="22.5">
      <c r="A154" s="220" t="s">
        <v>120</v>
      </c>
      <c r="B154" s="219">
        <f>C154+F154+I154</f>
        <v>3716540</v>
      </c>
      <c r="C154" s="219">
        <f>D154+E154</f>
        <v>946270</v>
      </c>
      <c r="D154" s="219">
        <f>'Додаток 3'!I78*1000</f>
        <v>946270</v>
      </c>
      <c r="E154" s="219"/>
      <c r="F154" s="219">
        <f>G154+H154</f>
        <v>1337300</v>
      </c>
      <c r="G154" s="219">
        <f>'Додаток 3'!J78*1000</f>
        <v>1337300</v>
      </c>
      <c r="H154" s="219"/>
      <c r="I154" s="219">
        <f>J154+K154</f>
        <v>1432970</v>
      </c>
      <c r="J154" s="219">
        <f>'Додаток 3'!K78*1000</f>
        <v>1432970</v>
      </c>
      <c r="K154" s="171"/>
    </row>
    <row r="155" spans="1:11" ht="23.25">
      <c r="A155" s="174" t="s">
        <v>153</v>
      </c>
      <c r="B155" s="42"/>
      <c r="C155" s="193">
        <v>8.25</v>
      </c>
      <c r="D155" s="193">
        <v>8.25</v>
      </c>
      <c r="E155" s="40"/>
      <c r="F155" s="193">
        <v>8.25</v>
      </c>
      <c r="G155" s="193">
        <v>8.25</v>
      </c>
      <c r="H155" s="40"/>
      <c r="I155" s="193">
        <v>8.25</v>
      </c>
      <c r="J155" s="193">
        <v>8.25</v>
      </c>
      <c r="K155" s="39"/>
    </row>
    <row r="156" spans="1:11" ht="23.25">
      <c r="A156" s="176" t="s">
        <v>154</v>
      </c>
      <c r="B156" s="42"/>
      <c r="C156" s="193">
        <v>2.75</v>
      </c>
      <c r="D156" s="193">
        <v>2.75</v>
      </c>
      <c r="E156" s="40"/>
      <c r="F156" s="193">
        <v>2.75</v>
      </c>
      <c r="G156" s="193">
        <v>2.75</v>
      </c>
      <c r="H156" s="40"/>
      <c r="I156" s="193">
        <v>2.75</v>
      </c>
      <c r="J156" s="193">
        <v>2.75</v>
      </c>
      <c r="K156" s="39"/>
    </row>
    <row r="157" spans="1:11" ht="23.25">
      <c r="A157" s="220" t="s">
        <v>122</v>
      </c>
      <c r="B157" s="42"/>
      <c r="C157" s="40"/>
      <c r="D157" s="40"/>
      <c r="E157" s="40"/>
      <c r="F157" s="40"/>
      <c r="G157" s="40"/>
      <c r="H157" s="40"/>
      <c r="I157" s="40"/>
      <c r="J157" s="40"/>
      <c r="K157" s="39"/>
    </row>
    <row r="158" spans="1:11" ht="23.25">
      <c r="A158" s="172" t="s">
        <v>155</v>
      </c>
      <c r="B158" s="42"/>
      <c r="C158" s="53">
        <v>2915</v>
      </c>
      <c r="D158" s="53">
        <v>2915</v>
      </c>
      <c r="E158" s="53"/>
      <c r="F158" s="53">
        <v>3148</v>
      </c>
      <c r="G158" s="53">
        <v>3148</v>
      </c>
      <c r="H158" s="53"/>
      <c r="I158" s="53">
        <v>3148</v>
      </c>
      <c r="J158" s="53">
        <v>3148</v>
      </c>
      <c r="K158" s="39"/>
    </row>
    <row r="159" spans="1:11" ht="23.25">
      <c r="A159" s="220" t="s">
        <v>123</v>
      </c>
      <c r="B159" s="42"/>
      <c r="C159" s="40"/>
      <c r="D159" s="40"/>
      <c r="E159" s="40"/>
      <c r="F159" s="40"/>
      <c r="G159" s="40"/>
      <c r="H159" s="40"/>
      <c r="I159" s="40"/>
      <c r="J159" s="40"/>
      <c r="K159" s="39"/>
    </row>
    <row r="160" spans="1:11" ht="46.5">
      <c r="A160" s="54" t="s">
        <v>156</v>
      </c>
      <c r="B160" s="42"/>
      <c r="C160" s="175">
        <f>C158/C156</f>
        <v>1060</v>
      </c>
      <c r="D160" s="175">
        <f>D158/D156</f>
        <v>1060</v>
      </c>
      <c r="E160" s="175"/>
      <c r="F160" s="175">
        <f>F158/F156</f>
        <v>1144.7272727272727</v>
      </c>
      <c r="G160" s="175">
        <f>G158/G156</f>
        <v>1144.7272727272727</v>
      </c>
      <c r="H160" s="175"/>
      <c r="I160" s="175">
        <f>I158/I156</f>
        <v>1144.7272727272727</v>
      </c>
      <c r="J160" s="175">
        <f>J158/J156</f>
        <v>1144.7272727272727</v>
      </c>
      <c r="K160" s="39"/>
    </row>
    <row r="161" spans="1:11" ht="46.5">
      <c r="A161" s="173" t="s">
        <v>289</v>
      </c>
      <c r="B161" s="42"/>
      <c r="C161" s="175">
        <f>C154/12</f>
        <v>78855.833333333328</v>
      </c>
      <c r="D161" s="175">
        <f>D154/12</f>
        <v>78855.833333333328</v>
      </c>
      <c r="E161" s="175"/>
      <c r="F161" s="175">
        <f>F154/12</f>
        <v>111441.66666666667</v>
      </c>
      <c r="G161" s="175">
        <f>G154/12</f>
        <v>111441.66666666667</v>
      </c>
      <c r="H161" s="175"/>
      <c r="I161" s="175">
        <f>I154/12</f>
        <v>119414.16666666667</v>
      </c>
      <c r="J161" s="175">
        <f>J154/12</f>
        <v>119414.16666666667</v>
      </c>
      <c r="K161" s="39"/>
    </row>
    <row r="162" spans="1:11" ht="23.25">
      <c r="A162" s="52" t="s">
        <v>115</v>
      </c>
      <c r="B162" s="581" t="s">
        <v>290</v>
      </c>
      <c r="C162" s="581"/>
      <c r="D162" s="581"/>
      <c r="E162" s="581"/>
      <c r="F162" s="581"/>
      <c r="G162" s="581"/>
      <c r="H162" s="581"/>
      <c r="I162" s="581"/>
      <c r="J162" s="581"/>
      <c r="K162" s="581"/>
    </row>
    <row r="163" spans="1:11" ht="22.5">
      <c r="A163" s="167" t="s">
        <v>118</v>
      </c>
      <c r="B163" s="589" t="s">
        <v>119</v>
      </c>
      <c r="C163" s="589"/>
      <c r="D163" s="589"/>
      <c r="E163" s="589"/>
      <c r="F163" s="589"/>
      <c r="G163" s="589"/>
      <c r="H163" s="589"/>
      <c r="I163" s="589"/>
      <c r="J163" s="589"/>
      <c r="K163" s="589"/>
    </row>
    <row r="164" spans="1:11" ht="22.5">
      <c r="A164" s="220" t="s">
        <v>120</v>
      </c>
      <c r="B164" s="219">
        <f>C164+F164+I164</f>
        <v>6073800</v>
      </c>
      <c r="C164" s="219">
        <f>D164+E164</f>
        <v>1217800</v>
      </c>
      <c r="D164" s="219">
        <f>'Додаток 3'!I79*1000</f>
        <v>1217800</v>
      </c>
      <c r="E164" s="219"/>
      <c r="F164" s="219">
        <f>G164+H164</f>
        <v>2344000</v>
      </c>
      <c r="G164" s="219">
        <f>'Додаток 3'!J79*1000</f>
        <v>2344000</v>
      </c>
      <c r="H164" s="219"/>
      <c r="I164" s="219">
        <f>J164+K164</f>
        <v>2512000</v>
      </c>
      <c r="J164" s="219">
        <f>'Додаток 3'!K79*1000</f>
        <v>2512000</v>
      </c>
      <c r="K164" s="219"/>
    </row>
    <row r="165" spans="1:11" ht="23.25">
      <c r="A165" s="220" t="s">
        <v>122</v>
      </c>
      <c r="B165" s="42"/>
      <c r="C165" s="40"/>
      <c r="D165" s="41"/>
      <c r="E165" s="40"/>
      <c r="F165" s="175"/>
      <c r="G165" s="175"/>
      <c r="H165" s="175"/>
      <c r="I165" s="175"/>
      <c r="J165" s="40"/>
      <c r="K165" s="39"/>
    </row>
    <row r="166" spans="1:11" ht="23.25">
      <c r="A166" s="172" t="s">
        <v>157</v>
      </c>
      <c r="B166" s="42"/>
      <c r="C166" s="53">
        <v>600</v>
      </c>
      <c r="D166" s="53">
        <v>600</v>
      </c>
      <c r="E166" s="40"/>
      <c r="F166" s="175">
        <f>G166</f>
        <v>607</v>
      </c>
      <c r="G166" s="175">
        <v>607</v>
      </c>
      <c r="H166" s="175"/>
      <c r="I166" s="175">
        <f>J166</f>
        <v>607</v>
      </c>
      <c r="J166" s="40">
        <v>607</v>
      </c>
      <c r="K166" s="39"/>
    </row>
    <row r="167" spans="1:11" ht="23.25">
      <c r="A167" s="220" t="s">
        <v>123</v>
      </c>
      <c r="B167" s="42"/>
      <c r="C167" s="40"/>
      <c r="D167" s="40"/>
      <c r="E167" s="40"/>
      <c r="F167" s="40"/>
      <c r="G167" s="40"/>
      <c r="H167" s="40"/>
      <c r="I167" s="40"/>
      <c r="J167" s="40"/>
      <c r="K167" s="39"/>
    </row>
    <row r="168" spans="1:11" ht="23.25">
      <c r="A168" s="177" t="s">
        <v>158</v>
      </c>
      <c r="B168" s="42"/>
      <c r="C168" s="175">
        <f>C164/C166</f>
        <v>2029.6666666666667</v>
      </c>
      <c r="D168" s="175">
        <f>D164/D166</f>
        <v>2029.6666666666667</v>
      </c>
      <c r="E168" s="175"/>
      <c r="F168" s="175">
        <f>F164/F166</f>
        <v>3861.6144975288303</v>
      </c>
      <c r="G168" s="175">
        <f>G164/G166</f>
        <v>3861.6144975288303</v>
      </c>
      <c r="H168" s="175"/>
      <c r="I168" s="175">
        <f>I164/I166</f>
        <v>4138.3855024711693</v>
      </c>
      <c r="J168" s="40">
        <f>J164/J166</f>
        <v>4138.3855024711693</v>
      </c>
      <c r="K168" s="39"/>
    </row>
    <row r="169" spans="1:11" ht="23.25">
      <c r="A169" s="52" t="s">
        <v>115</v>
      </c>
      <c r="B169" s="595" t="s">
        <v>420</v>
      </c>
      <c r="C169" s="596"/>
      <c r="D169" s="596"/>
      <c r="E169" s="596"/>
      <c r="F169" s="596"/>
      <c r="G169" s="596"/>
      <c r="H169" s="596"/>
      <c r="I169" s="596"/>
      <c r="J169" s="596"/>
      <c r="K169" s="597"/>
    </row>
    <row r="170" spans="1:11" ht="22.5">
      <c r="A170" s="167" t="s">
        <v>118</v>
      </c>
      <c r="B170" s="589" t="s">
        <v>119</v>
      </c>
      <c r="C170" s="589"/>
      <c r="D170" s="589"/>
      <c r="E170" s="589"/>
      <c r="F170" s="589"/>
      <c r="G170" s="589"/>
      <c r="H170" s="589"/>
      <c r="I170" s="589"/>
      <c r="J170" s="589"/>
      <c r="K170" s="589"/>
    </row>
    <row r="171" spans="1:11" ht="23.25">
      <c r="A171" s="177"/>
      <c r="B171" s="42">
        <f>C171+F171+I171</f>
        <v>1000000</v>
      </c>
      <c r="C171" s="175"/>
      <c r="D171" s="175"/>
      <c r="E171" s="175"/>
      <c r="F171" s="175">
        <f>G171</f>
        <v>1000000</v>
      </c>
      <c r="G171" s="175">
        <v>1000000</v>
      </c>
      <c r="H171" s="175"/>
      <c r="I171" s="175"/>
      <c r="J171" s="40"/>
      <c r="K171" s="39"/>
    </row>
    <row r="172" spans="1:11" ht="23.25">
      <c r="A172" s="187" t="s">
        <v>120</v>
      </c>
      <c r="B172" s="42"/>
      <c r="C172" s="175"/>
      <c r="D172" s="175"/>
      <c r="E172" s="175"/>
      <c r="F172" s="175"/>
      <c r="G172" s="175"/>
      <c r="H172" s="175"/>
      <c r="I172" s="175"/>
      <c r="J172" s="40"/>
      <c r="K172" s="39"/>
    </row>
    <row r="173" spans="1:11" ht="23.25">
      <c r="A173" s="187" t="s">
        <v>122</v>
      </c>
      <c r="B173" s="42"/>
      <c r="C173" s="175"/>
      <c r="D173" s="175"/>
      <c r="E173" s="175"/>
      <c r="F173" s="175"/>
      <c r="G173" s="175"/>
      <c r="H173" s="175"/>
      <c r="I173" s="175"/>
      <c r="J173" s="40"/>
      <c r="K173" s="39"/>
    </row>
    <row r="174" spans="1:11" ht="30.75" customHeight="1">
      <c r="A174" s="194" t="s">
        <v>442</v>
      </c>
      <c r="B174" s="42"/>
      <c r="C174" s="175"/>
      <c r="D174" s="175"/>
      <c r="E174" s="175"/>
      <c r="F174" s="175">
        <f>G174</f>
        <v>600</v>
      </c>
      <c r="G174" s="175">
        <v>600</v>
      </c>
      <c r="H174" s="175"/>
      <c r="I174" s="175"/>
      <c r="J174" s="40"/>
      <c r="K174" s="39"/>
    </row>
    <row r="175" spans="1:11" ht="46.5">
      <c r="A175" s="188" t="s">
        <v>418</v>
      </c>
      <c r="B175" s="42"/>
      <c r="C175" s="175"/>
      <c r="D175" s="175"/>
      <c r="E175" s="175"/>
      <c r="F175" s="175">
        <f>G175</f>
        <v>14</v>
      </c>
      <c r="G175" s="175">
        <v>14</v>
      </c>
      <c r="H175" s="175"/>
      <c r="I175" s="175"/>
      <c r="J175" s="40"/>
      <c r="K175" s="39"/>
    </row>
    <row r="176" spans="1:11" ht="23.25">
      <c r="A176" s="187" t="s">
        <v>123</v>
      </c>
      <c r="B176" s="42"/>
      <c r="C176" s="175"/>
      <c r="D176" s="175"/>
      <c r="E176" s="175"/>
      <c r="F176" s="175"/>
      <c r="G176" s="175"/>
      <c r="H176" s="175"/>
      <c r="I176" s="175"/>
      <c r="J176" s="40"/>
      <c r="K176" s="39"/>
    </row>
    <row r="177" spans="1:11" ht="23.25">
      <c r="A177" s="189" t="s">
        <v>419</v>
      </c>
      <c r="B177" s="42"/>
      <c r="C177" s="175"/>
      <c r="D177" s="175"/>
      <c r="E177" s="175"/>
      <c r="F177" s="175">
        <f>G177</f>
        <v>71428.571428571435</v>
      </c>
      <c r="G177" s="175">
        <f>G171/G175</f>
        <v>71428.571428571435</v>
      </c>
      <c r="H177" s="175"/>
      <c r="I177" s="175"/>
      <c r="J177" s="40"/>
      <c r="K177" s="39"/>
    </row>
    <row r="178" spans="1:11" ht="23.25" customHeight="1">
      <c r="A178" s="52" t="s">
        <v>115</v>
      </c>
      <c r="B178" s="598" t="s">
        <v>421</v>
      </c>
      <c r="C178" s="599"/>
      <c r="D178" s="599"/>
      <c r="E178" s="599"/>
      <c r="F178" s="599"/>
      <c r="G178" s="599"/>
      <c r="H178" s="599"/>
      <c r="I178" s="599"/>
      <c r="J178" s="599"/>
      <c r="K178" s="600"/>
    </row>
    <row r="179" spans="1:11" ht="23.25" customHeight="1">
      <c r="A179" s="167" t="s">
        <v>118</v>
      </c>
      <c r="B179" s="589" t="s">
        <v>119</v>
      </c>
      <c r="C179" s="589"/>
      <c r="D179" s="589"/>
      <c r="E179" s="589"/>
      <c r="F179" s="589"/>
      <c r="G179" s="589"/>
      <c r="H179" s="589"/>
      <c r="I179" s="589"/>
      <c r="J179" s="589"/>
      <c r="K179" s="589"/>
    </row>
    <row r="180" spans="1:11" ht="23.25">
      <c r="A180" s="187" t="s">
        <v>120</v>
      </c>
      <c r="B180" s="42">
        <f>C180+F180+I180</f>
        <v>339900</v>
      </c>
      <c r="C180" s="175"/>
      <c r="D180" s="175"/>
      <c r="E180" s="175"/>
      <c r="F180" s="175">
        <f>G180</f>
        <v>339900</v>
      </c>
      <c r="G180" s="175">
        <f>('Додаток 3'!J86+'Додаток 3'!J87+'Додаток 3'!J88+'Додаток 3'!J89)*1000</f>
        <v>339900</v>
      </c>
      <c r="H180" s="175"/>
      <c r="I180" s="175"/>
      <c r="J180" s="40"/>
      <c r="K180" s="39"/>
    </row>
    <row r="181" spans="1:11" ht="23.25">
      <c r="A181" s="187" t="s">
        <v>122</v>
      </c>
      <c r="B181" s="42"/>
      <c r="C181" s="175"/>
      <c r="D181" s="175"/>
      <c r="E181" s="175"/>
      <c r="F181" s="175"/>
      <c r="G181" s="175"/>
      <c r="H181" s="175"/>
      <c r="I181" s="175"/>
      <c r="J181" s="40"/>
      <c r="K181" s="39"/>
    </row>
    <row r="182" spans="1:11" ht="46.5">
      <c r="A182" s="192" t="s">
        <v>435</v>
      </c>
      <c r="B182" s="42"/>
      <c r="C182" s="175"/>
      <c r="D182" s="175"/>
      <c r="E182" s="175"/>
      <c r="F182" s="175">
        <f t="shared" ref="F182:F185" si="2">G182</f>
        <v>28236</v>
      </c>
      <c r="G182" s="175">
        <v>28236</v>
      </c>
      <c r="H182" s="175"/>
      <c r="I182" s="175"/>
      <c r="J182" s="40"/>
      <c r="K182" s="39"/>
    </row>
    <row r="183" spans="1:11" ht="23.25">
      <c r="A183" s="192" t="s">
        <v>422</v>
      </c>
      <c r="B183" s="42"/>
      <c r="C183" s="175"/>
      <c r="D183" s="175"/>
      <c r="E183" s="175"/>
      <c r="F183" s="175">
        <f t="shared" si="2"/>
        <v>5665</v>
      </c>
      <c r="G183" s="175">
        <v>5665</v>
      </c>
      <c r="H183" s="175"/>
      <c r="I183" s="175"/>
      <c r="J183" s="40"/>
      <c r="K183" s="39"/>
    </row>
    <row r="184" spans="1:11" ht="23.25">
      <c r="A184" s="187" t="s">
        <v>123</v>
      </c>
      <c r="B184" s="42"/>
      <c r="C184" s="175"/>
      <c r="D184" s="175"/>
      <c r="E184" s="175"/>
      <c r="F184" s="175"/>
      <c r="G184" s="175"/>
      <c r="H184" s="175"/>
      <c r="I184" s="175"/>
      <c r="J184" s="40"/>
      <c r="K184" s="39"/>
    </row>
    <row r="185" spans="1:11" ht="46.5">
      <c r="A185" s="196" t="s">
        <v>423</v>
      </c>
      <c r="B185" s="42"/>
      <c r="C185" s="175"/>
      <c r="D185" s="175"/>
      <c r="E185" s="175"/>
      <c r="F185" s="175">
        <f t="shared" si="2"/>
        <v>60</v>
      </c>
      <c r="G185" s="175">
        <f>G180/G183</f>
        <v>60</v>
      </c>
      <c r="H185" s="175"/>
      <c r="I185" s="175"/>
      <c r="J185" s="40"/>
      <c r="K185" s="39"/>
    </row>
    <row r="186" spans="1:11" ht="23.25">
      <c r="A186" s="49" t="s">
        <v>115</v>
      </c>
      <c r="B186" s="594" t="s">
        <v>220</v>
      </c>
      <c r="C186" s="594"/>
      <c r="D186" s="594"/>
      <c r="E186" s="594"/>
      <c r="F186" s="594"/>
      <c r="G186" s="594"/>
      <c r="H186" s="594"/>
      <c r="I186" s="594"/>
      <c r="J186" s="594"/>
      <c r="K186" s="594"/>
    </row>
    <row r="187" spans="1:11" ht="20.25" customHeight="1">
      <c r="A187" s="167" t="s">
        <v>125</v>
      </c>
      <c r="B187" s="589" t="s">
        <v>162</v>
      </c>
      <c r="C187" s="589"/>
      <c r="D187" s="589"/>
      <c r="E187" s="589"/>
      <c r="F187" s="589"/>
      <c r="G187" s="589"/>
      <c r="H187" s="589"/>
      <c r="I187" s="589"/>
      <c r="J187" s="589"/>
      <c r="K187" s="589"/>
    </row>
    <row r="188" spans="1:11" ht="22.5">
      <c r="A188" s="220" t="s">
        <v>120</v>
      </c>
      <c r="B188" s="38">
        <f>C188+F188+I188</f>
        <v>19434970</v>
      </c>
      <c r="C188" s="39">
        <f>D188+E188</f>
        <v>12199200</v>
      </c>
      <c r="D188" s="39">
        <f>('Додаток 3'!I122+'Додаток 3'!I125+'Додаток 3'!I126)*1000</f>
        <v>12199200</v>
      </c>
      <c r="E188" s="39"/>
      <c r="F188" s="39">
        <f>G188+H188</f>
        <v>4012350.0000000005</v>
      </c>
      <c r="G188" s="39">
        <f>('Додаток 3'!J122+'Додаток 3'!J125+'Додаток 3'!J126)*1000</f>
        <v>4012350.0000000005</v>
      </c>
      <c r="H188" s="39"/>
      <c r="I188" s="39">
        <f>J188+K188</f>
        <v>3223420</v>
      </c>
      <c r="J188" s="39">
        <f>('Додаток 3'!K122+'Додаток 3'!K125+'Додаток 3'!K126)*1000</f>
        <v>3223420</v>
      </c>
      <c r="K188" s="39"/>
    </row>
    <row r="189" spans="1:11" ht="23.25">
      <c r="A189" s="220" t="s">
        <v>353</v>
      </c>
      <c r="B189" s="38"/>
      <c r="C189" s="40">
        <v>1</v>
      </c>
      <c r="D189" s="40">
        <v>1</v>
      </c>
      <c r="E189" s="39"/>
      <c r="F189" s="40">
        <v>1</v>
      </c>
      <c r="G189" s="40">
        <v>1</v>
      </c>
      <c r="H189" s="40"/>
      <c r="I189" s="40">
        <v>1</v>
      </c>
      <c r="J189" s="40">
        <v>1</v>
      </c>
      <c r="K189" s="39"/>
    </row>
    <row r="190" spans="1:11" ht="46.5">
      <c r="A190" s="220" t="s">
        <v>358</v>
      </c>
      <c r="B190" s="42"/>
      <c r="C190" s="40">
        <f>C188/C189/12</f>
        <v>1016600</v>
      </c>
      <c r="D190" s="40">
        <f>D188/D189/12</f>
        <v>1016600</v>
      </c>
      <c r="E190" s="40"/>
      <c r="F190" s="40">
        <f>F188/F189/12</f>
        <v>334362.50000000006</v>
      </c>
      <c r="G190" s="40">
        <f>G188/G189/12</f>
        <v>334362.50000000006</v>
      </c>
      <c r="H190" s="40"/>
      <c r="I190" s="40">
        <f>I188/I189/12</f>
        <v>268618.33333333331</v>
      </c>
      <c r="J190" s="40">
        <f>J188/J189/12</f>
        <v>268618.33333333331</v>
      </c>
      <c r="K190" s="39"/>
    </row>
    <row r="191" spans="1:11" ht="23.25">
      <c r="A191" s="52" t="s">
        <v>115</v>
      </c>
      <c r="B191" s="595" t="s">
        <v>433</v>
      </c>
      <c r="C191" s="596"/>
      <c r="D191" s="596"/>
      <c r="E191" s="596"/>
      <c r="F191" s="596"/>
      <c r="G191" s="596"/>
      <c r="H191" s="596"/>
      <c r="I191" s="596"/>
      <c r="J191" s="596"/>
      <c r="K191" s="597"/>
    </row>
    <row r="192" spans="1:11" ht="22.5">
      <c r="A192" s="167" t="s">
        <v>125</v>
      </c>
      <c r="B192" s="589" t="s">
        <v>162</v>
      </c>
      <c r="C192" s="589"/>
      <c r="D192" s="589"/>
      <c r="E192" s="589"/>
      <c r="F192" s="589"/>
      <c r="G192" s="589"/>
      <c r="H192" s="589"/>
      <c r="I192" s="589"/>
      <c r="J192" s="589"/>
      <c r="K192" s="589"/>
    </row>
    <row r="193" spans="1:14" ht="23.25">
      <c r="A193" s="187" t="s">
        <v>120</v>
      </c>
      <c r="B193" s="42">
        <f>C193+F193+I193</f>
        <v>58800</v>
      </c>
      <c r="C193" s="40">
        <f>D193</f>
        <v>0</v>
      </c>
      <c r="D193" s="40"/>
      <c r="E193" s="40"/>
      <c r="F193" s="40">
        <f>G193</f>
        <v>58800</v>
      </c>
      <c r="G193" s="40">
        <f>'Додаток 3'!J128*1000</f>
        <v>58800</v>
      </c>
      <c r="H193" s="40"/>
      <c r="I193" s="40">
        <f>J193</f>
        <v>0</v>
      </c>
      <c r="J193" s="40"/>
      <c r="K193" s="39"/>
    </row>
    <row r="194" spans="1:14" ht="23.25">
      <c r="A194" s="187" t="s">
        <v>122</v>
      </c>
      <c r="B194" s="42"/>
      <c r="C194" s="40"/>
      <c r="D194" s="40"/>
      <c r="E194" s="40"/>
      <c r="F194" s="40"/>
      <c r="G194" s="40"/>
      <c r="H194" s="40"/>
      <c r="I194" s="40"/>
      <c r="J194" s="40"/>
      <c r="K194" s="39"/>
    </row>
    <row r="195" spans="1:14" ht="46.5">
      <c r="A195" s="192" t="s">
        <v>435</v>
      </c>
      <c r="B195" s="42"/>
      <c r="C195" s="40"/>
      <c r="D195" s="40"/>
      <c r="E195" s="40"/>
      <c r="F195" s="40">
        <f t="shared" ref="F195:F198" si="3">G195</f>
        <v>2940</v>
      </c>
      <c r="G195" s="40">
        <v>2940</v>
      </c>
      <c r="H195" s="40"/>
      <c r="I195" s="40"/>
      <c r="J195" s="40"/>
      <c r="K195" s="39"/>
    </row>
    <row r="196" spans="1:14" ht="23.25">
      <c r="A196" s="192" t="s">
        <v>422</v>
      </c>
      <c r="B196" s="42"/>
      <c r="C196" s="40"/>
      <c r="D196" s="40"/>
      <c r="E196" s="40"/>
      <c r="F196" s="40">
        <f t="shared" si="3"/>
        <v>980</v>
      </c>
      <c r="G196" s="40">
        <v>980</v>
      </c>
      <c r="H196" s="40"/>
      <c r="I196" s="40"/>
      <c r="J196" s="40"/>
      <c r="K196" s="39"/>
    </row>
    <row r="197" spans="1:14" ht="23.25">
      <c r="A197" s="187" t="s">
        <v>123</v>
      </c>
      <c r="B197" s="42"/>
      <c r="C197" s="40"/>
      <c r="D197" s="40"/>
      <c r="E197" s="40"/>
      <c r="F197" s="40"/>
      <c r="G197" s="40"/>
      <c r="H197" s="40"/>
      <c r="I197" s="40"/>
      <c r="J197" s="40"/>
      <c r="K197" s="39"/>
    </row>
    <row r="198" spans="1:14" ht="46.5">
      <c r="A198" s="196" t="s">
        <v>423</v>
      </c>
      <c r="B198" s="42"/>
      <c r="C198" s="40"/>
      <c r="D198" s="40"/>
      <c r="E198" s="40"/>
      <c r="F198" s="40">
        <f t="shared" si="3"/>
        <v>60</v>
      </c>
      <c r="G198" s="40">
        <f>G193/G196</f>
        <v>60</v>
      </c>
      <c r="H198" s="40"/>
      <c r="I198" s="40"/>
      <c r="J198" s="40"/>
      <c r="K198" s="39"/>
    </row>
    <row r="199" spans="1:14" ht="23.25">
      <c r="A199" s="49" t="s">
        <v>115</v>
      </c>
      <c r="B199" s="594" t="s">
        <v>260</v>
      </c>
      <c r="C199" s="594"/>
      <c r="D199" s="594"/>
      <c r="E199" s="594"/>
      <c r="F199" s="594"/>
      <c r="G199" s="594"/>
      <c r="H199" s="594"/>
      <c r="I199" s="594"/>
      <c r="J199" s="594"/>
      <c r="K199" s="594"/>
    </row>
    <row r="200" spans="1:14" ht="20.25" customHeight="1">
      <c r="A200" s="167" t="s">
        <v>127</v>
      </c>
      <c r="B200" s="590" t="s">
        <v>128</v>
      </c>
      <c r="C200" s="590"/>
      <c r="D200" s="590"/>
      <c r="E200" s="590"/>
      <c r="F200" s="590"/>
      <c r="G200" s="590"/>
      <c r="H200" s="590"/>
      <c r="I200" s="590"/>
      <c r="J200" s="590"/>
      <c r="K200" s="590"/>
    </row>
    <row r="201" spans="1:14" ht="22.5">
      <c r="A201" s="220" t="s">
        <v>120</v>
      </c>
      <c r="B201" s="38">
        <f>C201+F201+I201</f>
        <v>22515875</v>
      </c>
      <c r="C201" s="220">
        <f>D201+E201</f>
        <v>6738000</v>
      </c>
      <c r="D201" s="220">
        <f>'Додаток 3'!I136*1000</f>
        <v>6738000</v>
      </c>
      <c r="E201" s="220"/>
      <c r="F201" s="220">
        <f>G201</f>
        <v>7708300</v>
      </c>
      <c r="G201" s="220">
        <f>'Додаток 3'!J136*1000</f>
        <v>7708300</v>
      </c>
      <c r="H201" s="220"/>
      <c r="I201" s="220">
        <f>J201</f>
        <v>8069575</v>
      </c>
      <c r="J201" s="220">
        <f>'Додаток 3'!K136*1000</f>
        <v>8069575</v>
      </c>
      <c r="K201" s="220"/>
    </row>
    <row r="202" spans="1:14" ht="23.25">
      <c r="A202" s="220" t="s">
        <v>353</v>
      </c>
      <c r="B202" s="38"/>
      <c r="C202" s="40">
        <v>1</v>
      </c>
      <c r="D202" s="40">
        <v>1</v>
      </c>
      <c r="E202" s="39"/>
      <c r="F202" s="40">
        <f>G202</f>
        <v>1</v>
      </c>
      <c r="G202" s="40">
        <v>1</v>
      </c>
      <c r="H202" s="40"/>
      <c r="I202" s="40">
        <f>J202</f>
        <v>1</v>
      </c>
      <c r="J202" s="39">
        <v>1</v>
      </c>
      <c r="K202" s="39"/>
    </row>
    <row r="203" spans="1:14" ht="46.5">
      <c r="A203" s="220" t="s">
        <v>361</v>
      </c>
      <c r="B203" s="42"/>
      <c r="C203" s="40">
        <f>C201/C202/12</f>
        <v>561500</v>
      </c>
      <c r="D203" s="40">
        <f>D201/D202/12</f>
        <v>561500</v>
      </c>
      <c r="E203" s="40"/>
      <c r="F203" s="40">
        <f>G203</f>
        <v>642358.33333333337</v>
      </c>
      <c r="G203" s="40">
        <f>G201/G202/12</f>
        <v>642358.33333333337</v>
      </c>
      <c r="H203" s="40"/>
      <c r="I203" s="40">
        <f>J203</f>
        <v>672464.58333333337</v>
      </c>
      <c r="J203" s="40">
        <f>J201/J202/12</f>
        <v>672464.58333333337</v>
      </c>
      <c r="K203" s="39"/>
    </row>
    <row r="204" spans="1:14" ht="22.5">
      <c r="A204" s="585" t="s">
        <v>206</v>
      </c>
      <c r="B204" s="585"/>
      <c r="C204" s="585"/>
      <c r="D204" s="585"/>
      <c r="E204" s="585"/>
      <c r="F204" s="585"/>
      <c r="G204" s="585"/>
      <c r="H204" s="585"/>
      <c r="I204" s="585"/>
      <c r="J204" s="585"/>
      <c r="K204" s="585"/>
    </row>
    <row r="205" spans="1:14" ht="22.5">
      <c r="A205" s="48" t="s">
        <v>292</v>
      </c>
      <c r="B205" s="38">
        <f t="shared" ref="B205:K205" si="4">B209+B216+B230+B238+B245+B252+B261+B277+B285</f>
        <v>77498331.299999997</v>
      </c>
      <c r="C205" s="38">
        <f t="shared" si="4"/>
        <v>29168829</v>
      </c>
      <c r="D205" s="38">
        <f t="shared" si="4"/>
        <v>29168829</v>
      </c>
      <c r="E205" s="38">
        <f t="shared" si="4"/>
        <v>0</v>
      </c>
      <c r="F205" s="38">
        <f>F209+F216+F230+F238+F245+F252+F261+F277+F285</f>
        <v>29311300</v>
      </c>
      <c r="G205" s="38">
        <f>G209+G216+G230+G238+G245+G252+G261+G277+G285</f>
        <v>29311300</v>
      </c>
      <c r="H205" s="38">
        <f t="shared" si="4"/>
        <v>0</v>
      </c>
      <c r="I205" s="38">
        <f t="shared" si="4"/>
        <v>19018202.300000001</v>
      </c>
      <c r="J205" s="38">
        <f t="shared" si="4"/>
        <v>19018202.300000001</v>
      </c>
      <c r="K205" s="38">
        <f t="shared" si="4"/>
        <v>0</v>
      </c>
      <c r="M205" s="43">
        <f>C205+F205+I205</f>
        <v>77498331.299999997</v>
      </c>
      <c r="N205" s="43">
        <f>M205-B205</f>
        <v>0</v>
      </c>
    </row>
    <row r="206" spans="1:14" ht="22.5">
      <c r="A206" s="48" t="s">
        <v>117</v>
      </c>
      <c r="B206" s="586"/>
      <c r="C206" s="587"/>
      <c r="D206" s="587"/>
      <c r="E206" s="587"/>
      <c r="F206" s="587"/>
      <c r="G206" s="587"/>
      <c r="H206" s="587"/>
      <c r="I206" s="587"/>
      <c r="J206" s="587"/>
      <c r="K206" s="588"/>
    </row>
    <row r="207" spans="1:14" ht="23.25">
      <c r="A207" s="52" t="s">
        <v>115</v>
      </c>
      <c r="B207" s="581" t="s">
        <v>293</v>
      </c>
      <c r="C207" s="581"/>
      <c r="D207" s="581"/>
      <c r="E207" s="581"/>
      <c r="F207" s="581"/>
      <c r="G207" s="581"/>
      <c r="H207" s="581"/>
      <c r="I207" s="581"/>
      <c r="J207" s="581"/>
      <c r="K207" s="581"/>
    </row>
    <row r="208" spans="1:14" ht="22.5">
      <c r="A208" s="167" t="s">
        <v>147</v>
      </c>
      <c r="B208" s="577" t="s">
        <v>164</v>
      </c>
      <c r="C208" s="578"/>
      <c r="D208" s="578"/>
      <c r="E208" s="578"/>
      <c r="F208" s="578"/>
      <c r="G208" s="578"/>
      <c r="H208" s="578"/>
      <c r="I208" s="578"/>
      <c r="J208" s="578"/>
      <c r="K208" s="579"/>
    </row>
    <row r="209" spans="1:11" ht="22.5">
      <c r="A209" s="220" t="s">
        <v>120</v>
      </c>
      <c r="B209" s="219">
        <f>C209+F209+I209</f>
        <v>16196574.089599997</v>
      </c>
      <c r="C209" s="219">
        <f>D209+E209</f>
        <v>5194000</v>
      </c>
      <c r="D209" s="219">
        <f>'Додаток 3'!I174*1000</f>
        <v>5194000</v>
      </c>
      <c r="E209" s="219"/>
      <c r="F209" s="219">
        <f>G209+H209</f>
        <v>5304409.5999999987</v>
      </c>
      <c r="G209" s="219">
        <f>'Додаток 3'!J174*1000</f>
        <v>5304409.5999999987</v>
      </c>
      <c r="H209" s="219"/>
      <c r="I209" s="219">
        <f>J209+K209</f>
        <v>5698164.4896</v>
      </c>
      <c r="J209" s="219">
        <f>'Додаток 3'!K174*1000</f>
        <v>5698164.4896</v>
      </c>
      <c r="K209" s="178"/>
    </row>
    <row r="210" spans="1:11" ht="23.25">
      <c r="A210" s="220" t="s">
        <v>122</v>
      </c>
      <c r="B210" s="42"/>
      <c r="C210" s="40"/>
      <c r="D210" s="40"/>
      <c r="E210" s="40"/>
      <c r="F210" s="40"/>
      <c r="G210" s="40"/>
      <c r="H210" s="40"/>
      <c r="I210" s="40"/>
      <c r="J210" s="40"/>
      <c r="K210" s="39"/>
    </row>
    <row r="211" spans="1:11" ht="23.25">
      <c r="A211" s="53" t="s">
        <v>163</v>
      </c>
      <c r="B211" s="42"/>
      <c r="C211" s="40">
        <v>51807</v>
      </c>
      <c r="D211" s="40">
        <v>51807</v>
      </c>
      <c r="E211" s="40"/>
      <c r="F211" s="40">
        <f>G211</f>
        <v>46138</v>
      </c>
      <c r="G211" s="40">
        <v>46138</v>
      </c>
      <c r="H211" s="40"/>
      <c r="I211" s="40">
        <v>46138</v>
      </c>
      <c r="J211" s="40">
        <v>46138</v>
      </c>
      <c r="K211" s="39"/>
    </row>
    <row r="212" spans="1:11" ht="23.25">
      <c r="A212" s="220" t="s">
        <v>123</v>
      </c>
      <c r="B212" s="42"/>
      <c r="C212" s="40"/>
      <c r="D212" s="40"/>
      <c r="E212" s="40"/>
      <c r="F212" s="40"/>
      <c r="G212" s="40"/>
      <c r="H212" s="40"/>
      <c r="I212" s="40"/>
      <c r="J212" s="40"/>
      <c r="K212" s="39"/>
    </row>
    <row r="213" spans="1:11" ht="23.25">
      <c r="A213" s="51" t="s">
        <v>294</v>
      </c>
      <c r="B213" s="42"/>
      <c r="C213" s="40">
        <f>C209/C211</f>
        <v>100.25672206458587</v>
      </c>
      <c r="D213" s="40">
        <f>D209/D211</f>
        <v>100.25672206458587</v>
      </c>
      <c r="E213" s="40"/>
      <c r="F213" s="40">
        <f>G213</f>
        <v>114.96834713251548</v>
      </c>
      <c r="G213" s="40">
        <f>G209/G211</f>
        <v>114.96834713251548</v>
      </c>
      <c r="H213" s="40"/>
      <c r="I213" s="40">
        <f>I209/I211</f>
        <v>123.50263317872469</v>
      </c>
      <c r="J213" s="40">
        <f>J209/J211</f>
        <v>123.50263317872469</v>
      </c>
      <c r="K213" s="39"/>
    </row>
    <row r="214" spans="1:11" ht="23.25">
      <c r="A214" s="52" t="s">
        <v>115</v>
      </c>
      <c r="B214" s="581" t="s">
        <v>295</v>
      </c>
      <c r="C214" s="581"/>
      <c r="D214" s="581"/>
      <c r="E214" s="581"/>
      <c r="F214" s="581"/>
      <c r="G214" s="581"/>
      <c r="H214" s="581"/>
      <c r="I214" s="581"/>
      <c r="J214" s="581"/>
      <c r="K214" s="581"/>
    </row>
    <row r="215" spans="1:11" ht="22.5">
      <c r="A215" s="167" t="s">
        <v>147</v>
      </c>
      <c r="B215" s="577" t="s">
        <v>164</v>
      </c>
      <c r="C215" s="578"/>
      <c r="D215" s="578"/>
      <c r="E215" s="578"/>
      <c r="F215" s="578"/>
      <c r="G215" s="578"/>
      <c r="H215" s="578"/>
      <c r="I215" s="578"/>
      <c r="J215" s="578"/>
      <c r="K215" s="579"/>
    </row>
    <row r="216" spans="1:11" ht="22.5">
      <c r="A216" s="220" t="s">
        <v>120</v>
      </c>
      <c r="B216" s="219">
        <f>C216+F216+I216</f>
        <v>2688952.3</v>
      </c>
      <c r="C216" s="219">
        <f>D216+E216</f>
        <v>833400.00000000012</v>
      </c>
      <c r="D216" s="219">
        <f>'Додаток 3'!I178*1000</f>
        <v>833400.00000000012</v>
      </c>
      <c r="E216" s="219"/>
      <c r="F216" s="219">
        <f>G216+H216</f>
        <v>900700</v>
      </c>
      <c r="G216" s="219">
        <f>'Додаток 3'!J178*1000</f>
        <v>900700</v>
      </c>
      <c r="H216" s="219"/>
      <c r="I216" s="219">
        <f>J216+K216</f>
        <v>954852.3</v>
      </c>
      <c r="J216" s="219">
        <f>'Додаток 3'!K178*1000</f>
        <v>954852.3</v>
      </c>
      <c r="K216" s="219"/>
    </row>
    <row r="217" spans="1:11" ht="23.25">
      <c r="A217" s="55" t="s">
        <v>364</v>
      </c>
      <c r="B217" s="219"/>
      <c r="C217" s="168">
        <v>665590</v>
      </c>
      <c r="D217" s="57"/>
      <c r="E217" s="179"/>
      <c r="F217" s="168">
        <v>567300</v>
      </c>
      <c r="G217" s="168">
        <v>567300</v>
      </c>
      <c r="H217" s="179"/>
      <c r="I217" s="168">
        <v>604449</v>
      </c>
      <c r="J217" s="168">
        <v>604449</v>
      </c>
      <c r="K217" s="219"/>
    </row>
    <row r="218" spans="1:11" ht="46.5">
      <c r="A218" s="55" t="s">
        <v>365</v>
      </c>
      <c r="B218" s="219"/>
      <c r="C218" s="168">
        <v>155810</v>
      </c>
      <c r="D218" s="168">
        <v>155810</v>
      </c>
      <c r="E218" s="179"/>
      <c r="F218" s="168">
        <v>300000</v>
      </c>
      <c r="G218" s="168">
        <v>300000</v>
      </c>
      <c r="H218" s="179"/>
      <c r="I218" s="168">
        <f>F218*1.051</f>
        <v>315300</v>
      </c>
      <c r="J218" s="168">
        <f>G218*1.051</f>
        <v>315300</v>
      </c>
      <c r="K218" s="219"/>
    </row>
    <row r="219" spans="1:11" ht="47.25" customHeight="1">
      <c r="A219" s="55" t="s">
        <v>366</v>
      </c>
      <c r="B219" s="219"/>
      <c r="C219" s="168">
        <v>12000</v>
      </c>
      <c r="D219" s="168">
        <v>12000</v>
      </c>
      <c r="E219" s="179"/>
      <c r="F219" s="168">
        <v>33400</v>
      </c>
      <c r="G219" s="168">
        <v>33400</v>
      </c>
      <c r="H219" s="179"/>
      <c r="I219" s="168">
        <f>F219*1.051</f>
        <v>35103.399999999994</v>
      </c>
      <c r="J219" s="168">
        <f>G219*1.051</f>
        <v>35103.399999999994</v>
      </c>
      <c r="K219" s="219"/>
    </row>
    <row r="220" spans="1:11" ht="23.25">
      <c r="A220" s="220" t="s">
        <v>122</v>
      </c>
      <c r="B220" s="42"/>
      <c r="C220" s="40"/>
      <c r="D220" s="40"/>
      <c r="E220" s="40"/>
      <c r="F220" s="40"/>
      <c r="G220" s="40"/>
      <c r="H220" s="40"/>
      <c r="I220" s="40"/>
      <c r="J220" s="40"/>
      <c r="K220" s="39"/>
    </row>
    <row r="221" spans="1:11" ht="23.25">
      <c r="A221" s="55" t="s">
        <v>165</v>
      </c>
      <c r="B221" s="42"/>
      <c r="C221" s="40">
        <v>60100</v>
      </c>
      <c r="D221" s="40">
        <v>60100</v>
      </c>
      <c r="E221" s="40"/>
      <c r="F221" s="40">
        <v>54221</v>
      </c>
      <c r="G221" s="40">
        <v>54221</v>
      </c>
      <c r="H221" s="40"/>
      <c r="I221" s="40">
        <v>60100</v>
      </c>
      <c r="J221" s="40">
        <v>60100</v>
      </c>
      <c r="K221" s="39"/>
    </row>
    <row r="222" spans="1:11" ht="23.25">
      <c r="A222" s="55" t="s">
        <v>166</v>
      </c>
      <c r="B222" s="42"/>
      <c r="C222" s="40">
        <v>2250</v>
      </c>
      <c r="D222" s="40">
        <v>2250</v>
      </c>
      <c r="E222" s="40"/>
      <c r="F222" s="40">
        <v>3281</v>
      </c>
      <c r="G222" s="40">
        <v>3281</v>
      </c>
      <c r="H222" s="40"/>
      <c r="I222" s="40">
        <v>2250</v>
      </c>
      <c r="J222" s="40">
        <v>2250</v>
      </c>
      <c r="K222" s="39"/>
    </row>
    <row r="223" spans="1:11" ht="23.25">
      <c r="A223" s="55" t="s">
        <v>167</v>
      </c>
      <c r="B223" s="42"/>
      <c r="C223" s="40">
        <v>150</v>
      </c>
      <c r="D223" s="40">
        <v>150</v>
      </c>
      <c r="E223" s="40"/>
      <c r="F223" s="40">
        <v>3895</v>
      </c>
      <c r="G223" s="40">
        <v>3895</v>
      </c>
      <c r="H223" s="40"/>
      <c r="I223" s="40">
        <v>3895</v>
      </c>
      <c r="J223" s="40">
        <v>3895</v>
      </c>
      <c r="K223" s="39"/>
    </row>
    <row r="224" spans="1:11" ht="23.25">
      <c r="A224" s="220" t="s">
        <v>123</v>
      </c>
      <c r="B224" s="42"/>
      <c r="C224" s="40"/>
      <c r="D224" s="40"/>
      <c r="E224" s="40"/>
      <c r="F224" s="40"/>
      <c r="G224" s="40"/>
      <c r="H224" s="40"/>
      <c r="I224" s="40"/>
      <c r="J224" s="40"/>
      <c r="K224" s="39"/>
    </row>
    <row r="225" spans="1:11" ht="23.25">
      <c r="A225" s="51" t="s">
        <v>168</v>
      </c>
      <c r="B225" s="42"/>
      <c r="C225" s="40">
        <f t="shared" ref="C225:D227" si="5">C217/C221</f>
        <v>11.074708818635607</v>
      </c>
      <c r="D225" s="40">
        <f t="shared" si="5"/>
        <v>0</v>
      </c>
      <c r="E225" s="40"/>
      <c r="F225" s="40">
        <f t="shared" ref="F225:G227" si="6">F217/F221</f>
        <v>10.462735840357057</v>
      </c>
      <c r="G225" s="40">
        <f t="shared" si="6"/>
        <v>10.462735840357057</v>
      </c>
      <c r="H225" s="40"/>
      <c r="I225" s="40">
        <f t="shared" ref="I225:J227" si="7">I217/I221</f>
        <v>10.057387687188021</v>
      </c>
      <c r="J225" s="40">
        <f t="shared" si="7"/>
        <v>10.057387687188021</v>
      </c>
      <c r="K225" s="39"/>
    </row>
    <row r="226" spans="1:11" ht="46.5">
      <c r="A226" s="51" t="s">
        <v>362</v>
      </c>
      <c r="B226" s="42"/>
      <c r="C226" s="40">
        <f t="shared" si="5"/>
        <v>69.248888888888885</v>
      </c>
      <c r="D226" s="40">
        <f t="shared" si="5"/>
        <v>69.248888888888885</v>
      </c>
      <c r="E226" s="40"/>
      <c r="F226" s="40">
        <f t="shared" si="6"/>
        <v>91.435537945748251</v>
      </c>
      <c r="G226" s="40">
        <f t="shared" si="6"/>
        <v>91.435537945748251</v>
      </c>
      <c r="H226" s="40"/>
      <c r="I226" s="40">
        <f t="shared" si="7"/>
        <v>140.13333333333333</v>
      </c>
      <c r="J226" s="40">
        <f t="shared" si="7"/>
        <v>140.13333333333333</v>
      </c>
      <c r="K226" s="39"/>
    </row>
    <row r="227" spans="1:11" ht="46.5">
      <c r="A227" s="51" t="s">
        <v>363</v>
      </c>
      <c r="B227" s="42"/>
      <c r="C227" s="40">
        <f t="shared" si="5"/>
        <v>80</v>
      </c>
      <c r="D227" s="40">
        <f t="shared" si="5"/>
        <v>80</v>
      </c>
      <c r="E227" s="40"/>
      <c r="F227" s="40">
        <f t="shared" si="6"/>
        <v>8.5750962772785631</v>
      </c>
      <c r="G227" s="40">
        <f t="shared" si="6"/>
        <v>8.5750962772785631</v>
      </c>
      <c r="H227" s="40"/>
      <c r="I227" s="40">
        <f t="shared" si="7"/>
        <v>9.0124261874197682</v>
      </c>
      <c r="J227" s="40">
        <f t="shared" si="7"/>
        <v>9.0124261874197682</v>
      </c>
      <c r="K227" s="39"/>
    </row>
    <row r="228" spans="1:11" ht="23.25">
      <c r="A228" s="52" t="s">
        <v>115</v>
      </c>
      <c r="B228" s="581" t="s">
        <v>296</v>
      </c>
      <c r="C228" s="581"/>
      <c r="D228" s="581"/>
      <c r="E228" s="581"/>
      <c r="F228" s="581"/>
      <c r="G228" s="581"/>
      <c r="H228" s="581"/>
      <c r="I228" s="581"/>
      <c r="J228" s="581"/>
      <c r="K228" s="581"/>
    </row>
    <row r="229" spans="1:11" ht="22.5">
      <c r="A229" s="167" t="s">
        <v>118</v>
      </c>
      <c r="B229" s="577" t="s">
        <v>161</v>
      </c>
      <c r="C229" s="578"/>
      <c r="D229" s="578"/>
      <c r="E229" s="578"/>
      <c r="F229" s="578"/>
      <c r="G229" s="578"/>
      <c r="H229" s="578"/>
      <c r="I229" s="578"/>
      <c r="J229" s="578"/>
      <c r="K229" s="579"/>
    </row>
    <row r="230" spans="1:11" ht="23.25">
      <c r="A230" s="220" t="s">
        <v>120</v>
      </c>
      <c r="B230" s="219">
        <f>C230+F230+I230</f>
        <v>900000</v>
      </c>
      <c r="C230" s="219">
        <f>D230+E230</f>
        <v>900000</v>
      </c>
      <c r="D230" s="223">
        <f>'Додаток 3'!I181*1000</f>
        <v>900000</v>
      </c>
      <c r="E230" s="219"/>
      <c r="F230" s="219">
        <f>G230+H230</f>
        <v>0</v>
      </c>
      <c r="G230" s="219">
        <f>'Додаток 3'!J181*1000</f>
        <v>0</v>
      </c>
      <c r="H230" s="219"/>
      <c r="I230" s="219">
        <f>J230+K230</f>
        <v>0</v>
      </c>
      <c r="J230" s="219">
        <f>'Додаток 3'!K181*1000</f>
        <v>0</v>
      </c>
      <c r="K230" s="219"/>
    </row>
    <row r="231" spans="1:11" ht="23.25">
      <c r="A231" s="220" t="s">
        <v>122</v>
      </c>
      <c r="B231" s="42"/>
      <c r="C231" s="40"/>
      <c r="D231" s="40"/>
      <c r="E231" s="40"/>
      <c r="F231" s="40"/>
      <c r="G231" s="40"/>
      <c r="H231" s="40"/>
      <c r="I231" s="40"/>
      <c r="J231" s="40"/>
      <c r="K231" s="39"/>
    </row>
    <row r="232" spans="1:11" ht="46.5">
      <c r="A232" s="55" t="s">
        <v>169</v>
      </c>
      <c r="B232" s="42"/>
      <c r="C232" s="40">
        <v>6</v>
      </c>
      <c r="D232" s="40">
        <v>6</v>
      </c>
      <c r="E232" s="40"/>
      <c r="F232" s="40"/>
      <c r="G232" s="40"/>
      <c r="H232" s="40"/>
      <c r="I232" s="40"/>
      <c r="J232" s="40"/>
      <c r="K232" s="39"/>
    </row>
    <row r="233" spans="1:11" ht="23.25">
      <c r="A233" s="220" t="s">
        <v>123</v>
      </c>
      <c r="B233" s="42"/>
      <c r="C233" s="40"/>
      <c r="D233" s="40"/>
      <c r="E233" s="40"/>
      <c r="F233" s="40"/>
      <c r="G233" s="40"/>
      <c r="H233" s="40"/>
      <c r="I233" s="40"/>
      <c r="J233" s="40"/>
      <c r="K233" s="39"/>
    </row>
    <row r="234" spans="1:11" ht="53.25" customHeight="1">
      <c r="A234" s="51" t="s">
        <v>367</v>
      </c>
      <c r="B234" s="42"/>
      <c r="C234" s="40">
        <f>C230/C232</f>
        <v>150000</v>
      </c>
      <c r="D234" s="40">
        <f>D230/D232</f>
        <v>150000</v>
      </c>
      <c r="E234" s="40"/>
      <c r="F234" s="40"/>
      <c r="G234" s="40"/>
      <c r="H234" s="40"/>
      <c r="I234" s="40"/>
      <c r="J234" s="40"/>
      <c r="K234" s="39"/>
    </row>
    <row r="235" spans="1:11" ht="23.25">
      <c r="A235" s="52" t="s">
        <v>115</v>
      </c>
      <c r="B235" s="581" t="s">
        <v>297</v>
      </c>
      <c r="C235" s="581"/>
      <c r="D235" s="581"/>
      <c r="E235" s="581"/>
      <c r="F235" s="581"/>
      <c r="G235" s="581"/>
      <c r="H235" s="581"/>
      <c r="I235" s="581"/>
      <c r="J235" s="581"/>
      <c r="K235" s="581"/>
    </row>
    <row r="236" spans="1:11" ht="22.5">
      <c r="A236" s="167" t="s">
        <v>118</v>
      </c>
      <c r="B236" s="577" t="s">
        <v>161</v>
      </c>
      <c r="C236" s="578"/>
      <c r="D236" s="578"/>
      <c r="E236" s="578"/>
      <c r="F236" s="578"/>
      <c r="G236" s="578"/>
      <c r="H236" s="578"/>
      <c r="I236" s="578"/>
      <c r="J236" s="578"/>
      <c r="K236" s="579"/>
    </row>
    <row r="237" spans="1:11" ht="20.25" customHeight="1">
      <c r="A237" s="167" t="s">
        <v>159</v>
      </c>
      <c r="B237" s="577" t="s">
        <v>160</v>
      </c>
      <c r="C237" s="578"/>
      <c r="D237" s="578"/>
      <c r="E237" s="578"/>
      <c r="F237" s="578"/>
      <c r="G237" s="578"/>
      <c r="H237" s="578"/>
      <c r="I237" s="578"/>
      <c r="J237" s="578"/>
      <c r="K237" s="579"/>
    </row>
    <row r="238" spans="1:11" ht="22.5">
      <c r="A238" s="220" t="s">
        <v>120</v>
      </c>
      <c r="B238" s="219">
        <f>C238+F238+I238</f>
        <v>25082925.910400003</v>
      </c>
      <c r="C238" s="219">
        <f>D238+E238</f>
        <v>7490900</v>
      </c>
      <c r="D238" s="219">
        <f>'Додаток 3'!I182*1000</f>
        <v>7490900</v>
      </c>
      <c r="E238" s="219"/>
      <c r="F238" s="219">
        <f>G238+H238</f>
        <v>8565590.4000000004</v>
      </c>
      <c r="G238" s="219">
        <f>'Додаток 3'!J182*1000</f>
        <v>8565590.4000000004</v>
      </c>
      <c r="H238" s="219"/>
      <c r="I238" s="219">
        <f>J238+K238</f>
        <v>9026435.510400001</v>
      </c>
      <c r="J238" s="219">
        <f>'Додаток 3'!K182*1000</f>
        <v>9026435.510400001</v>
      </c>
      <c r="K238" s="219"/>
    </row>
    <row r="239" spans="1:11" ht="23.25">
      <c r="A239" s="220" t="s">
        <v>122</v>
      </c>
      <c r="B239" s="42"/>
      <c r="C239" s="40"/>
      <c r="D239" s="40"/>
      <c r="E239" s="40"/>
      <c r="F239" s="40"/>
      <c r="G239" s="40"/>
      <c r="H239" s="40"/>
      <c r="I239" s="40"/>
      <c r="J239" s="40"/>
      <c r="K239" s="39"/>
    </row>
    <row r="240" spans="1:11" ht="46.5">
      <c r="A240" s="55" t="s">
        <v>170</v>
      </c>
      <c r="B240" s="42"/>
      <c r="C240" s="40">
        <v>39</v>
      </c>
      <c r="D240" s="40">
        <v>39</v>
      </c>
      <c r="E240" s="40"/>
      <c r="F240" s="40">
        <v>39</v>
      </c>
      <c r="G240" s="40">
        <v>39</v>
      </c>
      <c r="H240" s="40"/>
      <c r="I240" s="40">
        <v>39</v>
      </c>
      <c r="J240" s="40">
        <v>39</v>
      </c>
      <c r="K240" s="39"/>
    </row>
    <row r="241" spans="1:11" ht="23.25">
      <c r="A241" s="220" t="s">
        <v>123</v>
      </c>
      <c r="B241" s="42"/>
      <c r="C241" s="40"/>
      <c r="D241" s="40"/>
      <c r="E241" s="40"/>
      <c r="F241" s="40"/>
      <c r="G241" s="40"/>
      <c r="H241" s="40"/>
      <c r="I241" s="40"/>
      <c r="J241" s="40"/>
      <c r="K241" s="39"/>
    </row>
    <row r="242" spans="1:11" ht="69.75" customHeight="1">
      <c r="A242" s="51" t="s">
        <v>171</v>
      </c>
      <c r="B242" s="42"/>
      <c r="C242" s="40">
        <f>C238/C240</f>
        <v>192074.35897435897</v>
      </c>
      <c r="D242" s="40">
        <f>D238/D240</f>
        <v>192074.35897435897</v>
      </c>
      <c r="E242" s="40"/>
      <c r="F242" s="40">
        <f>F238/F240</f>
        <v>219630.5230769231</v>
      </c>
      <c r="G242" s="40">
        <f>G238/G240</f>
        <v>219630.5230769231</v>
      </c>
      <c r="H242" s="40"/>
      <c r="I242" s="40">
        <f>I238/I240</f>
        <v>231447.06436923079</v>
      </c>
      <c r="J242" s="40">
        <f>J238/J240</f>
        <v>231447.06436923079</v>
      </c>
      <c r="K242" s="39"/>
    </row>
    <row r="243" spans="1:11" ht="23.25">
      <c r="A243" s="52" t="s">
        <v>115</v>
      </c>
      <c r="B243" s="581" t="s">
        <v>298</v>
      </c>
      <c r="C243" s="581"/>
      <c r="D243" s="581"/>
      <c r="E243" s="581"/>
      <c r="F243" s="581"/>
      <c r="G243" s="581"/>
      <c r="H243" s="581"/>
      <c r="I243" s="581"/>
      <c r="J243" s="581"/>
      <c r="K243" s="581"/>
    </row>
    <row r="244" spans="1:11" ht="22.5">
      <c r="A244" s="167" t="s">
        <v>118</v>
      </c>
      <c r="B244" s="577" t="s">
        <v>161</v>
      </c>
      <c r="C244" s="578"/>
      <c r="D244" s="578"/>
      <c r="E244" s="578"/>
      <c r="F244" s="578"/>
      <c r="G244" s="578"/>
      <c r="H244" s="578"/>
      <c r="I244" s="578"/>
      <c r="J244" s="578"/>
      <c r="K244" s="579"/>
    </row>
    <row r="245" spans="1:11" ht="22.5">
      <c r="A245" s="220" t="s">
        <v>120</v>
      </c>
      <c r="B245" s="219">
        <f>C245+F245+I245</f>
        <v>420000</v>
      </c>
      <c r="C245" s="219">
        <f>D245+E245</f>
        <v>420000</v>
      </c>
      <c r="D245" s="219">
        <f>'Додаток 3'!I186*1000</f>
        <v>420000</v>
      </c>
      <c r="E245" s="219"/>
      <c r="F245" s="219">
        <f>G245+H245</f>
        <v>0</v>
      </c>
      <c r="G245" s="219">
        <f>'Додаток 3'!J186*1000</f>
        <v>0</v>
      </c>
      <c r="H245" s="219"/>
      <c r="I245" s="219">
        <f>J245+K245</f>
        <v>0</v>
      </c>
      <c r="J245" s="219">
        <f>'Додаток 3'!K186*1000</f>
        <v>0</v>
      </c>
      <c r="K245" s="219"/>
    </row>
    <row r="246" spans="1:11" ht="23.25">
      <c r="A246" s="220" t="s">
        <v>122</v>
      </c>
      <c r="B246" s="42"/>
      <c r="C246" s="40"/>
      <c r="D246" s="40"/>
      <c r="E246" s="40"/>
      <c r="F246" s="40"/>
      <c r="G246" s="40"/>
      <c r="H246" s="40"/>
      <c r="I246" s="40"/>
      <c r="J246" s="40"/>
      <c r="K246" s="39"/>
    </row>
    <row r="247" spans="1:11" ht="46.5">
      <c r="A247" s="55" t="s">
        <v>299</v>
      </c>
      <c r="B247" s="42"/>
      <c r="C247" s="40">
        <v>2</v>
      </c>
      <c r="D247" s="40">
        <v>2</v>
      </c>
      <c r="E247" s="40"/>
      <c r="F247" s="40"/>
      <c r="G247" s="40"/>
      <c r="H247" s="40"/>
      <c r="I247" s="40"/>
      <c r="J247" s="40"/>
      <c r="K247" s="39"/>
    </row>
    <row r="248" spans="1:11" ht="23.25">
      <c r="A248" s="220" t="s">
        <v>123</v>
      </c>
      <c r="B248" s="42"/>
      <c r="C248" s="40"/>
      <c r="D248" s="40"/>
      <c r="E248" s="40"/>
      <c r="F248" s="40"/>
      <c r="G248" s="40"/>
      <c r="H248" s="40"/>
      <c r="I248" s="40"/>
      <c r="J248" s="40"/>
      <c r="K248" s="39"/>
    </row>
    <row r="249" spans="1:11" ht="69.75">
      <c r="A249" s="51" t="s">
        <v>172</v>
      </c>
      <c r="B249" s="42"/>
      <c r="C249" s="40">
        <f>C245/C247</f>
        <v>210000</v>
      </c>
      <c r="D249" s="40">
        <f>D245/D247</f>
        <v>210000</v>
      </c>
      <c r="E249" s="40"/>
      <c r="F249" s="40"/>
      <c r="G249" s="40"/>
      <c r="H249" s="40"/>
      <c r="I249" s="40"/>
      <c r="J249" s="40"/>
      <c r="K249" s="39"/>
    </row>
    <row r="250" spans="1:11" ht="23.25">
      <c r="A250" s="52" t="s">
        <v>115</v>
      </c>
      <c r="B250" s="581" t="s">
        <v>56</v>
      </c>
      <c r="C250" s="581"/>
      <c r="D250" s="581"/>
      <c r="E250" s="581"/>
      <c r="F250" s="581"/>
      <c r="G250" s="581"/>
      <c r="H250" s="581"/>
      <c r="I250" s="581"/>
      <c r="J250" s="581"/>
      <c r="K250" s="581"/>
    </row>
    <row r="251" spans="1:11" ht="22.5">
      <c r="A251" s="167" t="s">
        <v>147</v>
      </c>
      <c r="B251" s="577" t="s">
        <v>164</v>
      </c>
      <c r="C251" s="578"/>
      <c r="D251" s="578"/>
      <c r="E251" s="578"/>
      <c r="F251" s="578"/>
      <c r="G251" s="578"/>
      <c r="H251" s="578"/>
      <c r="I251" s="578"/>
      <c r="J251" s="578"/>
      <c r="K251" s="579"/>
    </row>
    <row r="252" spans="1:11" ht="23.25">
      <c r="A252" s="220" t="s">
        <v>120</v>
      </c>
      <c r="B252" s="219">
        <f>C252+F252+I252</f>
        <v>5857900</v>
      </c>
      <c r="C252" s="219">
        <f>D252+E252</f>
        <v>1921300</v>
      </c>
      <c r="D252" s="223">
        <f>'Додаток 3'!I187*1000</f>
        <v>1921300</v>
      </c>
      <c r="E252" s="219"/>
      <c r="F252" s="219">
        <f>G252+H252</f>
        <v>1906600</v>
      </c>
      <c r="G252" s="219">
        <f>'Додаток 3'!J187*1000</f>
        <v>1906600</v>
      </c>
      <c r="H252" s="219"/>
      <c r="I252" s="219">
        <f>J252+K252</f>
        <v>2030000</v>
      </c>
      <c r="J252" s="219">
        <f>'Додаток 3'!K187*1000</f>
        <v>2030000</v>
      </c>
      <c r="K252" s="171"/>
    </row>
    <row r="253" spans="1:11" ht="23.25">
      <c r="A253" s="220" t="s">
        <v>122</v>
      </c>
      <c r="B253" s="42"/>
      <c r="C253" s="40"/>
      <c r="D253" s="40"/>
      <c r="E253" s="40"/>
      <c r="F253" s="40"/>
      <c r="G253" s="40"/>
      <c r="H253" s="40"/>
      <c r="I253" s="40"/>
      <c r="J253" s="40"/>
      <c r="K253" s="39"/>
    </row>
    <row r="254" spans="1:11" ht="46.5">
      <c r="A254" s="55" t="s">
        <v>173</v>
      </c>
      <c r="B254" s="42"/>
      <c r="C254" s="40">
        <v>8805</v>
      </c>
      <c r="D254" s="40">
        <v>8805</v>
      </c>
      <c r="E254" s="40"/>
      <c r="F254" s="40">
        <f>C254</f>
        <v>8805</v>
      </c>
      <c r="G254" s="40">
        <v>8805</v>
      </c>
      <c r="H254" s="40"/>
      <c r="I254" s="40">
        <f>F254</f>
        <v>8805</v>
      </c>
      <c r="J254" s="40">
        <v>8805</v>
      </c>
      <c r="K254" s="39"/>
    </row>
    <row r="255" spans="1:11" ht="54.75" customHeight="1">
      <c r="A255" s="55" t="s">
        <v>174</v>
      </c>
      <c r="B255" s="42"/>
      <c r="C255" s="40">
        <v>749</v>
      </c>
      <c r="D255" s="40">
        <v>749</v>
      </c>
      <c r="E255" s="40"/>
      <c r="F255" s="40">
        <v>749</v>
      </c>
      <c r="G255" s="40">
        <v>749</v>
      </c>
      <c r="H255" s="40"/>
      <c r="I255" s="40">
        <v>749</v>
      </c>
      <c r="J255" s="40">
        <v>749</v>
      </c>
      <c r="K255" s="39"/>
    </row>
    <row r="256" spans="1:11" ht="23.25">
      <c r="A256" s="220" t="s">
        <v>123</v>
      </c>
      <c r="B256" s="42"/>
      <c r="C256" s="40"/>
      <c r="D256" s="40"/>
      <c r="E256" s="40"/>
      <c r="F256" s="40"/>
      <c r="G256" s="40"/>
      <c r="H256" s="40"/>
      <c r="I256" s="40"/>
      <c r="J256" s="40"/>
      <c r="K256" s="39"/>
    </row>
    <row r="257" spans="1:11" ht="24" customHeight="1">
      <c r="A257" s="51" t="s">
        <v>175</v>
      </c>
      <c r="B257" s="42"/>
      <c r="C257" s="40">
        <f>C252/C255</f>
        <v>2565.1535380507344</v>
      </c>
      <c r="D257" s="40">
        <v>2565.1535380507344</v>
      </c>
      <c r="E257" s="40"/>
      <c r="F257" s="40">
        <f>F252/F255</f>
        <v>2545.5273698264355</v>
      </c>
      <c r="G257" s="40">
        <f>G252/G255</f>
        <v>2545.5273698264355</v>
      </c>
      <c r="H257" s="40"/>
      <c r="I257" s="40">
        <f>I252/I255</f>
        <v>2710.2803738317757</v>
      </c>
      <c r="J257" s="40">
        <v>2710.2803738317757</v>
      </c>
      <c r="K257" s="39"/>
    </row>
    <row r="258" spans="1:11" ht="69.75">
      <c r="A258" s="51" t="s">
        <v>176</v>
      </c>
      <c r="B258" s="42"/>
      <c r="C258" s="40">
        <f>C255/C254*100</f>
        <v>8.5065303804656445</v>
      </c>
      <c r="D258" s="40">
        <v>8.5065303804656445</v>
      </c>
      <c r="E258" s="40"/>
      <c r="F258" s="40">
        <f>F255/F254*100</f>
        <v>8.5065303804656445</v>
      </c>
      <c r="G258" s="40">
        <v>9</v>
      </c>
      <c r="H258" s="40"/>
      <c r="I258" s="40">
        <f>I255/I254*100</f>
        <v>8.5065303804656445</v>
      </c>
      <c r="J258" s="40">
        <v>8.5065303804656445</v>
      </c>
      <c r="K258" s="39"/>
    </row>
    <row r="259" spans="1:11" ht="23.25">
      <c r="A259" s="52" t="s">
        <v>115</v>
      </c>
      <c r="B259" s="581" t="s">
        <v>300</v>
      </c>
      <c r="C259" s="581"/>
      <c r="D259" s="581"/>
      <c r="E259" s="581"/>
      <c r="F259" s="581"/>
      <c r="G259" s="581"/>
      <c r="H259" s="581"/>
      <c r="I259" s="581"/>
      <c r="J259" s="581"/>
      <c r="K259" s="581"/>
    </row>
    <row r="260" spans="1:11" ht="22.5">
      <c r="A260" s="167" t="s">
        <v>118</v>
      </c>
      <c r="B260" s="577" t="s">
        <v>161</v>
      </c>
      <c r="C260" s="578"/>
      <c r="D260" s="578"/>
      <c r="E260" s="578"/>
      <c r="F260" s="578"/>
      <c r="G260" s="578"/>
      <c r="H260" s="578"/>
      <c r="I260" s="578"/>
      <c r="J260" s="578"/>
      <c r="K260" s="579"/>
    </row>
    <row r="261" spans="1:11" ht="23.25">
      <c r="A261" s="220" t="s">
        <v>120</v>
      </c>
      <c r="B261" s="219">
        <f>C261+F261+I261</f>
        <v>533400</v>
      </c>
      <c r="C261" s="219">
        <f>D261+E261</f>
        <v>120000</v>
      </c>
      <c r="D261" s="223">
        <f>'Додаток 3'!I190*1000</f>
        <v>120000</v>
      </c>
      <c r="E261" s="219"/>
      <c r="F261" s="219">
        <f>G261+H261</f>
        <v>200000</v>
      </c>
      <c r="G261" s="219">
        <f>'Додаток 3'!J190*1000</f>
        <v>200000</v>
      </c>
      <c r="H261" s="219"/>
      <c r="I261" s="219">
        <f>J261+K261</f>
        <v>213400</v>
      </c>
      <c r="J261" s="219">
        <f>'Додаток 3'!K190*1000</f>
        <v>213400</v>
      </c>
      <c r="K261" s="219"/>
    </row>
    <row r="262" spans="1:11" ht="23.25">
      <c r="A262" s="220" t="s">
        <v>122</v>
      </c>
      <c r="B262" s="219"/>
      <c r="C262" s="171"/>
      <c r="D262" s="52"/>
      <c r="E262" s="171"/>
      <c r="F262" s="171"/>
      <c r="G262" s="171"/>
      <c r="H262" s="171"/>
      <c r="I262" s="171"/>
      <c r="J262" s="171"/>
      <c r="K262" s="219"/>
    </row>
    <row r="263" spans="1:11" ht="46.5">
      <c r="A263" s="55" t="s">
        <v>301</v>
      </c>
      <c r="B263" s="219"/>
      <c r="C263" s="168">
        <v>250</v>
      </c>
      <c r="D263" s="168">
        <v>250</v>
      </c>
      <c r="E263" s="168"/>
      <c r="F263" s="168">
        <f>G263</f>
        <v>150</v>
      </c>
      <c r="G263" s="168">
        <v>150</v>
      </c>
      <c r="H263" s="168"/>
      <c r="I263" s="168">
        <f>J263</f>
        <v>150</v>
      </c>
      <c r="J263" s="168">
        <v>150</v>
      </c>
      <c r="K263" s="219"/>
    </row>
    <row r="264" spans="1:11" ht="23.25" hidden="1">
      <c r="A264" s="220" t="s">
        <v>122</v>
      </c>
      <c r="B264" s="42"/>
      <c r="C264" s="40"/>
      <c r="D264" s="40"/>
      <c r="E264" s="40"/>
      <c r="F264" s="40"/>
      <c r="G264" s="40"/>
      <c r="H264" s="40"/>
      <c r="I264" s="40"/>
      <c r="J264" s="40"/>
      <c r="K264" s="39"/>
    </row>
    <row r="265" spans="1:11" ht="23.25" hidden="1">
      <c r="A265" s="53" t="s">
        <v>121</v>
      </c>
      <c r="B265" s="42"/>
      <c r="C265" s="40">
        <v>1</v>
      </c>
      <c r="D265" s="40">
        <v>1</v>
      </c>
      <c r="E265" s="40"/>
      <c r="F265" s="40">
        <f>C265</f>
        <v>1</v>
      </c>
      <c r="G265" s="40">
        <f>D265</f>
        <v>1</v>
      </c>
      <c r="H265" s="40"/>
      <c r="I265" s="40">
        <f>F265</f>
        <v>1</v>
      </c>
      <c r="J265" s="40">
        <f>G265</f>
        <v>1</v>
      </c>
      <c r="K265" s="39"/>
    </row>
    <row r="266" spans="1:11" ht="46.5" hidden="1">
      <c r="A266" s="55" t="s">
        <v>177</v>
      </c>
      <c r="B266" s="42"/>
      <c r="C266" s="40"/>
      <c r="D266" s="40"/>
      <c r="E266" s="40"/>
      <c r="F266" s="40"/>
      <c r="G266" s="40"/>
      <c r="H266" s="40"/>
      <c r="I266" s="40"/>
      <c r="J266" s="40"/>
      <c r="K266" s="39"/>
    </row>
    <row r="267" spans="1:11" ht="23.25" hidden="1">
      <c r="A267" s="220" t="s">
        <v>123</v>
      </c>
      <c r="B267" s="42"/>
      <c r="C267" s="40"/>
      <c r="D267" s="40"/>
      <c r="E267" s="40"/>
      <c r="F267" s="40"/>
      <c r="G267" s="40"/>
      <c r="H267" s="40"/>
      <c r="I267" s="40"/>
      <c r="J267" s="40"/>
      <c r="K267" s="39"/>
    </row>
    <row r="268" spans="1:11" ht="18" hidden="1" customHeight="1">
      <c r="A268" s="51" t="s">
        <v>178</v>
      </c>
      <c r="B268" s="42"/>
      <c r="C268" s="40" t="e">
        <f>C261/C266</f>
        <v>#DIV/0!</v>
      </c>
      <c r="D268" s="40" t="e">
        <f>D261/D266</f>
        <v>#DIV/0!</v>
      </c>
      <c r="E268" s="40"/>
      <c r="F268" s="40"/>
      <c r="G268" s="40"/>
      <c r="H268" s="40"/>
      <c r="I268" s="40"/>
      <c r="J268" s="40"/>
      <c r="K268" s="39"/>
    </row>
    <row r="269" spans="1:11" ht="17.25" hidden="1" customHeight="1">
      <c r="A269" s="59" t="s">
        <v>124</v>
      </c>
      <c r="B269" s="42"/>
      <c r="C269" s="40"/>
      <c r="D269" s="40"/>
      <c r="E269" s="40"/>
      <c r="F269" s="40"/>
      <c r="G269" s="40"/>
      <c r="H269" s="40"/>
      <c r="I269" s="40"/>
      <c r="J269" s="40"/>
      <c r="K269" s="39"/>
    </row>
    <row r="270" spans="1:11" ht="46.5" hidden="1">
      <c r="A270" s="51" t="s">
        <v>179</v>
      </c>
      <c r="B270" s="42"/>
      <c r="C270" s="40">
        <f>C266/C263*100</f>
        <v>0</v>
      </c>
      <c r="D270" s="40">
        <f>D266/D263*100</f>
        <v>0</v>
      </c>
      <c r="E270" s="40"/>
      <c r="F270" s="40"/>
      <c r="G270" s="40"/>
      <c r="H270" s="40"/>
      <c r="I270" s="40"/>
      <c r="J270" s="40"/>
      <c r="K270" s="39"/>
    </row>
    <row r="271" spans="1:11" ht="46.5">
      <c r="A271" s="51" t="s">
        <v>177</v>
      </c>
      <c r="B271" s="42"/>
      <c r="C271" s="40">
        <v>43</v>
      </c>
      <c r="D271" s="40">
        <v>43</v>
      </c>
      <c r="E271" s="40"/>
      <c r="F271" s="40">
        <f>G271</f>
        <v>67</v>
      </c>
      <c r="G271" s="40">
        <v>67</v>
      </c>
      <c r="H271" s="40"/>
      <c r="I271" s="40">
        <f>J271</f>
        <v>67</v>
      </c>
      <c r="J271" s="40">
        <v>67</v>
      </c>
      <c r="K271" s="39"/>
    </row>
    <row r="272" spans="1:11" ht="23.25">
      <c r="A272" s="220" t="s">
        <v>123</v>
      </c>
      <c r="B272" s="42"/>
      <c r="C272" s="40"/>
      <c r="D272" s="40"/>
      <c r="E272" s="40"/>
      <c r="F272" s="40"/>
      <c r="G272" s="40"/>
      <c r="H272" s="40"/>
      <c r="I272" s="40"/>
      <c r="J272" s="40"/>
      <c r="K272" s="39"/>
    </row>
    <row r="273" spans="1:11" ht="46.5">
      <c r="A273" s="50" t="s">
        <v>302</v>
      </c>
      <c r="B273" s="42"/>
      <c r="C273" s="40">
        <f>C261/C271</f>
        <v>2790.6976744186045</v>
      </c>
      <c r="D273" s="40">
        <f>D261/D271</f>
        <v>2790.6976744186045</v>
      </c>
      <c r="E273" s="40"/>
      <c r="F273" s="40">
        <f>G273</f>
        <v>2985.0746268656717</v>
      </c>
      <c r="G273" s="40">
        <f>G261/G271</f>
        <v>2985.0746268656717</v>
      </c>
      <c r="H273" s="40"/>
      <c r="I273" s="40">
        <f>J273</f>
        <v>3185.0746268656717</v>
      </c>
      <c r="J273" s="40">
        <f>J261/J271</f>
        <v>3185.0746268656717</v>
      </c>
      <c r="K273" s="39"/>
    </row>
    <row r="274" spans="1:11" ht="47.25" customHeight="1">
      <c r="A274" s="51" t="s">
        <v>179</v>
      </c>
      <c r="B274" s="42"/>
      <c r="C274" s="40">
        <f>C271/C263*100</f>
        <v>17.2</v>
      </c>
      <c r="D274" s="40">
        <f>D271/D263*100</f>
        <v>17.2</v>
      </c>
      <c r="E274" s="40"/>
      <c r="F274" s="40">
        <f>G274</f>
        <v>44.666666666666664</v>
      </c>
      <c r="G274" s="40">
        <f>G271/G263*100</f>
        <v>44.666666666666664</v>
      </c>
      <c r="H274" s="40"/>
      <c r="I274" s="40">
        <f>J274</f>
        <v>44.666666666666664</v>
      </c>
      <c r="J274" s="40">
        <f>J271/J263*100</f>
        <v>44.666666666666664</v>
      </c>
      <c r="K274" s="39"/>
    </row>
    <row r="275" spans="1:11" ht="23.25">
      <c r="A275" s="52" t="s">
        <v>115</v>
      </c>
      <c r="B275" s="581" t="s">
        <v>303</v>
      </c>
      <c r="C275" s="581"/>
      <c r="D275" s="581"/>
      <c r="E275" s="581"/>
      <c r="F275" s="581"/>
      <c r="G275" s="581"/>
      <c r="H275" s="581"/>
      <c r="I275" s="581"/>
      <c r="J275" s="581"/>
      <c r="K275" s="581"/>
    </row>
    <row r="276" spans="1:11" ht="22.5">
      <c r="A276" s="167" t="s">
        <v>186</v>
      </c>
      <c r="B276" s="577" t="s">
        <v>187</v>
      </c>
      <c r="C276" s="578"/>
      <c r="D276" s="578"/>
      <c r="E276" s="578"/>
      <c r="F276" s="578"/>
      <c r="G276" s="578"/>
      <c r="H276" s="578"/>
      <c r="I276" s="578"/>
      <c r="J276" s="578"/>
      <c r="K276" s="579"/>
    </row>
    <row r="277" spans="1:11" ht="21.75" customHeight="1">
      <c r="A277" s="220" t="s">
        <v>120</v>
      </c>
      <c r="B277" s="219">
        <f>C277+F277+I277</f>
        <v>22903419</v>
      </c>
      <c r="C277" s="219">
        <f>D277+E277</f>
        <v>11499719.000000002</v>
      </c>
      <c r="D277" s="223">
        <f>'Додаток 3'!I191*1000</f>
        <v>11499719.000000002</v>
      </c>
      <c r="E277" s="219"/>
      <c r="F277" s="219">
        <f>G277</f>
        <v>11403700</v>
      </c>
      <c r="G277" s="219">
        <f>'Додаток 3'!J191*1000</f>
        <v>11403700</v>
      </c>
      <c r="H277" s="219"/>
      <c r="I277" s="219"/>
      <c r="J277" s="219">
        <f>'Додаток 3'!K191*1000</f>
        <v>0</v>
      </c>
      <c r="K277" s="219"/>
    </row>
    <row r="278" spans="1:11" ht="48" customHeight="1">
      <c r="A278" s="50" t="s">
        <v>321</v>
      </c>
      <c r="B278" s="219"/>
      <c r="C278" s="168">
        <v>10532673</v>
      </c>
      <c r="D278" s="168">
        <v>10532673</v>
      </c>
      <c r="E278" s="219"/>
      <c r="F278" s="219"/>
      <c r="G278" s="219">
        <v>9712846</v>
      </c>
      <c r="H278" s="219"/>
      <c r="I278" s="219"/>
      <c r="J278" s="219"/>
      <c r="K278" s="219"/>
    </row>
    <row r="279" spans="1:11" ht="23.25">
      <c r="A279" s="220" t="s">
        <v>122</v>
      </c>
      <c r="B279" s="42"/>
      <c r="C279" s="40"/>
      <c r="D279" s="40"/>
      <c r="E279" s="40"/>
      <c r="F279" s="40"/>
      <c r="G279" s="40"/>
      <c r="H279" s="40"/>
      <c r="I279" s="40"/>
      <c r="J279" s="40"/>
      <c r="K279" s="39"/>
    </row>
    <row r="280" spans="1:11" ht="48.75" customHeight="1">
      <c r="A280" s="55" t="s">
        <v>188</v>
      </c>
      <c r="B280" s="42"/>
      <c r="C280" s="40">
        <v>1492</v>
      </c>
      <c r="D280" s="40">
        <v>1492</v>
      </c>
      <c r="E280" s="40"/>
      <c r="F280" s="40"/>
      <c r="G280" s="40">
        <f>1583+19</f>
        <v>1602</v>
      </c>
      <c r="H280" s="40"/>
      <c r="I280" s="40"/>
      <c r="J280" s="40"/>
      <c r="K280" s="39"/>
    </row>
    <row r="281" spans="1:11" ht="23.25">
      <c r="A281" s="220" t="s">
        <v>123</v>
      </c>
      <c r="B281" s="42"/>
      <c r="C281" s="40"/>
      <c r="D281" s="40"/>
      <c r="E281" s="40"/>
      <c r="F281" s="40"/>
      <c r="G281" s="40"/>
      <c r="H281" s="40"/>
      <c r="I281" s="40"/>
      <c r="J281" s="40"/>
      <c r="K281" s="39"/>
    </row>
    <row r="282" spans="1:11" ht="69.75">
      <c r="A282" s="170" t="s">
        <v>189</v>
      </c>
      <c r="B282" s="42"/>
      <c r="C282" s="40">
        <f>C277/C280</f>
        <v>7707.5864611260067</v>
      </c>
      <c r="D282" s="40">
        <f>D277/D280</f>
        <v>7707.5864611260067</v>
      </c>
      <c r="E282" s="40"/>
      <c r="F282" s="40"/>
      <c r="G282" s="40">
        <f>G277/G280</f>
        <v>7118.4144818976283</v>
      </c>
      <c r="H282" s="40"/>
      <c r="I282" s="40"/>
      <c r="J282" s="40"/>
      <c r="K282" s="39"/>
    </row>
    <row r="283" spans="1:11" ht="42.75" customHeight="1">
      <c r="A283" s="52" t="s">
        <v>115</v>
      </c>
      <c r="B283" s="582" t="s">
        <v>373</v>
      </c>
      <c r="C283" s="583"/>
      <c r="D283" s="583"/>
      <c r="E283" s="583"/>
      <c r="F283" s="583"/>
      <c r="G283" s="583"/>
      <c r="H283" s="583"/>
      <c r="I283" s="583"/>
      <c r="J283" s="583"/>
      <c r="K283" s="584"/>
    </row>
    <row r="284" spans="1:11" ht="20.25" customHeight="1">
      <c r="A284" s="167" t="s">
        <v>118</v>
      </c>
      <c r="B284" s="577" t="s">
        <v>119</v>
      </c>
      <c r="C284" s="578"/>
      <c r="D284" s="578"/>
      <c r="E284" s="578"/>
      <c r="F284" s="578"/>
      <c r="G284" s="578"/>
      <c r="H284" s="578"/>
      <c r="I284" s="578"/>
      <c r="J284" s="578"/>
      <c r="K284" s="579"/>
    </row>
    <row r="285" spans="1:11" ht="22.5">
      <c r="A285" s="220" t="s">
        <v>120</v>
      </c>
      <c r="B285" s="220">
        <f>C285+F285+I285</f>
        <v>2915160</v>
      </c>
      <c r="C285" s="220">
        <f>D285+E285</f>
        <v>789510</v>
      </c>
      <c r="D285" s="220">
        <f>'Додаток 3'!I195*1000</f>
        <v>789510</v>
      </c>
      <c r="E285" s="220"/>
      <c r="F285" s="220">
        <f>G285+H285</f>
        <v>1030300</v>
      </c>
      <c r="G285" s="220">
        <f>'Додаток 3'!J195*1000</f>
        <v>1030300</v>
      </c>
      <c r="H285" s="220"/>
      <c r="I285" s="220">
        <f>J285+K285</f>
        <v>1095350</v>
      </c>
      <c r="J285" s="220">
        <f>'Додаток 3'!K195*1000</f>
        <v>1095350</v>
      </c>
      <c r="K285" s="169"/>
    </row>
    <row r="286" spans="1:11" ht="23.25">
      <c r="A286" s="220" t="s">
        <v>122</v>
      </c>
      <c r="B286" s="42"/>
      <c r="C286" s="40"/>
      <c r="D286" s="40"/>
      <c r="E286" s="40"/>
      <c r="F286" s="40"/>
      <c r="G286" s="40"/>
      <c r="H286" s="40"/>
      <c r="I286" s="40"/>
      <c r="J286" s="40"/>
      <c r="K286" s="39"/>
    </row>
    <row r="287" spans="1:11" ht="23.25">
      <c r="A287" s="53" t="s">
        <v>129</v>
      </c>
      <c r="B287" s="42"/>
      <c r="C287" s="40">
        <v>38</v>
      </c>
      <c r="D287" s="40">
        <v>38</v>
      </c>
      <c r="E287" s="40"/>
      <c r="F287" s="40">
        <v>38</v>
      </c>
      <c r="G287" s="40">
        <v>38</v>
      </c>
      <c r="H287" s="40"/>
      <c r="I287" s="40">
        <v>38</v>
      </c>
      <c r="J287" s="40">
        <v>38</v>
      </c>
      <c r="K287" s="39"/>
    </row>
    <row r="288" spans="1:11" ht="23.25">
      <c r="A288" s="220" t="s">
        <v>123</v>
      </c>
      <c r="B288" s="42"/>
      <c r="C288" s="40"/>
      <c r="D288" s="40"/>
      <c r="E288" s="40"/>
      <c r="F288" s="40"/>
      <c r="G288" s="40"/>
      <c r="H288" s="40"/>
      <c r="I288" s="40"/>
      <c r="J288" s="40"/>
      <c r="K288" s="39"/>
    </row>
    <row r="289" spans="1:14" ht="51.75" customHeight="1">
      <c r="A289" s="53" t="s">
        <v>368</v>
      </c>
      <c r="B289" s="42"/>
      <c r="C289" s="40">
        <f>C285/C287/12</f>
        <v>1731.3815789473683</v>
      </c>
      <c r="D289" s="40">
        <f>D285/D287/12</f>
        <v>1731.3815789473683</v>
      </c>
      <c r="E289" s="40"/>
      <c r="F289" s="40">
        <f>F285/F287/12</f>
        <v>2259.4298245614036</v>
      </c>
      <c r="G289" s="40">
        <f>G285/G287/12</f>
        <v>2259.4298245614036</v>
      </c>
      <c r="H289" s="40"/>
      <c r="I289" s="40">
        <f>I285/I287/12</f>
        <v>2402.0833333333335</v>
      </c>
      <c r="J289" s="40">
        <f>J285/J287/12</f>
        <v>2402.0833333333335</v>
      </c>
      <c r="K289" s="39"/>
    </row>
    <row r="290" spans="1:14" ht="22.5">
      <c r="A290" s="585" t="s">
        <v>381</v>
      </c>
      <c r="B290" s="585"/>
      <c r="C290" s="585"/>
      <c r="D290" s="585"/>
      <c r="E290" s="585"/>
      <c r="F290" s="585"/>
      <c r="G290" s="585"/>
      <c r="H290" s="585"/>
      <c r="I290" s="585"/>
      <c r="J290" s="585"/>
      <c r="K290" s="585"/>
    </row>
    <row r="291" spans="1:14" ht="22.5">
      <c r="A291" s="48" t="s">
        <v>116</v>
      </c>
      <c r="B291" s="38">
        <f t="shared" ref="B291:K291" si="8">B295+B312+B319+B327+B305</f>
        <v>29787390</v>
      </c>
      <c r="C291" s="38">
        <f t="shared" si="8"/>
        <v>23141190</v>
      </c>
      <c r="D291" s="38">
        <f t="shared" si="8"/>
        <v>23141190</v>
      </c>
      <c r="E291" s="38">
        <f t="shared" si="8"/>
        <v>0</v>
      </c>
      <c r="F291" s="38">
        <f t="shared" si="8"/>
        <v>3658500</v>
      </c>
      <c r="G291" s="38">
        <f t="shared" si="8"/>
        <v>3658500</v>
      </c>
      <c r="H291" s="38">
        <f t="shared" si="8"/>
        <v>0</v>
      </c>
      <c r="I291" s="38">
        <f t="shared" si="8"/>
        <v>2987700</v>
      </c>
      <c r="J291" s="38">
        <f t="shared" si="8"/>
        <v>2987700</v>
      </c>
      <c r="K291" s="38">
        <f t="shared" si="8"/>
        <v>0</v>
      </c>
      <c r="M291" s="43">
        <f>C291+F291+I291</f>
        <v>29787390</v>
      </c>
      <c r="N291" s="43">
        <f>M291-B291</f>
        <v>0</v>
      </c>
    </row>
    <row r="292" spans="1:14" ht="22.5">
      <c r="A292" s="48" t="s">
        <v>117</v>
      </c>
      <c r="B292" s="586"/>
      <c r="C292" s="587"/>
      <c r="D292" s="587"/>
      <c r="E292" s="587"/>
      <c r="F292" s="587"/>
      <c r="G292" s="587"/>
      <c r="H292" s="587"/>
      <c r="I292" s="587"/>
      <c r="J292" s="587"/>
      <c r="K292" s="588"/>
    </row>
    <row r="293" spans="1:14" ht="23.25">
      <c r="A293" s="52" t="s">
        <v>115</v>
      </c>
      <c r="B293" s="581" t="s">
        <v>399</v>
      </c>
      <c r="C293" s="581"/>
      <c r="D293" s="581"/>
      <c r="E293" s="581"/>
      <c r="F293" s="581"/>
      <c r="G293" s="581"/>
      <c r="H293" s="581"/>
      <c r="I293" s="581"/>
      <c r="J293" s="581"/>
      <c r="K293" s="581"/>
    </row>
    <row r="294" spans="1:14" ht="22.5">
      <c r="A294" s="167" t="s">
        <v>147</v>
      </c>
      <c r="B294" s="577" t="s">
        <v>164</v>
      </c>
      <c r="C294" s="578"/>
      <c r="D294" s="578"/>
      <c r="E294" s="578"/>
      <c r="F294" s="578"/>
      <c r="G294" s="578"/>
      <c r="H294" s="578"/>
      <c r="I294" s="578"/>
      <c r="J294" s="578"/>
      <c r="K294" s="579"/>
    </row>
    <row r="295" spans="1:14" ht="23.25">
      <c r="A295" s="220" t="s">
        <v>120</v>
      </c>
      <c r="B295" s="219">
        <f>C295+F295+I295</f>
        <v>0</v>
      </c>
      <c r="C295" s="219">
        <f>D295+E295</f>
        <v>0</v>
      </c>
      <c r="D295" s="223">
        <f>'Додаток 3'!I220*1000</f>
        <v>0</v>
      </c>
      <c r="E295" s="219"/>
      <c r="F295" s="219">
        <f>G295+H295</f>
        <v>0</v>
      </c>
      <c r="G295" s="219">
        <f>'Додаток 3'!J220*1000</f>
        <v>0</v>
      </c>
      <c r="H295" s="219"/>
      <c r="I295" s="219">
        <f>J295+K295</f>
        <v>0</v>
      </c>
      <c r="J295" s="219">
        <f>'Додаток 3'!K220*1000</f>
        <v>0</v>
      </c>
      <c r="K295" s="171"/>
    </row>
    <row r="296" spans="1:14" ht="46.5">
      <c r="A296" s="50" t="s">
        <v>182</v>
      </c>
      <c r="B296" s="219"/>
      <c r="C296" s="168">
        <v>43</v>
      </c>
      <c r="D296" s="168">
        <v>43</v>
      </c>
      <c r="E296" s="219"/>
      <c r="F296" s="168">
        <v>43</v>
      </c>
      <c r="G296" s="168">
        <v>43</v>
      </c>
      <c r="H296" s="168"/>
      <c r="I296" s="168">
        <v>43</v>
      </c>
      <c r="J296" s="168">
        <v>43</v>
      </c>
      <c r="K296" s="219"/>
    </row>
    <row r="297" spans="1:14" ht="23.25">
      <c r="A297" s="220" t="s">
        <v>122</v>
      </c>
      <c r="B297" s="42"/>
      <c r="C297" s="40"/>
      <c r="D297" s="40"/>
      <c r="E297" s="40"/>
      <c r="F297" s="40"/>
      <c r="G297" s="40"/>
      <c r="H297" s="40"/>
      <c r="I297" s="40"/>
      <c r="J297" s="40"/>
      <c r="K297" s="39"/>
    </row>
    <row r="298" spans="1:14" ht="54" customHeight="1">
      <c r="A298" s="55" t="s">
        <v>183</v>
      </c>
      <c r="B298" s="42"/>
      <c r="C298" s="40">
        <v>20</v>
      </c>
      <c r="D298" s="40">
        <v>20</v>
      </c>
      <c r="E298" s="40"/>
      <c r="F298" s="40">
        <v>20</v>
      </c>
      <c r="G298" s="40">
        <v>20</v>
      </c>
      <c r="H298" s="40"/>
      <c r="I298" s="40">
        <v>20</v>
      </c>
      <c r="J298" s="40">
        <v>20</v>
      </c>
      <c r="K298" s="39"/>
    </row>
    <row r="299" spans="1:14" ht="23.25">
      <c r="A299" s="220" t="s">
        <v>123</v>
      </c>
      <c r="B299" s="42"/>
      <c r="C299" s="40"/>
      <c r="D299" s="40"/>
      <c r="E299" s="40"/>
      <c r="F299" s="40"/>
      <c r="G299" s="40"/>
      <c r="H299" s="40"/>
      <c r="I299" s="40"/>
      <c r="J299" s="40"/>
      <c r="K299" s="39"/>
    </row>
    <row r="300" spans="1:14" ht="46.5">
      <c r="A300" s="51" t="s">
        <v>184</v>
      </c>
      <c r="B300" s="42"/>
      <c r="C300" s="40">
        <f>C295/C298</f>
        <v>0</v>
      </c>
      <c r="D300" s="40">
        <f>D295/D298</f>
        <v>0</v>
      </c>
      <c r="E300" s="40"/>
      <c r="F300" s="40">
        <f>F295/F298</f>
        <v>0</v>
      </c>
      <c r="G300" s="40">
        <f>G295/G298</f>
        <v>0</v>
      </c>
      <c r="H300" s="40"/>
      <c r="I300" s="40">
        <f>I295/I298</f>
        <v>0</v>
      </c>
      <c r="J300" s="40">
        <f>J295/J298</f>
        <v>0</v>
      </c>
      <c r="K300" s="39"/>
    </row>
    <row r="301" spans="1:14" ht="23.25">
      <c r="A301" s="59" t="s">
        <v>124</v>
      </c>
      <c r="B301" s="42"/>
      <c r="C301" s="40"/>
      <c r="D301" s="40"/>
      <c r="E301" s="40"/>
      <c r="F301" s="40"/>
      <c r="G301" s="40"/>
      <c r="H301" s="40"/>
      <c r="I301" s="40"/>
      <c r="J301" s="40"/>
      <c r="K301" s="39"/>
    </row>
    <row r="302" spans="1:14" ht="69.75">
      <c r="A302" s="51" t="s">
        <v>185</v>
      </c>
      <c r="B302" s="42"/>
      <c r="C302" s="40">
        <f>C298/C296*100</f>
        <v>46.511627906976742</v>
      </c>
      <c r="D302" s="40">
        <f>D298/D296*100</f>
        <v>46.511627906976742</v>
      </c>
      <c r="E302" s="40"/>
      <c r="F302" s="40">
        <f>F298/F296*100</f>
        <v>46.511627906976742</v>
      </c>
      <c r="G302" s="40">
        <f>G298/G296*100</f>
        <v>46.511627906976742</v>
      </c>
      <c r="H302" s="40"/>
      <c r="I302" s="40">
        <f>I298/I296*100</f>
        <v>46.511627906976742</v>
      </c>
      <c r="J302" s="40">
        <f>J298/J296*100</f>
        <v>46.511627906976742</v>
      </c>
      <c r="K302" s="39"/>
    </row>
    <row r="303" spans="1:14" ht="23.25">
      <c r="A303" s="52" t="s">
        <v>115</v>
      </c>
      <c r="B303" s="581" t="s">
        <v>108</v>
      </c>
      <c r="C303" s="581"/>
      <c r="D303" s="581"/>
      <c r="E303" s="581"/>
      <c r="F303" s="581"/>
      <c r="G303" s="581"/>
      <c r="H303" s="581"/>
      <c r="I303" s="581"/>
      <c r="J303" s="581"/>
      <c r="K303" s="581"/>
    </row>
    <row r="304" spans="1:14" ht="22.5">
      <c r="A304" s="167" t="s">
        <v>147</v>
      </c>
      <c r="B304" s="577" t="s">
        <v>164</v>
      </c>
      <c r="C304" s="578"/>
      <c r="D304" s="578"/>
      <c r="E304" s="578"/>
      <c r="F304" s="578"/>
      <c r="G304" s="578"/>
      <c r="H304" s="578"/>
      <c r="I304" s="578"/>
      <c r="J304" s="578"/>
      <c r="K304" s="579"/>
    </row>
    <row r="305" spans="1:11" ht="22.5">
      <c r="A305" s="220" t="s">
        <v>120</v>
      </c>
      <c r="B305" s="219">
        <f>F305+I305</f>
        <v>0</v>
      </c>
      <c r="C305" s="219">
        <f>D305+E305</f>
        <v>0</v>
      </c>
      <c r="D305" s="219">
        <f>'Додаток 3'!I221*1000</f>
        <v>0</v>
      </c>
      <c r="E305" s="219"/>
      <c r="F305" s="219">
        <f>G305+H305</f>
        <v>0</v>
      </c>
      <c r="G305" s="219">
        <f>'Додаток 3'!J221*1000</f>
        <v>0</v>
      </c>
      <c r="H305" s="219"/>
      <c r="I305" s="219">
        <f>J305+K305</f>
        <v>0</v>
      </c>
      <c r="J305" s="219">
        <f>'Додаток 3'!K221*1000</f>
        <v>0</v>
      </c>
      <c r="K305" s="219"/>
    </row>
    <row r="306" spans="1:11" ht="23.25">
      <c r="A306" s="220" t="s">
        <v>122</v>
      </c>
      <c r="B306" s="42"/>
      <c r="C306" s="40"/>
      <c r="D306" s="40"/>
      <c r="E306" s="40"/>
      <c r="F306" s="40"/>
      <c r="G306" s="40"/>
      <c r="H306" s="40"/>
      <c r="I306" s="40"/>
      <c r="J306" s="40"/>
      <c r="K306" s="39"/>
    </row>
    <row r="307" spans="1:11" ht="22.5" customHeight="1">
      <c r="A307" s="50" t="s">
        <v>314</v>
      </c>
      <c r="B307" s="42"/>
      <c r="C307" s="58"/>
      <c r="D307" s="40"/>
      <c r="E307" s="40"/>
      <c r="F307" s="40">
        <v>5</v>
      </c>
      <c r="G307" s="40">
        <v>5</v>
      </c>
      <c r="H307" s="40"/>
      <c r="I307" s="40">
        <v>5</v>
      </c>
      <c r="J307" s="40">
        <v>5</v>
      </c>
      <c r="K307" s="39"/>
    </row>
    <row r="308" spans="1:11" ht="23.25">
      <c r="A308" s="220" t="s">
        <v>123</v>
      </c>
      <c r="B308" s="42"/>
      <c r="C308" s="40"/>
      <c r="D308" s="40"/>
      <c r="E308" s="40"/>
      <c r="F308" s="40"/>
      <c r="G308" s="40"/>
      <c r="H308" s="40"/>
      <c r="I308" s="40"/>
      <c r="J308" s="40"/>
      <c r="K308" s="39"/>
    </row>
    <row r="309" spans="1:11" ht="46.5">
      <c r="A309" s="57" t="s">
        <v>191</v>
      </c>
      <c r="B309" s="42"/>
      <c r="C309" s="40"/>
      <c r="D309" s="40"/>
      <c r="E309" s="40"/>
      <c r="F309" s="40">
        <f>F305/F307</f>
        <v>0</v>
      </c>
      <c r="G309" s="40">
        <f>G305/G307</f>
        <v>0</v>
      </c>
      <c r="H309" s="40"/>
      <c r="I309" s="40">
        <f>I305/I307</f>
        <v>0</v>
      </c>
      <c r="J309" s="40">
        <f>J305/J307</f>
        <v>0</v>
      </c>
      <c r="K309" s="39"/>
    </row>
    <row r="310" spans="1:11" ht="23.25">
      <c r="A310" s="52" t="s">
        <v>115</v>
      </c>
      <c r="B310" s="581" t="s">
        <v>304</v>
      </c>
      <c r="C310" s="581"/>
      <c r="D310" s="581"/>
      <c r="E310" s="581"/>
      <c r="F310" s="581"/>
      <c r="G310" s="581"/>
      <c r="H310" s="581"/>
      <c r="I310" s="581"/>
      <c r="J310" s="581"/>
      <c r="K310" s="581"/>
    </row>
    <row r="311" spans="1:11" ht="22.5">
      <c r="A311" s="167" t="s">
        <v>147</v>
      </c>
      <c r="B311" s="577" t="s">
        <v>164</v>
      </c>
      <c r="C311" s="578"/>
      <c r="D311" s="578"/>
      <c r="E311" s="578"/>
      <c r="F311" s="578"/>
      <c r="G311" s="578"/>
      <c r="H311" s="578"/>
      <c r="I311" s="578"/>
      <c r="J311" s="578"/>
      <c r="K311" s="579"/>
    </row>
    <row r="312" spans="1:11" ht="22.5">
      <c r="A312" s="220" t="s">
        <v>120</v>
      </c>
      <c r="B312" s="219">
        <f>C312+F312+I312</f>
        <v>8955400</v>
      </c>
      <c r="C312" s="219">
        <f>D312+E312</f>
        <v>2894200</v>
      </c>
      <c r="D312" s="219">
        <f>'Додаток 3'!I223*1000</f>
        <v>2894200</v>
      </c>
      <c r="E312" s="219"/>
      <c r="F312" s="219">
        <f>G312+H312</f>
        <v>3073500</v>
      </c>
      <c r="G312" s="219">
        <f>'Додаток 3'!J223*1000</f>
        <v>3073500</v>
      </c>
      <c r="H312" s="219"/>
      <c r="I312" s="219">
        <f>J312+K312</f>
        <v>2987700</v>
      </c>
      <c r="J312" s="219">
        <f>'Додаток 3'!K223*1000</f>
        <v>2987700</v>
      </c>
      <c r="K312" s="219"/>
    </row>
    <row r="313" spans="1:11" ht="23.25">
      <c r="A313" s="220" t="s">
        <v>122</v>
      </c>
      <c r="B313" s="42"/>
      <c r="C313" s="40"/>
      <c r="D313" s="40"/>
      <c r="E313" s="40"/>
      <c r="F313" s="40"/>
      <c r="G313" s="40"/>
      <c r="H313" s="40"/>
      <c r="I313" s="40"/>
      <c r="J313" s="40"/>
      <c r="K313" s="39"/>
    </row>
    <row r="314" spans="1:11" ht="23.25">
      <c r="A314" s="50" t="s">
        <v>372</v>
      </c>
      <c r="B314" s="42"/>
      <c r="C314" s="58">
        <v>2</v>
      </c>
      <c r="D314" s="58">
        <v>2</v>
      </c>
      <c r="E314" s="40"/>
      <c r="F314" s="58">
        <v>2</v>
      </c>
      <c r="G314" s="58">
        <v>2</v>
      </c>
      <c r="H314" s="40"/>
      <c r="I314" s="58">
        <v>2</v>
      </c>
      <c r="J314" s="58">
        <v>2</v>
      </c>
      <c r="K314" s="39"/>
    </row>
    <row r="315" spans="1:11" ht="23.25">
      <c r="A315" s="220" t="s">
        <v>123</v>
      </c>
      <c r="B315" s="42"/>
      <c r="C315" s="40"/>
      <c r="D315" s="40"/>
      <c r="E315" s="40"/>
      <c r="F315" s="40"/>
      <c r="G315" s="40"/>
      <c r="H315" s="40"/>
      <c r="I315" s="40"/>
      <c r="J315" s="40"/>
      <c r="K315" s="39"/>
    </row>
    <row r="316" spans="1:11" ht="23.25">
      <c r="A316" s="180" t="s">
        <v>305</v>
      </c>
      <c r="B316" s="42"/>
      <c r="C316" s="40">
        <f>C312/C314/12</f>
        <v>120591.66666666667</v>
      </c>
      <c r="D316" s="40">
        <f>D312/D314/12</f>
        <v>120591.66666666667</v>
      </c>
      <c r="E316" s="40"/>
      <c r="F316" s="40">
        <f>F312/F314/12</f>
        <v>128062.5</v>
      </c>
      <c r="G316" s="40">
        <f>G312/G314/12</f>
        <v>128062.5</v>
      </c>
      <c r="H316" s="40"/>
      <c r="I316" s="40">
        <f>I312/I314/12</f>
        <v>124487.5</v>
      </c>
      <c r="J316" s="40">
        <f>J312/J314/12</f>
        <v>124487.5</v>
      </c>
      <c r="K316" s="39"/>
    </row>
    <row r="317" spans="1:11" ht="23.25">
      <c r="A317" s="52" t="s">
        <v>115</v>
      </c>
      <c r="B317" s="581" t="s">
        <v>306</v>
      </c>
      <c r="C317" s="581"/>
      <c r="D317" s="581"/>
      <c r="E317" s="581"/>
      <c r="F317" s="581"/>
      <c r="G317" s="581"/>
      <c r="H317" s="581"/>
      <c r="I317" s="581"/>
      <c r="J317" s="581"/>
      <c r="K317" s="581"/>
    </row>
    <row r="318" spans="1:11" ht="22.5">
      <c r="A318" s="167" t="s">
        <v>147</v>
      </c>
      <c r="B318" s="577" t="s">
        <v>164</v>
      </c>
      <c r="C318" s="578"/>
      <c r="D318" s="578"/>
      <c r="E318" s="578"/>
      <c r="F318" s="578"/>
      <c r="G318" s="578"/>
      <c r="H318" s="578"/>
      <c r="I318" s="578"/>
      <c r="J318" s="578"/>
      <c r="K318" s="579"/>
    </row>
    <row r="319" spans="1:11" ht="23.25">
      <c r="A319" s="220" t="s">
        <v>120</v>
      </c>
      <c r="B319" s="219">
        <f>C319+F319+I319</f>
        <v>11573000</v>
      </c>
      <c r="C319" s="219">
        <f>D319+E319</f>
        <v>10988000</v>
      </c>
      <c r="D319" s="223">
        <f>'Додаток 3'!I224*1000</f>
        <v>10988000</v>
      </c>
      <c r="E319" s="219"/>
      <c r="F319" s="219">
        <f>G319</f>
        <v>585000</v>
      </c>
      <c r="G319" s="219">
        <f>'Додаток 3'!J224*1000</f>
        <v>585000</v>
      </c>
      <c r="H319" s="219"/>
      <c r="I319" s="219">
        <f>J319</f>
        <v>0</v>
      </c>
      <c r="J319" s="219">
        <f>'Додаток 3'!K224*1000</f>
        <v>0</v>
      </c>
      <c r="K319" s="219"/>
    </row>
    <row r="320" spans="1:11" ht="23.25">
      <c r="A320" s="220" t="s">
        <v>122</v>
      </c>
      <c r="B320" s="42"/>
      <c r="C320" s="40"/>
      <c r="D320" s="40"/>
      <c r="E320" s="40"/>
      <c r="F320" s="40"/>
      <c r="G320" s="40"/>
      <c r="H320" s="40"/>
      <c r="I320" s="40"/>
      <c r="J320" s="40"/>
      <c r="K320" s="39"/>
    </row>
    <row r="321" spans="1:14" ht="21" customHeight="1">
      <c r="A321" s="50" t="s">
        <v>190</v>
      </c>
      <c r="B321" s="42"/>
      <c r="C321" s="58">
        <v>8</v>
      </c>
      <c r="D321" s="58">
        <v>8</v>
      </c>
      <c r="E321" s="40"/>
      <c r="F321" s="40">
        <v>8</v>
      </c>
      <c r="G321" s="40">
        <v>8</v>
      </c>
      <c r="H321" s="40"/>
      <c r="I321" s="40"/>
      <c r="J321" s="40"/>
      <c r="K321" s="39"/>
    </row>
    <row r="322" spans="1:14" ht="23.25">
      <c r="A322" s="220" t="s">
        <v>123</v>
      </c>
      <c r="B322" s="42"/>
      <c r="C322" s="40"/>
      <c r="D322" s="40"/>
      <c r="E322" s="40"/>
      <c r="F322" s="40"/>
      <c r="G322" s="40"/>
      <c r="H322" s="40"/>
      <c r="I322" s="40"/>
      <c r="J322" s="40"/>
      <c r="K322" s="39"/>
    </row>
    <row r="323" spans="1:14" ht="46.5">
      <c r="A323" s="57" t="s">
        <v>307</v>
      </c>
      <c r="B323" s="42"/>
      <c r="C323" s="40">
        <f>C319/C321</f>
        <v>1373500</v>
      </c>
      <c r="D323" s="40">
        <f>D319/D321</f>
        <v>1373500</v>
      </c>
      <c r="E323" s="40"/>
      <c r="F323" s="40">
        <f>F319/F321</f>
        <v>73125</v>
      </c>
      <c r="G323" s="40">
        <f>G319/G321</f>
        <v>73125</v>
      </c>
      <c r="H323" s="40"/>
      <c r="I323" s="40"/>
      <c r="J323" s="40"/>
      <c r="K323" s="39"/>
    </row>
    <row r="324" spans="1:14" ht="48" customHeight="1">
      <c r="A324" s="52" t="s">
        <v>115</v>
      </c>
      <c r="B324" s="582" t="s">
        <v>308</v>
      </c>
      <c r="C324" s="583"/>
      <c r="D324" s="583"/>
      <c r="E324" s="583"/>
      <c r="F324" s="583"/>
      <c r="G324" s="583"/>
      <c r="H324" s="583"/>
      <c r="I324" s="583"/>
      <c r="J324" s="583"/>
      <c r="K324" s="584"/>
    </row>
    <row r="325" spans="1:14" ht="20.25" customHeight="1">
      <c r="A325" s="167" t="s">
        <v>159</v>
      </c>
      <c r="B325" s="577" t="s">
        <v>160</v>
      </c>
      <c r="C325" s="578"/>
      <c r="D325" s="578"/>
      <c r="E325" s="578"/>
      <c r="F325" s="578"/>
      <c r="G325" s="578"/>
      <c r="H325" s="578"/>
      <c r="I325" s="578"/>
      <c r="J325" s="578"/>
      <c r="K325" s="579"/>
    </row>
    <row r="326" spans="1:14" ht="22.5">
      <c r="A326" s="167" t="s">
        <v>118</v>
      </c>
      <c r="B326" s="577" t="s">
        <v>161</v>
      </c>
      <c r="C326" s="578"/>
      <c r="D326" s="578"/>
      <c r="E326" s="578"/>
      <c r="F326" s="578"/>
      <c r="G326" s="578"/>
      <c r="H326" s="578"/>
      <c r="I326" s="578"/>
      <c r="J326" s="578"/>
      <c r="K326" s="579"/>
    </row>
    <row r="327" spans="1:14" ht="23.25">
      <c r="A327" s="220" t="s">
        <v>120</v>
      </c>
      <c r="B327" s="219">
        <f>C327+F327+I327</f>
        <v>9258990</v>
      </c>
      <c r="C327" s="219">
        <f>D327+E327</f>
        <v>9258990</v>
      </c>
      <c r="D327" s="223">
        <f>'Додаток 3'!I225*1000</f>
        <v>9258990</v>
      </c>
      <c r="E327" s="219"/>
      <c r="F327" s="219">
        <f>G327</f>
        <v>0</v>
      </c>
      <c r="G327" s="219">
        <f>'Додаток 3'!J225*1000</f>
        <v>0</v>
      </c>
      <c r="H327" s="219"/>
      <c r="I327" s="219"/>
      <c r="J327" s="219"/>
      <c r="K327" s="219"/>
    </row>
    <row r="328" spans="1:14" ht="23.25">
      <c r="A328" s="220" t="s">
        <v>122</v>
      </c>
      <c r="B328" s="42"/>
      <c r="C328" s="40"/>
      <c r="D328" s="40"/>
      <c r="E328" s="40"/>
      <c r="F328" s="40"/>
      <c r="G328" s="40"/>
      <c r="H328" s="40"/>
      <c r="I328" s="40"/>
      <c r="J328" s="40"/>
      <c r="K328" s="39"/>
    </row>
    <row r="329" spans="1:14" ht="21" customHeight="1">
      <c r="A329" s="50" t="s">
        <v>190</v>
      </c>
      <c r="B329" s="42"/>
      <c r="C329" s="58">
        <v>5</v>
      </c>
      <c r="D329" s="58">
        <v>5</v>
      </c>
      <c r="E329" s="40"/>
      <c r="F329" s="40"/>
      <c r="G329" s="40"/>
      <c r="H329" s="40"/>
      <c r="I329" s="40"/>
      <c r="J329" s="40"/>
      <c r="K329" s="39"/>
    </row>
    <row r="330" spans="1:14" ht="23.25">
      <c r="A330" s="220" t="s">
        <v>123</v>
      </c>
      <c r="B330" s="42"/>
      <c r="C330" s="40"/>
      <c r="D330" s="40"/>
      <c r="E330" s="40"/>
      <c r="F330" s="40"/>
      <c r="G330" s="40"/>
      <c r="H330" s="40"/>
      <c r="I330" s="40"/>
      <c r="J330" s="40"/>
      <c r="K330" s="39"/>
    </row>
    <row r="331" spans="1:14" ht="47.25" customHeight="1">
      <c r="A331" s="57" t="s">
        <v>309</v>
      </c>
      <c r="B331" s="42"/>
      <c r="C331" s="40">
        <f>C327/C329/9</f>
        <v>205755.33333333334</v>
      </c>
      <c r="D331" s="40">
        <f>D327/D329/9</f>
        <v>205755.33333333334</v>
      </c>
      <c r="E331" s="40"/>
      <c r="F331" s="40"/>
      <c r="G331" s="40"/>
      <c r="H331" s="40"/>
      <c r="I331" s="40"/>
      <c r="J331" s="40"/>
      <c r="K331" s="39"/>
    </row>
    <row r="332" spans="1:14" ht="22.5">
      <c r="A332" s="585" t="s">
        <v>235</v>
      </c>
      <c r="B332" s="585"/>
      <c r="C332" s="585"/>
      <c r="D332" s="585"/>
      <c r="E332" s="585"/>
      <c r="F332" s="585"/>
      <c r="G332" s="585"/>
      <c r="H332" s="585"/>
      <c r="I332" s="585"/>
      <c r="J332" s="585"/>
      <c r="K332" s="585"/>
    </row>
    <row r="333" spans="1:14" ht="22.5">
      <c r="A333" s="48" t="s">
        <v>116</v>
      </c>
      <c r="B333" s="38">
        <f>C333+F333+I333</f>
        <v>283357119</v>
      </c>
      <c r="C333" s="39">
        <f>D333+E333</f>
        <v>102395689</v>
      </c>
      <c r="D333" s="39">
        <f>D344+D345</f>
        <v>0</v>
      </c>
      <c r="E333" s="39">
        <f>E344+E345</f>
        <v>102395689</v>
      </c>
      <c r="F333" s="39">
        <f>G333+H333</f>
        <v>160961430</v>
      </c>
      <c r="G333" s="39">
        <f>G344+G345</f>
        <v>0</v>
      </c>
      <c r="H333" s="39">
        <f>H344+H345</f>
        <v>160961430</v>
      </c>
      <c r="I333" s="39">
        <f>J333+K333</f>
        <v>20000000</v>
      </c>
      <c r="J333" s="39">
        <f>J344+J345</f>
        <v>0</v>
      </c>
      <c r="K333" s="39">
        <f>K344+K345</f>
        <v>20000000</v>
      </c>
      <c r="M333" s="43">
        <f>C333+F333+I333</f>
        <v>283357119</v>
      </c>
      <c r="N333" s="43">
        <f>M333-B333</f>
        <v>0</v>
      </c>
    </row>
    <row r="334" spans="1:14" ht="22.5">
      <c r="A334" s="48" t="s">
        <v>117</v>
      </c>
      <c r="B334" s="586"/>
      <c r="C334" s="587"/>
      <c r="D334" s="587"/>
      <c r="E334" s="587"/>
      <c r="F334" s="587"/>
      <c r="G334" s="587"/>
      <c r="H334" s="587"/>
      <c r="I334" s="587"/>
      <c r="J334" s="587"/>
      <c r="K334" s="588"/>
    </row>
    <row r="335" spans="1:14" ht="23.25">
      <c r="A335" s="49" t="s">
        <v>115</v>
      </c>
      <c r="B335" s="580" t="s">
        <v>57</v>
      </c>
      <c r="C335" s="580"/>
      <c r="D335" s="580"/>
      <c r="E335" s="580"/>
      <c r="F335" s="580"/>
      <c r="G335" s="580"/>
      <c r="H335" s="580"/>
      <c r="I335" s="580"/>
      <c r="J335" s="580"/>
      <c r="K335" s="580"/>
    </row>
    <row r="336" spans="1:14" ht="22.5">
      <c r="A336" s="167" t="s">
        <v>118</v>
      </c>
      <c r="B336" s="577" t="s">
        <v>161</v>
      </c>
      <c r="C336" s="578"/>
      <c r="D336" s="578"/>
      <c r="E336" s="578"/>
      <c r="F336" s="578"/>
      <c r="G336" s="578"/>
      <c r="H336" s="578"/>
      <c r="I336" s="578"/>
      <c r="J336" s="578"/>
      <c r="K336" s="579"/>
    </row>
    <row r="337" spans="1:11" ht="22.5">
      <c r="A337" s="167" t="s">
        <v>125</v>
      </c>
      <c r="B337" s="590" t="s">
        <v>162</v>
      </c>
      <c r="C337" s="590"/>
      <c r="D337" s="590"/>
      <c r="E337" s="590"/>
      <c r="F337" s="590"/>
      <c r="G337" s="590"/>
      <c r="H337" s="590"/>
      <c r="I337" s="590"/>
      <c r="J337" s="590"/>
      <c r="K337" s="590"/>
    </row>
    <row r="338" spans="1:11" ht="22.5">
      <c r="A338" s="167" t="s">
        <v>127</v>
      </c>
      <c r="B338" s="590" t="s">
        <v>128</v>
      </c>
      <c r="C338" s="590"/>
      <c r="D338" s="590"/>
      <c r="E338" s="590"/>
      <c r="F338" s="590"/>
      <c r="G338" s="590"/>
      <c r="H338" s="590"/>
      <c r="I338" s="590"/>
      <c r="J338" s="590"/>
      <c r="K338" s="590"/>
    </row>
    <row r="339" spans="1:11" ht="22.5">
      <c r="A339" s="167" t="s">
        <v>147</v>
      </c>
      <c r="B339" s="577" t="s">
        <v>398</v>
      </c>
      <c r="C339" s="578"/>
      <c r="D339" s="578"/>
      <c r="E339" s="578"/>
      <c r="F339" s="578"/>
      <c r="G339" s="578"/>
      <c r="H339" s="578"/>
      <c r="I339" s="578"/>
      <c r="J339" s="578"/>
      <c r="K339" s="579"/>
    </row>
    <row r="340" spans="1:11" ht="22.5">
      <c r="A340" s="167" t="s">
        <v>194</v>
      </c>
      <c r="B340" s="591" t="s">
        <v>195</v>
      </c>
      <c r="C340" s="592"/>
      <c r="D340" s="592"/>
      <c r="E340" s="592"/>
      <c r="F340" s="592"/>
      <c r="G340" s="592"/>
      <c r="H340" s="592"/>
      <c r="I340" s="592"/>
      <c r="J340" s="592"/>
      <c r="K340" s="593"/>
    </row>
    <row r="341" spans="1:11" ht="22.5">
      <c r="A341" s="167" t="s">
        <v>192</v>
      </c>
      <c r="B341" s="591" t="s">
        <v>193</v>
      </c>
      <c r="C341" s="592"/>
      <c r="D341" s="592"/>
      <c r="E341" s="592"/>
      <c r="F341" s="592"/>
      <c r="G341" s="592"/>
      <c r="H341" s="592"/>
      <c r="I341" s="592"/>
      <c r="J341" s="592"/>
      <c r="K341" s="593"/>
    </row>
    <row r="342" spans="1:11" ht="22.5">
      <c r="A342" s="167" t="s">
        <v>310</v>
      </c>
      <c r="B342" s="591" t="s">
        <v>311</v>
      </c>
      <c r="C342" s="592"/>
      <c r="D342" s="592"/>
      <c r="E342" s="592"/>
      <c r="F342" s="592"/>
      <c r="G342" s="592"/>
      <c r="H342" s="592"/>
      <c r="I342" s="592"/>
      <c r="J342" s="592"/>
      <c r="K342" s="593"/>
    </row>
    <row r="343" spans="1:11" ht="23.25">
      <c r="A343" s="220" t="s">
        <v>120</v>
      </c>
      <c r="B343" s="197">
        <f>C343+F343+I343</f>
        <v>283357119</v>
      </c>
      <c r="C343" s="197">
        <f>D343+E343</f>
        <v>102395689</v>
      </c>
      <c r="D343" s="218"/>
      <c r="E343" s="197">
        <f>'Додаток 3'!I276*1000</f>
        <v>102395689</v>
      </c>
      <c r="F343" s="41">
        <f>G343+H343</f>
        <v>160961430.00000003</v>
      </c>
      <c r="G343" s="41"/>
      <c r="H343" s="218">
        <f>'Додаток 3'!J276*1000</f>
        <v>160961430.00000003</v>
      </c>
      <c r="I343" s="41">
        <f>J343+K343</f>
        <v>20000000</v>
      </c>
      <c r="J343" s="41"/>
      <c r="K343" s="41">
        <f>'Додаток 3'!K276*1000</f>
        <v>20000000</v>
      </c>
    </row>
    <row r="344" spans="1:11" ht="23.25" customHeight="1">
      <c r="A344" s="57" t="s">
        <v>197</v>
      </c>
      <c r="B344" s="197">
        <f>C344+F344+I344</f>
        <v>181880619</v>
      </c>
      <c r="C344" s="197">
        <f>E344+D344</f>
        <v>71668319</v>
      </c>
      <c r="D344" s="218"/>
      <c r="E344" s="218">
        <f>'Додаток 3'!I249*1000</f>
        <v>71668319</v>
      </c>
      <c r="F344" s="41">
        <f>H344</f>
        <v>110212300</v>
      </c>
      <c r="G344" s="41"/>
      <c r="H344" s="238">
        <f>('Додаток 3'!J249+'Додаток 3'!J275)*1000</f>
        <v>110212300</v>
      </c>
      <c r="I344" s="41"/>
      <c r="J344" s="41"/>
      <c r="K344" s="41">
        <f>'Додаток 3'!K249*1000</f>
        <v>10000000</v>
      </c>
    </row>
    <row r="345" spans="1:11" ht="23.25">
      <c r="A345" s="57" t="s">
        <v>196</v>
      </c>
      <c r="B345" s="197">
        <f>C345+F345+I345</f>
        <v>81476500</v>
      </c>
      <c r="C345" s="197">
        <f>E345+D345</f>
        <v>30727370</v>
      </c>
      <c r="D345" s="218"/>
      <c r="E345" s="218">
        <f>('Додаток 3'!I265+'Додаток 3'!I273+'Додаток 3'!I274)*1000</f>
        <v>30727370</v>
      </c>
      <c r="F345" s="41">
        <f t="shared" ref="F345:F348" si="9">H345</f>
        <v>50749130</v>
      </c>
      <c r="G345" s="41"/>
      <c r="H345" s="238">
        <f>('Додаток 3'!J265+'Додаток 3'!J273+'Додаток 3'!J274)*1000</f>
        <v>50749130</v>
      </c>
      <c r="I345" s="41"/>
      <c r="J345" s="41"/>
      <c r="K345" s="41">
        <f>'Додаток 3'!K250*1000</f>
        <v>10000000</v>
      </c>
    </row>
    <row r="346" spans="1:11" ht="23.25">
      <c r="A346" s="220" t="s">
        <v>122</v>
      </c>
      <c r="B346" s="56"/>
      <c r="C346" s="41"/>
      <c r="D346" s="41"/>
      <c r="E346" s="41"/>
      <c r="F346" s="41"/>
      <c r="G346" s="41"/>
      <c r="H346" s="41"/>
      <c r="I346" s="41"/>
      <c r="J346" s="41"/>
      <c r="K346" s="41"/>
    </row>
    <row r="347" spans="1:11" ht="23.25">
      <c r="A347" s="54" t="s">
        <v>424</v>
      </c>
      <c r="B347" s="56"/>
      <c r="C347" s="58">
        <f>E347</f>
        <v>528</v>
      </c>
      <c r="D347" s="41"/>
      <c r="E347" s="41">
        <f>9+10+44+348+117</f>
        <v>528</v>
      </c>
      <c r="F347" s="41">
        <f t="shared" si="9"/>
        <v>142</v>
      </c>
      <c r="G347" s="184"/>
      <c r="H347" s="41">
        <f>7+14+14+10+10+87</f>
        <v>142</v>
      </c>
      <c r="I347" s="41"/>
      <c r="J347" s="41"/>
      <c r="K347" s="41"/>
    </row>
    <row r="348" spans="1:11" ht="23.25" hidden="1">
      <c r="A348" s="54" t="s">
        <v>198</v>
      </c>
      <c r="B348" s="56"/>
      <c r="C348" s="58"/>
      <c r="D348" s="41"/>
      <c r="E348" s="41"/>
      <c r="F348" s="41">
        <f t="shared" si="9"/>
        <v>0</v>
      </c>
      <c r="G348" s="184"/>
      <c r="H348" s="41"/>
      <c r="I348" s="41"/>
      <c r="J348" s="41"/>
      <c r="K348" s="41"/>
    </row>
    <row r="349" spans="1:11" ht="23.25">
      <c r="A349" s="54" t="s">
        <v>443</v>
      </c>
      <c r="B349" s="56"/>
      <c r="C349" s="58">
        <f>E349</f>
        <v>4033</v>
      </c>
      <c r="D349" s="41"/>
      <c r="E349" s="41">
        <f>27+78+44+3767+117</f>
        <v>4033</v>
      </c>
      <c r="F349" s="41">
        <f>H349</f>
        <v>2485</v>
      </c>
      <c r="G349" s="184"/>
      <c r="H349" s="41">
        <v>2485</v>
      </c>
      <c r="I349" s="41"/>
      <c r="J349" s="41"/>
      <c r="K349" s="41"/>
    </row>
    <row r="350" spans="1:11" ht="23.25">
      <c r="A350" s="220" t="s">
        <v>123</v>
      </c>
      <c r="B350" s="56"/>
      <c r="C350" s="41"/>
      <c r="D350" s="41"/>
      <c r="E350" s="41"/>
      <c r="F350" s="41"/>
      <c r="G350" s="41"/>
      <c r="H350" s="41"/>
      <c r="I350" s="41"/>
      <c r="J350" s="41"/>
      <c r="K350" s="41"/>
    </row>
    <row r="351" spans="1:11" ht="23.25">
      <c r="A351" s="54" t="s">
        <v>371</v>
      </c>
      <c r="B351" s="56"/>
      <c r="C351" s="58">
        <f>E351</f>
        <v>135735.45265151514</v>
      </c>
      <c r="D351" s="41"/>
      <c r="E351" s="41">
        <f>E344/E347</f>
        <v>135735.45265151514</v>
      </c>
      <c r="F351" s="41">
        <f>F344/F347</f>
        <v>776142.95774647885</v>
      </c>
      <c r="G351" s="41"/>
      <c r="H351" s="41">
        <f>H344/H347</f>
        <v>776142.95774647885</v>
      </c>
      <c r="I351" s="41"/>
      <c r="J351" s="41"/>
      <c r="K351" s="41"/>
    </row>
    <row r="352" spans="1:11" ht="23.25" hidden="1">
      <c r="A352" s="59" t="s">
        <v>124</v>
      </c>
      <c r="B352" s="56"/>
      <c r="C352" s="41"/>
      <c r="D352" s="41"/>
      <c r="E352" s="41"/>
      <c r="F352" s="41"/>
      <c r="G352" s="41"/>
      <c r="H352" s="41"/>
      <c r="I352" s="41"/>
      <c r="J352" s="41"/>
      <c r="K352" s="41"/>
    </row>
    <row r="353" spans="1:11" ht="38.25" hidden="1" customHeight="1">
      <c r="A353" s="170" t="s">
        <v>200</v>
      </c>
      <c r="B353" s="56"/>
      <c r="C353" s="58" t="e">
        <f>#REF!/C347*100</f>
        <v>#REF!</v>
      </c>
      <c r="D353" s="41"/>
      <c r="E353" s="41"/>
      <c r="F353" s="41"/>
      <c r="G353" s="41"/>
      <c r="H353" s="41"/>
      <c r="I353" s="41"/>
      <c r="J353" s="41"/>
      <c r="K353" s="41"/>
    </row>
    <row r="354" spans="1:11" ht="46.5" hidden="1">
      <c r="A354" s="50" t="s">
        <v>199</v>
      </c>
      <c r="B354" s="41"/>
      <c r="C354" s="41"/>
      <c r="D354" s="41"/>
      <c r="E354" s="41"/>
      <c r="F354" s="41"/>
      <c r="G354" s="41"/>
      <c r="H354" s="41"/>
      <c r="I354" s="41"/>
      <c r="J354" s="41"/>
      <c r="K354" s="41"/>
    </row>
    <row r="355" spans="1:11" ht="27.75" hidden="1" customHeight="1">
      <c r="A355" s="181" t="s">
        <v>146</v>
      </c>
      <c r="B355" s="182" t="e">
        <f>C355+F355+I355</f>
        <v>#REF!</v>
      </c>
      <c r="C355" s="183" t="e">
        <f>D355+E355</f>
        <v>#REF!</v>
      </c>
      <c r="D355" s="182">
        <f>D356</f>
        <v>0</v>
      </c>
      <c r="E355" s="182" t="e">
        <f>E356</f>
        <v>#REF!</v>
      </c>
      <c r="F355" s="41"/>
      <c r="G355" s="41"/>
      <c r="H355" s="41"/>
      <c r="I355" s="41"/>
      <c r="J355" s="41"/>
      <c r="K355" s="41"/>
    </row>
    <row r="356" spans="1:11" ht="41.25" hidden="1" customHeight="1">
      <c r="A356" s="57" t="s">
        <v>148</v>
      </c>
      <c r="B356" s="56"/>
      <c r="C356" s="41"/>
      <c r="D356" s="41"/>
      <c r="E356" s="41" t="e">
        <f>'[1]Додаток 2'!#REF!*1000</f>
        <v>#REF!</v>
      </c>
      <c r="F356" s="41"/>
      <c r="G356" s="41"/>
      <c r="H356" s="41"/>
      <c r="I356" s="41"/>
      <c r="J356" s="41"/>
      <c r="K356" s="41"/>
    </row>
    <row r="357" spans="1:11" ht="32.25" hidden="1" customHeight="1">
      <c r="A357" s="591" t="e">
        <f>'[1]Додаток 2'!#REF!</f>
        <v>#REF!</v>
      </c>
      <c r="B357" s="592"/>
      <c r="C357" s="592"/>
      <c r="D357" s="592"/>
      <c r="E357" s="592"/>
      <c r="F357" s="592"/>
      <c r="G357" s="592"/>
      <c r="H357" s="592"/>
      <c r="I357" s="592"/>
      <c r="J357" s="592"/>
      <c r="K357" s="593"/>
    </row>
    <row r="358" spans="1:11" ht="24.75" hidden="1" customHeight="1">
      <c r="A358" s="49" t="s">
        <v>115</v>
      </c>
      <c r="B358" s="580" t="e">
        <f>'[1]Додаток 2'!#REF!</f>
        <v>#REF!</v>
      </c>
      <c r="C358" s="580"/>
      <c r="D358" s="580"/>
      <c r="E358" s="580"/>
      <c r="F358" s="580"/>
      <c r="G358" s="580"/>
      <c r="H358" s="580"/>
      <c r="I358" s="580"/>
      <c r="J358" s="580"/>
      <c r="K358" s="580"/>
    </row>
    <row r="359" spans="1:11" ht="20.25" hidden="1" customHeight="1">
      <c r="A359" s="181" t="s">
        <v>146</v>
      </c>
      <c r="B359" s="182" t="e">
        <f>C359+F359+I359</f>
        <v>#REF!</v>
      </c>
      <c r="C359" s="183" t="e">
        <f>D359+E359</f>
        <v>#REF!</v>
      </c>
      <c r="D359" s="182" t="e">
        <f>D360</f>
        <v>#REF!</v>
      </c>
      <c r="E359" s="182">
        <f>E360</f>
        <v>0</v>
      </c>
      <c r="F359" s="41"/>
      <c r="G359" s="41"/>
      <c r="H359" s="41"/>
      <c r="I359" s="41"/>
      <c r="J359" s="41"/>
      <c r="K359" s="41"/>
    </row>
    <row r="360" spans="1:11" s="60" customFormat="1" ht="22.5" hidden="1" customHeight="1">
      <c r="A360" s="57" t="e">
        <f>'[1]Додаток 2'!#REF!</f>
        <v>#REF!</v>
      </c>
      <c r="B360" s="56"/>
      <c r="C360" s="41"/>
      <c r="D360" s="41" t="e">
        <f>'[1]Додаток 2'!#REF!</f>
        <v>#REF!</v>
      </c>
      <c r="E360" s="41"/>
      <c r="F360" s="41"/>
      <c r="G360" s="41"/>
      <c r="H360" s="41"/>
      <c r="I360" s="41"/>
      <c r="J360" s="41"/>
      <c r="K360" s="41"/>
    </row>
    <row r="361" spans="1:11" s="60" customFormat="1" ht="22.5" customHeight="1">
      <c r="A361" s="61"/>
      <c r="B361" s="62"/>
      <c r="C361" s="63"/>
      <c r="D361" s="63"/>
      <c r="E361" s="63"/>
      <c r="F361" s="63"/>
      <c r="G361" s="63"/>
      <c r="H361" s="63"/>
      <c r="I361" s="63"/>
      <c r="J361" s="63"/>
      <c r="K361" s="63"/>
    </row>
    <row r="362" spans="1:11" s="60" customFormat="1" ht="22.5" customHeight="1">
      <c r="A362" s="61"/>
      <c r="B362" s="62"/>
      <c r="C362" s="63"/>
      <c r="D362" s="63"/>
      <c r="E362" s="63"/>
      <c r="F362" s="63"/>
      <c r="G362" s="63"/>
      <c r="H362" s="63"/>
      <c r="I362" s="63"/>
      <c r="J362" s="63"/>
      <c r="K362" s="63"/>
    </row>
    <row r="363" spans="1:11" s="60" customFormat="1" ht="40.5" customHeight="1">
      <c r="A363" s="61"/>
      <c r="B363" s="62"/>
      <c r="C363" s="63"/>
      <c r="D363" s="63"/>
      <c r="E363" s="63"/>
      <c r="F363" s="63"/>
      <c r="G363" s="63"/>
      <c r="H363" s="63"/>
      <c r="I363" s="63"/>
      <c r="J363" s="63"/>
      <c r="K363" s="63"/>
    </row>
    <row r="364" spans="1:11" s="60" customFormat="1" ht="22.5" customHeight="1">
      <c r="A364" s="73" t="s">
        <v>495</v>
      </c>
      <c r="B364" s="73"/>
      <c r="C364" s="74"/>
      <c r="D364" s="75"/>
      <c r="E364" s="73"/>
      <c r="F364" s="76"/>
      <c r="G364" s="76"/>
      <c r="H364" s="76"/>
      <c r="I364" s="77" t="s">
        <v>496</v>
      </c>
      <c r="J364" s="67"/>
      <c r="K364" s="69"/>
    </row>
    <row r="365" spans="1:11" s="60" customFormat="1" ht="15" customHeight="1">
      <c r="A365" s="64"/>
      <c r="B365" s="64"/>
      <c r="C365" s="65"/>
      <c r="D365" s="66"/>
      <c r="E365" s="64"/>
      <c r="F365" s="67"/>
      <c r="G365" s="67"/>
      <c r="H365" s="67"/>
      <c r="I365" s="68"/>
      <c r="J365" s="67"/>
      <c r="K365" s="69"/>
    </row>
    <row r="366" spans="1:11" ht="25.5" customHeight="1">
      <c r="A366" s="71" t="s">
        <v>27</v>
      </c>
      <c r="B366" s="64"/>
      <c r="C366" s="72"/>
      <c r="D366" s="66"/>
      <c r="E366" s="64"/>
      <c r="F366" s="67"/>
      <c r="G366" s="67"/>
      <c r="H366" s="67"/>
      <c r="I366" s="67"/>
      <c r="J366" s="67"/>
      <c r="K366" s="70"/>
    </row>
    <row r="367" spans="1:11" ht="20.25" customHeight="1">
      <c r="A367" s="64"/>
      <c r="B367" s="64"/>
      <c r="C367" s="64"/>
      <c r="D367" s="66"/>
      <c r="E367" s="64"/>
      <c r="F367" s="67"/>
      <c r="G367" s="67"/>
      <c r="H367" s="67"/>
      <c r="I367" s="67"/>
      <c r="J367" s="67"/>
      <c r="K367" s="70"/>
    </row>
    <row r="368" spans="1:11" ht="20.25" customHeight="1">
      <c r="A368" s="64"/>
      <c r="B368" s="64"/>
      <c r="C368" s="64"/>
      <c r="D368" s="64"/>
      <c r="E368" s="64"/>
      <c r="F368" s="64"/>
      <c r="G368" s="64"/>
      <c r="H368" s="64"/>
      <c r="I368" s="64"/>
      <c r="J368" s="64"/>
    </row>
    <row r="369" ht="20.25" customHeight="1"/>
    <row r="370" ht="20.25" customHeight="1"/>
  </sheetData>
  <mergeCells count="113">
    <mergeCell ref="B260:K260"/>
    <mergeCell ref="A290:K290"/>
    <mergeCell ref="B292:K292"/>
    <mergeCell ref="B304:K304"/>
    <mergeCell ref="B317:K317"/>
    <mergeCell ref="B243:K243"/>
    <mergeCell ref="B170:K170"/>
    <mergeCell ref="B179:K179"/>
    <mergeCell ref="B191:K191"/>
    <mergeCell ref="B192:K192"/>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358:K358"/>
    <mergeCell ref="B339:K339"/>
    <mergeCell ref="B336:K336"/>
    <mergeCell ref="B337:K337"/>
    <mergeCell ref="B338:K338"/>
    <mergeCell ref="A357:K357"/>
    <mergeCell ref="B342:K342"/>
    <mergeCell ref="B341:K341"/>
    <mergeCell ref="B340:K340"/>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s>
  <pageMargins left="1.1811023622047245" right="0.43307086614173229" top="0.78740157480314965" bottom="0.78740157480314965" header="0.31496062992125984" footer="0.31496062992125984"/>
  <pageSetup paperSize="9" scale="43" orientation="landscape" r:id="rId1"/>
  <rowBreaks count="9" manualBreakCount="9">
    <brk id="33" max="10" man="1"/>
    <brk id="71" max="10" man="1"/>
    <brk id="104" max="10" man="1"/>
    <brk id="139" max="10" man="1"/>
    <brk id="175" max="10" man="1"/>
    <brk id="214" max="10" man="1"/>
    <brk id="248" max="10" man="1"/>
    <brk id="284" max="10" man="1"/>
    <brk id="321" max="10" man="1"/>
  </rowBreaks>
</worksheet>
</file>

<file path=xl/worksheets/sheet4.xml><?xml version="1.0" encoding="utf-8"?>
<worksheet xmlns="http://schemas.openxmlformats.org/spreadsheetml/2006/main" xmlns:r="http://schemas.openxmlformats.org/officeDocument/2006/relationships">
  <dimension ref="A2:M31"/>
  <sheetViews>
    <sheetView view="pageBreakPreview" topLeftCell="A16" zoomScale="50" zoomScaleNormal="60" zoomScaleSheetLayoutView="50" workbookViewId="0">
      <selection activeCell="A24" sqref="A24"/>
    </sheetView>
  </sheetViews>
  <sheetFormatPr defaultColWidth="9.140625" defaultRowHeight="18.75"/>
  <cols>
    <col min="1" max="1" width="7.5703125" style="8" customWidth="1"/>
    <col min="2" max="2" width="21.42578125" style="8" customWidth="1"/>
    <col min="3" max="3" width="43.140625" style="8" customWidth="1"/>
    <col min="4" max="4" width="20.5703125" style="8" customWidth="1"/>
    <col min="5" max="5" width="23.7109375" style="8" customWidth="1"/>
    <col min="6" max="6" width="25.140625" style="8" customWidth="1"/>
    <col min="7" max="7" width="28.28515625" style="8" customWidth="1"/>
    <col min="8" max="8" width="26.7109375" style="8" customWidth="1"/>
    <col min="9" max="9" width="37.140625" style="8" customWidth="1"/>
    <col min="10" max="10" width="11" style="8" bestFit="1" customWidth="1"/>
    <col min="11" max="11" width="9.5703125" style="8" bestFit="1" customWidth="1"/>
    <col min="12" max="12" width="11" style="8" bestFit="1" customWidth="1"/>
    <col min="13" max="13" width="9.5703125" style="8" bestFit="1" customWidth="1"/>
    <col min="14" max="16384" width="9.140625" style="8"/>
  </cols>
  <sheetData>
    <row r="2" spans="1:11">
      <c r="A2" s="632" t="s">
        <v>449</v>
      </c>
      <c r="B2" s="632"/>
      <c r="C2" s="632"/>
      <c r="D2" s="632"/>
      <c r="E2" s="632"/>
      <c r="F2" s="632"/>
      <c r="G2" s="632"/>
      <c r="H2" s="632"/>
      <c r="I2" s="632"/>
    </row>
    <row r="3" spans="1:11">
      <c r="A3" s="633"/>
      <c r="B3" s="633"/>
      <c r="C3" s="633"/>
      <c r="D3" s="633"/>
      <c r="E3" s="633"/>
      <c r="F3" s="633"/>
      <c r="G3" s="633"/>
      <c r="H3" s="633"/>
      <c r="I3" s="633"/>
    </row>
    <row r="4" spans="1:11">
      <c r="A4" s="634" t="s">
        <v>1</v>
      </c>
      <c r="B4" s="634" t="s">
        <v>2</v>
      </c>
      <c r="C4" s="634" t="s">
        <v>3</v>
      </c>
      <c r="D4" s="634" t="s">
        <v>4</v>
      </c>
      <c r="E4" s="635" t="s">
        <v>480</v>
      </c>
      <c r="F4" s="635" t="s">
        <v>481</v>
      </c>
      <c r="G4" s="635" t="s">
        <v>482</v>
      </c>
      <c r="H4" s="636" t="s">
        <v>450</v>
      </c>
      <c r="I4" s="637"/>
    </row>
    <row r="5" spans="1:11">
      <c r="A5" s="634"/>
      <c r="B5" s="634"/>
      <c r="C5" s="634"/>
      <c r="D5" s="634"/>
      <c r="E5" s="635"/>
      <c r="F5" s="635"/>
      <c r="G5" s="635"/>
      <c r="H5" s="638"/>
      <c r="I5" s="639"/>
    </row>
    <row r="6" spans="1:11">
      <c r="A6" s="634"/>
      <c r="B6" s="634"/>
      <c r="C6" s="634"/>
      <c r="D6" s="634"/>
      <c r="E6" s="635"/>
      <c r="F6" s="635"/>
      <c r="G6" s="635"/>
      <c r="H6" s="640"/>
      <c r="I6" s="641"/>
    </row>
    <row r="7" spans="1:11">
      <c r="A7" s="265">
        <v>1</v>
      </c>
      <c r="B7" s="265">
        <v>2</v>
      </c>
      <c r="C7" s="265">
        <v>3</v>
      </c>
      <c r="D7" s="265">
        <v>4</v>
      </c>
      <c r="E7" s="232">
        <v>5</v>
      </c>
      <c r="F7" s="232">
        <v>6</v>
      </c>
      <c r="G7" s="232">
        <v>7</v>
      </c>
      <c r="H7" s="622"/>
      <c r="I7" s="623"/>
    </row>
    <row r="8" spans="1:11" ht="134.25" customHeight="1">
      <c r="A8" s="267" t="s">
        <v>210</v>
      </c>
      <c r="B8" s="270" t="s">
        <v>204</v>
      </c>
      <c r="C8" s="268" t="s">
        <v>478</v>
      </c>
      <c r="D8" s="271" t="s">
        <v>451</v>
      </c>
      <c r="E8" s="272">
        <v>3179.2</v>
      </c>
      <c r="F8" s="272">
        <f t="shared" ref="F8:F14" si="0">G8-E8</f>
        <v>600</v>
      </c>
      <c r="G8" s="272">
        <v>3779.2</v>
      </c>
      <c r="H8" s="620" t="s">
        <v>494</v>
      </c>
      <c r="I8" s="621"/>
    </row>
    <row r="9" spans="1:11" ht="270" customHeight="1">
      <c r="A9" s="629" t="s">
        <v>215</v>
      </c>
      <c r="B9" s="626" t="s">
        <v>205</v>
      </c>
      <c r="C9" s="624" t="s">
        <v>213</v>
      </c>
      <c r="D9" s="258" t="s">
        <v>451</v>
      </c>
      <c r="E9" s="257">
        <v>4679.2</v>
      </c>
      <c r="F9" s="257">
        <f t="shared" si="0"/>
        <v>1300</v>
      </c>
      <c r="G9" s="257">
        <f>4679.2+1300</f>
        <v>5979.2</v>
      </c>
      <c r="H9" s="620" t="s">
        <v>488</v>
      </c>
      <c r="I9" s="621"/>
    </row>
    <row r="10" spans="1:11" ht="138" customHeight="1">
      <c r="A10" s="630"/>
      <c r="B10" s="627"/>
      <c r="C10" s="625"/>
      <c r="D10" s="266" t="s">
        <v>317</v>
      </c>
      <c r="E10" s="257">
        <v>15</v>
      </c>
      <c r="F10" s="257">
        <f t="shared" si="0"/>
        <v>110</v>
      </c>
      <c r="G10" s="257">
        <v>125</v>
      </c>
      <c r="H10" s="620" t="s">
        <v>489</v>
      </c>
      <c r="I10" s="621"/>
    </row>
    <row r="11" spans="1:11" ht="85.5" customHeight="1">
      <c r="A11" s="631"/>
      <c r="B11" s="628"/>
      <c r="C11" s="271" t="s">
        <v>216</v>
      </c>
      <c r="D11" s="266" t="s">
        <v>451</v>
      </c>
      <c r="E11" s="257">
        <v>25145.3</v>
      </c>
      <c r="F11" s="257">
        <f t="shared" si="0"/>
        <v>2300.0099999999984</v>
      </c>
      <c r="G11" s="257">
        <v>27445.309999999998</v>
      </c>
      <c r="H11" s="620" t="s">
        <v>494</v>
      </c>
      <c r="I11" s="621"/>
    </row>
    <row r="12" spans="1:11" ht="100.5" customHeight="1">
      <c r="A12" s="273" t="s">
        <v>222</v>
      </c>
      <c r="B12" s="269" t="s">
        <v>260</v>
      </c>
      <c r="C12" s="274" t="s">
        <v>224</v>
      </c>
      <c r="D12" s="266" t="s">
        <v>451</v>
      </c>
      <c r="E12" s="257">
        <v>534.5</v>
      </c>
      <c r="F12" s="257">
        <f t="shared" si="0"/>
        <v>62</v>
      </c>
      <c r="G12" s="257">
        <v>596.5</v>
      </c>
      <c r="H12" s="620" t="s">
        <v>494</v>
      </c>
      <c r="I12" s="621"/>
    </row>
    <row r="13" spans="1:11" ht="62.25" customHeight="1">
      <c r="A13" s="609" t="s">
        <v>483</v>
      </c>
      <c r="B13" s="610"/>
      <c r="C13" s="611"/>
      <c r="D13" s="248"/>
      <c r="E13" s="252">
        <v>59206.3</v>
      </c>
      <c r="F13" s="252">
        <f t="shared" si="0"/>
        <v>4371.9600000000064</v>
      </c>
      <c r="G13" s="250">
        <v>63578.260000000009</v>
      </c>
      <c r="H13" s="614"/>
      <c r="I13" s="616"/>
      <c r="K13" s="233"/>
    </row>
    <row r="14" spans="1:11" ht="108.75" customHeight="1">
      <c r="A14" s="266" t="s">
        <v>232</v>
      </c>
      <c r="B14" s="266" t="s">
        <v>209</v>
      </c>
      <c r="C14" s="266" t="s">
        <v>475</v>
      </c>
      <c r="D14" s="266" t="s">
        <v>451</v>
      </c>
      <c r="E14" s="257">
        <v>3066.4</v>
      </c>
      <c r="F14" s="257">
        <f t="shared" si="0"/>
        <v>7.0999999999999091</v>
      </c>
      <c r="G14" s="275">
        <v>3073.5</v>
      </c>
      <c r="H14" s="620" t="s">
        <v>494</v>
      </c>
      <c r="I14" s="621"/>
      <c r="K14" s="233"/>
    </row>
    <row r="15" spans="1:11" ht="114.75" customHeight="1">
      <c r="A15" s="263" t="s">
        <v>234</v>
      </c>
      <c r="B15" s="264" t="s">
        <v>93</v>
      </c>
      <c r="C15" s="247" t="s">
        <v>476</v>
      </c>
      <c r="D15" s="258" t="s">
        <v>451</v>
      </c>
      <c r="E15" s="257">
        <v>0</v>
      </c>
      <c r="F15" s="257">
        <f t="shared" ref="F15:F17" si="1">G15-E15</f>
        <v>585</v>
      </c>
      <c r="G15" s="257">
        <v>585</v>
      </c>
      <c r="H15" s="620" t="s">
        <v>491</v>
      </c>
      <c r="I15" s="621"/>
    </row>
    <row r="16" spans="1:11" ht="54" customHeight="1">
      <c r="A16" s="609" t="s">
        <v>484</v>
      </c>
      <c r="B16" s="610"/>
      <c r="C16" s="611"/>
      <c r="D16" s="248"/>
      <c r="E16" s="252">
        <v>3066.4</v>
      </c>
      <c r="F16" s="252">
        <f t="shared" si="1"/>
        <v>592.09999999999991</v>
      </c>
      <c r="G16" s="252">
        <v>3658.5</v>
      </c>
      <c r="H16" s="259"/>
      <c r="I16" s="260"/>
    </row>
    <row r="17" spans="1:13" ht="296.25" customHeight="1">
      <c r="A17" s="617" t="s">
        <v>236</v>
      </c>
      <c r="B17" s="619" t="s">
        <v>237</v>
      </c>
      <c r="C17" s="261" t="s">
        <v>472</v>
      </c>
      <c r="D17" s="224" t="s">
        <v>473</v>
      </c>
      <c r="E17" s="257">
        <v>71302.3</v>
      </c>
      <c r="F17" s="257">
        <f t="shared" si="1"/>
        <v>18160</v>
      </c>
      <c r="G17" s="257">
        <f>71302.3+3860+1300+13000</f>
        <v>89462.3</v>
      </c>
      <c r="H17" s="620" t="s">
        <v>490</v>
      </c>
      <c r="I17" s="621"/>
    </row>
    <row r="18" spans="1:13" ht="246.75" customHeight="1">
      <c r="A18" s="618"/>
      <c r="B18" s="619"/>
      <c r="C18" s="262" t="s">
        <v>447</v>
      </c>
      <c r="D18" s="224" t="s">
        <v>473</v>
      </c>
      <c r="E18" s="257">
        <v>39611.800000000003</v>
      </c>
      <c r="F18" s="257">
        <f>G18-E18</f>
        <v>3848.2000000000044</v>
      </c>
      <c r="G18" s="257">
        <f>39611.8+1009.3+2583.9+300-45</f>
        <v>43460.000000000007</v>
      </c>
      <c r="H18" s="620" t="s">
        <v>492</v>
      </c>
      <c r="I18" s="621"/>
    </row>
    <row r="19" spans="1:13" ht="40.5" customHeight="1">
      <c r="A19" s="609" t="s">
        <v>485</v>
      </c>
      <c r="B19" s="610"/>
      <c r="C19" s="611"/>
      <c r="D19" s="224"/>
      <c r="E19" s="252">
        <v>138953.20000000001</v>
      </c>
      <c r="F19" s="252">
        <f>G19-E19</f>
        <v>22008.199999999983</v>
      </c>
      <c r="G19" s="252">
        <v>160961.4</v>
      </c>
      <c r="H19" s="612"/>
      <c r="I19" s="613"/>
      <c r="L19" s="233"/>
      <c r="M19" s="233"/>
    </row>
    <row r="20" spans="1:13" ht="18.75" customHeight="1">
      <c r="A20" s="614" t="s">
        <v>448</v>
      </c>
      <c r="B20" s="615"/>
      <c r="C20" s="616"/>
      <c r="D20" s="225"/>
      <c r="E20" s="252">
        <v>230537.2</v>
      </c>
      <c r="F20" s="252">
        <f>G20-E20</f>
        <v>26972.290000000037</v>
      </c>
      <c r="G20" s="252">
        <v>257509.49000000005</v>
      </c>
      <c r="H20" s="612"/>
      <c r="I20" s="613"/>
      <c r="J20" s="233"/>
    </row>
    <row r="22" spans="1:13">
      <c r="I22" s="233"/>
    </row>
    <row r="23" spans="1:13">
      <c r="A23" s="60" t="s">
        <v>495</v>
      </c>
      <c r="B23" s="60"/>
      <c r="C23" s="226"/>
      <c r="D23" s="227"/>
      <c r="E23" s="60"/>
      <c r="F23" s="228" t="s">
        <v>496</v>
      </c>
      <c r="G23" s="229"/>
      <c r="H23" s="229"/>
    </row>
    <row r="24" spans="1:13">
      <c r="A24" s="60"/>
      <c r="B24" s="60"/>
      <c r="C24" s="226"/>
      <c r="D24" s="227"/>
      <c r="E24" s="60"/>
      <c r="F24" s="229"/>
      <c r="G24" s="229"/>
      <c r="H24" s="229"/>
      <c r="I24" s="228"/>
    </row>
    <row r="25" spans="1:13">
      <c r="A25" s="230" t="s">
        <v>27</v>
      </c>
      <c r="B25" s="60"/>
      <c r="C25" s="231"/>
      <c r="D25" s="227"/>
      <c r="E25" s="60"/>
      <c r="F25" s="276"/>
      <c r="G25" s="229"/>
      <c r="H25" s="229"/>
      <c r="I25" s="229"/>
    </row>
    <row r="27" spans="1:13">
      <c r="F27" s="254"/>
    </row>
    <row r="30" spans="1:13">
      <c r="F30" s="233"/>
    </row>
    <row r="31" spans="1:13">
      <c r="E31" s="233"/>
      <c r="F31" s="233"/>
      <c r="G31" s="233"/>
    </row>
  </sheetData>
  <mergeCells count="31">
    <mergeCell ref="A2:I3"/>
    <mergeCell ref="A4:A6"/>
    <mergeCell ref="B4:B6"/>
    <mergeCell ref="C4:C6"/>
    <mergeCell ref="D4:D6"/>
    <mergeCell ref="E4:E6"/>
    <mergeCell ref="F4:F6"/>
    <mergeCell ref="G4:G6"/>
    <mergeCell ref="H4:I6"/>
    <mergeCell ref="H15:I15"/>
    <mergeCell ref="H7:I7"/>
    <mergeCell ref="C9:C10"/>
    <mergeCell ref="H9:I9"/>
    <mergeCell ref="H10:I10"/>
    <mergeCell ref="A13:C13"/>
    <mergeCell ref="H13:I13"/>
    <mergeCell ref="H8:I8"/>
    <mergeCell ref="B9:B11"/>
    <mergeCell ref="A9:A11"/>
    <mergeCell ref="H11:I11"/>
    <mergeCell ref="H12:I12"/>
    <mergeCell ref="H14:I14"/>
    <mergeCell ref="A19:C19"/>
    <mergeCell ref="H19:I19"/>
    <mergeCell ref="A20:C20"/>
    <mergeCell ref="H20:I20"/>
    <mergeCell ref="A16:C16"/>
    <mergeCell ref="A17:A18"/>
    <mergeCell ref="B17:B18"/>
    <mergeCell ref="H17:I17"/>
    <mergeCell ref="H18:I18"/>
  </mergeCells>
  <pageMargins left="0.70866141732283472" right="0.70866141732283472" top="0.74803149606299213" bottom="0.74803149606299213" header="0.31496062992125984" footer="0.31496062992125984"/>
  <pageSetup paperSize="9" scale="5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2021-10-26T06:10:22Z</cp:lastPrinted>
  <dcterms:created xsi:type="dcterms:W3CDTF">1996-10-08T23:32:33Z</dcterms:created>
  <dcterms:modified xsi:type="dcterms:W3CDTF">2021-10-26T07:50:41Z</dcterms:modified>
</cp:coreProperties>
</file>