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4" sheetId="1" r:id="rId1"/>
  </sheets>
  <definedNames>
    <definedName name="_xlfn.AGGREGATE" hidden="1">#NAME?</definedName>
    <definedName name="_xlnm.Print_Titles" localSheetId="0">'дод 4'!$15:$16</definedName>
    <definedName name="_xlnm.Print_Area" localSheetId="0">'дод 4'!$A$1:$J$321</definedName>
  </definedNames>
  <calcPr fullCalcOnLoad="1"/>
</workbook>
</file>

<file path=xl/sharedStrings.xml><?xml version="1.0" encoding="utf-8"?>
<sst xmlns="http://schemas.openxmlformats.org/spreadsheetml/2006/main" count="1307" uniqueCount="594">
  <si>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</si>
  <si>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</si>
  <si>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</si>
  <si>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</si>
  <si>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</si>
  <si>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</si>
  <si>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</si>
  <si>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</si>
  <si>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</si>
  <si>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</si>
  <si>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</si>
  <si>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</si>
  <si>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</si>
  <si>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</si>
  <si>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</si>
  <si>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</si>
  <si>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</si>
  <si>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</si>
  <si>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</si>
  <si>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</si>
  <si>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</si>
  <si>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</si>
  <si>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</si>
  <si>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</si>
  <si>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</si>
  <si>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</si>
  <si>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</si>
  <si>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</si>
  <si>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</si>
  <si>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</si>
  <si>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</si>
  <si>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</si>
  <si>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</si>
  <si>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</si>
  <si>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</si>
  <si>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</si>
  <si>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</si>
  <si>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</si>
  <si>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</si>
  <si>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</si>
  <si>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</si>
  <si>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</si>
  <si>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</si>
  <si>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</si>
  <si>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</si>
  <si>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</si>
  <si>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</si>
  <si>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</si>
  <si>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</si>
  <si>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</si>
  <si>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</si>
  <si>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</si>
  <si>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</si>
  <si>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</si>
  <si>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</si>
  <si>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</si>
  <si>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</si>
  <si>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</si>
  <si>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</si>
  <si>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</si>
  <si>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</si>
  <si>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</si>
  <si>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</si>
  <si>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</si>
  <si>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</si>
  <si>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</si>
  <si>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</si>
  <si>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</si>
  <si>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</si>
  <si>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</si>
  <si>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</si>
  <si>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</si>
  <si>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</si>
  <si>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</si>
  <si>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</si>
  <si>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</si>
  <si>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</si>
  <si>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</si>
  <si>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</si>
  <si>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</si>
  <si>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</si>
  <si>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</si>
  <si>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</si>
  <si>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</si>
  <si>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</si>
  <si>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</si>
  <si>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</si>
  <si>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</si>
  <si>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</si>
  <si>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</si>
  <si>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</si>
  <si>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</si>
  <si>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</si>
  <si>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</si>
  <si>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</si>
  <si>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</si>
  <si>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</si>
  <si>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</si>
  <si>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</si>
  <si>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</si>
  <si>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</si>
  <si>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</si>
  <si>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</si>
  <si>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</si>
  <si>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</si>
  <si>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</si>
  <si>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</si>
  <si>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</si>
  <si>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</si>
  <si>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</si>
  <si>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</si>
  <si>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</si>
  <si>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</si>
  <si>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</si>
  <si>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</si>
  <si>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</si>
  <si>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</si>
  <si>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</si>
  <si>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</si>
  <si>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</si>
  <si>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</si>
  <si>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</si>
  <si>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</si>
  <si>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</si>
  <si>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</si>
  <si>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</si>
  <si>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</si>
  <si>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</si>
  <si>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</si>
  <si>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</si>
  <si>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</si>
  <si>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</si>
  <si>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</si>
  <si>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</si>
  <si>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</si>
  <si>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</si>
  <si>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</si>
  <si>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</si>
  <si>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</si>
  <si>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</si>
  <si>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</si>
  <si>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</si>
  <si>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</si>
  <si>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</si>
  <si>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</si>
  <si>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</si>
  <si>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</si>
  <si>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</si>
  <si>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</si>
  <si>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</si>
  <si>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</si>
  <si>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</si>
  <si>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</si>
  <si>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</si>
  <si>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</si>
  <si>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</si>
  <si>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</si>
  <si>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</si>
  <si>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</si>
  <si>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</si>
  <si>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</si>
  <si>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</si>
  <si>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</si>
  <si>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</si>
  <si>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</si>
  <si>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</si>
  <si>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</si>
  <si>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</si>
  <si>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</si>
  <si>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</si>
  <si>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</si>
  <si>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</si>
  <si>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</si>
  <si>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</si>
  <si>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</si>
  <si>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</si>
  <si>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</si>
  <si>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</si>
  <si>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</si>
  <si>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</si>
  <si>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</si>
  <si>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</si>
  <si>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</si>
  <si>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</si>
  <si>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</si>
  <si>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</si>
  <si>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</si>
  <si>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</si>
  <si>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</si>
  <si>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</si>
  <si>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</si>
  <si>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</si>
  <si>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</si>
  <si>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</si>
  <si>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</si>
  <si>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</si>
  <si>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</si>
  <si>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</si>
  <si>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</si>
  <si>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</si>
  <si>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</si>
  <si>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</si>
  <si>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</si>
  <si>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</si>
  <si>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</si>
  <si>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</si>
  <si>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</si>
  <si>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</si>
  <si>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</si>
  <si>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</si>
  <si>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</si>
  <si>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</si>
  <si>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</si>
  <si>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</si>
  <si>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</si>
  <si>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</si>
  <si>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</si>
  <si>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</si>
  <si>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</si>
  <si>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</si>
  <si>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</si>
  <si>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</si>
  <si>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</si>
  <si>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</si>
  <si>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</si>
  <si>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</si>
  <si>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</si>
  <si>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</si>
  <si>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</si>
  <si>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</si>
  <si>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</si>
  <si>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</si>
  <si>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</si>
  <si>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</si>
  <si>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</si>
  <si>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</si>
  <si>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</si>
  <si>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</si>
  <si>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</si>
  <si>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</si>
  <si>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</si>
  <si>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</si>
  <si>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</si>
  <si>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</si>
  <si>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</si>
  <si>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</si>
  <si>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</si>
  <si>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</si>
  <si>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</si>
  <si>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</si>
  <si>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</si>
  <si>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</si>
  <si>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</si>
  <si>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</si>
  <si>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</si>
  <si>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</si>
  <si>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</si>
  <si>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</si>
  <si>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</si>
  <si>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</si>
  <si>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</si>
  <si>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</si>
  <si>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</si>
  <si>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</si>
  <si>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</si>
  <si>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</si>
  <si>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</si>
  <si>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</si>
  <si>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</si>
  <si>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</si>
  <si>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</si>
  <si>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</si>
  <si>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</si>
  <si>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</si>
  <si>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</si>
  <si>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</si>
  <si>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</si>
  <si>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</si>
  <si>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</si>
  <si>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</si>
  <si>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</si>
  <si>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</si>
  <si>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</si>
  <si>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</si>
  <si>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</si>
  <si>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</si>
  <si>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</si>
  <si>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</si>
  <si>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</si>
  <si>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</si>
  <si>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</si>
  <si>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</si>
  <si>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</si>
  <si>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</si>
  <si>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</si>
  <si>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</si>
  <si>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</si>
  <si>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</si>
  <si>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</si>
  <si>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</si>
  <si>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</si>
  <si>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</si>
  <si>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</si>
  <si>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</si>
  <si>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</si>
  <si>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</si>
  <si>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</si>
  <si>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</si>
  <si>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</si>
  <si>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</si>
  <si>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</si>
  <si>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</si>
  <si>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</si>
  <si>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</si>
  <si>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</si>
  <si>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</si>
  <si>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</si>
  <si>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</si>
  <si>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</si>
  <si>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</si>
  <si>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</si>
  <si>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</si>
  <si>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</si>
  <si>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</si>
  <si>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3717693</t>
  </si>
  <si>
    <t>0611150</t>
  </si>
  <si>
    <t>1150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</si>
  <si>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</si>
  <si>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</si>
  <si>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</si>
  <si>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</si>
  <si>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</si>
  <si>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</si>
  <si>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</si>
  <si>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</si>
  <si>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</si>
  <si>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</si>
  <si>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Будівництво інших об'єктів комунальної власності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</si>
  <si>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</si>
  <si>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</si>
  <si>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</si>
  <si>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</si>
  <si>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</si>
  <si>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</si>
  <si>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</si>
  <si>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</si>
  <si>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</si>
  <si>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</si>
  <si>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</si>
  <si>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</si>
  <si>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</si>
  <si>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28.11.2018 року № 4154-МР  (зі змінами)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</si>
  <si>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</si>
  <si>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</si>
  <si>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</si>
  <si>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</si>
  <si>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</si>
  <si>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</si>
  <si>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</si>
  <si>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</si>
  <si>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</si>
  <si>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</si>
  <si>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</si>
  <si>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</si>
  <si>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</si>
  <si>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</si>
  <si>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</si>
  <si>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</si>
  <si>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</si>
  <si>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</si>
  <si>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</si>
  <si>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</si>
  <si>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</si>
  <si>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</si>
  <si>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</si>
  <si>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</si>
  <si>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</si>
  <si>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</si>
  <si>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</si>
  <si>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</si>
  <si>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</si>
  <si>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</si>
  <si>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</si>
  <si>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</si>
  <si>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3718600</t>
  </si>
  <si>
    <t>0170</t>
  </si>
  <si>
    <t>Обслуговування місцевого боргу</t>
  </si>
  <si>
    <t>від 19.12.2018 року № 4332-МР (зі змінами)</t>
  </si>
  <si>
    <t>09 Управління  «Служба у справах дітей» Сумської міської ради</t>
  </si>
  <si>
    <t>від 27.11.2019 року № 5996-МР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</si>
  <si>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</si>
  <si>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</si>
  <si>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</si>
  <si>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</si>
  <si>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</si>
  <si>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Цільова програма капітального ремонту, модернізації, заміни та диспетчеризації ліфтів на 2020-2022 роки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</si>
  <si>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</si>
  <si>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</si>
  <si>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</si>
  <si>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від 18.12.2019 № 6107-МР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</si>
  <si>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</si>
  <si>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</si>
  <si>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</si>
  <si>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</si>
  <si>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</si>
  <si>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</si>
  <si>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</si>
  <si>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</si>
  <si>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</si>
  <si>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</si>
  <si>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</si>
  <si>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</si>
  <si>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Витрати, пов’язані з наданням та обслуговуванням пільгових довгострокових кредитів, наданих громадянам на будівництво /реконструкцію/придбання житла</t>
  </si>
  <si>
    <t xml:space="preserve">Програма «Молодь територіальної громади                                             м. Суми на 2019-2021 роки» </t>
  </si>
  <si>
    <t>від 19.12.2018 року № 4335-МР (зі змінами)</t>
  </si>
  <si>
    <t>від 19.12.2018 року № 4327-МР (зі змінами)</t>
  </si>
  <si>
    <t xml:space="preserve">від 19.12.2018 року № 4334-МР (зі змінами) 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</si>
  <si>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</si>
  <si>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</si>
  <si>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</si>
  <si>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</si>
  <si>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</si>
  <si>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0217325</t>
  </si>
  <si>
    <t>1217530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</si>
  <si>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</si>
  <si>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</si>
  <si>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</si>
  <si>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</si>
  <si>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від 19.12.2018 року № 4328-МР (зі змінами)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</si>
  <si>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</si>
  <si>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</si>
  <si>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</si>
  <si>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</si>
  <si>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</si>
  <si>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</si>
  <si>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</si>
  <si>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</si>
  <si>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Програма підвищення енергоефективності в бюджетній сфері Сумської міської територіальної громади на 2020-2022 роки</t>
  </si>
  <si>
    <t>Програма Сумської міської територіальної громади «Милосердя» на 2019-2021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</si>
  <si>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</si>
  <si>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</si>
  <si>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</si>
  <si>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</si>
  <si>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</si>
  <si>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 xml:space="preserve">від 21.10.2020 року № 7548-МР </t>
  </si>
  <si>
    <t xml:space="preserve">від 21.10.2020 року № 7549-МР </t>
  </si>
  <si>
    <t>Програма молодіжного житлового кредитування Сумської міської територіальної громади на 2021 - 2023 роки та Порядку надання пільгового довгострокового кредиту на будівництво (реконструкцію) житла за рахунок бюджету Сумської міської територіальної громади</t>
  </si>
  <si>
    <t xml:space="preserve">Комплексна Програма розвитку міського пасажирського транспорту Сумської міської територіальної громади на 2019-2021 роки </t>
  </si>
  <si>
    <t>Програма охорони навколишнього природного середовища Сумської міської територіальної громади на 2019-2021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</si>
  <si>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</si>
  <si>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територіальної громади»  </t>
  </si>
  <si>
    <t xml:space="preserve">Комплексна програма Сумської міської територіальної громади «Освіта на 2019-2021 роки» </t>
  </si>
  <si>
    <t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2020-2022 роки»</t>
  </si>
  <si>
    <t>Програма сприяння розвитку громадянського суспільства Сумської міської територіальної громади на 2019-2021 роки</t>
  </si>
  <si>
    <t xml:space="preserve">Програма «Відкритий інформаційний простір Сумської міської територіальної громади» на 2019-2021 роки </t>
  </si>
  <si>
    <t>Програма розвитку фізичної культури і спорту Сумської міської територіальної громади на 2019-2021 роки</t>
  </si>
  <si>
    <t>Цільова Програма підтримки малого і середнього підприємництва Сумської міської територіальної громади на 2020-2022 роки</t>
  </si>
  <si>
    <t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2019-2021 роки</t>
  </si>
  <si>
    <t>Цільова комплексна Програма розвитку культури  Сумської міської територіальної громади на 2019 - 2021 роки</t>
  </si>
  <si>
    <t>Програма зайнятості населення Сумської міської територіальної громади на 2019-2020 роки</t>
  </si>
  <si>
    <t>від 13.11.2019 року № 5845-МР (зі змінами)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</si>
  <si>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</si>
  <si>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</si>
  <si>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   (зі змінами)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</si>
  <si>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2021-2023 роки</t>
  </si>
  <si>
    <t xml:space="preserve">07 Управління охорони здоров’я Сумської міської ради  </t>
  </si>
  <si>
    <t xml:space="preserve">Програма Сумської міської територіальної громади «Соціальні служби готові прийти на допомогу на 2019 - 2021 роки» </t>
  </si>
  <si>
    <t>Програма з реалізації Конвенції ООН про права дитини Сумської міської територіальної громади на 2020-2022 роки</t>
  </si>
  <si>
    <t xml:space="preserve">від 18.12.2019 року № 6113-МР (зі змінами) </t>
  </si>
  <si>
    <t xml:space="preserve">Комплексна 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2019-2021 роки </t>
  </si>
  <si>
    <t>0617700</t>
  </si>
  <si>
    <t>Керівництво і управління у відповідній сфері у містах (місті Києві), селищах, селах, територіальних громадах</t>
  </si>
  <si>
    <t xml:space="preserve">Утримання та забезпечення діяльності центрів соціальних служб </t>
  </si>
  <si>
    <t>1011080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</si>
  <si>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</si>
  <si>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0611021</t>
  </si>
  <si>
    <t xml:space="preserve">Надання загальної середньої освіти закладами загальної середньої освіти </t>
  </si>
  <si>
    <t>0611022</t>
  </si>
  <si>
    <t>0611031</t>
  </si>
  <si>
    <t>0611032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</si>
  <si>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</si>
  <si>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</si>
  <si>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</si>
  <si>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</si>
  <si>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</si>
  <si>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</si>
  <si>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</si>
  <si>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</si>
  <si>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</si>
  <si>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</si>
  <si>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</si>
  <si>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від 21.10.2020 року № 7548-МР (зі змінами) </t>
  </si>
  <si>
    <t xml:space="preserve">від 21.10.2020 року № 7548-МР (зі змінами)  </t>
  </si>
  <si>
    <t>від 24.12.2020 № 84 -МР (зі змінами)</t>
  </si>
  <si>
    <t>від 24.12.2020 року № 63-МР</t>
  </si>
  <si>
    <t>Забезпечення діяльності інклюзивно-ресурсних центрів за рахунок освітньої субвенції</t>
  </si>
  <si>
    <t xml:space="preserve">       Розподіл витрат бюджету Сумської міської територіальної громади на реалізацію цільових (комплексних) програм                                                                                                                                                  у 2021 році</t>
  </si>
  <si>
    <t>від 18.12.2019 року № 6108-МР (зі змінами)</t>
  </si>
  <si>
    <t>1519750</t>
  </si>
  <si>
    <t>Субвенція з місцевого бюджету на співфінансування інвестиційних проектів</t>
  </si>
  <si>
    <t>0611061</t>
  </si>
  <si>
    <t>Надання загальної середньої освіти закладами загальної середньої освіти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</si>
  <si>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</si>
  <si>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</si>
  <si>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від 24.02.2021 року № 461-МР </t>
  </si>
  <si>
    <t xml:space="preserve">(зі змінами)» </t>
  </si>
  <si>
    <t>0810180</t>
  </si>
  <si>
    <t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t>
  </si>
  <si>
    <t>від 24.03.2021 року № 517-МР</t>
  </si>
  <si>
    <t>від 24.12.2020 року № 63-МР                                  (зі змінами)</t>
  </si>
  <si>
    <t>від 24.12.2020 року № 84 -МР                                                                                             (зі змінами)</t>
  </si>
  <si>
    <t>від 24.12.2020 року № 84 -МР                                                                                                                                        (зі змінами)</t>
  </si>
  <si>
    <t>від 24.12.2019 року № 63-МР                                             (зі змінами)</t>
  </si>
  <si>
    <t>від 24.12.2020 року № 84 -МР                                                         (зі змінами)</t>
  </si>
  <si>
    <t>від 24.12.2020 року № 84 -МР                                                                 (зі змінами)</t>
  </si>
  <si>
    <t>від 24.12.2020 року № 84 -МР                                                                    (зі змінами)</t>
  </si>
  <si>
    <t>від 24.12.2020 року № 84 -МР                                                     (зі змінами)</t>
  </si>
  <si>
    <t>від 24.12.2020 року № 84 -МР                                                                   (зі змінами)</t>
  </si>
  <si>
    <t xml:space="preserve">від 24.12.2019 року № 63-МР                                                   (зі змінами) </t>
  </si>
  <si>
    <t>від 24.12.2020 року № 84 -МР                                                                                        (зі змінами)</t>
  </si>
  <si>
    <t xml:space="preserve">від 24.02.2021 року № 461 -МР </t>
  </si>
  <si>
    <t>від 24.12.2020 року № 84 -МР                              (зі змінами)</t>
  </si>
  <si>
    <t>від 28.11.2018 року № 4153-МР                                   (зі змінами)</t>
  </si>
  <si>
    <t>від 28.11.2018 року № 4153-МР           (зі змінами)</t>
  </si>
  <si>
    <t>від 28.11.2018 року № 4153-МР (зі змінами)</t>
  </si>
  <si>
    <t>від 28.11.2018 року № 4153-МР                      (зі змінами)</t>
  </si>
  <si>
    <t>від 24.12.2020 року № 63-МР                                                            (зі змінами)</t>
  </si>
  <si>
    <t>від 24.12.2020 року № 84 -МР                   (зі змінами)</t>
  </si>
  <si>
    <t>від 28.11.2018 року № 4153-МР                          (зі змінами)</t>
  </si>
  <si>
    <t>0611062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</si>
  <si>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 територіальної громади, у проведенні заходів з оборони та мобілізації на 2021 рік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</si>
  <si>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</si>
  <si>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освітніх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</si>
  <si>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</si>
  <si>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установ та закладів культури</t>
    </r>
  </si>
  <si>
    <t>Будівництво1 освітніх установ та закладів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</si>
  <si>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 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</si>
  <si>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інших об'єктів комунальної власності</t>
    </r>
  </si>
  <si>
    <t>0218861</t>
  </si>
  <si>
    <t>Надання бюджетних позичок суб'єктам господарювання</t>
  </si>
  <si>
    <t>від 24.12.2020 року № 67-МР (зі змінами)</t>
  </si>
  <si>
    <t>1617370</t>
  </si>
  <si>
    <t>0217422</t>
  </si>
  <si>
    <t>0453</t>
  </si>
  <si>
    <t>Регулювання цін на послуги місцевого наземного електротранспорту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</si>
  <si>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</si>
  <si>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</si>
  <si>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</si>
  <si>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</si>
  <si>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Сумської  міської  ради  від  24 грудня 2020  року </t>
  </si>
  <si>
    <t xml:space="preserve">№  62 - МР  «Про    бюджет    Сумської     міської </t>
  </si>
  <si>
    <t>18531000000</t>
  </si>
  <si>
    <t>(код бюджету)</t>
  </si>
  <si>
    <t>0611025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</si>
  <si>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</si>
  <si>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</si>
  <si>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</si>
  <si>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</si>
  <si>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0611172</t>
  </si>
  <si>
    <t>Виконання заходів в рамках реалізації програми "Спроможна школа для кращих результатів"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</si>
  <si>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</si>
  <si>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</si>
  <si>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Спеціалізована стаціонарна медична допомога населенню</t>
  </si>
  <si>
    <t>1217368</t>
  </si>
  <si>
    <t>1217463</t>
  </si>
  <si>
    <t>1219730</t>
  </si>
  <si>
    <t>Виконання інвестиційних проектів за рахунок субвенцій з інших бюджетів</t>
  </si>
  <si>
    <t>Утримання та розвиток автомобільних доріг та дорожньої інфраструктури за рахунок трансфертів з інших місцевих бюджетів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</si>
  <si>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</si>
  <si>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1216083</t>
  </si>
  <si>
    <t>1517324</t>
  </si>
  <si>
    <t>Сумський міський голова</t>
  </si>
  <si>
    <t>0718661</t>
  </si>
  <si>
    <t>0718662</t>
  </si>
  <si>
    <t>Надання бюджетних позичок суб'єктам
господарювання</t>
  </si>
  <si>
    <t>Повернення бюджетних позичок, наданих суб'єктам
господарювання</t>
  </si>
  <si>
    <t>1218861</t>
  </si>
  <si>
    <t>від 18.12.2019 року № 6107-МР (зі змінами)</t>
  </si>
  <si>
    <t>від 24.12.2019 року № 6233-МР (зі змінами)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</si>
  <si>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t>
  </si>
  <si>
    <t>від 29.09.2021 № 1603-МР</t>
  </si>
  <si>
    <t>від 21.10.2020 року № 7549-МР (зі змінами)</t>
  </si>
  <si>
    <t>від 24.12.2020 року № 63-МР (зі змінами)</t>
  </si>
  <si>
    <t>Олександр ЛИСЕНКО</t>
  </si>
  <si>
    <t>до       рішення       Сумської       міської         ради</t>
  </si>
  <si>
    <t>«Про         внесення         змін          до        рішення</t>
  </si>
  <si>
    <t xml:space="preserve">територіальної       громади       на      2021       рік» </t>
  </si>
  <si>
    <t>Виконавець: Липова С.А. ______________</t>
  </si>
  <si>
    <t>3716072</t>
  </si>
  <si>
    <t>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</si>
  <si>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</si>
  <si>
    <t xml:space="preserve">                                  Додаток 4                    </t>
  </si>
  <si>
    <t>від                               2021     року    №            -  МР</t>
  </si>
  <si>
    <t>від 24.12.2020 року № 67-МР                                                                  (зі змінами)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</si>
</sst>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  <numFmt numFmtId="220" formatCode="000000"/>
  </numFmts>
  <fonts count="7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62"/>
      <name val="Times New Roman"/>
      <family val="1"/>
    </font>
    <font>
      <b/>
      <sz val="38"/>
      <name val="Times New Roman"/>
      <family val="1"/>
    </font>
    <font>
      <sz val="40"/>
      <name val="Times New Roman"/>
      <family val="1"/>
    </font>
    <font>
      <u val="single"/>
      <sz val="53"/>
      <name val="Times New Roman"/>
      <family val="1"/>
    </font>
    <font>
      <sz val="60"/>
      <name val="Times New Roman"/>
      <family val="1"/>
    </font>
    <font>
      <sz val="12"/>
      <name val="Times New Roman"/>
      <family val="1"/>
    </font>
    <font>
      <vertAlign val="superscript"/>
      <sz val="35"/>
      <name val="Times New Roman"/>
      <family val="1"/>
    </font>
    <font>
      <sz val="68"/>
      <name val="Times New Roman"/>
      <family val="1"/>
    </font>
    <font>
      <b/>
      <sz val="4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3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30"/>
      <color rgb="FFFF0000"/>
      <name val="Times New Roman"/>
      <family val="1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2" fillId="0" borderId="7" applyNumberFormat="0" applyFill="0" applyAlignment="0" applyProtection="0"/>
    <xf numFmtId="0" fontId="11" fillId="0" borderId="8" applyNumberFormat="0" applyFill="0" applyAlignment="0" applyProtection="0"/>
    <xf numFmtId="0" fontId="63" fillId="47" borderId="9" applyNumberFormat="0" applyAlignment="0" applyProtection="0"/>
    <xf numFmtId="0" fontId="9" fillId="48" borderId="10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5" fillId="3" borderId="0" applyNumberFormat="0" applyBorder="0" applyAlignment="0" applyProtection="0"/>
    <xf numFmtId="0" fontId="67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8" fillId="50" borderId="14" applyNumberFormat="0" applyAlignment="0" applyProtection="0"/>
    <xf numFmtId="0" fontId="17" fillId="0" borderId="15" applyNumberFormat="0" applyFill="0" applyAlignment="0" applyProtection="0"/>
    <xf numFmtId="0" fontId="69" fillId="54" borderId="0" applyNumberFormat="0" applyBorder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4" fontId="34" fillId="0" borderId="16" xfId="95" applyNumberFormat="1" applyFont="1" applyFill="1" applyBorder="1" applyAlignment="1">
      <alignment horizontal="center" vertical="center"/>
      <protection/>
    </xf>
    <xf numFmtId="1" fontId="25" fillId="0" borderId="16" xfId="0" applyNumberFormat="1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1" fontId="25" fillId="0" borderId="16" xfId="0" applyNumberFormat="1" applyFont="1" applyFill="1" applyBorder="1" applyAlignment="1" applyProtection="1">
      <alignment horizontal="center" vertical="center"/>
      <protection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6" xfId="0" applyNumberFormat="1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72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1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/>
      <protection/>
    </xf>
    <xf numFmtId="49" fontId="25" fillId="0" borderId="18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4" fontId="37" fillId="0" borderId="16" xfId="95" applyNumberFormat="1" applyFont="1" applyFill="1" applyBorder="1" applyAlignment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19" xfId="0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73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19" xfId="0" applyFont="1" applyFill="1" applyBorder="1" applyAlignment="1">
      <alignment horizontal="left" vertical="center"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0" fontId="73" fillId="0" borderId="16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/>
    </xf>
    <xf numFmtId="1" fontId="25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top" wrapText="1"/>
    </xf>
    <xf numFmtId="202" fontId="28" fillId="0" borderId="16" xfId="95" applyNumberFormat="1" applyFont="1" applyFill="1" applyBorder="1" applyAlignment="1">
      <alignment horizontal="left" vertical="top"/>
      <protection/>
    </xf>
    <xf numFmtId="3" fontId="25" fillId="0" borderId="16" xfId="0" applyNumberFormat="1" applyFont="1" applyFill="1" applyBorder="1" applyAlignment="1">
      <alignment horizontal="left" vertical="top" wrapText="1"/>
    </xf>
    <xf numFmtId="4" fontId="25" fillId="0" borderId="16" xfId="0" applyNumberFormat="1" applyFont="1" applyFill="1" applyBorder="1" applyAlignment="1">
      <alignment horizontal="left" vertical="top" wrapText="1"/>
    </xf>
    <xf numFmtId="3" fontId="25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33" fillId="0" borderId="16" xfId="0" applyFont="1" applyFill="1" applyBorder="1" applyAlignment="1">
      <alignment horizontal="left" vertical="top"/>
    </xf>
    <xf numFmtId="3" fontId="25" fillId="0" borderId="16" xfId="0" applyNumberFormat="1" applyFont="1" applyFill="1" applyBorder="1" applyAlignment="1" applyProtection="1">
      <alignment horizontal="left" vertical="top" wrapText="1"/>
      <protection/>
    </xf>
    <xf numFmtId="0" fontId="33" fillId="0" borderId="16" xfId="0" applyFont="1" applyFill="1" applyBorder="1" applyAlignment="1">
      <alignment horizontal="left" vertical="top" wrapText="1"/>
    </xf>
    <xf numFmtId="4" fontId="28" fillId="0" borderId="16" xfId="0" applyNumberFormat="1" applyFont="1" applyFill="1" applyBorder="1" applyAlignment="1">
      <alignment horizontal="left" vertical="top" wrapText="1"/>
    </xf>
    <xf numFmtId="3" fontId="29" fillId="0" borderId="0" xfId="0" applyNumberFormat="1" applyFont="1" applyFill="1" applyAlignment="1">
      <alignment horizontal="left"/>
    </xf>
    <xf numFmtId="49" fontId="38" fillId="0" borderId="16" xfId="0" applyNumberFormat="1" applyFont="1" applyFill="1" applyBorder="1" applyAlignment="1" applyProtection="1">
      <alignment horizontal="center" vertical="center" wrapText="1"/>
      <protection/>
    </xf>
    <xf numFmtId="3" fontId="2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/>
      <protection/>
    </xf>
    <xf numFmtId="0" fontId="25" fillId="0" borderId="16" xfId="0" applyNumberFormat="1" applyFont="1" applyFill="1" applyBorder="1" applyAlignment="1">
      <alignment horizontal="left" vertical="top" wrapText="1"/>
    </xf>
    <xf numFmtId="0" fontId="41" fillId="0" borderId="16" xfId="0" applyFont="1" applyFill="1" applyBorder="1" applyAlignment="1">
      <alignment vertical="center" wrapText="1"/>
    </xf>
    <xf numFmtId="0" fontId="25" fillId="0" borderId="0" xfId="0" applyFont="1" applyFill="1" applyAlignment="1">
      <alignment vertical="top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 horizontal="center" vertical="center"/>
      <protection/>
    </xf>
    <xf numFmtId="0" fontId="40" fillId="0" borderId="0" xfId="0" applyNumberFormat="1" applyFont="1" applyFill="1" applyAlignment="1" applyProtection="1">
      <alignment horizontal="left" vertical="center"/>
      <protection/>
    </xf>
    <xf numFmtId="4" fontId="40" fillId="0" borderId="0" xfId="0" applyNumberFormat="1" applyFont="1" applyFill="1" applyAlignment="1" applyProtection="1">
      <alignment vertical="center"/>
      <protection/>
    </xf>
    <xf numFmtId="0" fontId="43" fillId="0" borderId="0" xfId="0" applyFont="1" applyFill="1" applyAlignment="1">
      <alignment/>
    </xf>
    <xf numFmtId="4" fontId="25" fillId="0" borderId="16" xfId="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 vertical="top" wrapText="1"/>
    </xf>
    <xf numFmtId="0" fontId="35" fillId="0" borderId="0" xfId="0" applyFont="1" applyFill="1" applyAlignment="1">
      <alignment vertical="top"/>
    </xf>
    <xf numFmtId="0" fontId="35" fillId="0" borderId="0" xfId="0" applyFont="1" applyFill="1" applyAlignment="1">
      <alignment vertical="top" wrapText="1"/>
    </xf>
    <xf numFmtId="0" fontId="26" fillId="0" borderId="0" xfId="0" applyNumberFormat="1" applyFont="1" applyFill="1" applyAlignment="1" applyProtection="1">
      <alignment vertical="top"/>
      <protection/>
    </xf>
    <xf numFmtId="0" fontId="26" fillId="0" borderId="0" xfId="0" applyFont="1" applyFill="1" applyBorder="1" applyAlignment="1">
      <alignment horizontal="center" vertical="top"/>
    </xf>
    <xf numFmtId="202" fontId="28" fillId="0" borderId="16" xfId="95" applyNumberFormat="1" applyFont="1" applyFill="1" applyBorder="1" applyAlignment="1">
      <alignment vertical="top"/>
      <protection/>
    </xf>
    <xf numFmtId="0" fontId="28" fillId="0" borderId="16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8" fillId="0" borderId="0" xfId="0" applyNumberFormat="1" applyFont="1" applyFill="1" applyAlignment="1" applyProtection="1">
      <alignment vertical="top"/>
      <protection/>
    </xf>
    <xf numFmtId="0" fontId="25" fillId="0" borderId="0" xfId="0" applyFont="1" applyFill="1" applyBorder="1" applyAlignment="1">
      <alignment vertical="top" wrapText="1"/>
    </xf>
    <xf numFmtId="202" fontId="43" fillId="0" borderId="0" xfId="0" applyNumberFormat="1" applyFont="1" applyFill="1" applyBorder="1" applyAlignment="1">
      <alignment vertical="top"/>
    </xf>
    <xf numFmtId="0" fontId="40" fillId="0" borderId="0" xfId="0" applyNumberFormat="1" applyFont="1" applyFill="1" applyAlignment="1" applyProtection="1">
      <alignment vertical="top"/>
      <protection/>
    </xf>
    <xf numFmtId="0" fontId="25" fillId="0" borderId="16" xfId="0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vertical="top" wrapText="1"/>
    </xf>
    <xf numFmtId="1" fontId="25" fillId="0" borderId="16" xfId="0" applyNumberFormat="1" applyFont="1" applyFill="1" applyBorder="1" applyAlignment="1">
      <alignment horizontal="left" vertical="top" wrapText="1"/>
    </xf>
    <xf numFmtId="3" fontId="25" fillId="0" borderId="16" xfId="0" applyNumberFormat="1" applyFont="1" applyFill="1" applyBorder="1" applyAlignment="1" applyProtection="1">
      <alignment horizontal="left" vertical="center" wrapText="1"/>
      <protection/>
    </xf>
    <xf numFmtId="4" fontId="29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left" vertical="center"/>
    </xf>
    <xf numFmtId="4" fontId="43" fillId="0" borderId="0" xfId="0" applyNumberFormat="1" applyFont="1" applyFill="1" applyBorder="1" applyAlignment="1">
      <alignment vertical="justify"/>
    </xf>
    <xf numFmtId="4" fontId="26" fillId="0" borderId="0" xfId="0" applyNumberFormat="1" applyFont="1" applyFill="1" applyBorder="1" applyAlignment="1">
      <alignment vertical="center"/>
    </xf>
    <xf numFmtId="4" fontId="74" fillId="0" borderId="16" xfId="95" applyNumberFormat="1" applyFont="1" applyFill="1" applyBorder="1" applyAlignment="1">
      <alignment horizontal="center" vertical="center"/>
      <protection/>
    </xf>
    <xf numFmtId="49" fontId="25" fillId="0" borderId="17" xfId="0" applyNumberFormat="1" applyFont="1" applyFill="1" applyBorder="1" applyAlignment="1">
      <alignment vertical="top" wrapText="1"/>
    </xf>
    <xf numFmtId="1" fontId="25" fillId="0" borderId="17" xfId="0" applyNumberFormat="1" applyFont="1" applyFill="1" applyBorder="1" applyAlignment="1">
      <alignment vertical="top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4" fontId="25" fillId="0" borderId="18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top" wrapText="1"/>
    </xf>
    <xf numFmtId="4" fontId="28" fillId="0" borderId="18" xfId="95" applyNumberFormat="1" applyFont="1" applyFill="1" applyBorder="1" applyAlignment="1">
      <alignment horizontal="center" vertical="center"/>
      <protection/>
    </xf>
    <xf numFmtId="4" fontId="28" fillId="0" borderId="17" xfId="95" applyNumberFormat="1" applyFont="1" applyFill="1" applyBorder="1" applyAlignment="1">
      <alignment horizontal="center" vertical="center"/>
      <protection/>
    </xf>
    <xf numFmtId="3" fontId="25" fillId="0" borderId="18" xfId="0" applyNumberFormat="1" applyFont="1" applyFill="1" applyBorder="1" applyAlignment="1" applyProtection="1">
      <alignment vertical="top" wrapText="1"/>
      <protection/>
    </xf>
    <xf numFmtId="3" fontId="25" fillId="0" borderId="17" xfId="0" applyNumberFormat="1" applyFont="1" applyFill="1" applyBorder="1" applyAlignment="1" applyProtection="1">
      <alignment vertical="top" wrapText="1"/>
      <protection/>
    </xf>
    <xf numFmtId="4" fontId="25" fillId="0" borderId="18" xfId="0" applyNumberFormat="1" applyFont="1" applyFill="1" applyBorder="1" applyAlignment="1">
      <alignment vertical="top" wrapText="1"/>
    </xf>
    <xf numFmtId="4" fontId="25" fillId="0" borderId="17" xfId="0" applyNumberFormat="1" applyFont="1" applyFill="1" applyBorder="1" applyAlignment="1">
      <alignment vertical="top" wrapText="1"/>
    </xf>
    <xf numFmtId="4" fontId="43" fillId="0" borderId="0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vertical="top" wrapText="1"/>
    </xf>
    <xf numFmtId="49" fontId="25" fillId="0" borderId="20" xfId="0" applyNumberFormat="1" applyFont="1" applyFill="1" applyBorder="1" applyAlignment="1">
      <alignment vertical="top" wrapText="1"/>
    </xf>
    <xf numFmtId="49" fontId="25" fillId="0" borderId="17" xfId="0" applyNumberFormat="1" applyFont="1" applyFill="1" applyBorder="1" applyAlignment="1">
      <alignment vertical="top" wrapText="1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18" xfId="0" applyNumberFormat="1" applyFont="1" applyFill="1" applyBorder="1" applyAlignment="1">
      <alignment horizontal="left" vertical="top" wrapText="1"/>
    </xf>
    <xf numFmtId="49" fontId="25" fillId="0" borderId="20" xfId="0" applyNumberFormat="1" applyFont="1" applyFill="1" applyBorder="1" applyAlignment="1">
      <alignment horizontal="left" vertical="top" wrapText="1"/>
    </xf>
    <xf numFmtId="49" fontId="25" fillId="0" borderId="17" xfId="0" applyNumberFormat="1" applyFont="1" applyFill="1" applyBorder="1" applyAlignment="1">
      <alignment horizontal="left" vertical="top" wrapText="1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 applyProtection="1">
      <alignment/>
      <protection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left" vertical="top" wrapText="1"/>
    </xf>
    <xf numFmtId="1" fontId="25" fillId="0" borderId="16" xfId="0" applyNumberFormat="1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 applyProtection="1">
      <alignment horizontal="center" vertical="top" wrapText="1"/>
      <protection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1"/>
  <sheetViews>
    <sheetView showZeros="0" tabSelected="1" view="pageBreakPreview" zoomScale="25" zoomScaleNormal="24" zoomScaleSheetLayoutView="25" workbookViewId="0" topLeftCell="A116">
      <selection activeCell="H224" sqref="H224"/>
    </sheetView>
  </sheetViews>
  <sheetFormatPr defaultColWidth="9.16015625" defaultRowHeight="12.75"/>
  <cols>
    <col min="1" max="1" width="54.5" style="46" customWidth="1"/>
    <col min="2" max="2" width="47.5" style="46" customWidth="1"/>
    <col min="3" max="3" width="53.33203125" style="46" customWidth="1"/>
    <col min="4" max="4" width="137.16015625" style="52" customWidth="1"/>
    <col min="5" max="5" width="164.33203125" style="5" customWidth="1"/>
    <col min="6" max="6" width="67.16015625" style="92" customWidth="1"/>
    <col min="7" max="7" width="69" style="5" customWidth="1"/>
    <col min="8" max="8" width="69" style="13" customWidth="1"/>
    <col min="9" max="9" width="66.66015625" style="13" customWidth="1"/>
    <col min="10" max="10" width="64" style="13" customWidth="1"/>
    <col min="11" max="11" width="32.83203125" style="1" customWidth="1"/>
    <col min="12" max="13" width="13.33203125" style="1" customWidth="1"/>
    <col min="14" max="14" width="9.16015625" style="1" customWidth="1"/>
    <col min="15" max="16" width="105" style="1" customWidth="1"/>
    <col min="17" max="16384" width="9.16015625" style="1" customWidth="1"/>
  </cols>
  <sheetData>
    <row r="1" spans="6:10" ht="69" customHeight="1">
      <c r="F1" s="90"/>
      <c r="G1" s="140" t="s">
        <v>591</v>
      </c>
      <c r="H1" s="140"/>
      <c r="I1" s="140"/>
      <c r="J1" s="140"/>
    </row>
    <row r="2" spans="6:11" ht="66.75" customHeight="1">
      <c r="F2" s="91"/>
      <c r="G2" s="60" t="s">
        <v>584</v>
      </c>
      <c r="H2" s="60"/>
      <c r="I2" s="60"/>
      <c r="J2" s="60"/>
      <c r="K2" s="60"/>
    </row>
    <row r="3" spans="6:11" ht="66.75" customHeight="1">
      <c r="F3" s="91"/>
      <c r="G3" s="77" t="s">
        <v>585</v>
      </c>
      <c r="H3" s="77"/>
      <c r="I3" s="77"/>
      <c r="J3" s="77"/>
      <c r="K3" s="77"/>
    </row>
    <row r="4" spans="6:11" ht="66.75" customHeight="1">
      <c r="F4" s="91"/>
      <c r="G4" s="77" t="s">
        <v>549</v>
      </c>
      <c r="H4" s="77"/>
      <c r="I4" s="77"/>
      <c r="J4" s="77"/>
      <c r="K4" s="77"/>
    </row>
    <row r="5" spans="6:11" ht="66.75" customHeight="1">
      <c r="F5" s="91"/>
      <c r="G5" s="77" t="s">
        <v>550</v>
      </c>
      <c r="H5" s="77"/>
      <c r="I5" s="77"/>
      <c r="J5" s="77"/>
      <c r="K5" s="77"/>
    </row>
    <row r="6" spans="6:11" ht="66.75" customHeight="1">
      <c r="F6" s="91"/>
      <c r="G6" s="77" t="s">
        <v>586</v>
      </c>
      <c r="H6" s="77"/>
      <c r="I6" s="77"/>
      <c r="J6" s="77"/>
      <c r="K6" s="77"/>
    </row>
    <row r="7" spans="6:11" ht="66.75" customHeight="1">
      <c r="F7" s="91"/>
      <c r="G7" s="75" t="s">
        <v>505</v>
      </c>
      <c r="H7" s="75"/>
      <c r="I7" s="75"/>
      <c r="J7" s="75"/>
      <c r="K7" s="75"/>
    </row>
    <row r="8" spans="6:11" ht="66.75" customHeight="1">
      <c r="F8" s="91"/>
      <c r="G8" s="77" t="s">
        <v>592</v>
      </c>
      <c r="H8" s="77"/>
      <c r="I8" s="77"/>
      <c r="J8" s="77"/>
      <c r="K8" s="77"/>
    </row>
    <row r="9" spans="8:10" ht="46.5" customHeight="1">
      <c r="H9" s="28"/>
      <c r="I9" s="28"/>
      <c r="J9" s="28"/>
    </row>
    <row r="10" spans="8:10" ht="46.5" customHeight="1">
      <c r="H10" s="28"/>
      <c r="I10" s="28"/>
      <c r="J10" s="28"/>
    </row>
    <row r="11" spans="1:10" ht="162.75" customHeight="1">
      <c r="A11" s="141" t="s">
        <v>496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67.5" customHeight="1">
      <c r="A12" s="163" t="s">
        <v>551</v>
      </c>
      <c r="B12" s="163"/>
      <c r="C12" s="163"/>
      <c r="D12" s="163"/>
      <c r="E12" s="163"/>
      <c r="F12" s="163"/>
      <c r="G12" s="163"/>
      <c r="H12" s="163"/>
      <c r="I12" s="163"/>
      <c r="J12" s="163"/>
    </row>
    <row r="13" spans="1:10" ht="55.5" customHeight="1">
      <c r="A13" s="164" t="s">
        <v>552</v>
      </c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10" ht="61.5" customHeight="1">
      <c r="A14" s="47"/>
      <c r="B14" s="47"/>
      <c r="C14" s="47"/>
      <c r="D14" s="53"/>
      <c r="E14" s="4"/>
      <c r="F14" s="93"/>
      <c r="G14" s="4"/>
      <c r="H14" s="109"/>
      <c r="I14" s="109"/>
      <c r="J14" s="30" t="s">
        <v>380</v>
      </c>
    </row>
    <row r="15" spans="1:10" ht="151.5" customHeight="1">
      <c r="A15" s="144" t="s">
        <v>313</v>
      </c>
      <c r="B15" s="144" t="s">
        <v>314</v>
      </c>
      <c r="C15" s="144" t="s">
        <v>315</v>
      </c>
      <c r="D15" s="144" t="s">
        <v>320</v>
      </c>
      <c r="E15" s="144" t="s">
        <v>61</v>
      </c>
      <c r="F15" s="143" t="s">
        <v>316</v>
      </c>
      <c r="G15" s="143" t="s">
        <v>317</v>
      </c>
      <c r="H15" s="142" t="s">
        <v>0</v>
      </c>
      <c r="I15" s="142" t="s">
        <v>1</v>
      </c>
      <c r="J15" s="142"/>
    </row>
    <row r="16" spans="1:10" ht="265.5" customHeight="1">
      <c r="A16" s="145"/>
      <c r="B16" s="145"/>
      <c r="C16" s="145"/>
      <c r="D16" s="145"/>
      <c r="E16" s="145"/>
      <c r="F16" s="143"/>
      <c r="G16" s="143"/>
      <c r="H16" s="142"/>
      <c r="I16" s="14" t="s">
        <v>317</v>
      </c>
      <c r="J16" s="14" t="s">
        <v>318</v>
      </c>
    </row>
    <row r="17" spans="1:10" s="16" customFormat="1" ht="102" customHeight="1">
      <c r="A17" s="12"/>
      <c r="B17" s="12"/>
      <c r="C17" s="12"/>
      <c r="D17" s="66" t="s">
        <v>112</v>
      </c>
      <c r="E17" s="67"/>
      <c r="F17" s="94"/>
      <c r="G17" s="22">
        <f>SUM(G18:G63)</f>
        <v>175273268.77</v>
      </c>
      <c r="H17" s="22">
        <f>SUM(H18:H63)</f>
        <v>137962626.11</v>
      </c>
      <c r="I17" s="22">
        <f>SUM(I18:I63)</f>
        <v>37310642.66</v>
      </c>
      <c r="J17" s="22">
        <f>SUM(J18:J63)</f>
        <v>36847648.66</v>
      </c>
    </row>
    <row r="18" spans="1:10" ht="145.5" customHeight="1">
      <c r="A18" s="6" t="s">
        <v>113</v>
      </c>
      <c r="B18" s="25" t="s">
        <v>70</v>
      </c>
      <c r="C18" s="25" t="s">
        <v>2</v>
      </c>
      <c r="D18" s="63" t="s">
        <v>471</v>
      </c>
      <c r="E18" s="63" t="s">
        <v>454</v>
      </c>
      <c r="F18" s="89" t="s">
        <v>344</v>
      </c>
      <c r="G18" s="23">
        <f>H18+I18</f>
        <v>2643000</v>
      </c>
      <c r="H18" s="23">
        <f>3600000-582000-375000</f>
        <v>2643000</v>
      </c>
      <c r="I18" s="23"/>
      <c r="J18" s="23"/>
    </row>
    <row r="19" spans="1:10" ht="156" customHeight="1" hidden="1">
      <c r="A19" s="6" t="s">
        <v>434</v>
      </c>
      <c r="B19" s="6" t="s">
        <v>385</v>
      </c>
      <c r="C19" s="6" t="s">
        <v>436</v>
      </c>
      <c r="D19" s="68" t="s">
        <v>435</v>
      </c>
      <c r="E19" s="63" t="s">
        <v>440</v>
      </c>
      <c r="F19" s="89" t="s">
        <v>439</v>
      </c>
      <c r="G19" s="23">
        <f aca="true" t="shared" si="0" ref="G19:G64">H19+I19</f>
        <v>0</v>
      </c>
      <c r="H19" s="23"/>
      <c r="I19" s="23"/>
      <c r="J19" s="23"/>
    </row>
    <row r="20" spans="1:11" ht="190.5" customHeight="1">
      <c r="A20" s="155" t="s">
        <v>181</v>
      </c>
      <c r="B20" s="138" t="s">
        <v>26</v>
      </c>
      <c r="C20" s="137" t="s">
        <v>13</v>
      </c>
      <c r="D20" s="122" t="s">
        <v>180</v>
      </c>
      <c r="E20" s="63" t="s">
        <v>452</v>
      </c>
      <c r="F20" s="89" t="s">
        <v>396</v>
      </c>
      <c r="G20" s="23">
        <f t="shared" si="0"/>
        <v>296000</v>
      </c>
      <c r="H20" s="23">
        <v>296000</v>
      </c>
      <c r="I20" s="23"/>
      <c r="J20" s="23"/>
      <c r="K20" s="38"/>
    </row>
    <row r="21" spans="1:10" ht="141.75" customHeight="1">
      <c r="A21" s="155"/>
      <c r="B21" s="138"/>
      <c r="C21" s="137"/>
      <c r="D21" s="122"/>
      <c r="E21" s="63" t="s">
        <v>453</v>
      </c>
      <c r="F21" s="89" t="s">
        <v>366</v>
      </c>
      <c r="G21" s="23">
        <f t="shared" si="0"/>
        <v>100000</v>
      </c>
      <c r="H21" s="23">
        <v>100000</v>
      </c>
      <c r="I21" s="23"/>
      <c r="J21" s="23"/>
    </row>
    <row r="22" spans="1:10" s="3" customFormat="1" ht="151.5" customHeight="1">
      <c r="A22" s="8" t="s">
        <v>225</v>
      </c>
      <c r="B22" s="25" t="s">
        <v>40</v>
      </c>
      <c r="C22" s="27">
        <v>1070</v>
      </c>
      <c r="D22" s="63" t="s">
        <v>35</v>
      </c>
      <c r="E22" s="63" t="s">
        <v>451</v>
      </c>
      <c r="F22" s="63" t="s">
        <v>353</v>
      </c>
      <c r="G22" s="23">
        <f t="shared" si="0"/>
        <v>350460</v>
      </c>
      <c r="H22" s="23">
        <v>350460</v>
      </c>
      <c r="I22" s="23"/>
      <c r="J22" s="23"/>
    </row>
    <row r="23" spans="1:10" s="3" customFormat="1" ht="143.25" customHeight="1">
      <c r="A23" s="155" t="s">
        <v>114</v>
      </c>
      <c r="B23" s="138" t="s">
        <v>72</v>
      </c>
      <c r="C23" s="138">
        <v>1070</v>
      </c>
      <c r="D23" s="122" t="s">
        <v>319</v>
      </c>
      <c r="E23" s="63" t="s">
        <v>413</v>
      </c>
      <c r="F23" s="89" t="s">
        <v>354</v>
      </c>
      <c r="G23" s="23">
        <f t="shared" si="0"/>
        <v>12100</v>
      </c>
      <c r="H23" s="23">
        <v>12100</v>
      </c>
      <c r="I23" s="23"/>
      <c r="J23" s="23"/>
    </row>
    <row r="24" spans="1:10" s="3" customFormat="1" ht="151.5" customHeight="1">
      <c r="A24" s="155"/>
      <c r="B24" s="138"/>
      <c r="C24" s="138"/>
      <c r="D24" s="122"/>
      <c r="E24" s="63" t="s">
        <v>451</v>
      </c>
      <c r="F24" s="63" t="s">
        <v>353</v>
      </c>
      <c r="G24" s="23">
        <f t="shared" si="0"/>
        <v>455086</v>
      </c>
      <c r="H24" s="23">
        <v>455086</v>
      </c>
      <c r="I24" s="23"/>
      <c r="J24" s="23"/>
    </row>
    <row r="25" spans="1:10" s="3" customFormat="1" ht="156" customHeight="1">
      <c r="A25" s="6" t="s">
        <v>115</v>
      </c>
      <c r="B25" s="25" t="s">
        <v>73</v>
      </c>
      <c r="C25" s="25" t="s">
        <v>7</v>
      </c>
      <c r="D25" s="63" t="s">
        <v>472</v>
      </c>
      <c r="E25" s="63" t="s">
        <v>466</v>
      </c>
      <c r="F25" s="89" t="s">
        <v>428</v>
      </c>
      <c r="G25" s="23">
        <f t="shared" si="0"/>
        <v>129000</v>
      </c>
      <c r="H25" s="23">
        <v>129000</v>
      </c>
      <c r="I25" s="23"/>
      <c r="J25" s="23"/>
    </row>
    <row r="26" spans="1:10" s="3" customFormat="1" ht="179.25" customHeight="1">
      <c r="A26" s="6" t="s">
        <v>116</v>
      </c>
      <c r="B26" s="25" t="s">
        <v>74</v>
      </c>
      <c r="C26" s="25" t="s">
        <v>7</v>
      </c>
      <c r="D26" s="63" t="s">
        <v>75</v>
      </c>
      <c r="E26" s="63" t="s">
        <v>391</v>
      </c>
      <c r="F26" s="89" t="s">
        <v>354</v>
      </c>
      <c r="G26" s="23">
        <f t="shared" si="0"/>
        <v>556216</v>
      </c>
      <c r="H26" s="23">
        <v>556216</v>
      </c>
      <c r="I26" s="23"/>
      <c r="J26" s="23"/>
    </row>
    <row r="27" spans="1:10" s="10" customFormat="1" ht="283.5" customHeight="1">
      <c r="A27" s="6" t="s">
        <v>117</v>
      </c>
      <c r="B27" s="25" t="s">
        <v>38</v>
      </c>
      <c r="C27" s="25" t="s">
        <v>7</v>
      </c>
      <c r="D27" s="63" t="s">
        <v>42</v>
      </c>
      <c r="E27" s="63" t="s">
        <v>392</v>
      </c>
      <c r="F27" s="89" t="s">
        <v>354</v>
      </c>
      <c r="G27" s="23">
        <f t="shared" si="0"/>
        <v>280000</v>
      </c>
      <c r="H27" s="23">
        <v>280000</v>
      </c>
      <c r="I27" s="23"/>
      <c r="J27" s="23"/>
    </row>
    <row r="28" spans="1:10" s="3" customFormat="1" ht="151.5" customHeight="1">
      <c r="A28" s="6" t="s">
        <v>229</v>
      </c>
      <c r="B28" s="25" t="s">
        <v>231</v>
      </c>
      <c r="C28" s="25" t="s">
        <v>6</v>
      </c>
      <c r="D28" s="64" t="s">
        <v>232</v>
      </c>
      <c r="E28" s="63" t="s">
        <v>466</v>
      </c>
      <c r="F28" s="89" t="s">
        <v>428</v>
      </c>
      <c r="G28" s="23">
        <f t="shared" si="0"/>
        <v>1559812</v>
      </c>
      <c r="H28" s="23">
        <v>1559812</v>
      </c>
      <c r="I28" s="23"/>
      <c r="J28" s="15"/>
    </row>
    <row r="29" spans="1:10" s="3" customFormat="1" ht="141" customHeight="1">
      <c r="A29" s="121" t="s">
        <v>230</v>
      </c>
      <c r="B29" s="138" t="s">
        <v>233</v>
      </c>
      <c r="C29" s="138" t="s">
        <v>6</v>
      </c>
      <c r="D29" s="156" t="s">
        <v>234</v>
      </c>
      <c r="E29" s="63" t="s">
        <v>438</v>
      </c>
      <c r="F29" s="89" t="s">
        <v>346</v>
      </c>
      <c r="G29" s="23">
        <f t="shared" si="0"/>
        <v>202500</v>
      </c>
      <c r="H29" s="23">
        <v>202500</v>
      </c>
      <c r="I29" s="23"/>
      <c r="J29" s="15"/>
    </row>
    <row r="30" spans="1:10" s="3" customFormat="1" ht="150.75" customHeight="1">
      <c r="A30" s="121"/>
      <c r="B30" s="138"/>
      <c r="C30" s="138"/>
      <c r="D30" s="156"/>
      <c r="E30" s="63" t="s">
        <v>449</v>
      </c>
      <c r="F30" s="63" t="s">
        <v>404</v>
      </c>
      <c r="G30" s="23">
        <f t="shared" si="0"/>
        <v>54900</v>
      </c>
      <c r="H30" s="23">
        <v>54900</v>
      </c>
      <c r="I30" s="23"/>
      <c r="J30" s="15"/>
    </row>
    <row r="31" spans="1:10" s="3" customFormat="1" ht="143.25" customHeight="1">
      <c r="A31" s="6" t="s">
        <v>268</v>
      </c>
      <c r="B31" s="25" t="s">
        <v>269</v>
      </c>
      <c r="C31" s="25" t="s">
        <v>270</v>
      </c>
      <c r="D31" s="64" t="s">
        <v>271</v>
      </c>
      <c r="E31" s="63" t="s">
        <v>391</v>
      </c>
      <c r="F31" s="89" t="s">
        <v>354</v>
      </c>
      <c r="G31" s="23">
        <f t="shared" si="0"/>
        <v>595330</v>
      </c>
      <c r="H31" s="23">
        <f>400000+64900+98000+45000-12570</f>
        <v>595330</v>
      </c>
      <c r="I31" s="23"/>
      <c r="J31" s="15"/>
    </row>
    <row r="32" spans="1:10" s="3" customFormat="1" ht="159.75" customHeight="1">
      <c r="A32" s="6" t="s">
        <v>260</v>
      </c>
      <c r="B32" s="25" t="s">
        <v>258</v>
      </c>
      <c r="C32" s="25" t="s">
        <v>9</v>
      </c>
      <c r="D32" s="63" t="s">
        <v>259</v>
      </c>
      <c r="E32" s="63" t="s">
        <v>454</v>
      </c>
      <c r="F32" s="89" t="s">
        <v>344</v>
      </c>
      <c r="G32" s="23">
        <f t="shared" si="0"/>
        <v>821535</v>
      </c>
      <c r="H32" s="23">
        <f>500000+3000+68100+22800+97000+43600+92000-4965</f>
        <v>821535</v>
      </c>
      <c r="I32" s="23"/>
      <c r="J32" s="23"/>
    </row>
    <row r="33" spans="1:10" s="3" customFormat="1" ht="141.75" customHeight="1">
      <c r="A33" s="6" t="s">
        <v>237</v>
      </c>
      <c r="B33" s="25" t="s">
        <v>235</v>
      </c>
      <c r="C33" s="25" t="s">
        <v>9</v>
      </c>
      <c r="D33" s="64" t="s">
        <v>236</v>
      </c>
      <c r="E33" s="63" t="s">
        <v>454</v>
      </c>
      <c r="F33" s="89" t="s">
        <v>344</v>
      </c>
      <c r="G33" s="23">
        <f t="shared" si="0"/>
        <v>417511</v>
      </c>
      <c r="H33" s="23">
        <v>417511</v>
      </c>
      <c r="I33" s="23"/>
      <c r="J33" s="23"/>
    </row>
    <row r="34" spans="1:10" s="3" customFormat="1" ht="144.75" customHeight="1">
      <c r="A34" s="6" t="s">
        <v>118</v>
      </c>
      <c r="B34" s="25" t="s">
        <v>57</v>
      </c>
      <c r="C34" s="25" t="s">
        <v>10</v>
      </c>
      <c r="D34" s="63" t="s">
        <v>43</v>
      </c>
      <c r="E34" s="63" t="s">
        <v>455</v>
      </c>
      <c r="F34" s="89" t="s">
        <v>356</v>
      </c>
      <c r="G34" s="23">
        <f t="shared" si="0"/>
        <v>710000</v>
      </c>
      <c r="H34" s="23">
        <f>600000+30000+20000+60000</f>
        <v>710000</v>
      </c>
      <c r="I34" s="23"/>
      <c r="J34" s="23"/>
    </row>
    <row r="35" spans="1:10" s="3" customFormat="1" ht="156.75" customHeight="1">
      <c r="A35" s="6" t="s">
        <v>119</v>
      </c>
      <c r="B35" s="25" t="s">
        <v>58</v>
      </c>
      <c r="C35" s="25" t="s">
        <v>10</v>
      </c>
      <c r="D35" s="63" t="s">
        <v>11</v>
      </c>
      <c r="E35" s="63" t="s">
        <v>455</v>
      </c>
      <c r="F35" s="89" t="s">
        <v>356</v>
      </c>
      <c r="G35" s="23">
        <f t="shared" si="0"/>
        <v>1031480</v>
      </c>
      <c r="H35" s="23">
        <f>600000+32000-20000+184000+37000+10000+50000+60000+6480+72000</f>
        <v>1031480</v>
      </c>
      <c r="I35" s="23"/>
      <c r="J35" s="23"/>
    </row>
    <row r="36" spans="1:10" s="3" customFormat="1" ht="145.5" customHeight="1">
      <c r="A36" s="6" t="s">
        <v>120</v>
      </c>
      <c r="B36" s="25" t="s">
        <v>64</v>
      </c>
      <c r="C36" s="25" t="s">
        <v>10</v>
      </c>
      <c r="D36" s="63" t="s">
        <v>44</v>
      </c>
      <c r="E36" s="63" t="s">
        <v>455</v>
      </c>
      <c r="F36" s="89" t="s">
        <v>356</v>
      </c>
      <c r="G36" s="23">
        <f t="shared" si="0"/>
        <v>18632823</v>
      </c>
      <c r="H36" s="23">
        <f>18195883+47240+49000+70000+70000+18990</f>
        <v>18451113</v>
      </c>
      <c r="I36" s="23">
        <f>110700+90000-18990</f>
        <v>181710</v>
      </c>
      <c r="J36" s="23">
        <f>110700+90000-18990</f>
        <v>181710</v>
      </c>
    </row>
    <row r="37" spans="1:10" s="3" customFormat="1" ht="144.75" customHeight="1">
      <c r="A37" s="6" t="s">
        <v>121</v>
      </c>
      <c r="B37" s="25" t="s">
        <v>65</v>
      </c>
      <c r="C37" s="25" t="s">
        <v>10</v>
      </c>
      <c r="D37" s="63" t="s">
        <v>45</v>
      </c>
      <c r="E37" s="63" t="s">
        <v>455</v>
      </c>
      <c r="F37" s="89" t="s">
        <v>356</v>
      </c>
      <c r="G37" s="23">
        <f t="shared" si="0"/>
        <v>15352042</v>
      </c>
      <c r="H37" s="23">
        <f>14979942+15000</f>
        <v>14994942</v>
      </c>
      <c r="I37" s="23">
        <f>215000+66000+30700+60400-15000</f>
        <v>357100</v>
      </c>
      <c r="J37" s="23">
        <f>215000+66000+30700+60400-15000</f>
        <v>357100</v>
      </c>
    </row>
    <row r="38" spans="1:10" s="3" customFormat="1" ht="234.75" customHeight="1">
      <c r="A38" s="6" t="s">
        <v>122</v>
      </c>
      <c r="B38" s="25" t="s">
        <v>68</v>
      </c>
      <c r="C38" s="25" t="s">
        <v>10</v>
      </c>
      <c r="D38" s="63" t="s">
        <v>66</v>
      </c>
      <c r="E38" s="63" t="s">
        <v>455</v>
      </c>
      <c r="F38" s="89" t="s">
        <v>356</v>
      </c>
      <c r="G38" s="23">
        <f t="shared" si="0"/>
        <v>6831778</v>
      </c>
      <c r="H38" s="23">
        <v>5088784</v>
      </c>
      <c r="I38" s="23">
        <f>1742994+30000-30000</f>
        <v>1742994</v>
      </c>
      <c r="J38" s="23">
        <f>1530000+30000-30000</f>
        <v>1530000</v>
      </c>
    </row>
    <row r="39" spans="1:10" s="3" customFormat="1" ht="195.75" customHeight="1">
      <c r="A39" s="6" t="s">
        <v>123</v>
      </c>
      <c r="B39" s="25" t="s">
        <v>63</v>
      </c>
      <c r="C39" s="25" t="s">
        <v>10</v>
      </c>
      <c r="D39" s="63" t="s">
        <v>67</v>
      </c>
      <c r="E39" s="63" t="s">
        <v>455</v>
      </c>
      <c r="F39" s="89" t="s">
        <v>356</v>
      </c>
      <c r="G39" s="23">
        <f t="shared" si="0"/>
        <v>16391395</v>
      </c>
      <c r="H39" s="23">
        <f>15516395+50000+825000</f>
        <v>16391395</v>
      </c>
      <c r="I39" s="23"/>
      <c r="J39" s="23"/>
    </row>
    <row r="40" spans="1:10" s="3" customFormat="1" ht="146.25" customHeight="1">
      <c r="A40" s="6" t="s">
        <v>422</v>
      </c>
      <c r="B40" s="25">
        <v>7325</v>
      </c>
      <c r="C40" s="6" t="s">
        <v>62</v>
      </c>
      <c r="D40" s="101" t="s">
        <v>531</v>
      </c>
      <c r="E40" s="63" t="s">
        <v>455</v>
      </c>
      <c r="F40" s="89" t="s">
        <v>356</v>
      </c>
      <c r="G40" s="23">
        <f t="shared" si="0"/>
        <v>7444674</v>
      </c>
      <c r="H40" s="23"/>
      <c r="I40" s="23">
        <f>9790000-325291-1950035-70000</f>
        <v>7444674</v>
      </c>
      <c r="J40" s="23">
        <f>9790000-325291-1950035-70000</f>
        <v>7444674</v>
      </c>
    </row>
    <row r="41" spans="1:10" s="3" customFormat="1" ht="146.25" customHeight="1">
      <c r="A41" s="6" t="s">
        <v>124</v>
      </c>
      <c r="B41" s="25" t="s">
        <v>85</v>
      </c>
      <c r="C41" s="25" t="s">
        <v>29</v>
      </c>
      <c r="D41" s="63" t="s">
        <v>28</v>
      </c>
      <c r="E41" s="63" t="s">
        <v>447</v>
      </c>
      <c r="F41" s="89" t="s">
        <v>414</v>
      </c>
      <c r="G41" s="23">
        <f t="shared" si="0"/>
        <v>6542500</v>
      </c>
      <c r="H41" s="23">
        <f>7417200-874700</f>
        <v>6542500</v>
      </c>
      <c r="I41" s="23"/>
      <c r="J41" s="23"/>
    </row>
    <row r="42" spans="1:10" s="3" customFormat="1" ht="140.25" customHeight="1">
      <c r="A42" s="6" t="s">
        <v>407</v>
      </c>
      <c r="B42" s="25">
        <v>7413</v>
      </c>
      <c r="C42" s="25" t="s">
        <v>29</v>
      </c>
      <c r="D42" s="63" t="s">
        <v>408</v>
      </c>
      <c r="E42" s="63" t="s">
        <v>447</v>
      </c>
      <c r="F42" s="89" t="s">
        <v>414</v>
      </c>
      <c r="G42" s="23">
        <f t="shared" si="0"/>
        <v>12800000</v>
      </c>
      <c r="H42" s="23">
        <f>10000000+1000000+1800000</f>
        <v>12800000</v>
      </c>
      <c r="I42" s="23"/>
      <c r="J42" s="23"/>
    </row>
    <row r="43" spans="1:10" s="3" customFormat="1" ht="140.25" customHeight="1">
      <c r="A43" s="6" t="s">
        <v>542</v>
      </c>
      <c r="B43" s="25">
        <v>7422</v>
      </c>
      <c r="C43" s="6" t="s">
        <v>543</v>
      </c>
      <c r="D43" s="103" t="s">
        <v>544</v>
      </c>
      <c r="E43" s="63" t="s">
        <v>447</v>
      </c>
      <c r="F43" s="89" t="s">
        <v>414</v>
      </c>
      <c r="G43" s="23">
        <f t="shared" si="0"/>
        <v>5893900</v>
      </c>
      <c r="H43" s="23">
        <v>5893900</v>
      </c>
      <c r="I43" s="23"/>
      <c r="J43" s="23"/>
    </row>
    <row r="44" spans="1:10" s="3" customFormat="1" ht="144.75" customHeight="1">
      <c r="A44" s="6" t="s">
        <v>125</v>
      </c>
      <c r="B44" s="25" t="s">
        <v>86</v>
      </c>
      <c r="C44" s="6" t="s">
        <v>543</v>
      </c>
      <c r="D44" s="63" t="s">
        <v>87</v>
      </c>
      <c r="E44" s="63" t="s">
        <v>447</v>
      </c>
      <c r="F44" s="89" t="s">
        <v>414</v>
      </c>
      <c r="G44" s="23">
        <f t="shared" si="0"/>
        <v>37442296</v>
      </c>
      <c r="H44" s="23">
        <v>37442296</v>
      </c>
      <c r="I44" s="23"/>
      <c r="J44" s="23"/>
    </row>
    <row r="45" spans="1:10" s="10" customFormat="1" ht="148.5" customHeight="1" hidden="1">
      <c r="A45" s="6" t="s">
        <v>249</v>
      </c>
      <c r="B45" s="25" t="s">
        <v>250</v>
      </c>
      <c r="C45" s="25" t="s">
        <v>252</v>
      </c>
      <c r="D45" s="63" t="s">
        <v>251</v>
      </c>
      <c r="E45" s="63" t="s">
        <v>447</v>
      </c>
      <c r="F45" s="89" t="s">
        <v>414</v>
      </c>
      <c r="G45" s="23">
        <f t="shared" si="0"/>
        <v>0</v>
      </c>
      <c r="H45" s="23">
        <f>140000-140000</f>
        <v>0</v>
      </c>
      <c r="I45" s="23"/>
      <c r="J45" s="23"/>
    </row>
    <row r="46" spans="1:10" s="3" customFormat="1" ht="192.75" customHeight="1">
      <c r="A46" s="6" t="s">
        <v>191</v>
      </c>
      <c r="B46" s="25" t="s">
        <v>192</v>
      </c>
      <c r="C46" s="25" t="s">
        <v>193</v>
      </c>
      <c r="D46" s="63" t="s">
        <v>194</v>
      </c>
      <c r="E46" s="63" t="s">
        <v>450</v>
      </c>
      <c r="F46" s="89" t="s">
        <v>460</v>
      </c>
      <c r="G46" s="23">
        <f t="shared" si="0"/>
        <v>9902000</v>
      </c>
      <c r="H46" s="23">
        <f>6490000-608000</f>
        <v>5882000</v>
      </c>
      <c r="I46" s="23">
        <f>3910000+110000</f>
        <v>4020000</v>
      </c>
      <c r="J46" s="23">
        <f>3910000+110000</f>
        <v>4020000</v>
      </c>
    </row>
    <row r="47" spans="1:10" s="10" customFormat="1" ht="153" customHeight="1">
      <c r="A47" s="6" t="s">
        <v>126</v>
      </c>
      <c r="B47" s="25" t="s">
        <v>88</v>
      </c>
      <c r="C47" s="25" t="s">
        <v>5</v>
      </c>
      <c r="D47" s="63" t="s">
        <v>46</v>
      </c>
      <c r="E47" s="63" t="s">
        <v>456</v>
      </c>
      <c r="F47" s="63" t="s">
        <v>577</v>
      </c>
      <c r="G47" s="23">
        <f t="shared" si="0"/>
        <v>60000</v>
      </c>
      <c r="H47" s="23">
        <v>60000</v>
      </c>
      <c r="I47" s="23"/>
      <c r="J47" s="23"/>
    </row>
    <row r="48" spans="1:10" s="10" customFormat="1" ht="124.5" customHeight="1" hidden="1">
      <c r="A48" s="6" t="s">
        <v>195</v>
      </c>
      <c r="B48" s="25" t="s">
        <v>82</v>
      </c>
      <c r="C48" s="25" t="s">
        <v>25</v>
      </c>
      <c r="D48" s="63" t="s">
        <v>53</v>
      </c>
      <c r="E48" s="63" t="s">
        <v>437</v>
      </c>
      <c r="F48" s="63" t="s">
        <v>463</v>
      </c>
      <c r="G48" s="23">
        <f t="shared" si="0"/>
        <v>0</v>
      </c>
      <c r="H48" s="23"/>
      <c r="I48" s="23"/>
      <c r="J48" s="23"/>
    </row>
    <row r="49" spans="1:10" s="10" customFormat="1" ht="143.25" customHeight="1">
      <c r="A49" s="6" t="s">
        <v>127</v>
      </c>
      <c r="B49" s="25" t="s">
        <v>89</v>
      </c>
      <c r="C49" s="25" t="s">
        <v>4</v>
      </c>
      <c r="D49" s="63" t="s">
        <v>47</v>
      </c>
      <c r="E49" s="63" t="s">
        <v>447</v>
      </c>
      <c r="F49" s="89" t="s">
        <v>414</v>
      </c>
      <c r="G49" s="23">
        <f t="shared" si="0"/>
        <v>18997900</v>
      </c>
      <c r="H49" s="23"/>
      <c r="I49" s="23">
        <v>18997900</v>
      </c>
      <c r="J49" s="23">
        <v>18997900</v>
      </c>
    </row>
    <row r="50" spans="1:10" s="10" customFormat="1" ht="187.5" customHeight="1">
      <c r="A50" s="161" t="s">
        <v>184</v>
      </c>
      <c r="B50" s="157" t="s">
        <v>185</v>
      </c>
      <c r="C50" s="157" t="s">
        <v>4</v>
      </c>
      <c r="D50" s="156" t="s">
        <v>186</v>
      </c>
      <c r="E50" s="69" t="s">
        <v>462</v>
      </c>
      <c r="F50" s="63" t="s">
        <v>509</v>
      </c>
      <c r="G50" s="23">
        <f t="shared" si="0"/>
        <v>274337</v>
      </c>
      <c r="H50" s="23">
        <v>274337</v>
      </c>
      <c r="I50" s="23"/>
      <c r="J50" s="23"/>
    </row>
    <row r="51" spans="1:10" s="10" customFormat="1" ht="154.5" customHeight="1">
      <c r="A51" s="161"/>
      <c r="B51" s="157"/>
      <c r="C51" s="157"/>
      <c r="D51" s="156"/>
      <c r="E51" s="63" t="s">
        <v>437</v>
      </c>
      <c r="F51" s="63" t="s">
        <v>497</v>
      </c>
      <c r="G51" s="23">
        <f t="shared" si="0"/>
        <v>82000</v>
      </c>
      <c r="H51" s="23">
        <v>82000</v>
      </c>
      <c r="I51" s="23"/>
      <c r="J51" s="23"/>
    </row>
    <row r="52" spans="1:10" s="3" customFormat="1" ht="135.75" customHeight="1">
      <c r="A52" s="6" t="s">
        <v>196</v>
      </c>
      <c r="B52" s="25" t="s">
        <v>197</v>
      </c>
      <c r="C52" s="25" t="s">
        <v>4</v>
      </c>
      <c r="D52" s="63" t="s">
        <v>198</v>
      </c>
      <c r="E52" s="63" t="s">
        <v>454</v>
      </c>
      <c r="F52" s="89" t="s">
        <v>351</v>
      </c>
      <c r="G52" s="23">
        <f t="shared" si="0"/>
        <v>626596</v>
      </c>
      <c r="H52" s="23">
        <v>626596</v>
      </c>
      <c r="I52" s="23"/>
      <c r="J52" s="23"/>
    </row>
    <row r="53" spans="1:10" ht="195" customHeight="1">
      <c r="A53" s="6" t="s">
        <v>128</v>
      </c>
      <c r="B53" s="25" t="s">
        <v>90</v>
      </c>
      <c r="C53" s="25" t="s">
        <v>91</v>
      </c>
      <c r="D53" s="63" t="s">
        <v>92</v>
      </c>
      <c r="E53" s="63" t="s">
        <v>457</v>
      </c>
      <c r="F53" s="89" t="s">
        <v>387</v>
      </c>
      <c r="G53" s="23">
        <f t="shared" si="0"/>
        <v>1726542.77</v>
      </c>
      <c r="H53" s="23">
        <f>251700+31787.34+44790.77</f>
        <v>328278.11000000004</v>
      </c>
      <c r="I53" s="23">
        <f>1430052-31787.34</f>
        <v>1398264.66</v>
      </c>
      <c r="J53" s="23">
        <f>1430052-31787.34</f>
        <v>1398264.66</v>
      </c>
    </row>
    <row r="54" spans="1:10" ht="134.25" customHeight="1">
      <c r="A54" s="6" t="s">
        <v>187</v>
      </c>
      <c r="B54" s="25" t="s">
        <v>188</v>
      </c>
      <c r="C54" s="25" t="s">
        <v>189</v>
      </c>
      <c r="D54" s="64" t="s">
        <v>190</v>
      </c>
      <c r="E54" s="63" t="s">
        <v>397</v>
      </c>
      <c r="F54" s="89" t="s">
        <v>357</v>
      </c>
      <c r="G54" s="23">
        <f t="shared" si="0"/>
        <v>462056</v>
      </c>
      <c r="H54" s="23">
        <v>462056</v>
      </c>
      <c r="I54" s="23"/>
      <c r="J54" s="23"/>
    </row>
    <row r="55" spans="1:10" ht="138" customHeight="1">
      <c r="A55" s="6" t="s">
        <v>129</v>
      </c>
      <c r="B55" s="25" t="s">
        <v>78</v>
      </c>
      <c r="C55" s="25" t="s">
        <v>12</v>
      </c>
      <c r="D55" s="63" t="s">
        <v>79</v>
      </c>
      <c r="E55" s="69" t="s">
        <v>448</v>
      </c>
      <c r="F55" s="63" t="s">
        <v>345</v>
      </c>
      <c r="G55" s="23">
        <f t="shared" si="0"/>
        <v>250000</v>
      </c>
      <c r="H55" s="23"/>
      <c r="I55" s="23">
        <v>250000</v>
      </c>
      <c r="J55" s="23"/>
    </row>
    <row r="56" spans="1:10" ht="144.75" customHeight="1">
      <c r="A56" s="6" t="s">
        <v>226</v>
      </c>
      <c r="B56" s="25" t="s">
        <v>227</v>
      </c>
      <c r="C56" s="25" t="s">
        <v>27</v>
      </c>
      <c r="D56" s="63" t="s">
        <v>228</v>
      </c>
      <c r="E56" s="63" t="s">
        <v>454</v>
      </c>
      <c r="F56" s="89" t="s">
        <v>344</v>
      </c>
      <c r="G56" s="23">
        <f t="shared" si="0"/>
        <v>78700</v>
      </c>
      <c r="H56" s="23">
        <v>78700</v>
      </c>
      <c r="I56" s="23"/>
      <c r="J56" s="23"/>
    </row>
    <row r="57" spans="1:10" ht="196.5" customHeight="1">
      <c r="A57" s="6" t="s">
        <v>538</v>
      </c>
      <c r="B57" s="25">
        <v>8861</v>
      </c>
      <c r="C57" s="6" t="s">
        <v>4</v>
      </c>
      <c r="D57" s="63" t="s">
        <v>539</v>
      </c>
      <c r="E57" s="88" t="s">
        <v>462</v>
      </c>
      <c r="F57" s="89" t="s">
        <v>509</v>
      </c>
      <c r="G57" s="23">
        <f t="shared" si="0"/>
        <v>300000</v>
      </c>
      <c r="H57" s="23">
        <v>300000</v>
      </c>
      <c r="I57" s="23"/>
      <c r="J57" s="23"/>
    </row>
    <row r="58" spans="1:10" ht="101.25" customHeight="1" hidden="1">
      <c r="A58" s="121" t="s">
        <v>299</v>
      </c>
      <c r="B58" s="138" t="s">
        <v>76</v>
      </c>
      <c r="C58" s="138" t="s">
        <v>26</v>
      </c>
      <c r="D58" s="122" t="s">
        <v>77</v>
      </c>
      <c r="E58" s="63" t="s">
        <v>397</v>
      </c>
      <c r="F58" s="89" t="s">
        <v>357</v>
      </c>
      <c r="G58" s="23">
        <f t="shared" si="0"/>
        <v>0</v>
      </c>
      <c r="H58" s="23"/>
      <c r="I58" s="23"/>
      <c r="J58" s="23"/>
    </row>
    <row r="59" spans="1:10" ht="86.25" customHeight="1" hidden="1">
      <c r="A59" s="121"/>
      <c r="B59" s="138"/>
      <c r="C59" s="138"/>
      <c r="D59" s="122"/>
      <c r="E59" s="63" t="s">
        <v>367</v>
      </c>
      <c r="F59" s="89" t="s">
        <v>398</v>
      </c>
      <c r="G59" s="23">
        <f t="shared" si="0"/>
        <v>0</v>
      </c>
      <c r="H59" s="23"/>
      <c r="I59" s="23"/>
      <c r="J59" s="23"/>
    </row>
    <row r="60" spans="1:10" ht="232.5" customHeight="1">
      <c r="A60" s="121"/>
      <c r="B60" s="138"/>
      <c r="C60" s="138"/>
      <c r="D60" s="122"/>
      <c r="E60" s="88" t="s">
        <v>462</v>
      </c>
      <c r="F60" s="89" t="s">
        <v>509</v>
      </c>
      <c r="G60" s="23">
        <f t="shared" si="0"/>
        <v>35000</v>
      </c>
      <c r="H60" s="23"/>
      <c r="I60" s="23">
        <v>35000</v>
      </c>
      <c r="J60" s="23">
        <v>35000</v>
      </c>
    </row>
    <row r="61" spans="1:11" ht="182.25" customHeight="1">
      <c r="A61" s="113" t="s">
        <v>272</v>
      </c>
      <c r="B61" s="115" t="s">
        <v>273</v>
      </c>
      <c r="C61" s="115" t="s">
        <v>26</v>
      </c>
      <c r="D61" s="146" t="s">
        <v>274</v>
      </c>
      <c r="E61" s="69" t="s">
        <v>462</v>
      </c>
      <c r="F61" s="63" t="s">
        <v>526</v>
      </c>
      <c r="G61" s="23">
        <f t="shared" si="0"/>
        <v>2646600</v>
      </c>
      <c r="H61" s="23">
        <f>197600-134000+500000</f>
        <v>563600</v>
      </c>
      <c r="I61" s="23">
        <f>134000+500000+49000+1000000+400000</f>
        <v>2083000</v>
      </c>
      <c r="J61" s="23">
        <f>134000+500000+49000+1000000+400000</f>
        <v>2083000</v>
      </c>
      <c r="K61" s="107"/>
    </row>
    <row r="62" spans="1:10" ht="136.5" customHeight="1">
      <c r="A62" s="154"/>
      <c r="B62" s="136"/>
      <c r="C62" s="136"/>
      <c r="D62" s="147"/>
      <c r="E62" s="63" t="s">
        <v>397</v>
      </c>
      <c r="F62" s="89" t="s">
        <v>357</v>
      </c>
      <c r="G62" s="23">
        <f t="shared" si="0"/>
        <v>1675199</v>
      </c>
      <c r="H62" s="23">
        <f>5199+150000+720000</f>
        <v>875199</v>
      </c>
      <c r="I62" s="23">
        <v>800000</v>
      </c>
      <c r="J62" s="23">
        <v>800000</v>
      </c>
    </row>
    <row r="63" spans="1:10" ht="367.5" customHeight="1">
      <c r="A63" s="154"/>
      <c r="B63" s="136"/>
      <c r="C63" s="136"/>
      <c r="D63" s="147"/>
      <c r="E63" s="63" t="s">
        <v>530</v>
      </c>
      <c r="F63" s="63" t="s">
        <v>540</v>
      </c>
      <c r="G63" s="23">
        <f t="shared" si="0"/>
        <v>610000</v>
      </c>
      <c r="H63" s="23">
        <f>55000+500000+55000</f>
        <v>610000</v>
      </c>
      <c r="I63" s="23"/>
      <c r="J63" s="23"/>
    </row>
    <row r="64" spans="1:10" ht="177" customHeight="1" hidden="1">
      <c r="A64" s="114"/>
      <c r="B64" s="116"/>
      <c r="C64" s="116"/>
      <c r="D64" s="148"/>
      <c r="E64" s="63" t="s">
        <v>368</v>
      </c>
      <c r="F64" s="89" t="s">
        <v>389</v>
      </c>
      <c r="G64" s="23">
        <f t="shared" si="0"/>
        <v>0</v>
      </c>
      <c r="H64" s="23"/>
      <c r="I64" s="23"/>
      <c r="J64" s="23"/>
    </row>
    <row r="65" spans="1:10" s="2" customFormat="1" ht="103.5" customHeight="1">
      <c r="A65" s="12"/>
      <c r="B65" s="26"/>
      <c r="C65" s="26"/>
      <c r="D65" s="66" t="s">
        <v>130</v>
      </c>
      <c r="E65" s="66"/>
      <c r="F65" s="95"/>
      <c r="G65" s="22">
        <f>SUM(G66:G111)</f>
        <v>1308305244.2</v>
      </c>
      <c r="H65" s="22">
        <f>SUM(H66:H111)</f>
        <v>1194276929.72</v>
      </c>
      <c r="I65" s="22">
        <f>SUM(I66:I111)</f>
        <v>114028314.48</v>
      </c>
      <c r="J65" s="22">
        <f>SUM(J66:J111)</f>
        <v>72389864.47999999</v>
      </c>
    </row>
    <row r="66" spans="1:10" s="2" customFormat="1" ht="150.75" customHeight="1">
      <c r="A66" s="6" t="s">
        <v>131</v>
      </c>
      <c r="B66" s="25" t="s">
        <v>70</v>
      </c>
      <c r="C66" s="25" t="s">
        <v>2</v>
      </c>
      <c r="D66" s="63" t="s">
        <v>471</v>
      </c>
      <c r="E66" s="63" t="s">
        <v>454</v>
      </c>
      <c r="F66" s="89" t="s">
        <v>344</v>
      </c>
      <c r="G66" s="23">
        <f aca="true" t="shared" si="1" ref="G66:G111">H66+I66</f>
        <v>30000</v>
      </c>
      <c r="H66" s="23">
        <v>30000</v>
      </c>
      <c r="I66" s="23"/>
      <c r="J66" s="23"/>
    </row>
    <row r="67" spans="1:15" ht="138" customHeight="1">
      <c r="A67" s="121" t="s">
        <v>132</v>
      </c>
      <c r="B67" s="138" t="s">
        <v>36</v>
      </c>
      <c r="C67" s="138" t="s">
        <v>14</v>
      </c>
      <c r="D67" s="122" t="s">
        <v>83</v>
      </c>
      <c r="E67" s="63" t="s">
        <v>451</v>
      </c>
      <c r="F67" s="63" t="s">
        <v>353</v>
      </c>
      <c r="G67" s="23">
        <f t="shared" si="1"/>
        <v>324698944</v>
      </c>
      <c r="H67" s="23">
        <f>312891086-H68-H69</f>
        <v>311684146</v>
      </c>
      <c r="I67" s="23">
        <v>13014798</v>
      </c>
      <c r="J67" s="23">
        <v>1255098</v>
      </c>
      <c r="O67" s="106"/>
    </row>
    <row r="68" spans="1:10" s="21" customFormat="1" ht="135.75" customHeight="1">
      <c r="A68" s="121"/>
      <c r="B68" s="138"/>
      <c r="C68" s="138"/>
      <c r="D68" s="122"/>
      <c r="E68" s="63" t="s">
        <v>438</v>
      </c>
      <c r="F68" s="63" t="s">
        <v>346</v>
      </c>
      <c r="G68" s="23">
        <f t="shared" si="1"/>
        <v>13620</v>
      </c>
      <c r="H68" s="23">
        <v>13620</v>
      </c>
      <c r="I68" s="24"/>
      <c r="J68" s="24"/>
    </row>
    <row r="69" spans="1:10" s="21" customFormat="1" ht="138.75" customHeight="1">
      <c r="A69" s="121"/>
      <c r="B69" s="138"/>
      <c r="C69" s="138"/>
      <c r="D69" s="122"/>
      <c r="E69" s="63" t="s">
        <v>449</v>
      </c>
      <c r="F69" s="63" t="s">
        <v>404</v>
      </c>
      <c r="G69" s="23">
        <f t="shared" si="1"/>
        <v>1193320</v>
      </c>
      <c r="H69" s="23">
        <v>1193320</v>
      </c>
      <c r="I69" s="24"/>
      <c r="J69" s="24"/>
    </row>
    <row r="70" spans="1:10" s="21" customFormat="1" ht="138" customHeight="1">
      <c r="A70" s="113" t="s">
        <v>475</v>
      </c>
      <c r="B70" s="115">
        <v>1021</v>
      </c>
      <c r="C70" s="115" t="s">
        <v>15</v>
      </c>
      <c r="D70" s="158" t="s">
        <v>476</v>
      </c>
      <c r="E70" s="63" t="s">
        <v>451</v>
      </c>
      <c r="F70" s="63" t="s">
        <v>353</v>
      </c>
      <c r="G70" s="23">
        <f t="shared" si="1"/>
        <v>248688457.7</v>
      </c>
      <c r="H70" s="23">
        <f>224822308.7-H71-H72</f>
        <v>222264553.7</v>
      </c>
      <c r="I70" s="23">
        <v>26423904</v>
      </c>
      <c r="J70" s="23">
        <v>1293104</v>
      </c>
    </row>
    <row r="71" spans="1:10" s="21" customFormat="1" ht="140.25" customHeight="1">
      <c r="A71" s="154"/>
      <c r="B71" s="136"/>
      <c r="C71" s="136"/>
      <c r="D71" s="159"/>
      <c r="E71" s="63" t="s">
        <v>438</v>
      </c>
      <c r="F71" s="63" t="s">
        <v>346</v>
      </c>
      <c r="G71" s="23">
        <f t="shared" si="1"/>
        <v>68550</v>
      </c>
      <c r="H71" s="23">
        <v>68550</v>
      </c>
      <c r="I71" s="24"/>
      <c r="J71" s="24"/>
    </row>
    <row r="72" spans="1:10" s="21" customFormat="1" ht="156" customHeight="1">
      <c r="A72" s="114"/>
      <c r="B72" s="116"/>
      <c r="C72" s="116"/>
      <c r="D72" s="160"/>
      <c r="E72" s="63" t="s">
        <v>449</v>
      </c>
      <c r="F72" s="89" t="s">
        <v>404</v>
      </c>
      <c r="G72" s="23">
        <f t="shared" si="1"/>
        <v>2489205</v>
      </c>
      <c r="H72" s="23">
        <v>2489205</v>
      </c>
      <c r="I72" s="24"/>
      <c r="J72" s="24"/>
    </row>
    <row r="73" spans="1:10" s="21" customFormat="1" ht="231" customHeight="1">
      <c r="A73" s="43" t="s">
        <v>477</v>
      </c>
      <c r="B73" s="44">
        <v>1022</v>
      </c>
      <c r="C73" s="43" t="s">
        <v>33</v>
      </c>
      <c r="D73" s="65" t="s">
        <v>400</v>
      </c>
      <c r="E73" s="63" t="s">
        <v>451</v>
      </c>
      <c r="F73" s="63" t="s">
        <v>353</v>
      </c>
      <c r="G73" s="23">
        <f t="shared" si="1"/>
        <v>15118607</v>
      </c>
      <c r="H73" s="23">
        <v>15021607</v>
      </c>
      <c r="I73" s="23">
        <v>97000</v>
      </c>
      <c r="J73" s="23">
        <v>97000</v>
      </c>
    </row>
    <row r="74" spans="1:10" s="21" customFormat="1" ht="231" customHeight="1">
      <c r="A74" s="43" t="s">
        <v>553</v>
      </c>
      <c r="B74" s="44">
        <v>1025</v>
      </c>
      <c r="C74" s="43" t="s">
        <v>33</v>
      </c>
      <c r="D74" s="65" t="s">
        <v>555</v>
      </c>
      <c r="E74" s="63" t="s">
        <v>451</v>
      </c>
      <c r="F74" s="63" t="s">
        <v>353</v>
      </c>
      <c r="G74" s="23">
        <f t="shared" si="1"/>
        <v>4167674.43</v>
      </c>
      <c r="H74" s="23">
        <v>4167674.43</v>
      </c>
      <c r="I74" s="23"/>
      <c r="J74" s="23"/>
    </row>
    <row r="75" spans="1:10" ht="150.75" customHeight="1">
      <c r="A75" s="8" t="s">
        <v>478</v>
      </c>
      <c r="B75" s="27">
        <v>1031</v>
      </c>
      <c r="C75" s="6" t="s">
        <v>15</v>
      </c>
      <c r="D75" s="63" t="s">
        <v>476</v>
      </c>
      <c r="E75" s="63" t="s">
        <v>451</v>
      </c>
      <c r="F75" s="63" t="s">
        <v>353</v>
      </c>
      <c r="G75" s="23">
        <f t="shared" si="1"/>
        <v>468297758.54</v>
      </c>
      <c r="H75" s="23">
        <v>468297758.54</v>
      </c>
      <c r="I75" s="23"/>
      <c r="J75" s="23"/>
    </row>
    <row r="76" spans="1:10" ht="232.5" customHeight="1">
      <c r="A76" s="8" t="s">
        <v>479</v>
      </c>
      <c r="B76" s="27">
        <v>1032</v>
      </c>
      <c r="C76" s="6" t="s">
        <v>33</v>
      </c>
      <c r="D76" s="63" t="s">
        <v>400</v>
      </c>
      <c r="E76" s="63" t="s">
        <v>451</v>
      </c>
      <c r="F76" s="63" t="s">
        <v>353</v>
      </c>
      <c r="G76" s="23">
        <f t="shared" si="1"/>
        <v>15808500</v>
      </c>
      <c r="H76" s="23">
        <v>15808500</v>
      </c>
      <c r="I76" s="23"/>
      <c r="J76" s="23"/>
    </row>
    <row r="77" spans="1:10" ht="232.5" customHeight="1">
      <c r="A77" s="8" t="s">
        <v>554</v>
      </c>
      <c r="B77" s="27">
        <v>1035</v>
      </c>
      <c r="C77" s="6" t="s">
        <v>33</v>
      </c>
      <c r="D77" s="63" t="s">
        <v>555</v>
      </c>
      <c r="E77" s="63" t="s">
        <v>451</v>
      </c>
      <c r="F77" s="63" t="s">
        <v>353</v>
      </c>
      <c r="G77" s="23">
        <f t="shared" si="1"/>
        <v>421121.46</v>
      </c>
      <c r="H77" s="23">
        <v>421121.46</v>
      </c>
      <c r="I77" s="23"/>
      <c r="J77" s="23"/>
    </row>
    <row r="78" spans="1:10" ht="140.25" customHeight="1">
      <c r="A78" s="8" t="s">
        <v>500</v>
      </c>
      <c r="B78" s="27">
        <v>1061</v>
      </c>
      <c r="C78" s="59" t="s">
        <v>15</v>
      </c>
      <c r="D78" s="68" t="s">
        <v>501</v>
      </c>
      <c r="E78" s="63" t="s">
        <v>451</v>
      </c>
      <c r="F78" s="63" t="s">
        <v>353</v>
      </c>
      <c r="G78" s="23">
        <f t="shared" si="1"/>
        <v>7057742.779999999</v>
      </c>
      <c r="H78" s="23">
        <v>1064017.6</v>
      </c>
      <c r="I78" s="23">
        <v>5993725.18</v>
      </c>
      <c r="J78" s="23">
        <v>5993725.18</v>
      </c>
    </row>
    <row r="79" spans="1:10" ht="230.25" customHeight="1">
      <c r="A79" s="8" t="s">
        <v>529</v>
      </c>
      <c r="B79" s="27">
        <v>1062</v>
      </c>
      <c r="C79" s="76" t="s">
        <v>33</v>
      </c>
      <c r="D79" s="72" t="s">
        <v>400</v>
      </c>
      <c r="E79" s="63" t="s">
        <v>451</v>
      </c>
      <c r="F79" s="63" t="s">
        <v>353</v>
      </c>
      <c r="G79" s="23">
        <f t="shared" si="1"/>
        <v>40000</v>
      </c>
      <c r="H79" s="23">
        <v>40000</v>
      </c>
      <c r="I79" s="23"/>
      <c r="J79" s="23"/>
    </row>
    <row r="80" spans="1:10" ht="143.25" customHeight="1">
      <c r="A80" s="8" t="s">
        <v>489</v>
      </c>
      <c r="B80" s="27">
        <v>1070</v>
      </c>
      <c r="C80" s="6" t="s">
        <v>32</v>
      </c>
      <c r="D80" s="63" t="s">
        <v>490</v>
      </c>
      <c r="E80" s="63" t="s">
        <v>451</v>
      </c>
      <c r="F80" s="63" t="s">
        <v>353</v>
      </c>
      <c r="G80" s="23">
        <f t="shared" si="1"/>
        <v>36558895</v>
      </c>
      <c r="H80" s="23">
        <v>36446395</v>
      </c>
      <c r="I80" s="23">
        <v>112500</v>
      </c>
      <c r="J80" s="23">
        <v>112500</v>
      </c>
    </row>
    <row r="81" spans="1:10" ht="132.75" customHeight="1" hidden="1">
      <c r="A81" s="8" t="s">
        <v>325</v>
      </c>
      <c r="B81" s="27" t="s">
        <v>326</v>
      </c>
      <c r="C81" s="6" t="s">
        <v>16</v>
      </c>
      <c r="D81" s="63" t="s">
        <v>401</v>
      </c>
      <c r="E81" s="63" t="s">
        <v>451</v>
      </c>
      <c r="F81" s="63" t="s">
        <v>353</v>
      </c>
      <c r="G81" s="23">
        <f t="shared" si="1"/>
        <v>0</v>
      </c>
      <c r="H81" s="23"/>
      <c r="I81" s="23"/>
      <c r="J81" s="23"/>
    </row>
    <row r="82" spans="1:10" s="3" customFormat="1" ht="141" customHeight="1">
      <c r="A82" s="8" t="s">
        <v>480</v>
      </c>
      <c r="B82" s="27">
        <v>1141</v>
      </c>
      <c r="C82" s="6" t="s">
        <v>16</v>
      </c>
      <c r="D82" s="63" t="s">
        <v>254</v>
      </c>
      <c r="E82" s="63" t="s">
        <v>451</v>
      </c>
      <c r="F82" s="63" t="s">
        <v>353</v>
      </c>
      <c r="G82" s="23">
        <f t="shared" si="1"/>
        <v>11570150</v>
      </c>
      <c r="H82" s="23">
        <v>11570150</v>
      </c>
      <c r="I82" s="23"/>
      <c r="J82" s="23"/>
    </row>
    <row r="83" spans="1:10" s="3" customFormat="1" ht="141" customHeight="1">
      <c r="A83" s="8" t="s">
        <v>481</v>
      </c>
      <c r="B83" s="27">
        <v>1142</v>
      </c>
      <c r="C83" s="25" t="s">
        <v>16</v>
      </c>
      <c r="D83" s="63" t="s">
        <v>255</v>
      </c>
      <c r="E83" s="63" t="s">
        <v>451</v>
      </c>
      <c r="F83" s="63" t="s">
        <v>353</v>
      </c>
      <c r="G83" s="23">
        <f t="shared" si="1"/>
        <v>113000</v>
      </c>
      <c r="H83" s="23">
        <v>113000</v>
      </c>
      <c r="I83" s="23"/>
      <c r="J83" s="23"/>
    </row>
    <row r="84" spans="1:10" s="3" customFormat="1" ht="141" customHeight="1">
      <c r="A84" s="8" t="s">
        <v>482</v>
      </c>
      <c r="B84" s="27">
        <v>1151</v>
      </c>
      <c r="C84" s="25" t="s">
        <v>16</v>
      </c>
      <c r="D84" s="63" t="s">
        <v>483</v>
      </c>
      <c r="E84" s="63" t="s">
        <v>451</v>
      </c>
      <c r="F84" s="63" t="s">
        <v>353</v>
      </c>
      <c r="G84" s="23">
        <f t="shared" si="1"/>
        <v>135033</v>
      </c>
      <c r="H84" s="23">
        <v>135033</v>
      </c>
      <c r="I84" s="23"/>
      <c r="J84" s="23"/>
    </row>
    <row r="85" spans="1:10" s="3" customFormat="1" ht="147.75" customHeight="1">
      <c r="A85" s="8" t="s">
        <v>484</v>
      </c>
      <c r="B85" s="27">
        <v>1152</v>
      </c>
      <c r="C85" s="6" t="s">
        <v>16</v>
      </c>
      <c r="D85" s="63" t="s">
        <v>495</v>
      </c>
      <c r="E85" s="63" t="s">
        <v>451</v>
      </c>
      <c r="F85" s="63" t="s">
        <v>353</v>
      </c>
      <c r="G85" s="23">
        <f t="shared" si="1"/>
        <v>1499036</v>
      </c>
      <c r="H85" s="23">
        <v>1499036</v>
      </c>
      <c r="I85" s="23"/>
      <c r="J85" s="23"/>
    </row>
    <row r="86" spans="1:10" s="3" customFormat="1" ht="147.75" customHeight="1">
      <c r="A86" s="8" t="s">
        <v>485</v>
      </c>
      <c r="B86" s="27">
        <v>1160</v>
      </c>
      <c r="C86" s="6" t="s">
        <v>16</v>
      </c>
      <c r="D86" s="63" t="s">
        <v>486</v>
      </c>
      <c r="E86" s="63" t="s">
        <v>451</v>
      </c>
      <c r="F86" s="63" t="s">
        <v>353</v>
      </c>
      <c r="G86" s="23">
        <f t="shared" si="1"/>
        <v>2593577</v>
      </c>
      <c r="H86" s="23">
        <v>2552577</v>
      </c>
      <c r="I86" s="23">
        <v>41000</v>
      </c>
      <c r="J86" s="23">
        <v>41000</v>
      </c>
    </row>
    <row r="87" spans="1:10" s="3" customFormat="1" ht="147.75" customHeight="1">
      <c r="A87" s="8" t="s">
        <v>556</v>
      </c>
      <c r="B87" s="27">
        <v>1171</v>
      </c>
      <c r="C87" s="6" t="s">
        <v>16</v>
      </c>
      <c r="D87" s="63" t="s">
        <v>557</v>
      </c>
      <c r="E87" s="63" t="s">
        <v>451</v>
      </c>
      <c r="F87" s="63" t="s">
        <v>353</v>
      </c>
      <c r="G87" s="23">
        <f t="shared" si="1"/>
        <v>1522670</v>
      </c>
      <c r="H87" s="23"/>
      <c r="I87" s="23">
        <v>1522670</v>
      </c>
      <c r="J87" s="23">
        <v>1522670</v>
      </c>
    </row>
    <row r="88" spans="1:10" s="3" customFormat="1" ht="147.75" customHeight="1">
      <c r="A88" s="8" t="s">
        <v>558</v>
      </c>
      <c r="B88" s="27">
        <v>1172</v>
      </c>
      <c r="C88" s="6" t="s">
        <v>16</v>
      </c>
      <c r="D88" s="63" t="s">
        <v>559</v>
      </c>
      <c r="E88" s="63" t="s">
        <v>451</v>
      </c>
      <c r="F88" s="63" t="s">
        <v>353</v>
      </c>
      <c r="G88" s="23">
        <f t="shared" si="1"/>
        <v>3147500</v>
      </c>
      <c r="H88" s="23">
        <v>287772</v>
      </c>
      <c r="I88" s="23">
        <v>2859728</v>
      </c>
      <c r="J88" s="23">
        <v>2859728</v>
      </c>
    </row>
    <row r="89" spans="1:10" s="3" customFormat="1" ht="318.75" customHeight="1">
      <c r="A89" s="8" t="s">
        <v>547</v>
      </c>
      <c r="B89" s="27">
        <v>1181</v>
      </c>
      <c r="C89" s="6" t="s">
        <v>16</v>
      </c>
      <c r="D89" s="104" t="s">
        <v>548</v>
      </c>
      <c r="E89" s="63" t="s">
        <v>451</v>
      </c>
      <c r="F89" s="63" t="s">
        <v>353</v>
      </c>
      <c r="G89" s="23">
        <f t="shared" si="1"/>
        <v>2456252</v>
      </c>
      <c r="H89" s="23">
        <v>2092093.9</v>
      </c>
      <c r="I89" s="23">
        <v>364158.1</v>
      </c>
      <c r="J89" s="23">
        <v>364158.1</v>
      </c>
    </row>
    <row r="90" spans="1:10" s="3" customFormat="1" ht="195" customHeight="1">
      <c r="A90" s="8" t="s">
        <v>545</v>
      </c>
      <c r="B90" s="27">
        <v>1182</v>
      </c>
      <c r="C90" s="6" t="s">
        <v>16</v>
      </c>
      <c r="D90" s="104" t="s">
        <v>546</v>
      </c>
      <c r="E90" s="63" t="s">
        <v>451</v>
      </c>
      <c r="F90" s="63" t="s">
        <v>353</v>
      </c>
      <c r="G90" s="23">
        <f t="shared" si="1"/>
        <v>5445861</v>
      </c>
      <c r="H90" s="23">
        <f>6262701.1-1461192.8</f>
        <v>4801508.3</v>
      </c>
      <c r="I90" s="23">
        <f>644361.9-9.2</f>
        <v>644352.7000000001</v>
      </c>
      <c r="J90" s="23">
        <f>644361.9-9.2</f>
        <v>644352.7000000001</v>
      </c>
    </row>
    <row r="91" spans="1:10" s="3" customFormat="1" ht="230.25" customHeight="1">
      <c r="A91" s="8" t="s">
        <v>487</v>
      </c>
      <c r="B91" s="27">
        <v>1200</v>
      </c>
      <c r="C91" s="6" t="s">
        <v>16</v>
      </c>
      <c r="D91" s="63" t="s">
        <v>488</v>
      </c>
      <c r="E91" s="63" t="s">
        <v>451</v>
      </c>
      <c r="F91" s="63" t="s">
        <v>353</v>
      </c>
      <c r="G91" s="23">
        <f t="shared" si="1"/>
        <v>2489470</v>
      </c>
      <c r="H91" s="23">
        <v>2417470</v>
      </c>
      <c r="I91" s="23">
        <f>98583-26583</f>
        <v>72000</v>
      </c>
      <c r="J91" s="23">
        <f>98583-26583</f>
        <v>72000</v>
      </c>
    </row>
    <row r="92" spans="1:10" s="3" customFormat="1" ht="236.25" customHeight="1">
      <c r="A92" s="62" t="s">
        <v>502</v>
      </c>
      <c r="B92" s="61">
        <v>1210</v>
      </c>
      <c r="C92" s="6" t="s">
        <v>16</v>
      </c>
      <c r="D92" s="68" t="s">
        <v>503</v>
      </c>
      <c r="E92" s="63" t="s">
        <v>451</v>
      </c>
      <c r="F92" s="63" t="s">
        <v>353</v>
      </c>
      <c r="G92" s="23">
        <f t="shared" si="1"/>
        <v>1315285.79</v>
      </c>
      <c r="H92" s="23">
        <f>1174231+141054.79</f>
        <v>1315285.79</v>
      </c>
      <c r="I92" s="23"/>
      <c r="J92" s="23"/>
    </row>
    <row r="93" spans="1:10" ht="135.75" customHeight="1">
      <c r="A93" s="149" t="s">
        <v>133</v>
      </c>
      <c r="B93" s="133" t="s">
        <v>38</v>
      </c>
      <c r="C93" s="115" t="s">
        <v>7</v>
      </c>
      <c r="D93" s="158" t="s">
        <v>42</v>
      </c>
      <c r="E93" s="63" t="s">
        <v>393</v>
      </c>
      <c r="F93" s="89" t="s">
        <v>354</v>
      </c>
      <c r="G93" s="23">
        <f t="shared" si="1"/>
        <v>2322000</v>
      </c>
      <c r="H93" s="23">
        <f>5500000-H94-H95</f>
        <v>2322000</v>
      </c>
      <c r="I93" s="23"/>
      <c r="J93" s="23"/>
    </row>
    <row r="94" spans="1:10" ht="138.75" customHeight="1">
      <c r="A94" s="150"/>
      <c r="B94" s="134"/>
      <c r="C94" s="136"/>
      <c r="D94" s="159"/>
      <c r="E94" s="63" t="s">
        <v>438</v>
      </c>
      <c r="F94" s="63" t="s">
        <v>346</v>
      </c>
      <c r="G94" s="23">
        <f t="shared" si="1"/>
        <v>31000</v>
      </c>
      <c r="H94" s="23">
        <f>35000+5000-9000</f>
        <v>31000</v>
      </c>
      <c r="I94" s="23"/>
      <c r="J94" s="23"/>
    </row>
    <row r="95" spans="1:10" ht="153" customHeight="1">
      <c r="A95" s="151"/>
      <c r="B95" s="135"/>
      <c r="C95" s="116"/>
      <c r="D95" s="160"/>
      <c r="E95" s="63" t="s">
        <v>449</v>
      </c>
      <c r="F95" s="89" t="s">
        <v>404</v>
      </c>
      <c r="G95" s="23">
        <f t="shared" si="1"/>
        <v>3147000</v>
      </c>
      <c r="H95" s="23">
        <f>1631000+1855000-339000</f>
        <v>3147000</v>
      </c>
      <c r="I95" s="23"/>
      <c r="J95" s="23"/>
    </row>
    <row r="96" spans="1:10" ht="141" customHeight="1">
      <c r="A96" s="8" t="s">
        <v>336</v>
      </c>
      <c r="B96" s="27" t="s">
        <v>233</v>
      </c>
      <c r="C96" s="25" t="s">
        <v>6</v>
      </c>
      <c r="D96" s="63" t="s">
        <v>234</v>
      </c>
      <c r="E96" s="63" t="s">
        <v>467</v>
      </c>
      <c r="F96" s="89" t="s">
        <v>468</v>
      </c>
      <c r="G96" s="23">
        <f t="shared" si="1"/>
        <v>59730</v>
      </c>
      <c r="H96" s="23">
        <v>59730</v>
      </c>
      <c r="I96" s="23"/>
      <c r="J96" s="23"/>
    </row>
    <row r="97" spans="1:10" s="3" customFormat="1" ht="141.75" customHeight="1">
      <c r="A97" s="6" t="s">
        <v>134</v>
      </c>
      <c r="B97" s="25" t="s">
        <v>64</v>
      </c>
      <c r="C97" s="25" t="s">
        <v>10</v>
      </c>
      <c r="D97" s="63" t="s">
        <v>44</v>
      </c>
      <c r="E97" s="63" t="s">
        <v>455</v>
      </c>
      <c r="F97" s="89" t="s">
        <v>356</v>
      </c>
      <c r="G97" s="23">
        <f t="shared" si="1"/>
        <v>8855725</v>
      </c>
      <c r="H97" s="23">
        <v>8855725</v>
      </c>
      <c r="I97" s="23"/>
      <c r="J97" s="23"/>
    </row>
    <row r="98" spans="1:10" s="3" customFormat="1" ht="141.75" customHeight="1">
      <c r="A98" s="6" t="s">
        <v>417</v>
      </c>
      <c r="B98" s="25">
        <v>7321</v>
      </c>
      <c r="C98" s="6" t="s">
        <v>62</v>
      </c>
      <c r="D98" s="101" t="s">
        <v>532</v>
      </c>
      <c r="E98" s="63" t="s">
        <v>451</v>
      </c>
      <c r="F98" s="63" t="s">
        <v>353</v>
      </c>
      <c r="G98" s="23">
        <f t="shared" si="1"/>
        <v>24543487.5</v>
      </c>
      <c r="H98" s="23"/>
      <c r="I98" s="23">
        <v>24543487.5</v>
      </c>
      <c r="J98" s="23">
        <v>24543487.5</v>
      </c>
    </row>
    <row r="99" spans="1:10" s="3" customFormat="1" ht="144.75" customHeight="1">
      <c r="A99" s="121" t="s">
        <v>276</v>
      </c>
      <c r="B99" s="138" t="s">
        <v>277</v>
      </c>
      <c r="C99" s="138" t="s">
        <v>4</v>
      </c>
      <c r="D99" s="122" t="s">
        <v>278</v>
      </c>
      <c r="E99" s="63" t="s">
        <v>437</v>
      </c>
      <c r="F99" s="63" t="s">
        <v>497</v>
      </c>
      <c r="G99" s="23">
        <f t="shared" si="1"/>
        <v>5886694</v>
      </c>
      <c r="H99" s="23"/>
      <c r="I99" s="23">
        <v>5886694</v>
      </c>
      <c r="J99" s="23">
        <v>5886694</v>
      </c>
    </row>
    <row r="100" spans="1:10" s="3" customFormat="1" ht="132.75">
      <c r="A100" s="121"/>
      <c r="B100" s="138"/>
      <c r="C100" s="138"/>
      <c r="D100" s="122"/>
      <c r="E100" s="63" t="s">
        <v>451</v>
      </c>
      <c r="F100" s="63" t="s">
        <v>353</v>
      </c>
      <c r="G100" s="23">
        <f t="shared" si="1"/>
        <v>15052973</v>
      </c>
      <c r="H100" s="23"/>
      <c r="I100" s="23">
        <f>20939667-I99</f>
        <v>15052973</v>
      </c>
      <c r="J100" s="23">
        <f>17446717-J99</f>
        <v>11560023</v>
      </c>
    </row>
    <row r="101" spans="1:10" s="3" customFormat="1" ht="44.25" hidden="1">
      <c r="A101" s="121"/>
      <c r="B101" s="138"/>
      <c r="C101" s="138"/>
      <c r="D101" s="122"/>
      <c r="E101" s="63"/>
      <c r="F101" s="63"/>
      <c r="G101" s="23">
        <f t="shared" si="1"/>
        <v>0</v>
      </c>
      <c r="H101" s="23"/>
      <c r="I101" s="23"/>
      <c r="J101" s="23"/>
    </row>
    <row r="102" spans="1:10" s="3" customFormat="1" ht="44.25" hidden="1">
      <c r="A102" s="121"/>
      <c r="B102" s="138"/>
      <c r="C102" s="138"/>
      <c r="D102" s="122"/>
      <c r="E102" s="63"/>
      <c r="F102" s="63"/>
      <c r="G102" s="23">
        <f t="shared" si="1"/>
        <v>0</v>
      </c>
      <c r="H102" s="23"/>
      <c r="I102" s="23"/>
      <c r="J102" s="23"/>
    </row>
    <row r="103" spans="1:10" s="3" customFormat="1" ht="44.25" hidden="1">
      <c r="A103" s="6"/>
      <c r="B103" s="25"/>
      <c r="C103" s="25"/>
      <c r="D103" s="63"/>
      <c r="E103" s="63"/>
      <c r="F103" s="63"/>
      <c r="G103" s="23">
        <f t="shared" si="1"/>
        <v>0</v>
      </c>
      <c r="H103" s="23"/>
      <c r="I103" s="23"/>
      <c r="J103" s="23"/>
    </row>
    <row r="104" spans="1:10" s="11" customFormat="1" ht="141" customHeight="1">
      <c r="A104" s="6" t="s">
        <v>135</v>
      </c>
      <c r="B104" s="25" t="s">
        <v>82</v>
      </c>
      <c r="C104" s="25" t="s">
        <v>25</v>
      </c>
      <c r="D104" s="63" t="s">
        <v>53</v>
      </c>
      <c r="E104" s="63" t="s">
        <v>437</v>
      </c>
      <c r="F104" s="63" t="s">
        <v>463</v>
      </c>
      <c r="G104" s="23">
        <f t="shared" si="1"/>
        <v>12245966</v>
      </c>
      <c r="H104" s="23">
        <v>665150</v>
      </c>
      <c r="I104" s="23">
        <f>11554696-53880+80000</f>
        <v>11580816</v>
      </c>
      <c r="J104" s="23">
        <f>11554696-53880+80000</f>
        <v>11580816</v>
      </c>
    </row>
    <row r="105" spans="1:10" s="11" customFormat="1" ht="185.25" customHeight="1">
      <c r="A105" s="6" t="s">
        <v>470</v>
      </c>
      <c r="B105" s="25">
        <v>7700</v>
      </c>
      <c r="C105" s="59" t="s">
        <v>13</v>
      </c>
      <c r="D105" s="63" t="s">
        <v>329</v>
      </c>
      <c r="E105" s="63" t="s">
        <v>437</v>
      </c>
      <c r="F105" s="63" t="s">
        <v>463</v>
      </c>
      <c r="G105" s="23">
        <f t="shared" si="1"/>
        <v>630000</v>
      </c>
      <c r="H105" s="23"/>
      <c r="I105" s="23">
        <v>630000</v>
      </c>
      <c r="J105" s="23"/>
    </row>
    <row r="106" spans="1:10" ht="146.25" customHeight="1">
      <c r="A106" s="8" t="s">
        <v>136</v>
      </c>
      <c r="B106" s="27" t="s">
        <v>78</v>
      </c>
      <c r="C106" s="25" t="s">
        <v>12</v>
      </c>
      <c r="D106" s="63" t="s">
        <v>79</v>
      </c>
      <c r="E106" s="69" t="s">
        <v>448</v>
      </c>
      <c r="F106" s="63" t="s">
        <v>345</v>
      </c>
      <c r="G106" s="23">
        <f t="shared" si="1"/>
        <v>625000</v>
      </c>
      <c r="H106" s="23"/>
      <c r="I106" s="23">
        <v>625000</v>
      </c>
      <c r="J106" s="23"/>
    </row>
    <row r="107" spans="1:10" ht="177" hidden="1">
      <c r="A107" s="8" t="s">
        <v>420</v>
      </c>
      <c r="B107" s="27">
        <v>9310</v>
      </c>
      <c r="C107" s="6" t="s">
        <v>26</v>
      </c>
      <c r="D107" s="63" t="s">
        <v>421</v>
      </c>
      <c r="E107" s="63" t="s">
        <v>451</v>
      </c>
      <c r="F107" s="63" t="s">
        <v>353</v>
      </c>
      <c r="G107" s="23">
        <f t="shared" si="1"/>
        <v>0</v>
      </c>
      <c r="H107" s="23"/>
      <c r="I107" s="23"/>
      <c r="J107" s="23"/>
    </row>
    <row r="108" spans="1:10" ht="195" customHeight="1">
      <c r="A108" s="62" t="s">
        <v>560</v>
      </c>
      <c r="B108" s="61">
        <v>9320</v>
      </c>
      <c r="C108" s="43" t="s">
        <v>26</v>
      </c>
      <c r="D108" s="65" t="s">
        <v>561</v>
      </c>
      <c r="E108" s="63" t="s">
        <v>451</v>
      </c>
      <c r="F108" s="63" t="s">
        <v>353</v>
      </c>
      <c r="G108" s="23">
        <f t="shared" si="1"/>
        <v>4000000</v>
      </c>
      <c r="H108" s="23">
        <v>693000</v>
      </c>
      <c r="I108" s="23">
        <v>3307000</v>
      </c>
      <c r="J108" s="23">
        <v>3307000</v>
      </c>
    </row>
    <row r="109" spans="1:10" ht="138" customHeight="1">
      <c r="A109" s="149" t="s">
        <v>419</v>
      </c>
      <c r="B109" s="133">
        <v>9770</v>
      </c>
      <c r="C109" s="113" t="s">
        <v>26</v>
      </c>
      <c r="D109" s="158" t="s">
        <v>77</v>
      </c>
      <c r="E109" s="63" t="s">
        <v>451</v>
      </c>
      <c r="F109" s="63" t="s">
        <v>353</v>
      </c>
      <c r="G109" s="23">
        <f>H109+I109</f>
        <v>73906508</v>
      </c>
      <c r="H109" s="23">
        <v>72650000</v>
      </c>
      <c r="I109" s="23">
        <v>1256508</v>
      </c>
      <c r="J109" s="23">
        <v>1256508</v>
      </c>
    </row>
    <row r="110" spans="1:10" ht="177" customHeight="1" hidden="1">
      <c r="A110" s="151"/>
      <c r="B110" s="135"/>
      <c r="C110" s="114"/>
      <c r="D110" s="160"/>
      <c r="E110" s="69" t="s">
        <v>462</v>
      </c>
      <c r="F110" s="63" t="s">
        <v>439</v>
      </c>
      <c r="G110" s="23">
        <f t="shared" si="1"/>
        <v>0</v>
      </c>
      <c r="H110" s="23"/>
      <c r="I110" s="23"/>
      <c r="J110" s="23"/>
    </row>
    <row r="111" spans="1:10" ht="187.5" customHeight="1">
      <c r="A111" s="6" t="s">
        <v>275</v>
      </c>
      <c r="B111" s="25" t="s">
        <v>273</v>
      </c>
      <c r="C111" s="25" t="s">
        <v>26</v>
      </c>
      <c r="D111" s="64" t="s">
        <v>274</v>
      </c>
      <c r="E111" s="63" t="s">
        <v>449</v>
      </c>
      <c r="F111" s="89" t="s">
        <v>404</v>
      </c>
      <c r="G111" s="23">
        <f t="shared" si="1"/>
        <v>58930</v>
      </c>
      <c r="H111" s="23">
        <v>58930</v>
      </c>
      <c r="I111" s="23"/>
      <c r="J111" s="23"/>
    </row>
    <row r="112" spans="1:10" ht="177" customHeight="1" hidden="1">
      <c r="A112" s="6" t="s">
        <v>420</v>
      </c>
      <c r="B112" s="25">
        <v>9310</v>
      </c>
      <c r="C112" s="6" t="s">
        <v>26</v>
      </c>
      <c r="D112" s="64" t="s">
        <v>421</v>
      </c>
      <c r="E112" s="63"/>
      <c r="F112" s="89"/>
      <c r="G112" s="23">
        <f>H112+I112</f>
        <v>0</v>
      </c>
      <c r="H112" s="23"/>
      <c r="I112" s="23"/>
      <c r="J112" s="23"/>
    </row>
    <row r="113" spans="1:10" s="2" customFormat="1" ht="100.5" customHeight="1">
      <c r="A113" s="12"/>
      <c r="B113" s="26"/>
      <c r="C113" s="26"/>
      <c r="D113" s="66" t="s">
        <v>465</v>
      </c>
      <c r="E113" s="66"/>
      <c r="F113" s="66"/>
      <c r="G113" s="22">
        <f>SUM(G114:G138)</f>
        <v>258094852.60000002</v>
      </c>
      <c r="H113" s="22">
        <f>SUM(H114:H138)</f>
        <v>97741047.23</v>
      </c>
      <c r="I113" s="22">
        <f>SUM(I114:I138)</f>
        <v>160353805.37</v>
      </c>
      <c r="J113" s="22">
        <f>SUM(J114:J138)</f>
        <v>155353805.37</v>
      </c>
    </row>
    <row r="114" spans="1:10" ht="147.75" customHeight="1">
      <c r="A114" s="6" t="s">
        <v>137</v>
      </c>
      <c r="B114" s="25" t="s">
        <v>70</v>
      </c>
      <c r="C114" s="25" t="s">
        <v>2</v>
      </c>
      <c r="D114" s="63" t="s">
        <v>471</v>
      </c>
      <c r="E114" s="63" t="s">
        <v>454</v>
      </c>
      <c r="F114" s="89" t="s">
        <v>344</v>
      </c>
      <c r="G114" s="23">
        <f aca="true" t="shared" si="2" ref="G114:G138">H114+I114</f>
        <v>7500</v>
      </c>
      <c r="H114" s="23">
        <f>5000+2500</f>
        <v>7500</v>
      </c>
      <c r="I114" s="23"/>
      <c r="J114" s="23"/>
    </row>
    <row r="115" spans="1:10" ht="144.75" customHeight="1">
      <c r="A115" s="155" t="s">
        <v>138</v>
      </c>
      <c r="B115" s="137" t="s">
        <v>37</v>
      </c>
      <c r="C115" s="138" t="s">
        <v>17</v>
      </c>
      <c r="D115" s="122" t="s">
        <v>48</v>
      </c>
      <c r="E115" s="69" t="s">
        <v>443</v>
      </c>
      <c r="F115" s="63" t="s">
        <v>491</v>
      </c>
      <c r="G115" s="23">
        <f t="shared" si="2"/>
        <v>100188680.22</v>
      </c>
      <c r="H115" s="23">
        <f>46532713.4+110000</f>
        <v>46642713.4</v>
      </c>
      <c r="I115" s="23">
        <f>53545966.82</f>
        <v>53545966.82</v>
      </c>
      <c r="J115" s="23">
        <v>53545966.82</v>
      </c>
    </row>
    <row r="116" spans="1:10" s="21" customFormat="1" ht="195" customHeight="1">
      <c r="A116" s="155"/>
      <c r="B116" s="137"/>
      <c r="C116" s="138"/>
      <c r="D116" s="122"/>
      <c r="E116" s="88" t="s">
        <v>462</v>
      </c>
      <c r="F116" s="89" t="s">
        <v>509</v>
      </c>
      <c r="G116" s="23">
        <f t="shared" si="2"/>
        <v>5000000</v>
      </c>
      <c r="H116" s="23"/>
      <c r="I116" s="23">
        <f>5000000</f>
        <v>5000000</v>
      </c>
      <c r="J116" s="24"/>
    </row>
    <row r="117" spans="1:10" s="21" customFormat="1" ht="138.75" customHeight="1">
      <c r="A117" s="8" t="s">
        <v>431</v>
      </c>
      <c r="B117" s="27">
        <v>2020</v>
      </c>
      <c r="C117" s="25">
        <v>732</v>
      </c>
      <c r="D117" s="63" t="s">
        <v>562</v>
      </c>
      <c r="E117" s="69" t="s">
        <v>443</v>
      </c>
      <c r="F117" s="63" t="s">
        <v>444</v>
      </c>
      <c r="G117" s="23">
        <f t="shared" si="2"/>
        <v>90000</v>
      </c>
      <c r="H117" s="23">
        <v>90000</v>
      </c>
      <c r="I117" s="24"/>
      <c r="J117" s="24"/>
    </row>
    <row r="118" spans="1:10" ht="138" customHeight="1">
      <c r="A118" s="155" t="s">
        <v>377</v>
      </c>
      <c r="B118" s="137">
        <v>2030</v>
      </c>
      <c r="C118" s="121" t="s">
        <v>378</v>
      </c>
      <c r="D118" s="156" t="s">
        <v>379</v>
      </c>
      <c r="E118" s="69" t="s">
        <v>443</v>
      </c>
      <c r="F118" s="63" t="s">
        <v>491</v>
      </c>
      <c r="G118" s="23">
        <f t="shared" si="2"/>
        <v>9598159</v>
      </c>
      <c r="H118" s="23">
        <v>4498159</v>
      </c>
      <c r="I118" s="23">
        <v>5100000</v>
      </c>
      <c r="J118" s="23">
        <v>5100000</v>
      </c>
    </row>
    <row r="119" spans="1:10" ht="189.75" customHeight="1" hidden="1">
      <c r="A119" s="155"/>
      <c r="B119" s="137"/>
      <c r="C119" s="121"/>
      <c r="D119" s="156"/>
      <c r="E119" s="63" t="s">
        <v>449</v>
      </c>
      <c r="F119" s="89" t="s">
        <v>404</v>
      </c>
      <c r="G119" s="23">
        <f t="shared" si="2"/>
        <v>0</v>
      </c>
      <c r="H119" s="23"/>
      <c r="I119" s="23"/>
      <c r="J119" s="23"/>
    </row>
    <row r="120" spans="1:10" ht="141.75" customHeight="1">
      <c r="A120" s="155" t="s">
        <v>139</v>
      </c>
      <c r="B120" s="137" t="s">
        <v>80</v>
      </c>
      <c r="C120" s="138" t="s">
        <v>18</v>
      </c>
      <c r="D120" s="152" t="s">
        <v>81</v>
      </c>
      <c r="E120" s="69" t="s">
        <v>443</v>
      </c>
      <c r="F120" s="63" t="s">
        <v>491</v>
      </c>
      <c r="G120" s="23">
        <f t="shared" si="2"/>
        <v>7707606</v>
      </c>
      <c r="H120" s="23">
        <f>7745106-H121</f>
        <v>7707606</v>
      </c>
      <c r="I120" s="23"/>
      <c r="J120" s="23"/>
    </row>
    <row r="121" spans="1:10" s="21" customFormat="1" ht="163.5" customHeight="1">
      <c r="A121" s="155"/>
      <c r="B121" s="137"/>
      <c r="C121" s="138"/>
      <c r="D121" s="152"/>
      <c r="E121" s="63" t="s">
        <v>449</v>
      </c>
      <c r="F121" s="89" t="s">
        <v>404</v>
      </c>
      <c r="G121" s="23">
        <f t="shared" si="2"/>
        <v>37500</v>
      </c>
      <c r="H121" s="23">
        <v>37500</v>
      </c>
      <c r="I121" s="24"/>
      <c r="J121" s="24"/>
    </row>
    <row r="122" spans="1:10" s="3" customFormat="1" ht="190.5" customHeight="1">
      <c r="A122" s="8" t="s">
        <v>369</v>
      </c>
      <c r="B122" s="27">
        <v>2111</v>
      </c>
      <c r="C122" s="6" t="s">
        <v>382</v>
      </c>
      <c r="D122" s="63" t="s">
        <v>381</v>
      </c>
      <c r="E122" s="69" t="s">
        <v>443</v>
      </c>
      <c r="F122" s="63" t="s">
        <v>492</v>
      </c>
      <c r="G122" s="23">
        <f t="shared" si="2"/>
        <v>3732831</v>
      </c>
      <c r="H122" s="23">
        <v>3732831</v>
      </c>
      <c r="I122" s="23"/>
      <c r="J122" s="23"/>
    </row>
    <row r="123" spans="1:10" s="3" customFormat="1" ht="139.5" customHeight="1" hidden="1">
      <c r="A123" s="8" t="s">
        <v>330</v>
      </c>
      <c r="B123" s="27" t="s">
        <v>331</v>
      </c>
      <c r="C123" s="27" t="s">
        <v>264</v>
      </c>
      <c r="D123" s="63" t="s">
        <v>334</v>
      </c>
      <c r="E123" s="69" t="s">
        <v>443</v>
      </c>
      <c r="F123" s="63" t="s">
        <v>352</v>
      </c>
      <c r="G123" s="23">
        <f t="shared" si="2"/>
        <v>0</v>
      </c>
      <c r="H123" s="23"/>
      <c r="I123" s="23"/>
      <c r="J123" s="23"/>
    </row>
    <row r="124" spans="1:10" s="3" customFormat="1" ht="138.75" customHeight="1">
      <c r="A124" s="8" t="s">
        <v>330</v>
      </c>
      <c r="B124" s="27">
        <v>2144</v>
      </c>
      <c r="C124" s="27" t="s">
        <v>264</v>
      </c>
      <c r="D124" s="70" t="s">
        <v>334</v>
      </c>
      <c r="E124" s="69" t="s">
        <v>443</v>
      </c>
      <c r="F124" s="63" t="s">
        <v>492</v>
      </c>
      <c r="G124" s="23">
        <f t="shared" si="2"/>
        <v>11403653.83</v>
      </c>
      <c r="H124" s="23">
        <f>7670800+3732900-46.17</f>
        <v>11403653.83</v>
      </c>
      <c r="I124" s="23"/>
      <c r="J124" s="23"/>
    </row>
    <row r="125" spans="1:10" s="3" customFormat="1" ht="133.5" customHeight="1">
      <c r="A125" s="8" t="s">
        <v>332</v>
      </c>
      <c r="B125" s="27" t="s">
        <v>333</v>
      </c>
      <c r="C125" s="27" t="s">
        <v>264</v>
      </c>
      <c r="D125" s="63" t="s">
        <v>335</v>
      </c>
      <c r="E125" s="69" t="s">
        <v>443</v>
      </c>
      <c r="F125" s="63" t="s">
        <v>491</v>
      </c>
      <c r="G125" s="23">
        <f t="shared" si="2"/>
        <v>3075784</v>
      </c>
      <c r="H125" s="23">
        <v>3075784</v>
      </c>
      <c r="I125" s="23"/>
      <c r="J125" s="23"/>
    </row>
    <row r="126" spans="1:10" s="3" customFormat="1" ht="143.25" customHeight="1">
      <c r="A126" s="149" t="s">
        <v>266</v>
      </c>
      <c r="B126" s="133" t="s">
        <v>263</v>
      </c>
      <c r="C126" s="133" t="s">
        <v>264</v>
      </c>
      <c r="D126" s="146" t="s">
        <v>265</v>
      </c>
      <c r="E126" s="69" t="s">
        <v>443</v>
      </c>
      <c r="F126" s="63" t="s">
        <v>491</v>
      </c>
      <c r="G126" s="23">
        <f t="shared" si="2"/>
        <v>59736754</v>
      </c>
      <c r="H126" s="23">
        <f>20438800-H127</f>
        <v>19845400</v>
      </c>
      <c r="I126" s="23">
        <v>39891354</v>
      </c>
      <c r="J126" s="23">
        <v>39891354</v>
      </c>
    </row>
    <row r="127" spans="1:10" s="21" customFormat="1" ht="171.75" customHeight="1">
      <c r="A127" s="151"/>
      <c r="B127" s="135"/>
      <c r="C127" s="135"/>
      <c r="D127" s="148"/>
      <c r="E127" s="63" t="s">
        <v>449</v>
      </c>
      <c r="F127" s="89" t="s">
        <v>404</v>
      </c>
      <c r="G127" s="23">
        <f t="shared" si="2"/>
        <v>593400</v>
      </c>
      <c r="H127" s="23">
        <v>593400</v>
      </c>
      <c r="I127" s="23"/>
      <c r="J127" s="23"/>
    </row>
    <row r="128" spans="1:10" s="21" customFormat="1" ht="150.75" customHeight="1">
      <c r="A128" s="40" t="s">
        <v>418</v>
      </c>
      <c r="B128" s="39">
        <v>7322</v>
      </c>
      <c r="C128" s="40" t="s">
        <v>62</v>
      </c>
      <c r="D128" s="89" t="s">
        <v>533</v>
      </c>
      <c r="E128" s="69" t="s">
        <v>443</v>
      </c>
      <c r="F128" s="63" t="s">
        <v>491</v>
      </c>
      <c r="G128" s="23">
        <f t="shared" si="2"/>
        <v>35908576</v>
      </c>
      <c r="H128" s="23"/>
      <c r="I128" s="23">
        <f>36766572-857996</f>
        <v>35908576</v>
      </c>
      <c r="J128" s="23">
        <f>36766572-857996</f>
        <v>35908576</v>
      </c>
    </row>
    <row r="129" spans="1:10" s="21" customFormat="1" ht="144" customHeight="1">
      <c r="A129" s="149" t="s">
        <v>405</v>
      </c>
      <c r="B129" s="133">
        <v>7361</v>
      </c>
      <c r="C129" s="149" t="s">
        <v>4</v>
      </c>
      <c r="D129" s="130" t="s">
        <v>295</v>
      </c>
      <c r="E129" s="69" t="s">
        <v>443</v>
      </c>
      <c r="F129" s="63" t="s">
        <v>491</v>
      </c>
      <c r="G129" s="23">
        <f t="shared" si="2"/>
        <v>5322507</v>
      </c>
      <c r="H129" s="23"/>
      <c r="I129" s="23">
        <f>5678000-1389000+1033507</f>
        <v>5322507</v>
      </c>
      <c r="J129" s="23">
        <f>5678000-1389000+1033507</f>
        <v>5322507</v>
      </c>
    </row>
    <row r="130" spans="1:10" s="21" customFormat="1" ht="159.75" customHeight="1">
      <c r="A130" s="151"/>
      <c r="B130" s="135"/>
      <c r="C130" s="151"/>
      <c r="D130" s="132"/>
      <c r="E130" s="63" t="s">
        <v>437</v>
      </c>
      <c r="F130" s="63" t="s">
        <v>497</v>
      </c>
      <c r="G130" s="23">
        <f t="shared" si="2"/>
        <v>1389000</v>
      </c>
      <c r="H130" s="23"/>
      <c r="I130" s="23">
        <v>1389000</v>
      </c>
      <c r="J130" s="23">
        <v>1389000</v>
      </c>
    </row>
    <row r="131" spans="1:10" s="3" customFormat="1" ht="135" customHeight="1" hidden="1">
      <c r="A131" s="113" t="s">
        <v>279</v>
      </c>
      <c r="B131" s="115" t="s">
        <v>277</v>
      </c>
      <c r="C131" s="115" t="s">
        <v>4</v>
      </c>
      <c r="D131" s="117" t="s">
        <v>278</v>
      </c>
      <c r="E131" s="63" t="s">
        <v>437</v>
      </c>
      <c r="F131" s="63" t="s">
        <v>497</v>
      </c>
      <c r="G131" s="23">
        <f t="shared" si="2"/>
        <v>0</v>
      </c>
      <c r="H131" s="23"/>
      <c r="I131" s="23"/>
      <c r="J131" s="23"/>
    </row>
    <row r="132" spans="1:10" s="3" customFormat="1" ht="147" customHeight="1">
      <c r="A132" s="114"/>
      <c r="B132" s="116"/>
      <c r="C132" s="116"/>
      <c r="D132" s="118"/>
      <c r="E132" s="69" t="s">
        <v>443</v>
      </c>
      <c r="F132" s="63" t="s">
        <v>491</v>
      </c>
      <c r="G132" s="23">
        <f t="shared" si="2"/>
        <v>4580860</v>
      </c>
      <c r="H132" s="23"/>
      <c r="I132" s="23">
        <f>4580860-I131</f>
        <v>4580860</v>
      </c>
      <c r="J132" s="23">
        <f>4580860-J131</f>
        <v>4580860</v>
      </c>
    </row>
    <row r="133" spans="1:10" ht="162.75" customHeight="1">
      <c r="A133" s="6" t="s">
        <v>140</v>
      </c>
      <c r="B133" s="25" t="s">
        <v>82</v>
      </c>
      <c r="C133" s="25" t="s">
        <v>25</v>
      </c>
      <c r="D133" s="63" t="s">
        <v>53</v>
      </c>
      <c r="E133" s="63" t="s">
        <v>437</v>
      </c>
      <c r="F133" s="63" t="s">
        <v>497</v>
      </c>
      <c r="G133" s="23">
        <f t="shared" si="2"/>
        <v>6901810.12</v>
      </c>
      <c r="H133" s="23">
        <v>106500</v>
      </c>
      <c r="I133" s="23">
        <f>7080821.12-285511</f>
        <v>6795310.12</v>
      </c>
      <c r="J133" s="23">
        <f>7080821.12-285511</f>
        <v>6795310.12</v>
      </c>
    </row>
    <row r="134" spans="1:10" ht="183" customHeight="1" hidden="1">
      <c r="A134" s="6" t="s">
        <v>327</v>
      </c>
      <c r="B134" s="25" t="s">
        <v>328</v>
      </c>
      <c r="C134" s="25" t="s">
        <v>13</v>
      </c>
      <c r="D134" s="63" t="s">
        <v>329</v>
      </c>
      <c r="E134" s="63" t="s">
        <v>437</v>
      </c>
      <c r="F134" s="63" t="s">
        <v>463</v>
      </c>
      <c r="G134" s="23">
        <f t="shared" si="2"/>
        <v>0</v>
      </c>
      <c r="H134" s="23"/>
      <c r="I134" s="23">
        <f>630000-630000</f>
        <v>0</v>
      </c>
      <c r="J134" s="23"/>
    </row>
    <row r="135" spans="1:10" ht="177" customHeight="1" hidden="1">
      <c r="A135" s="6" t="s">
        <v>309</v>
      </c>
      <c r="B135" s="25" t="s">
        <v>78</v>
      </c>
      <c r="C135" s="25" t="s">
        <v>12</v>
      </c>
      <c r="D135" s="63" t="s">
        <v>79</v>
      </c>
      <c r="E135" s="69" t="s">
        <v>448</v>
      </c>
      <c r="F135" s="63" t="s">
        <v>345</v>
      </c>
      <c r="G135" s="23">
        <f t="shared" si="2"/>
        <v>0</v>
      </c>
      <c r="H135" s="110"/>
      <c r="I135" s="110"/>
      <c r="J135" s="23"/>
    </row>
    <row r="136" spans="1:10" ht="177" customHeight="1">
      <c r="A136" s="6" t="s">
        <v>572</v>
      </c>
      <c r="B136" s="25">
        <v>8661</v>
      </c>
      <c r="C136" s="25">
        <v>490</v>
      </c>
      <c r="D136" s="63" t="s">
        <v>574</v>
      </c>
      <c r="E136" s="69" t="s">
        <v>443</v>
      </c>
      <c r="F136" s="63" t="s">
        <v>491</v>
      </c>
      <c r="G136" s="23">
        <f t="shared" si="2"/>
        <v>2200000</v>
      </c>
      <c r="H136" s="23">
        <v>2200000</v>
      </c>
      <c r="I136" s="110"/>
      <c r="J136" s="23"/>
    </row>
    <row r="137" spans="1:10" ht="141" customHeight="1">
      <c r="A137" s="6" t="s">
        <v>573</v>
      </c>
      <c r="B137" s="25">
        <v>8662</v>
      </c>
      <c r="C137" s="25">
        <v>4090</v>
      </c>
      <c r="D137" s="63" t="s">
        <v>575</v>
      </c>
      <c r="E137" s="69" t="s">
        <v>443</v>
      </c>
      <c r="F137" s="63" t="s">
        <v>491</v>
      </c>
      <c r="G137" s="23">
        <f t="shared" si="2"/>
        <v>-2200000</v>
      </c>
      <c r="H137" s="23">
        <f>-2200000</f>
        <v>-2200000</v>
      </c>
      <c r="I137" s="110"/>
      <c r="J137" s="23"/>
    </row>
    <row r="138" spans="1:10" ht="137.25" customHeight="1">
      <c r="A138" s="6" t="s">
        <v>303</v>
      </c>
      <c r="B138" s="25" t="s">
        <v>76</v>
      </c>
      <c r="C138" s="25" t="s">
        <v>304</v>
      </c>
      <c r="D138" s="71" t="s">
        <v>77</v>
      </c>
      <c r="E138" s="69" t="s">
        <v>443</v>
      </c>
      <c r="F138" s="63" t="s">
        <v>491</v>
      </c>
      <c r="G138" s="23">
        <f t="shared" si="2"/>
        <v>2820231.4299999997</v>
      </c>
      <c r="H138" s="23"/>
      <c r="I138" s="23">
        <f>10000111.6-7179880.17</f>
        <v>2820231.4299999997</v>
      </c>
      <c r="J138" s="23">
        <f>10000111.6-7179880.17</f>
        <v>2820231.4299999997</v>
      </c>
    </row>
    <row r="139" spans="1:10" s="2" customFormat="1" ht="114" customHeight="1">
      <c r="A139" s="12"/>
      <c r="B139" s="26"/>
      <c r="C139" s="26"/>
      <c r="D139" s="66" t="s">
        <v>141</v>
      </c>
      <c r="E139" s="66"/>
      <c r="F139" s="95"/>
      <c r="G139" s="22">
        <f>SUM(G140:G160)</f>
        <v>110997344.55</v>
      </c>
      <c r="H139" s="22">
        <f>SUM(H140:H160)</f>
        <v>110940344.55</v>
      </c>
      <c r="I139" s="22">
        <f>SUM(I140:I160)</f>
        <v>57000</v>
      </c>
      <c r="J139" s="22">
        <f>SUM(J140:J160)</f>
        <v>57000</v>
      </c>
    </row>
    <row r="140" spans="1:10" ht="147" customHeight="1">
      <c r="A140" s="6" t="s">
        <v>142</v>
      </c>
      <c r="B140" s="25" t="s">
        <v>70</v>
      </c>
      <c r="C140" s="25" t="s">
        <v>2</v>
      </c>
      <c r="D140" s="63" t="s">
        <v>471</v>
      </c>
      <c r="E140" s="63" t="s">
        <v>454</v>
      </c>
      <c r="F140" s="89" t="s">
        <v>344</v>
      </c>
      <c r="G140" s="23">
        <f aca="true" t="shared" si="3" ref="G140:G160">H140+I140</f>
        <v>47500</v>
      </c>
      <c r="H140" s="23">
        <f>50000-2500</f>
        <v>47500</v>
      </c>
      <c r="I140" s="23"/>
      <c r="J140" s="23"/>
    </row>
    <row r="141" spans="1:10" ht="189" customHeight="1">
      <c r="A141" s="6" t="s">
        <v>506</v>
      </c>
      <c r="B141" s="6" t="s">
        <v>26</v>
      </c>
      <c r="C141" s="6" t="s">
        <v>13</v>
      </c>
      <c r="D141" s="63" t="s">
        <v>180</v>
      </c>
      <c r="E141" s="63" t="s">
        <v>507</v>
      </c>
      <c r="F141" s="89" t="s">
        <v>508</v>
      </c>
      <c r="G141" s="23">
        <f t="shared" si="3"/>
        <v>39500</v>
      </c>
      <c r="H141" s="23">
        <v>39500</v>
      </c>
      <c r="I141" s="23"/>
      <c r="J141" s="23"/>
    </row>
    <row r="142" spans="1:10" s="19" customFormat="1" ht="154.5" customHeight="1">
      <c r="A142" s="6" t="s">
        <v>143</v>
      </c>
      <c r="B142" s="25" t="s">
        <v>39</v>
      </c>
      <c r="C142" s="25">
        <v>1030</v>
      </c>
      <c r="D142" s="63" t="s">
        <v>93</v>
      </c>
      <c r="E142" s="63" t="s">
        <v>438</v>
      </c>
      <c r="F142" s="89" t="s">
        <v>346</v>
      </c>
      <c r="G142" s="23">
        <f t="shared" si="3"/>
        <v>806663</v>
      </c>
      <c r="H142" s="23">
        <v>806663</v>
      </c>
      <c r="I142" s="23"/>
      <c r="J142" s="23"/>
    </row>
    <row r="143" spans="1:10" s="3" customFormat="1" ht="138" customHeight="1">
      <c r="A143" s="6" t="s">
        <v>144</v>
      </c>
      <c r="B143" s="25" t="s">
        <v>94</v>
      </c>
      <c r="C143" s="25">
        <v>1070</v>
      </c>
      <c r="D143" s="63" t="s">
        <v>49</v>
      </c>
      <c r="E143" s="63" t="s">
        <v>438</v>
      </c>
      <c r="F143" s="89" t="s">
        <v>346</v>
      </c>
      <c r="G143" s="23">
        <f t="shared" si="3"/>
        <v>900230</v>
      </c>
      <c r="H143" s="23">
        <f>900230</f>
        <v>900230</v>
      </c>
      <c r="I143" s="23"/>
      <c r="J143" s="23"/>
    </row>
    <row r="144" spans="1:10" s="3" customFormat="1" ht="137.25" customHeight="1">
      <c r="A144" s="6" t="s">
        <v>145</v>
      </c>
      <c r="B144" s="25" t="s">
        <v>40</v>
      </c>
      <c r="C144" s="25" t="s">
        <v>19</v>
      </c>
      <c r="D144" s="63" t="s">
        <v>35</v>
      </c>
      <c r="E144" s="63" t="s">
        <v>438</v>
      </c>
      <c r="F144" s="89" t="s">
        <v>346</v>
      </c>
      <c r="G144" s="23">
        <f t="shared" si="3"/>
        <v>15933158</v>
      </c>
      <c r="H144" s="23">
        <f>16054158-121000</f>
        <v>15933158</v>
      </c>
      <c r="I144" s="23"/>
      <c r="J144" s="23"/>
    </row>
    <row r="145" spans="1:10" s="3" customFormat="1" ht="143.25" customHeight="1">
      <c r="A145" s="6" t="s">
        <v>146</v>
      </c>
      <c r="B145" s="25" t="s">
        <v>59</v>
      </c>
      <c r="C145" s="25" t="s">
        <v>19</v>
      </c>
      <c r="D145" s="63" t="s">
        <v>69</v>
      </c>
      <c r="E145" s="63" t="s">
        <v>438</v>
      </c>
      <c r="F145" s="89" t="s">
        <v>346</v>
      </c>
      <c r="G145" s="23">
        <f t="shared" si="3"/>
        <v>2000000</v>
      </c>
      <c r="H145" s="23">
        <v>2000000</v>
      </c>
      <c r="I145" s="23"/>
      <c r="J145" s="23"/>
    </row>
    <row r="146" spans="1:10" s="3" customFormat="1" ht="150" customHeight="1">
      <c r="A146" s="6" t="s">
        <v>147</v>
      </c>
      <c r="B146" s="25" t="s">
        <v>72</v>
      </c>
      <c r="C146" s="25" t="s">
        <v>19</v>
      </c>
      <c r="D146" s="63" t="s">
        <v>22</v>
      </c>
      <c r="E146" s="63" t="s">
        <v>438</v>
      </c>
      <c r="F146" s="89" t="s">
        <v>346</v>
      </c>
      <c r="G146" s="23">
        <f t="shared" si="3"/>
        <v>35575500</v>
      </c>
      <c r="H146" s="23">
        <v>35575500</v>
      </c>
      <c r="I146" s="23"/>
      <c r="J146" s="23"/>
    </row>
    <row r="147" spans="1:10" s="3" customFormat="1" ht="265.5" customHeight="1" hidden="1">
      <c r="A147" s="6" t="s">
        <v>148</v>
      </c>
      <c r="B147" s="25" t="s">
        <v>41</v>
      </c>
      <c r="C147" s="25" t="s">
        <v>34</v>
      </c>
      <c r="D147" s="63" t="s">
        <v>51</v>
      </c>
      <c r="E147" s="63" t="s">
        <v>438</v>
      </c>
      <c r="F147" s="89" t="s">
        <v>346</v>
      </c>
      <c r="G147" s="23">
        <f t="shared" si="3"/>
        <v>0</v>
      </c>
      <c r="H147" s="23"/>
      <c r="I147" s="23"/>
      <c r="J147" s="23"/>
    </row>
    <row r="148" spans="1:10" s="3" customFormat="1" ht="333.75" customHeight="1">
      <c r="A148" s="6" t="s">
        <v>321</v>
      </c>
      <c r="B148" s="25" t="s">
        <v>323</v>
      </c>
      <c r="C148" s="25" t="s">
        <v>36</v>
      </c>
      <c r="D148" s="63" t="s">
        <v>322</v>
      </c>
      <c r="E148" s="63" t="s">
        <v>438</v>
      </c>
      <c r="F148" s="89" t="s">
        <v>346</v>
      </c>
      <c r="G148" s="23">
        <f t="shared" si="3"/>
        <v>4071000</v>
      </c>
      <c r="H148" s="23">
        <f>3956000+115000</f>
        <v>4071000</v>
      </c>
      <c r="I148" s="23"/>
      <c r="J148" s="23"/>
    </row>
    <row r="149" spans="1:10" ht="144" customHeight="1">
      <c r="A149" s="121" t="s">
        <v>149</v>
      </c>
      <c r="B149" s="138" t="s">
        <v>95</v>
      </c>
      <c r="C149" s="138" t="s">
        <v>3</v>
      </c>
      <c r="D149" s="122" t="s">
        <v>257</v>
      </c>
      <c r="E149" s="63" t="s">
        <v>438</v>
      </c>
      <c r="F149" s="89" t="s">
        <v>346</v>
      </c>
      <c r="G149" s="23">
        <f t="shared" si="3"/>
        <v>2463985</v>
      </c>
      <c r="H149" s="23">
        <f>2096790+302995+64200</f>
        <v>2463985</v>
      </c>
      <c r="I149" s="23"/>
      <c r="J149" s="23"/>
    </row>
    <row r="150" spans="1:10" ht="137.25" customHeight="1">
      <c r="A150" s="121"/>
      <c r="B150" s="138"/>
      <c r="C150" s="138"/>
      <c r="D150" s="122"/>
      <c r="E150" s="63" t="s">
        <v>449</v>
      </c>
      <c r="F150" s="89" t="s">
        <v>404</v>
      </c>
      <c r="G150" s="23">
        <f t="shared" si="3"/>
        <v>41026</v>
      </c>
      <c r="H150" s="23">
        <f>116730-63704-12000</f>
        <v>41026</v>
      </c>
      <c r="I150" s="23"/>
      <c r="J150" s="23"/>
    </row>
    <row r="151" spans="1:10" s="3" customFormat="1" ht="144.75" customHeight="1">
      <c r="A151" s="161" t="s">
        <v>242</v>
      </c>
      <c r="B151" s="157" t="s">
        <v>262</v>
      </c>
      <c r="C151" s="157" t="s">
        <v>21</v>
      </c>
      <c r="D151" s="122" t="s">
        <v>20</v>
      </c>
      <c r="E151" s="63" t="s">
        <v>438</v>
      </c>
      <c r="F151" s="89" t="s">
        <v>346</v>
      </c>
      <c r="G151" s="23">
        <f t="shared" si="3"/>
        <v>810375</v>
      </c>
      <c r="H151" s="23">
        <f>1091060-47000-193492-40193</f>
        <v>810375</v>
      </c>
      <c r="I151" s="23"/>
      <c r="J151" s="23"/>
    </row>
    <row r="152" spans="1:10" s="3" customFormat="1" ht="143.25" customHeight="1">
      <c r="A152" s="161"/>
      <c r="B152" s="157"/>
      <c r="C152" s="157"/>
      <c r="D152" s="122"/>
      <c r="E152" s="63" t="s">
        <v>449</v>
      </c>
      <c r="F152" s="89" t="s">
        <v>404</v>
      </c>
      <c r="G152" s="23">
        <f t="shared" si="3"/>
        <v>1080291</v>
      </c>
      <c r="H152" s="23">
        <f>998900+102691-21300</f>
        <v>1080291</v>
      </c>
      <c r="I152" s="23"/>
      <c r="J152" s="23"/>
    </row>
    <row r="153" spans="1:10" s="3" customFormat="1" ht="192" customHeight="1">
      <c r="A153" s="6" t="s">
        <v>243</v>
      </c>
      <c r="B153" s="25" t="s">
        <v>244</v>
      </c>
      <c r="C153" s="25" t="s">
        <v>21</v>
      </c>
      <c r="D153" s="63" t="s">
        <v>474</v>
      </c>
      <c r="E153" s="63" t="s">
        <v>438</v>
      </c>
      <c r="F153" s="89" t="s">
        <v>346</v>
      </c>
      <c r="G153" s="23">
        <f t="shared" si="3"/>
        <v>2250688</v>
      </c>
      <c r="H153" s="23">
        <f>2050688+200000</f>
        <v>2250688</v>
      </c>
      <c r="I153" s="23"/>
      <c r="J153" s="23"/>
    </row>
    <row r="154" spans="1:10" s="10" customFormat="1" ht="135.75" customHeight="1">
      <c r="A154" s="6" t="s">
        <v>150</v>
      </c>
      <c r="B154" s="25" t="s">
        <v>60</v>
      </c>
      <c r="C154" s="25" t="s">
        <v>6</v>
      </c>
      <c r="D154" s="63" t="s">
        <v>96</v>
      </c>
      <c r="E154" s="63" t="s">
        <v>438</v>
      </c>
      <c r="F154" s="89" t="s">
        <v>346</v>
      </c>
      <c r="G154" s="23">
        <f t="shared" si="3"/>
        <v>92000</v>
      </c>
      <c r="H154" s="23">
        <v>92000</v>
      </c>
      <c r="I154" s="23"/>
      <c r="J154" s="23"/>
    </row>
    <row r="155" spans="1:10" s="10" customFormat="1" ht="190.5" customHeight="1">
      <c r="A155" s="6" t="s">
        <v>245</v>
      </c>
      <c r="B155" s="25" t="s">
        <v>246</v>
      </c>
      <c r="C155" s="25" t="s">
        <v>30</v>
      </c>
      <c r="D155" s="63" t="s">
        <v>50</v>
      </c>
      <c r="E155" s="69" t="s">
        <v>462</v>
      </c>
      <c r="F155" s="63" t="s">
        <v>494</v>
      </c>
      <c r="G155" s="23">
        <f t="shared" si="3"/>
        <v>50000</v>
      </c>
      <c r="H155" s="23">
        <v>50000</v>
      </c>
      <c r="I155" s="23"/>
      <c r="J155" s="23"/>
    </row>
    <row r="156" spans="1:10" s="20" customFormat="1" ht="139.5" customHeight="1">
      <c r="A156" s="113" t="s">
        <v>247</v>
      </c>
      <c r="B156" s="133" t="s">
        <v>233</v>
      </c>
      <c r="C156" s="133" t="s">
        <v>6</v>
      </c>
      <c r="D156" s="158" t="s">
        <v>234</v>
      </c>
      <c r="E156" s="63" t="s">
        <v>438</v>
      </c>
      <c r="F156" s="89" t="s">
        <v>346</v>
      </c>
      <c r="G156" s="23">
        <f t="shared" si="3"/>
        <v>14613001.55</v>
      </c>
      <c r="H156" s="23">
        <f>8060881+510000+96000+755800+250000+1652252.55-19250+76000+881000+791200+57000+20770+189500+106000+5000+5000+10000+25000+1000+45000+69500+38800+125610-12000+90000+148000+100000+250000+100000+72866-10000+27500+96115+43245-101788</f>
        <v>14556001.55</v>
      </c>
      <c r="I156" s="23">
        <v>57000</v>
      </c>
      <c r="J156" s="23">
        <v>57000</v>
      </c>
    </row>
    <row r="157" spans="1:10" s="20" customFormat="1" ht="141" customHeight="1">
      <c r="A157" s="154"/>
      <c r="B157" s="134"/>
      <c r="C157" s="134"/>
      <c r="D157" s="159"/>
      <c r="E157" s="63" t="s">
        <v>449</v>
      </c>
      <c r="F157" s="89" t="s">
        <v>404</v>
      </c>
      <c r="G157" s="23">
        <f t="shared" si="3"/>
        <v>24691643</v>
      </c>
      <c r="H157" s="23">
        <f>24116989+150000+19250+47000-43119+59000+110507+111016+121000</f>
        <v>24691643</v>
      </c>
      <c r="I157" s="23"/>
      <c r="J157" s="23"/>
    </row>
    <row r="158" spans="1:10" s="10" customFormat="1" ht="143.25" customHeight="1">
      <c r="A158" s="114"/>
      <c r="B158" s="135"/>
      <c r="C158" s="135"/>
      <c r="D158" s="160"/>
      <c r="E158" s="69" t="s">
        <v>442</v>
      </c>
      <c r="F158" s="89" t="s">
        <v>441</v>
      </c>
      <c r="G158" s="23">
        <f t="shared" si="3"/>
        <v>300000</v>
      </c>
      <c r="H158" s="23">
        <f>300000</f>
        <v>300000</v>
      </c>
      <c r="I158" s="23"/>
      <c r="J158" s="23"/>
    </row>
    <row r="159" spans="1:10" s="3" customFormat="1" ht="138" customHeight="1">
      <c r="A159" s="121" t="s">
        <v>151</v>
      </c>
      <c r="B159" s="138" t="s">
        <v>76</v>
      </c>
      <c r="C159" s="138" t="s">
        <v>26</v>
      </c>
      <c r="D159" s="122" t="s">
        <v>77</v>
      </c>
      <c r="E159" s="63" t="s">
        <v>438</v>
      </c>
      <c r="F159" s="89" t="s">
        <v>346</v>
      </c>
      <c r="G159" s="23">
        <f t="shared" si="3"/>
        <v>214392</v>
      </c>
      <c r="H159" s="23">
        <v>214392</v>
      </c>
      <c r="I159" s="23"/>
      <c r="J159" s="23"/>
    </row>
    <row r="160" spans="1:10" s="3" customFormat="1" ht="152.25" customHeight="1">
      <c r="A160" s="121"/>
      <c r="B160" s="138"/>
      <c r="C160" s="138"/>
      <c r="D160" s="122"/>
      <c r="E160" s="63" t="s">
        <v>449</v>
      </c>
      <c r="F160" s="89" t="s">
        <v>404</v>
      </c>
      <c r="G160" s="23">
        <f t="shared" si="3"/>
        <v>5016392</v>
      </c>
      <c r="H160" s="23">
        <v>5016392</v>
      </c>
      <c r="I160" s="23"/>
      <c r="J160" s="23"/>
    </row>
    <row r="161" spans="1:10" s="2" customFormat="1" ht="93" customHeight="1">
      <c r="A161" s="12"/>
      <c r="B161" s="26"/>
      <c r="C161" s="26"/>
      <c r="D161" s="66" t="s">
        <v>388</v>
      </c>
      <c r="E161" s="66"/>
      <c r="F161" s="95"/>
      <c r="G161" s="22">
        <f>SUM(G162:G164)</f>
        <v>6353999</v>
      </c>
      <c r="H161" s="22">
        <f>SUM(H162:H164)</f>
        <v>184180</v>
      </c>
      <c r="I161" s="22">
        <f>SUM(I162:I164)</f>
        <v>6169819</v>
      </c>
      <c r="J161" s="22">
        <f>SUM(J162:J164)</f>
        <v>6169829</v>
      </c>
    </row>
    <row r="162" spans="1:10" s="2" customFormat="1" ht="271.5" customHeight="1">
      <c r="A162" s="6" t="s">
        <v>338</v>
      </c>
      <c r="B162" s="25" t="s">
        <v>339</v>
      </c>
      <c r="C162" s="25" t="s">
        <v>7</v>
      </c>
      <c r="D162" s="63" t="s">
        <v>340</v>
      </c>
      <c r="E162" s="63" t="s">
        <v>467</v>
      </c>
      <c r="F162" s="89" t="s">
        <v>468</v>
      </c>
      <c r="G162" s="23">
        <f>H162+I162</f>
        <v>91140</v>
      </c>
      <c r="H162" s="23">
        <f>71140+20000</f>
        <v>91140</v>
      </c>
      <c r="I162" s="23"/>
      <c r="J162" s="23"/>
    </row>
    <row r="163" spans="1:10" s="3" customFormat="1" ht="150.75" customHeight="1">
      <c r="A163" s="6" t="s">
        <v>152</v>
      </c>
      <c r="B163" s="25" t="s">
        <v>54</v>
      </c>
      <c r="C163" s="25" t="s">
        <v>7</v>
      </c>
      <c r="D163" s="63" t="s">
        <v>52</v>
      </c>
      <c r="E163" s="63" t="s">
        <v>467</v>
      </c>
      <c r="F163" s="89" t="s">
        <v>468</v>
      </c>
      <c r="G163" s="23">
        <f>H163+I163</f>
        <v>93040</v>
      </c>
      <c r="H163" s="23">
        <v>93040</v>
      </c>
      <c r="I163" s="23"/>
      <c r="J163" s="23"/>
    </row>
    <row r="164" spans="1:15" s="3" customFormat="1" ht="330" customHeight="1">
      <c r="A164" s="6" t="s">
        <v>429</v>
      </c>
      <c r="B164" s="25">
        <v>6083</v>
      </c>
      <c r="C164" s="6" t="s">
        <v>23</v>
      </c>
      <c r="D164" s="63" t="s">
        <v>430</v>
      </c>
      <c r="E164" s="63" t="s">
        <v>467</v>
      </c>
      <c r="F164" s="89" t="s">
        <v>468</v>
      </c>
      <c r="G164" s="23">
        <f>H164+I164</f>
        <v>6169819</v>
      </c>
      <c r="H164" s="23"/>
      <c r="I164" s="23">
        <f>8509988-2340169</f>
        <v>6169819</v>
      </c>
      <c r="J164" s="23">
        <f>8509998-2340169</f>
        <v>6169829</v>
      </c>
      <c r="O164" s="38"/>
    </row>
    <row r="165" spans="1:10" s="2" customFormat="1" ht="99.75" customHeight="1">
      <c r="A165" s="12"/>
      <c r="B165" s="26"/>
      <c r="C165" s="26"/>
      <c r="D165" s="66" t="s">
        <v>359</v>
      </c>
      <c r="E165" s="66"/>
      <c r="F165" s="95"/>
      <c r="G165" s="22">
        <f>SUM(G166:G173)</f>
        <v>4697687</v>
      </c>
      <c r="H165" s="22">
        <f>SUM(H166:H173)</f>
        <v>2400187</v>
      </c>
      <c r="I165" s="22">
        <f>SUM(I166:I173)</f>
        <v>2297500</v>
      </c>
      <c r="J165" s="22">
        <f>SUM(J166:J173)</f>
        <v>2297500</v>
      </c>
    </row>
    <row r="166" spans="1:10" ht="149.25" customHeight="1">
      <c r="A166" s="6" t="s">
        <v>153</v>
      </c>
      <c r="B166" s="25" t="s">
        <v>70</v>
      </c>
      <c r="C166" s="25" t="s">
        <v>2</v>
      </c>
      <c r="D166" s="63" t="s">
        <v>471</v>
      </c>
      <c r="E166" s="63" t="s">
        <v>454</v>
      </c>
      <c r="F166" s="89" t="s">
        <v>344</v>
      </c>
      <c r="G166" s="23">
        <f aca="true" t="shared" si="4" ref="G166:G172">H166+I166</f>
        <v>30000</v>
      </c>
      <c r="H166" s="23">
        <v>30000</v>
      </c>
      <c r="I166" s="23"/>
      <c r="J166" s="23"/>
    </row>
    <row r="167" spans="1:10" ht="147" customHeight="1">
      <c r="A167" s="6" t="s">
        <v>473</v>
      </c>
      <c r="B167" s="25">
        <v>1080</v>
      </c>
      <c r="C167" s="25" t="s">
        <v>32</v>
      </c>
      <c r="D167" s="63" t="s">
        <v>403</v>
      </c>
      <c r="E167" s="63" t="s">
        <v>458</v>
      </c>
      <c r="F167" s="63" t="s">
        <v>355</v>
      </c>
      <c r="G167" s="23">
        <f t="shared" si="4"/>
        <v>183000</v>
      </c>
      <c r="H167" s="23">
        <f>53000+65000+20000+30000+15000</f>
        <v>183000</v>
      </c>
      <c r="I167" s="23"/>
      <c r="J167" s="23"/>
    </row>
    <row r="168" spans="1:10" ht="150.75" customHeight="1">
      <c r="A168" s="6" t="s">
        <v>154</v>
      </c>
      <c r="B168" s="25" t="s">
        <v>55</v>
      </c>
      <c r="C168" s="25" t="s">
        <v>31</v>
      </c>
      <c r="D168" s="63" t="s">
        <v>84</v>
      </c>
      <c r="E168" s="63" t="s">
        <v>458</v>
      </c>
      <c r="F168" s="63" t="s">
        <v>355</v>
      </c>
      <c r="G168" s="23">
        <f t="shared" si="4"/>
        <v>866200</v>
      </c>
      <c r="H168" s="23">
        <f>195000+77000+4000+94900+10000+6300+21500+31000+199000</f>
        <v>638700</v>
      </c>
      <c r="I168" s="23">
        <f>195000+20000+5000+7500</f>
        <v>227500</v>
      </c>
      <c r="J168" s="23">
        <f>195000+20000+5000+7500</f>
        <v>227500</v>
      </c>
    </row>
    <row r="169" spans="1:10" s="3" customFormat="1" ht="153" customHeight="1">
      <c r="A169" s="6" t="s">
        <v>406</v>
      </c>
      <c r="B169" s="25">
        <v>4060</v>
      </c>
      <c r="C169" s="25" t="s">
        <v>270</v>
      </c>
      <c r="D169" s="63" t="s">
        <v>271</v>
      </c>
      <c r="E169" s="63" t="s">
        <v>458</v>
      </c>
      <c r="F169" s="63" t="s">
        <v>355</v>
      </c>
      <c r="G169" s="23">
        <f t="shared" si="4"/>
        <v>168487</v>
      </c>
      <c r="H169" s="23">
        <f>40000+8402+60085+20000+40000</f>
        <v>168487</v>
      </c>
      <c r="I169" s="23">
        <f>40000-40000</f>
        <v>0</v>
      </c>
      <c r="J169" s="23">
        <f>40000-40000</f>
        <v>0</v>
      </c>
    </row>
    <row r="170" spans="1:10" s="3" customFormat="1" ht="162.75" customHeight="1">
      <c r="A170" s="6" t="s">
        <v>238</v>
      </c>
      <c r="B170" s="25" t="s">
        <v>235</v>
      </c>
      <c r="C170" s="25" t="s">
        <v>9</v>
      </c>
      <c r="D170" s="63" t="s">
        <v>236</v>
      </c>
      <c r="E170" s="63" t="s">
        <v>458</v>
      </c>
      <c r="F170" s="63" t="s">
        <v>355</v>
      </c>
      <c r="G170" s="23">
        <f t="shared" si="4"/>
        <v>1380000</v>
      </c>
      <c r="H170" s="23">
        <v>1380000</v>
      </c>
      <c r="I170" s="23"/>
      <c r="J170" s="23"/>
    </row>
    <row r="171" spans="1:10" s="3" customFormat="1" ht="148.5" customHeight="1">
      <c r="A171" s="6" t="s">
        <v>433</v>
      </c>
      <c r="B171" s="25">
        <v>7324</v>
      </c>
      <c r="C171" s="6" t="s">
        <v>62</v>
      </c>
      <c r="D171" s="89" t="s">
        <v>534</v>
      </c>
      <c r="E171" s="63" t="s">
        <v>458</v>
      </c>
      <c r="F171" s="63" t="s">
        <v>355</v>
      </c>
      <c r="G171" s="23">
        <f t="shared" si="4"/>
        <v>570000</v>
      </c>
      <c r="H171" s="23"/>
      <c r="I171" s="23">
        <f>950000+20000-400000</f>
        <v>570000</v>
      </c>
      <c r="J171" s="23">
        <f>950000+20000-400000</f>
        <v>570000</v>
      </c>
    </row>
    <row r="172" spans="1:10" ht="141" customHeight="1">
      <c r="A172" s="6" t="s">
        <v>155</v>
      </c>
      <c r="B172" s="25" t="s">
        <v>82</v>
      </c>
      <c r="C172" s="25" t="s">
        <v>25</v>
      </c>
      <c r="D172" s="63" t="s">
        <v>53</v>
      </c>
      <c r="E172" s="63" t="s">
        <v>437</v>
      </c>
      <c r="F172" s="63" t="s">
        <v>463</v>
      </c>
      <c r="G172" s="23">
        <f t="shared" si="4"/>
        <v>1500000</v>
      </c>
      <c r="H172" s="23"/>
      <c r="I172" s="23">
        <v>1500000</v>
      </c>
      <c r="J172" s="23">
        <v>1500000</v>
      </c>
    </row>
    <row r="173" spans="1:10" ht="132.75" customHeight="1" hidden="1">
      <c r="A173" s="6" t="s">
        <v>371</v>
      </c>
      <c r="B173" s="25">
        <v>8340</v>
      </c>
      <c r="C173" s="25" t="s">
        <v>12</v>
      </c>
      <c r="D173" s="63" t="s">
        <v>79</v>
      </c>
      <c r="E173" s="69" t="s">
        <v>448</v>
      </c>
      <c r="F173" s="63" t="s">
        <v>345</v>
      </c>
      <c r="G173" s="23">
        <f>H173+I173</f>
        <v>0</v>
      </c>
      <c r="H173" s="23"/>
      <c r="I173" s="23"/>
      <c r="J173" s="23"/>
    </row>
    <row r="174" spans="1:10" s="2" customFormat="1" ht="94.5" customHeight="1">
      <c r="A174" s="12"/>
      <c r="B174" s="26"/>
      <c r="C174" s="26"/>
      <c r="D174" s="66" t="s">
        <v>156</v>
      </c>
      <c r="E174" s="66"/>
      <c r="F174" s="95"/>
      <c r="G174" s="22">
        <f>SUM(G175:G219)</f>
        <v>488341698.43999994</v>
      </c>
      <c r="H174" s="22">
        <f>SUM(H175:H219)</f>
        <v>297694315.62</v>
      </c>
      <c r="I174" s="22">
        <f>SUM(I175:I219)</f>
        <v>190647382.82</v>
      </c>
      <c r="J174" s="22">
        <f>SUM(J175:J219)</f>
        <v>171520616.25</v>
      </c>
    </row>
    <row r="175" spans="1:10" ht="156.75" customHeight="1">
      <c r="A175" s="6" t="s">
        <v>157</v>
      </c>
      <c r="B175" s="25" t="s">
        <v>70</v>
      </c>
      <c r="C175" s="25" t="s">
        <v>2</v>
      </c>
      <c r="D175" s="63" t="s">
        <v>471</v>
      </c>
      <c r="E175" s="63" t="s">
        <v>454</v>
      </c>
      <c r="F175" s="89" t="s">
        <v>344</v>
      </c>
      <c r="G175" s="23">
        <f aca="true" t="shared" si="5" ref="G175:G219">H175+I175</f>
        <v>30000</v>
      </c>
      <c r="H175" s="23">
        <v>30000</v>
      </c>
      <c r="I175" s="23"/>
      <c r="J175" s="23"/>
    </row>
    <row r="176" spans="1:10" ht="186" customHeight="1" hidden="1">
      <c r="A176" s="121" t="s">
        <v>248</v>
      </c>
      <c r="B176" s="138" t="s">
        <v>246</v>
      </c>
      <c r="C176" s="138" t="s">
        <v>30</v>
      </c>
      <c r="D176" s="122" t="s">
        <v>50</v>
      </c>
      <c r="E176" s="63" t="s">
        <v>461</v>
      </c>
      <c r="F176" s="88" t="s">
        <v>510</v>
      </c>
      <c r="G176" s="23">
        <f t="shared" si="5"/>
        <v>0</v>
      </c>
      <c r="H176" s="23">
        <f>200000-40000-160000</f>
        <v>0</v>
      </c>
      <c r="I176" s="23"/>
      <c r="J176" s="23"/>
    </row>
    <row r="177" spans="1:10" ht="88.5" customHeight="1" hidden="1">
      <c r="A177" s="121"/>
      <c r="B177" s="138"/>
      <c r="C177" s="138"/>
      <c r="D177" s="122"/>
      <c r="E177" s="63" t="s">
        <v>459</v>
      </c>
      <c r="F177" s="63" t="s">
        <v>415</v>
      </c>
      <c r="G177" s="23">
        <f t="shared" si="5"/>
        <v>0</v>
      </c>
      <c r="H177" s="23"/>
      <c r="I177" s="23"/>
      <c r="J177" s="23"/>
    </row>
    <row r="178" spans="1:10" s="3" customFormat="1" ht="186" customHeight="1">
      <c r="A178" s="6" t="s">
        <v>158</v>
      </c>
      <c r="B178" s="25" t="s">
        <v>105</v>
      </c>
      <c r="C178" s="25" t="s">
        <v>23</v>
      </c>
      <c r="D178" s="63" t="s">
        <v>106</v>
      </c>
      <c r="E178" s="63" t="s">
        <v>461</v>
      </c>
      <c r="F178" s="88" t="s">
        <v>511</v>
      </c>
      <c r="G178" s="23">
        <f t="shared" si="5"/>
        <v>9020843.52</v>
      </c>
      <c r="H178" s="23"/>
      <c r="I178" s="23">
        <v>9020843.52</v>
      </c>
      <c r="J178" s="23">
        <v>8984363.52</v>
      </c>
    </row>
    <row r="179" spans="1:10" s="3" customFormat="1" ht="179.25" customHeight="1">
      <c r="A179" s="149" t="s">
        <v>159</v>
      </c>
      <c r="B179" s="133" t="s">
        <v>109</v>
      </c>
      <c r="C179" s="115" t="s">
        <v>8</v>
      </c>
      <c r="D179" s="158" t="s">
        <v>110</v>
      </c>
      <c r="E179" s="63" t="s">
        <v>461</v>
      </c>
      <c r="F179" s="88" t="s">
        <v>511</v>
      </c>
      <c r="G179" s="23">
        <f t="shared" si="5"/>
        <v>29281568</v>
      </c>
      <c r="H179" s="23">
        <v>29081568</v>
      </c>
      <c r="I179" s="23">
        <f>230000-30000</f>
        <v>200000</v>
      </c>
      <c r="J179" s="23">
        <f>230000-30000</f>
        <v>200000</v>
      </c>
    </row>
    <row r="180" spans="1:10" s="3" customFormat="1" ht="182.25" customHeight="1" hidden="1">
      <c r="A180" s="151"/>
      <c r="B180" s="135"/>
      <c r="C180" s="116"/>
      <c r="D180" s="160"/>
      <c r="E180" s="69" t="s">
        <v>448</v>
      </c>
      <c r="F180" s="63" t="s">
        <v>345</v>
      </c>
      <c r="G180" s="23">
        <f t="shared" si="5"/>
        <v>0</v>
      </c>
      <c r="H180" s="23"/>
      <c r="I180" s="23"/>
      <c r="J180" s="23"/>
    </row>
    <row r="181" spans="1:10" s="3" customFormat="1" ht="150" customHeight="1">
      <c r="A181" s="8" t="s">
        <v>199</v>
      </c>
      <c r="B181" s="27" t="s">
        <v>200</v>
      </c>
      <c r="C181" s="25" t="s">
        <v>8</v>
      </c>
      <c r="D181" s="63" t="s">
        <v>201</v>
      </c>
      <c r="E181" s="69" t="s">
        <v>395</v>
      </c>
      <c r="F181" s="63" t="s">
        <v>578</v>
      </c>
      <c r="G181" s="23">
        <f t="shared" si="5"/>
        <v>32366430</v>
      </c>
      <c r="H181" s="23">
        <v>71280</v>
      </c>
      <c r="I181" s="23">
        <f>32295150</f>
        <v>32295150</v>
      </c>
      <c r="J181" s="23">
        <f>32245150</f>
        <v>32245150</v>
      </c>
    </row>
    <row r="182" spans="1:10" s="3" customFormat="1" ht="159" customHeight="1" hidden="1">
      <c r="A182" s="8" t="s">
        <v>280</v>
      </c>
      <c r="B182" s="27" t="s">
        <v>281</v>
      </c>
      <c r="C182" s="25" t="s">
        <v>8</v>
      </c>
      <c r="D182" s="63" t="s">
        <v>282</v>
      </c>
      <c r="E182" s="63" t="s">
        <v>461</v>
      </c>
      <c r="F182" s="63" t="s">
        <v>439</v>
      </c>
      <c r="G182" s="23">
        <f t="shared" si="5"/>
        <v>0</v>
      </c>
      <c r="H182" s="23"/>
      <c r="I182" s="23"/>
      <c r="J182" s="23"/>
    </row>
    <row r="183" spans="1:10" s="3" customFormat="1" ht="189" customHeight="1">
      <c r="A183" s="6" t="s">
        <v>160</v>
      </c>
      <c r="B183" s="25" t="s">
        <v>107</v>
      </c>
      <c r="C183" s="25" t="s">
        <v>8</v>
      </c>
      <c r="D183" s="63" t="s">
        <v>108</v>
      </c>
      <c r="E183" s="63" t="s">
        <v>461</v>
      </c>
      <c r="F183" s="88" t="s">
        <v>493</v>
      </c>
      <c r="G183" s="23">
        <f t="shared" si="5"/>
        <v>100000</v>
      </c>
      <c r="H183" s="23">
        <v>100000</v>
      </c>
      <c r="I183" s="23"/>
      <c r="J183" s="23"/>
    </row>
    <row r="184" spans="1:10" s="10" customFormat="1" ht="186" customHeight="1">
      <c r="A184" s="8" t="s">
        <v>161</v>
      </c>
      <c r="B184" s="27" t="s">
        <v>56</v>
      </c>
      <c r="C184" s="25" t="s">
        <v>8</v>
      </c>
      <c r="D184" s="64" t="s">
        <v>111</v>
      </c>
      <c r="E184" s="63" t="s">
        <v>461</v>
      </c>
      <c r="F184" s="88" t="s">
        <v>511</v>
      </c>
      <c r="G184" s="23">
        <f t="shared" si="5"/>
        <v>2900132.48</v>
      </c>
      <c r="H184" s="23">
        <v>2815132.48</v>
      </c>
      <c r="I184" s="23">
        <v>85000</v>
      </c>
      <c r="J184" s="23">
        <v>85000</v>
      </c>
    </row>
    <row r="185" spans="1:10" ht="181.5" customHeight="1">
      <c r="A185" s="149" t="s">
        <v>162</v>
      </c>
      <c r="B185" s="133" t="s">
        <v>99</v>
      </c>
      <c r="C185" s="115" t="s">
        <v>8</v>
      </c>
      <c r="D185" s="130" t="s">
        <v>100</v>
      </c>
      <c r="E185" s="63" t="s">
        <v>461</v>
      </c>
      <c r="F185" s="88" t="s">
        <v>511</v>
      </c>
      <c r="G185" s="23">
        <f t="shared" si="5"/>
        <v>280688804.34</v>
      </c>
      <c r="H185" s="23">
        <f>240932362.26-H186-H187-19007</f>
        <v>240863355.26</v>
      </c>
      <c r="I185" s="23">
        <f>40081277.08-I186-I187+800000-680528</f>
        <v>39825449.08</v>
      </c>
      <c r="J185" s="23">
        <f>40081277.08-J186-J187+800000-680528</f>
        <v>39825449.08</v>
      </c>
    </row>
    <row r="186" spans="1:10" ht="138.75" customHeight="1">
      <c r="A186" s="150"/>
      <c r="B186" s="134"/>
      <c r="C186" s="136"/>
      <c r="D186" s="131"/>
      <c r="E186" s="69" t="s">
        <v>448</v>
      </c>
      <c r="F186" s="63" t="s">
        <v>345</v>
      </c>
      <c r="G186" s="23">
        <f t="shared" si="5"/>
        <v>375300</v>
      </c>
      <c r="H186" s="23"/>
      <c r="I186" s="23">
        <f>200000+4175300-4000000</f>
        <v>375300</v>
      </c>
      <c r="J186" s="23">
        <f>200000+4175300-4000000</f>
        <v>375300</v>
      </c>
    </row>
    <row r="187" spans="1:10" ht="227.25" customHeight="1">
      <c r="A187" s="151"/>
      <c r="B187" s="135"/>
      <c r="C187" s="116"/>
      <c r="D187" s="132"/>
      <c r="E187" s="69" t="s">
        <v>579</v>
      </c>
      <c r="F187" s="63" t="s">
        <v>580</v>
      </c>
      <c r="G187" s="23">
        <f t="shared" si="5"/>
        <v>50000</v>
      </c>
      <c r="H187" s="23">
        <f>100000-50000</f>
        <v>50000</v>
      </c>
      <c r="I187" s="23"/>
      <c r="J187" s="23"/>
    </row>
    <row r="188" spans="1:10" ht="138.75" customHeight="1" hidden="1">
      <c r="A188" s="8" t="s">
        <v>569</v>
      </c>
      <c r="B188" s="25">
        <v>6083</v>
      </c>
      <c r="C188" s="6" t="s">
        <v>23</v>
      </c>
      <c r="D188" s="63" t="s">
        <v>430</v>
      </c>
      <c r="E188" s="63" t="s">
        <v>467</v>
      </c>
      <c r="F188" s="89" t="s">
        <v>468</v>
      </c>
      <c r="G188" s="23">
        <f t="shared" si="5"/>
        <v>0</v>
      </c>
      <c r="H188" s="23"/>
      <c r="I188" s="23"/>
      <c r="J188" s="23"/>
    </row>
    <row r="189" spans="1:10" ht="187.5" customHeight="1">
      <c r="A189" s="155" t="s">
        <v>182</v>
      </c>
      <c r="B189" s="137" t="s">
        <v>183</v>
      </c>
      <c r="C189" s="138" t="s">
        <v>203</v>
      </c>
      <c r="D189" s="156" t="s">
        <v>202</v>
      </c>
      <c r="E189" s="63" t="s">
        <v>461</v>
      </c>
      <c r="F189" s="88" t="s">
        <v>511</v>
      </c>
      <c r="G189" s="23">
        <f t="shared" si="5"/>
        <v>6797108.64</v>
      </c>
      <c r="H189" s="23">
        <v>5012108.64</v>
      </c>
      <c r="I189" s="23">
        <f>1785000</f>
        <v>1785000</v>
      </c>
      <c r="J189" s="23"/>
    </row>
    <row r="190" spans="1:10" ht="189" customHeight="1">
      <c r="A190" s="155"/>
      <c r="B190" s="137"/>
      <c r="C190" s="138"/>
      <c r="D190" s="156"/>
      <c r="E190" s="69" t="s">
        <v>462</v>
      </c>
      <c r="F190" s="63" t="s">
        <v>512</v>
      </c>
      <c r="G190" s="23">
        <f t="shared" si="5"/>
        <v>616457.37</v>
      </c>
      <c r="H190" s="23">
        <v>616457.37</v>
      </c>
      <c r="I190" s="23"/>
      <c r="J190" s="23"/>
    </row>
    <row r="191" spans="1:10" ht="325.5" customHeight="1">
      <c r="A191" s="155"/>
      <c r="B191" s="137"/>
      <c r="C191" s="138"/>
      <c r="D191" s="156"/>
      <c r="E191" s="63" t="s">
        <v>432</v>
      </c>
      <c r="F191" s="63" t="s">
        <v>416</v>
      </c>
      <c r="G191" s="23">
        <f t="shared" si="5"/>
        <v>614964</v>
      </c>
      <c r="H191" s="23">
        <v>614964</v>
      </c>
      <c r="I191" s="23"/>
      <c r="J191" s="23"/>
    </row>
    <row r="192" spans="1:10" ht="197.25" customHeight="1">
      <c r="A192" s="121" t="s">
        <v>204</v>
      </c>
      <c r="B192" s="138" t="s">
        <v>205</v>
      </c>
      <c r="C192" s="138" t="s">
        <v>62</v>
      </c>
      <c r="D192" s="152" t="s">
        <v>206</v>
      </c>
      <c r="E192" s="63" t="s">
        <v>461</v>
      </c>
      <c r="F192" s="88" t="s">
        <v>513</v>
      </c>
      <c r="G192" s="23">
        <f t="shared" si="5"/>
        <v>7465788</v>
      </c>
      <c r="H192" s="23"/>
      <c r="I192" s="23">
        <f>26134591.07-I193</f>
        <v>7465788</v>
      </c>
      <c r="J192" s="23">
        <f>26134591.07-J193</f>
        <v>7465788</v>
      </c>
    </row>
    <row r="193" spans="1:10" ht="144.75" customHeight="1">
      <c r="A193" s="121"/>
      <c r="B193" s="138"/>
      <c r="C193" s="138"/>
      <c r="D193" s="152"/>
      <c r="E193" s="69" t="s">
        <v>448</v>
      </c>
      <c r="F193" s="63" t="s">
        <v>345</v>
      </c>
      <c r="G193" s="23">
        <f t="shared" si="5"/>
        <v>18668803.07</v>
      </c>
      <c r="H193" s="23"/>
      <c r="I193" s="23">
        <f>9688130-38050-50000-169950+250000+2577595+6411078.07</f>
        <v>18668803.07</v>
      </c>
      <c r="J193" s="23">
        <f>9688130-38050-50000-169950+250000+2577595+6411078.07</f>
        <v>18668803.07</v>
      </c>
    </row>
    <row r="194" spans="1:10" ht="180" customHeight="1">
      <c r="A194" s="113" t="s">
        <v>207</v>
      </c>
      <c r="B194" s="115" t="s">
        <v>208</v>
      </c>
      <c r="C194" s="115" t="s">
        <v>62</v>
      </c>
      <c r="D194" s="158" t="s">
        <v>337</v>
      </c>
      <c r="E194" s="63" t="s">
        <v>461</v>
      </c>
      <c r="F194" s="88" t="s">
        <v>514</v>
      </c>
      <c r="G194" s="23">
        <f t="shared" si="5"/>
        <v>19402140.58</v>
      </c>
      <c r="H194" s="23"/>
      <c r="I194" s="23">
        <f>19404605.58-2465</f>
        <v>19402140.58</v>
      </c>
      <c r="J194" s="23">
        <f>19404605.58-2465</f>
        <v>19402140.58</v>
      </c>
    </row>
    <row r="195" spans="1:10" ht="132.75" hidden="1">
      <c r="A195" s="154"/>
      <c r="B195" s="136"/>
      <c r="C195" s="136"/>
      <c r="D195" s="159"/>
      <c r="E195" s="69" t="s">
        <v>448</v>
      </c>
      <c r="F195" s="63" t="s">
        <v>345</v>
      </c>
      <c r="G195" s="23">
        <f t="shared" si="5"/>
        <v>0</v>
      </c>
      <c r="H195" s="23"/>
      <c r="I195" s="23"/>
      <c r="J195" s="23"/>
    </row>
    <row r="196" spans="1:10" ht="112.5" customHeight="1" hidden="1">
      <c r="A196" s="114"/>
      <c r="B196" s="116"/>
      <c r="C196" s="116"/>
      <c r="D196" s="160"/>
      <c r="E196" s="69"/>
      <c r="F196" s="63"/>
      <c r="G196" s="23">
        <f t="shared" si="5"/>
        <v>0</v>
      </c>
      <c r="H196" s="23"/>
      <c r="I196" s="23"/>
      <c r="J196" s="23"/>
    </row>
    <row r="197" spans="1:10" ht="184.5" customHeight="1">
      <c r="A197" s="6" t="s">
        <v>163</v>
      </c>
      <c r="B197" s="25" t="s">
        <v>101</v>
      </c>
      <c r="C197" s="25" t="s">
        <v>62</v>
      </c>
      <c r="D197" s="63" t="s">
        <v>102</v>
      </c>
      <c r="E197" s="63" t="s">
        <v>461</v>
      </c>
      <c r="F197" s="88" t="s">
        <v>515</v>
      </c>
      <c r="G197" s="23">
        <f t="shared" si="5"/>
        <v>3250000</v>
      </c>
      <c r="H197" s="23"/>
      <c r="I197" s="23">
        <v>3250000</v>
      </c>
      <c r="J197" s="23">
        <v>3250000</v>
      </c>
    </row>
    <row r="198" spans="1:10" s="3" customFormat="1" ht="177" customHeight="1" hidden="1">
      <c r="A198" s="6" t="s">
        <v>293</v>
      </c>
      <c r="B198" s="25" t="s">
        <v>294</v>
      </c>
      <c r="C198" s="25" t="s">
        <v>4</v>
      </c>
      <c r="D198" s="63" t="s">
        <v>295</v>
      </c>
      <c r="E198" s="69" t="s">
        <v>448</v>
      </c>
      <c r="F198" s="63" t="s">
        <v>345</v>
      </c>
      <c r="G198" s="23">
        <f t="shared" si="5"/>
        <v>0</v>
      </c>
      <c r="H198" s="23"/>
      <c r="I198" s="23"/>
      <c r="J198" s="23"/>
    </row>
    <row r="199" spans="1:10" s="3" customFormat="1" ht="221.25" hidden="1">
      <c r="A199" s="6" t="s">
        <v>370</v>
      </c>
      <c r="B199" s="25">
        <v>7362</v>
      </c>
      <c r="C199" s="6" t="s">
        <v>4</v>
      </c>
      <c r="D199" s="64" t="s">
        <v>402</v>
      </c>
      <c r="E199" s="63" t="s">
        <v>461</v>
      </c>
      <c r="F199" s="63" t="s">
        <v>439</v>
      </c>
      <c r="G199" s="23">
        <f t="shared" si="5"/>
        <v>0</v>
      </c>
      <c r="H199" s="23"/>
      <c r="I199" s="23"/>
      <c r="J199" s="23"/>
    </row>
    <row r="200" spans="1:10" s="3" customFormat="1" ht="191.25" customHeight="1">
      <c r="A200" s="121" t="s">
        <v>283</v>
      </c>
      <c r="B200" s="138" t="s">
        <v>277</v>
      </c>
      <c r="C200" s="121" t="s">
        <v>4</v>
      </c>
      <c r="D200" s="122" t="s">
        <v>278</v>
      </c>
      <c r="E200" s="63" t="s">
        <v>461</v>
      </c>
      <c r="F200" s="88" t="s">
        <v>515</v>
      </c>
      <c r="G200" s="23">
        <f t="shared" si="5"/>
        <v>15377714</v>
      </c>
      <c r="H200" s="23"/>
      <c r="I200" s="23">
        <f>14027714+1350000</f>
        <v>15377714</v>
      </c>
      <c r="J200" s="23">
        <f>14027714+1350000</f>
        <v>15377714</v>
      </c>
    </row>
    <row r="201" spans="1:10" s="3" customFormat="1" ht="132.75" hidden="1">
      <c r="A201" s="121"/>
      <c r="B201" s="138"/>
      <c r="C201" s="121"/>
      <c r="D201" s="122"/>
      <c r="E201" s="69" t="s">
        <v>448</v>
      </c>
      <c r="F201" s="63" t="s">
        <v>345</v>
      </c>
      <c r="G201" s="23">
        <f t="shared" si="5"/>
        <v>0</v>
      </c>
      <c r="H201" s="23"/>
      <c r="I201" s="23"/>
      <c r="J201" s="23"/>
    </row>
    <row r="202" spans="1:10" s="3" customFormat="1" ht="221.25" hidden="1">
      <c r="A202" s="6" t="s">
        <v>364</v>
      </c>
      <c r="B202" s="25">
        <v>7461</v>
      </c>
      <c r="C202" s="6" t="s">
        <v>252</v>
      </c>
      <c r="D202" s="68" t="s">
        <v>365</v>
      </c>
      <c r="E202" s="63" t="s">
        <v>461</v>
      </c>
      <c r="F202" s="63" t="s">
        <v>439</v>
      </c>
      <c r="G202" s="23">
        <f t="shared" si="5"/>
        <v>0</v>
      </c>
      <c r="H202" s="23"/>
      <c r="I202" s="23"/>
      <c r="J202" s="23"/>
    </row>
    <row r="203" spans="1:10" s="3" customFormat="1" ht="191.25" customHeight="1">
      <c r="A203" s="6" t="s">
        <v>563</v>
      </c>
      <c r="B203" s="25">
        <v>7368</v>
      </c>
      <c r="C203" s="6" t="s">
        <v>4</v>
      </c>
      <c r="D203" s="68" t="s">
        <v>566</v>
      </c>
      <c r="E203" s="63" t="s">
        <v>461</v>
      </c>
      <c r="F203" s="88" t="s">
        <v>515</v>
      </c>
      <c r="G203" s="23">
        <f t="shared" si="5"/>
        <v>200000</v>
      </c>
      <c r="H203" s="23"/>
      <c r="I203" s="23">
        <v>200000</v>
      </c>
      <c r="J203" s="23">
        <v>200000</v>
      </c>
    </row>
    <row r="204" spans="1:10" s="3" customFormat="1" ht="191.25" customHeight="1">
      <c r="A204" s="113" t="s">
        <v>360</v>
      </c>
      <c r="B204" s="115">
        <v>7462</v>
      </c>
      <c r="C204" s="113" t="s">
        <v>252</v>
      </c>
      <c r="D204" s="117" t="s">
        <v>302</v>
      </c>
      <c r="E204" s="89" t="s">
        <v>461</v>
      </c>
      <c r="F204" s="88" t="s">
        <v>515</v>
      </c>
      <c r="G204" s="23">
        <f t="shared" si="5"/>
        <v>1527346</v>
      </c>
      <c r="H204" s="23">
        <v>1527346</v>
      </c>
      <c r="I204" s="23"/>
      <c r="J204" s="23"/>
    </row>
    <row r="205" spans="1:10" s="3" customFormat="1" ht="216" customHeight="1">
      <c r="A205" s="114"/>
      <c r="B205" s="116"/>
      <c r="C205" s="114"/>
      <c r="D205" s="118"/>
      <c r="E205" s="69" t="s">
        <v>462</v>
      </c>
      <c r="F205" s="63" t="s">
        <v>512</v>
      </c>
      <c r="G205" s="23">
        <f>H205+I205</f>
        <v>12100000</v>
      </c>
      <c r="H205" s="23"/>
      <c r="I205" s="23">
        <v>12100000</v>
      </c>
      <c r="J205" s="23"/>
    </row>
    <row r="206" spans="1:10" s="3" customFormat="1" ht="218.25" customHeight="1">
      <c r="A206" s="6" t="s">
        <v>564</v>
      </c>
      <c r="B206" s="25">
        <v>7463</v>
      </c>
      <c r="C206" s="6" t="s">
        <v>252</v>
      </c>
      <c r="D206" s="63" t="s">
        <v>567</v>
      </c>
      <c r="E206" s="63" t="s">
        <v>461</v>
      </c>
      <c r="F206" s="88" t="s">
        <v>515</v>
      </c>
      <c r="G206" s="23">
        <f t="shared" si="5"/>
        <v>200000</v>
      </c>
      <c r="H206" s="23">
        <v>200000</v>
      </c>
      <c r="I206" s="23"/>
      <c r="J206" s="23"/>
    </row>
    <row r="207" spans="1:10" s="3" customFormat="1" ht="177" hidden="1">
      <c r="A207" s="6" t="s">
        <v>423</v>
      </c>
      <c r="B207" s="25">
        <v>7530</v>
      </c>
      <c r="C207" s="25" t="s">
        <v>193</v>
      </c>
      <c r="D207" s="63" t="s">
        <v>194</v>
      </c>
      <c r="E207" s="63" t="s">
        <v>450</v>
      </c>
      <c r="F207" s="63" t="s">
        <v>390</v>
      </c>
      <c r="G207" s="23">
        <f t="shared" si="5"/>
        <v>0</v>
      </c>
      <c r="H207" s="23"/>
      <c r="I207" s="23"/>
      <c r="J207" s="23"/>
    </row>
    <row r="208" spans="1:10" s="10" customFormat="1" ht="197.25" customHeight="1">
      <c r="A208" s="6" t="s">
        <v>164</v>
      </c>
      <c r="B208" s="25" t="s">
        <v>82</v>
      </c>
      <c r="C208" s="25" t="s">
        <v>25</v>
      </c>
      <c r="D208" s="63" t="s">
        <v>53</v>
      </c>
      <c r="E208" s="63" t="s">
        <v>461</v>
      </c>
      <c r="F208" s="88" t="s">
        <v>516</v>
      </c>
      <c r="G208" s="23">
        <f t="shared" si="5"/>
        <v>1784610</v>
      </c>
      <c r="H208" s="23">
        <f>1882610-98000</f>
        <v>1784610</v>
      </c>
      <c r="I208" s="23"/>
      <c r="J208" s="23"/>
    </row>
    <row r="209" spans="1:10" s="10" customFormat="1" ht="230.25" customHeight="1">
      <c r="A209" s="113" t="s">
        <v>349</v>
      </c>
      <c r="B209" s="115">
        <v>7670</v>
      </c>
      <c r="C209" s="115" t="s">
        <v>4</v>
      </c>
      <c r="D209" s="158" t="s">
        <v>47</v>
      </c>
      <c r="E209" s="63" t="s">
        <v>461</v>
      </c>
      <c r="F209" s="88" t="s">
        <v>516</v>
      </c>
      <c r="G209" s="23">
        <f t="shared" si="5"/>
        <v>495000</v>
      </c>
      <c r="H209" s="23"/>
      <c r="I209" s="23">
        <f>540000-45000</f>
        <v>495000</v>
      </c>
      <c r="J209" s="23">
        <f>540000-45000</f>
        <v>495000</v>
      </c>
    </row>
    <row r="210" spans="1:10" s="10" customFormat="1" ht="174" customHeight="1">
      <c r="A210" s="114"/>
      <c r="B210" s="116"/>
      <c r="C210" s="116"/>
      <c r="D210" s="160"/>
      <c r="E210" s="69" t="s">
        <v>448</v>
      </c>
      <c r="F210" s="63" t="s">
        <v>345</v>
      </c>
      <c r="G210" s="23">
        <f t="shared" si="5"/>
        <v>26250000</v>
      </c>
      <c r="H210" s="23"/>
      <c r="I210" s="23">
        <f>46250000-20000000</f>
        <v>26250000</v>
      </c>
      <c r="J210" s="23">
        <f>46250000-20000000</f>
        <v>26250000</v>
      </c>
    </row>
    <row r="211" spans="1:10" s="10" customFormat="1" ht="144" customHeight="1">
      <c r="A211" s="113" t="s">
        <v>239</v>
      </c>
      <c r="B211" s="115" t="s">
        <v>240</v>
      </c>
      <c r="C211" s="115" t="s">
        <v>4</v>
      </c>
      <c r="D211" s="117" t="s">
        <v>256</v>
      </c>
      <c r="E211" s="69" t="s">
        <v>395</v>
      </c>
      <c r="F211" s="63" t="s">
        <v>578</v>
      </c>
      <c r="G211" s="23">
        <f t="shared" si="5"/>
        <v>693100</v>
      </c>
      <c r="H211" s="23"/>
      <c r="I211" s="23">
        <v>693100</v>
      </c>
      <c r="J211" s="23"/>
    </row>
    <row r="212" spans="1:10" s="3" customFormat="1" ht="266.25" customHeight="1">
      <c r="A212" s="114"/>
      <c r="B212" s="116"/>
      <c r="C212" s="116"/>
      <c r="D212" s="118"/>
      <c r="E212" s="63" t="s">
        <v>461</v>
      </c>
      <c r="F212" s="88" t="s">
        <v>516</v>
      </c>
      <c r="G212" s="23">
        <f t="shared" si="5"/>
        <v>1512586.57</v>
      </c>
      <c r="H212" s="23"/>
      <c r="I212" s="23">
        <v>1512586.57</v>
      </c>
      <c r="J212" s="23"/>
    </row>
    <row r="213" spans="1:10" s="3" customFormat="1" ht="239.25" customHeight="1">
      <c r="A213" s="6" t="s">
        <v>410</v>
      </c>
      <c r="B213" s="25">
        <v>8110</v>
      </c>
      <c r="C213" s="25" t="s">
        <v>91</v>
      </c>
      <c r="D213" s="63" t="s">
        <v>411</v>
      </c>
      <c r="E213" s="63" t="s">
        <v>457</v>
      </c>
      <c r="F213" s="89" t="s">
        <v>387</v>
      </c>
      <c r="G213" s="23">
        <f t="shared" si="5"/>
        <v>677493.87</v>
      </c>
      <c r="H213" s="23">
        <v>677493.87</v>
      </c>
      <c r="I213" s="23"/>
      <c r="J213" s="23"/>
    </row>
    <row r="214" spans="1:10" ht="221.25" customHeight="1" hidden="1">
      <c r="A214" s="6" t="s">
        <v>409</v>
      </c>
      <c r="B214" s="25">
        <v>8230</v>
      </c>
      <c r="C214" s="6" t="s">
        <v>189</v>
      </c>
      <c r="D214" s="63" t="s">
        <v>190</v>
      </c>
      <c r="E214" s="63" t="s">
        <v>461</v>
      </c>
      <c r="F214" s="63" t="s">
        <v>439</v>
      </c>
      <c r="G214" s="23">
        <f t="shared" si="5"/>
        <v>0</v>
      </c>
      <c r="H214" s="23"/>
      <c r="I214" s="23"/>
      <c r="J214" s="23"/>
    </row>
    <row r="215" spans="1:10" ht="153" customHeight="1">
      <c r="A215" s="6" t="s">
        <v>166</v>
      </c>
      <c r="B215" s="25" t="s">
        <v>78</v>
      </c>
      <c r="C215" s="25" t="s">
        <v>12</v>
      </c>
      <c r="D215" s="63" t="s">
        <v>79</v>
      </c>
      <c r="E215" s="69" t="s">
        <v>448</v>
      </c>
      <c r="F215" s="63" t="s">
        <v>345</v>
      </c>
      <c r="G215" s="23">
        <f t="shared" si="5"/>
        <v>2949600</v>
      </c>
      <c r="H215" s="23"/>
      <c r="I215" s="23">
        <f>2742000+186000+21600</f>
        <v>2949600</v>
      </c>
      <c r="J215" s="23"/>
    </row>
    <row r="216" spans="1:10" ht="189" customHeight="1">
      <c r="A216" s="6" t="s">
        <v>576</v>
      </c>
      <c r="B216" s="25">
        <v>8861</v>
      </c>
      <c r="C216" s="6" t="s">
        <v>4</v>
      </c>
      <c r="D216" s="63" t="s">
        <v>539</v>
      </c>
      <c r="E216" s="63" t="s">
        <v>461</v>
      </c>
      <c r="F216" s="88" t="s">
        <v>517</v>
      </c>
      <c r="G216" s="23">
        <f t="shared" si="5"/>
        <v>5700000</v>
      </c>
      <c r="H216" s="23">
        <f>1800000+5700000-1800000</f>
        <v>5700000</v>
      </c>
      <c r="I216" s="23"/>
      <c r="J216" s="23"/>
    </row>
    <row r="217" spans="1:10" s="3" customFormat="1" ht="191.25" customHeight="1">
      <c r="A217" s="6" t="s">
        <v>167</v>
      </c>
      <c r="B217" s="25" t="s">
        <v>103</v>
      </c>
      <c r="C217" s="25" t="s">
        <v>4</v>
      </c>
      <c r="D217" s="63" t="s">
        <v>575</v>
      </c>
      <c r="E217" s="63" t="s">
        <v>461</v>
      </c>
      <c r="F217" s="88" t="s">
        <v>517</v>
      </c>
      <c r="G217" s="23">
        <f t="shared" si="5"/>
        <v>-7754092</v>
      </c>
      <c r="H217" s="23"/>
      <c r="I217" s="23">
        <f>-2054092-1800000-5700000+1800000</f>
        <v>-7754092</v>
      </c>
      <c r="J217" s="23">
        <f>-2054092-1800000-5700000+1800000</f>
        <v>-7754092</v>
      </c>
    </row>
    <row r="218" spans="1:10" s="3" customFormat="1" ht="329.25" customHeight="1" hidden="1">
      <c r="A218" s="6" t="s">
        <v>565</v>
      </c>
      <c r="B218" s="25">
        <v>9730</v>
      </c>
      <c r="C218" s="25">
        <v>180</v>
      </c>
      <c r="D218" s="63" t="s">
        <v>568</v>
      </c>
      <c r="E218" s="63" t="s">
        <v>461</v>
      </c>
      <c r="F218" s="88" t="s">
        <v>517</v>
      </c>
      <c r="G218" s="23">
        <f t="shared" si="5"/>
        <v>0</v>
      </c>
      <c r="H218" s="23"/>
      <c r="I218" s="23"/>
      <c r="J218" s="23"/>
    </row>
    <row r="219" spans="1:10" s="10" customFormat="1" ht="189" customHeight="1">
      <c r="A219" s="8" t="s">
        <v>165</v>
      </c>
      <c r="B219" s="27" t="s">
        <v>76</v>
      </c>
      <c r="C219" s="25" t="s">
        <v>26</v>
      </c>
      <c r="D219" s="63" t="s">
        <v>77</v>
      </c>
      <c r="E219" s="63" t="s">
        <v>461</v>
      </c>
      <c r="F219" s="88" t="s">
        <v>517</v>
      </c>
      <c r="G219" s="23">
        <f t="shared" si="5"/>
        <v>15000000</v>
      </c>
      <c r="H219" s="23">
        <v>8550000</v>
      </c>
      <c r="I219" s="23">
        <v>6450000</v>
      </c>
      <c r="J219" s="23">
        <v>6450000</v>
      </c>
    </row>
    <row r="220" spans="1:10" s="2" customFormat="1" ht="156.75" customHeight="1" hidden="1">
      <c r="A220" s="12"/>
      <c r="B220" s="26"/>
      <c r="C220" s="26"/>
      <c r="D220" s="66" t="s">
        <v>425</v>
      </c>
      <c r="E220" s="66"/>
      <c r="F220" s="95"/>
      <c r="G220" s="22">
        <f>SUM(G221)</f>
        <v>0</v>
      </c>
      <c r="H220" s="22">
        <f>SUM(H221)</f>
        <v>0</v>
      </c>
      <c r="I220" s="22">
        <f>SUM(I221)</f>
        <v>0</v>
      </c>
      <c r="J220" s="22">
        <f>SUM(J221)</f>
        <v>0</v>
      </c>
    </row>
    <row r="221" spans="1:10" ht="195" customHeight="1" hidden="1">
      <c r="A221" s="8" t="s">
        <v>424</v>
      </c>
      <c r="B221" s="27" t="s">
        <v>70</v>
      </c>
      <c r="C221" s="25" t="s">
        <v>2</v>
      </c>
      <c r="D221" s="63" t="s">
        <v>71</v>
      </c>
      <c r="E221" s="63" t="s">
        <v>454</v>
      </c>
      <c r="F221" s="89" t="s">
        <v>344</v>
      </c>
      <c r="G221" s="23">
        <f>H221+I221</f>
        <v>0</v>
      </c>
      <c r="H221" s="23"/>
      <c r="I221" s="23"/>
      <c r="J221" s="23"/>
    </row>
    <row r="222" spans="1:10" s="2" customFormat="1" ht="156.75" customHeight="1">
      <c r="A222" s="12"/>
      <c r="B222" s="26"/>
      <c r="C222" s="26"/>
      <c r="D222" s="66" t="s">
        <v>171</v>
      </c>
      <c r="E222" s="66"/>
      <c r="F222" s="95"/>
      <c r="G222" s="22">
        <f>SUM(G223:G248)</f>
        <v>285897217.01</v>
      </c>
      <c r="H222" s="22">
        <f>SUM(H223:H248)</f>
        <v>2112421.15</v>
      </c>
      <c r="I222" s="22">
        <f>SUM(I223:I248)</f>
        <v>283784795.86</v>
      </c>
      <c r="J222" s="22">
        <f>SUM(J223:J248)</f>
        <v>271753821.85</v>
      </c>
    </row>
    <row r="223" spans="1:10" ht="174" customHeight="1" hidden="1">
      <c r="A223" s="8" t="s">
        <v>172</v>
      </c>
      <c r="B223" s="27" t="s">
        <v>70</v>
      </c>
      <c r="C223" s="25" t="s">
        <v>2</v>
      </c>
      <c r="D223" s="63" t="s">
        <v>71</v>
      </c>
      <c r="E223" s="63" t="s">
        <v>454</v>
      </c>
      <c r="F223" s="89" t="s">
        <v>344</v>
      </c>
      <c r="G223" s="23">
        <f aca="true" t="shared" si="6" ref="G223:G248">H223+I223</f>
        <v>0</v>
      </c>
      <c r="H223" s="23"/>
      <c r="I223" s="23"/>
      <c r="J223" s="23"/>
    </row>
    <row r="224" spans="1:10" ht="189" customHeight="1">
      <c r="A224" s="6" t="s">
        <v>173</v>
      </c>
      <c r="B224" s="25" t="s">
        <v>99</v>
      </c>
      <c r="C224" s="25" t="s">
        <v>8</v>
      </c>
      <c r="D224" s="63" t="s">
        <v>100</v>
      </c>
      <c r="E224" s="63" t="s">
        <v>461</v>
      </c>
      <c r="F224" s="88" t="s">
        <v>517</v>
      </c>
      <c r="G224" s="23">
        <f t="shared" si="6"/>
        <v>59717919</v>
      </c>
      <c r="H224" s="23"/>
      <c r="I224" s="23">
        <v>59717919</v>
      </c>
      <c r="J224" s="23">
        <v>59717919</v>
      </c>
    </row>
    <row r="225" spans="1:10" s="3" customFormat="1" ht="221.25" customHeight="1" hidden="1">
      <c r="A225" s="6" t="s">
        <v>296</v>
      </c>
      <c r="B225" s="25" t="s">
        <v>297</v>
      </c>
      <c r="C225" s="25" t="s">
        <v>23</v>
      </c>
      <c r="D225" s="63" t="s">
        <v>298</v>
      </c>
      <c r="E225" s="69" t="s">
        <v>462</v>
      </c>
      <c r="F225" s="63" t="s">
        <v>439</v>
      </c>
      <c r="G225" s="23">
        <f t="shared" si="6"/>
        <v>0</v>
      </c>
      <c r="H225" s="23"/>
      <c r="I225" s="23"/>
      <c r="J225" s="23"/>
    </row>
    <row r="226" spans="1:10" s="3" customFormat="1" ht="158.25" customHeight="1" hidden="1">
      <c r="A226" s="6" t="s">
        <v>305</v>
      </c>
      <c r="B226" s="25" t="s">
        <v>306</v>
      </c>
      <c r="C226" s="25" t="s">
        <v>23</v>
      </c>
      <c r="D226" s="72" t="s">
        <v>307</v>
      </c>
      <c r="E226" s="63" t="s">
        <v>467</v>
      </c>
      <c r="F226" s="89" t="s">
        <v>468</v>
      </c>
      <c r="G226" s="23">
        <f t="shared" si="6"/>
        <v>0</v>
      </c>
      <c r="H226" s="23"/>
      <c r="I226" s="23"/>
      <c r="J226" s="23"/>
    </row>
    <row r="227" spans="1:10" s="3" customFormat="1" ht="320.25" customHeight="1">
      <c r="A227" s="6" t="s">
        <v>174</v>
      </c>
      <c r="B227" s="25" t="s">
        <v>104</v>
      </c>
      <c r="C227" s="25" t="s">
        <v>23</v>
      </c>
      <c r="D227" s="63" t="s">
        <v>412</v>
      </c>
      <c r="E227" s="69" t="s">
        <v>446</v>
      </c>
      <c r="F227" s="69" t="s">
        <v>445</v>
      </c>
      <c r="G227" s="23">
        <f t="shared" si="6"/>
        <v>71348.65</v>
      </c>
      <c r="H227" s="23"/>
      <c r="I227" s="23">
        <v>71348.65</v>
      </c>
      <c r="J227" s="23"/>
    </row>
    <row r="228" spans="1:10" s="3" customFormat="1" ht="175.5" customHeight="1" hidden="1">
      <c r="A228" s="6" t="s">
        <v>348</v>
      </c>
      <c r="B228" s="25">
        <v>6090</v>
      </c>
      <c r="C228" s="6" t="s">
        <v>203</v>
      </c>
      <c r="D228" s="63" t="s">
        <v>350</v>
      </c>
      <c r="E228" s="69" t="s">
        <v>462</v>
      </c>
      <c r="F228" s="63" t="s">
        <v>439</v>
      </c>
      <c r="G228" s="23">
        <f t="shared" si="6"/>
        <v>0</v>
      </c>
      <c r="H228" s="23"/>
      <c r="I228" s="23"/>
      <c r="J228" s="23"/>
    </row>
    <row r="229" spans="1:10" ht="186" customHeight="1">
      <c r="A229" s="6" t="s">
        <v>209</v>
      </c>
      <c r="B229" s="25" t="s">
        <v>205</v>
      </c>
      <c r="C229" s="25" t="s">
        <v>62</v>
      </c>
      <c r="D229" s="63" t="s">
        <v>206</v>
      </c>
      <c r="E229" s="69" t="s">
        <v>462</v>
      </c>
      <c r="F229" s="63" t="s">
        <v>518</v>
      </c>
      <c r="G229" s="23">
        <f t="shared" si="6"/>
        <v>23385.4</v>
      </c>
      <c r="H229" s="23"/>
      <c r="I229" s="23">
        <v>23385.4</v>
      </c>
      <c r="J229" s="23">
        <v>23385.4</v>
      </c>
    </row>
    <row r="230" spans="1:10" s="3" customFormat="1" ht="177" hidden="1">
      <c r="A230" s="121" t="s">
        <v>210</v>
      </c>
      <c r="B230" s="138" t="s">
        <v>211</v>
      </c>
      <c r="C230" s="138" t="s">
        <v>62</v>
      </c>
      <c r="D230" s="81" t="s">
        <v>535</v>
      </c>
      <c r="E230" s="69" t="s">
        <v>462</v>
      </c>
      <c r="F230" s="63" t="s">
        <v>439</v>
      </c>
      <c r="G230" s="23">
        <f t="shared" si="6"/>
        <v>0</v>
      </c>
      <c r="H230" s="23"/>
      <c r="I230" s="23"/>
      <c r="J230" s="23"/>
    </row>
    <row r="231" spans="1:10" s="3" customFormat="1" ht="187.5" customHeight="1">
      <c r="A231" s="121"/>
      <c r="B231" s="138"/>
      <c r="C231" s="138"/>
      <c r="D231" s="82" t="s">
        <v>532</v>
      </c>
      <c r="E231" s="69" t="s">
        <v>462</v>
      </c>
      <c r="F231" s="63" t="s">
        <v>518</v>
      </c>
      <c r="G231" s="23">
        <f t="shared" si="6"/>
        <v>7270560</v>
      </c>
      <c r="H231" s="23"/>
      <c r="I231" s="23">
        <v>7270560</v>
      </c>
      <c r="J231" s="23">
        <v>7270560</v>
      </c>
    </row>
    <row r="232" spans="1:10" s="3" customFormat="1" ht="185.25" customHeight="1">
      <c r="A232" s="6" t="s">
        <v>212</v>
      </c>
      <c r="B232" s="25" t="s">
        <v>213</v>
      </c>
      <c r="C232" s="25" t="s">
        <v>62</v>
      </c>
      <c r="D232" s="102" t="s">
        <v>536</v>
      </c>
      <c r="E232" s="69" t="s">
        <v>462</v>
      </c>
      <c r="F232" s="63" t="s">
        <v>518</v>
      </c>
      <c r="G232" s="23">
        <f t="shared" si="6"/>
        <v>10269864</v>
      </c>
      <c r="H232" s="23"/>
      <c r="I232" s="23">
        <v>10269864</v>
      </c>
      <c r="J232" s="23">
        <v>10269864</v>
      </c>
    </row>
    <row r="233" spans="1:10" s="3" customFormat="1" ht="185.25" customHeight="1">
      <c r="A233" s="6" t="s">
        <v>570</v>
      </c>
      <c r="B233" s="25">
        <v>7324</v>
      </c>
      <c r="C233" s="25">
        <v>443</v>
      </c>
      <c r="D233" s="102" t="s">
        <v>534</v>
      </c>
      <c r="E233" s="69" t="s">
        <v>462</v>
      </c>
      <c r="F233" s="63" t="s">
        <v>518</v>
      </c>
      <c r="G233" s="23">
        <f t="shared" si="6"/>
        <v>165000</v>
      </c>
      <c r="H233" s="23"/>
      <c r="I233" s="23">
        <v>165000</v>
      </c>
      <c r="J233" s="23">
        <v>165000</v>
      </c>
    </row>
    <row r="234" spans="1:10" s="3" customFormat="1" ht="177">
      <c r="A234" s="6" t="s">
        <v>214</v>
      </c>
      <c r="B234" s="25" t="s">
        <v>215</v>
      </c>
      <c r="C234" s="25" t="s">
        <v>62</v>
      </c>
      <c r="D234" s="102" t="s">
        <v>531</v>
      </c>
      <c r="E234" s="69" t="s">
        <v>462</v>
      </c>
      <c r="F234" s="63" t="s">
        <v>518</v>
      </c>
      <c r="G234" s="23">
        <f t="shared" si="6"/>
        <v>2849440</v>
      </c>
      <c r="H234" s="23"/>
      <c r="I234" s="23">
        <v>2849440</v>
      </c>
      <c r="J234" s="23">
        <v>2849440</v>
      </c>
    </row>
    <row r="235" spans="1:10" ht="183.75" customHeight="1">
      <c r="A235" s="113" t="s">
        <v>216</v>
      </c>
      <c r="B235" s="115" t="s">
        <v>208</v>
      </c>
      <c r="C235" s="115" t="s">
        <v>62</v>
      </c>
      <c r="D235" s="102" t="s">
        <v>537</v>
      </c>
      <c r="E235" s="69" t="s">
        <v>462</v>
      </c>
      <c r="F235" s="63" t="s">
        <v>518</v>
      </c>
      <c r="G235" s="23">
        <f t="shared" si="6"/>
        <v>11797276</v>
      </c>
      <c r="H235" s="23"/>
      <c r="I235" s="23">
        <v>11797276</v>
      </c>
      <c r="J235" s="23">
        <v>11797276</v>
      </c>
    </row>
    <row r="236" spans="1:10" ht="157.5" customHeight="1" hidden="1">
      <c r="A236" s="114"/>
      <c r="B236" s="116"/>
      <c r="C236" s="116"/>
      <c r="D236" s="102"/>
      <c r="E236" s="69" t="s">
        <v>448</v>
      </c>
      <c r="F236" s="63" t="s">
        <v>345</v>
      </c>
      <c r="G236" s="23">
        <f t="shared" si="6"/>
        <v>0</v>
      </c>
      <c r="H236" s="23"/>
      <c r="I236" s="23"/>
      <c r="J236" s="23"/>
    </row>
    <row r="237" spans="1:10" ht="177">
      <c r="A237" s="6" t="s">
        <v>267</v>
      </c>
      <c r="B237" s="25" t="s">
        <v>101</v>
      </c>
      <c r="C237" s="25" t="s">
        <v>62</v>
      </c>
      <c r="D237" s="80" t="s">
        <v>102</v>
      </c>
      <c r="E237" s="69" t="s">
        <v>462</v>
      </c>
      <c r="F237" s="63" t="s">
        <v>518</v>
      </c>
      <c r="G237" s="23">
        <f t="shared" si="6"/>
        <v>883608</v>
      </c>
      <c r="H237" s="23"/>
      <c r="I237" s="23">
        <v>883608</v>
      </c>
      <c r="J237" s="23">
        <v>883608</v>
      </c>
    </row>
    <row r="238" spans="1:10" s="3" customFormat="1" ht="185.25" customHeight="1">
      <c r="A238" s="113" t="s">
        <v>308</v>
      </c>
      <c r="B238" s="115" t="s">
        <v>294</v>
      </c>
      <c r="C238" s="115" t="s">
        <v>4</v>
      </c>
      <c r="D238" s="117" t="s">
        <v>295</v>
      </c>
      <c r="E238" s="69" t="s">
        <v>462</v>
      </c>
      <c r="F238" s="63" t="s">
        <v>518</v>
      </c>
      <c r="G238" s="23">
        <f t="shared" si="6"/>
        <v>39184673</v>
      </c>
      <c r="H238" s="23"/>
      <c r="I238" s="23">
        <f>67184673-I239</f>
        <v>39184673</v>
      </c>
      <c r="J238" s="23">
        <f>67184673-J239</f>
        <v>39184673</v>
      </c>
    </row>
    <row r="239" spans="1:10" s="3" customFormat="1" ht="135.75" customHeight="1">
      <c r="A239" s="114"/>
      <c r="B239" s="116"/>
      <c r="C239" s="116"/>
      <c r="D239" s="118"/>
      <c r="E239" s="69" t="s">
        <v>448</v>
      </c>
      <c r="F239" s="63" t="s">
        <v>345</v>
      </c>
      <c r="G239" s="23">
        <f t="shared" si="6"/>
        <v>28000000</v>
      </c>
      <c r="H239" s="23"/>
      <c r="I239" s="23">
        <v>28000000</v>
      </c>
      <c r="J239" s="23">
        <v>28000000</v>
      </c>
    </row>
    <row r="240" spans="1:10" s="3" customFormat="1" ht="186" customHeight="1">
      <c r="A240" s="6" t="s">
        <v>292</v>
      </c>
      <c r="B240" s="25" t="s">
        <v>277</v>
      </c>
      <c r="C240" s="25" t="s">
        <v>4</v>
      </c>
      <c r="D240" s="63" t="s">
        <v>278</v>
      </c>
      <c r="E240" s="69" t="s">
        <v>462</v>
      </c>
      <c r="F240" s="63" t="s">
        <v>518</v>
      </c>
      <c r="G240" s="23">
        <f t="shared" si="6"/>
        <v>1200000</v>
      </c>
      <c r="H240" s="23"/>
      <c r="I240" s="23">
        <v>1200000</v>
      </c>
      <c r="J240" s="23">
        <v>1200000</v>
      </c>
    </row>
    <row r="241" spans="1:10" s="3" customFormat="1" ht="187.5" customHeight="1">
      <c r="A241" s="6" t="s">
        <v>358</v>
      </c>
      <c r="B241" s="25">
        <v>7370</v>
      </c>
      <c r="C241" s="6" t="s">
        <v>4</v>
      </c>
      <c r="D241" s="63" t="s">
        <v>311</v>
      </c>
      <c r="E241" s="69" t="s">
        <v>462</v>
      </c>
      <c r="F241" s="63" t="s">
        <v>518</v>
      </c>
      <c r="G241" s="23">
        <f t="shared" si="6"/>
        <v>81034.6</v>
      </c>
      <c r="H241" s="23">
        <v>81034.6</v>
      </c>
      <c r="I241" s="23"/>
      <c r="J241" s="23"/>
    </row>
    <row r="242" spans="1:10" s="3" customFormat="1" ht="221.25" hidden="1">
      <c r="A242" s="6" t="s">
        <v>285</v>
      </c>
      <c r="B242" s="25" t="s">
        <v>286</v>
      </c>
      <c r="C242" s="25" t="s">
        <v>252</v>
      </c>
      <c r="D242" s="63" t="s">
        <v>287</v>
      </c>
      <c r="E242" s="63" t="s">
        <v>461</v>
      </c>
      <c r="F242" s="63" t="s">
        <v>439</v>
      </c>
      <c r="G242" s="23">
        <f t="shared" si="6"/>
        <v>0</v>
      </c>
      <c r="H242" s="23"/>
      <c r="I242" s="23"/>
      <c r="J242" s="23"/>
    </row>
    <row r="243" spans="1:10" s="3" customFormat="1" ht="183" hidden="1">
      <c r="A243" s="6" t="s">
        <v>300</v>
      </c>
      <c r="B243" s="25" t="s">
        <v>301</v>
      </c>
      <c r="C243" s="25" t="s">
        <v>252</v>
      </c>
      <c r="D243" s="73" t="s">
        <v>302</v>
      </c>
      <c r="E243" s="69" t="s">
        <v>462</v>
      </c>
      <c r="F243" s="63" t="s">
        <v>439</v>
      </c>
      <c r="G243" s="23">
        <f t="shared" si="6"/>
        <v>0</v>
      </c>
      <c r="H243" s="23"/>
      <c r="I243" s="23"/>
      <c r="J243" s="23"/>
    </row>
    <row r="244" spans="1:10" ht="172.5" customHeight="1">
      <c r="A244" s="6" t="s">
        <v>175</v>
      </c>
      <c r="B244" s="25" t="s">
        <v>82</v>
      </c>
      <c r="C244" s="25" t="s">
        <v>25</v>
      </c>
      <c r="D244" s="63" t="s">
        <v>53</v>
      </c>
      <c r="E244" s="63" t="s">
        <v>437</v>
      </c>
      <c r="F244" s="63" t="s">
        <v>463</v>
      </c>
      <c r="G244" s="23">
        <f t="shared" si="6"/>
        <v>122311417</v>
      </c>
      <c r="H244" s="23">
        <f>1015684.55-484298</f>
        <v>531386.55</v>
      </c>
      <c r="I244" s="23">
        <v>121780030.45</v>
      </c>
      <c r="J244" s="23">
        <f>110306096.45</f>
        <v>110306096.45</v>
      </c>
    </row>
    <row r="245" spans="1:10" s="3" customFormat="1" ht="206.25" customHeight="1">
      <c r="A245" s="6" t="s">
        <v>498</v>
      </c>
      <c r="B245" s="25">
        <v>9750</v>
      </c>
      <c r="C245" s="59" t="s">
        <v>26</v>
      </c>
      <c r="D245" s="72" t="s">
        <v>499</v>
      </c>
      <c r="E245" s="69" t="s">
        <v>462</v>
      </c>
      <c r="F245" s="63" t="s">
        <v>518</v>
      </c>
      <c r="G245" s="23">
        <f t="shared" si="6"/>
        <v>86000</v>
      </c>
      <c r="H245" s="23"/>
      <c r="I245" s="23">
        <v>86000</v>
      </c>
      <c r="J245" s="23">
        <v>86000</v>
      </c>
    </row>
    <row r="246" spans="1:10" s="3" customFormat="1" ht="409.5" customHeight="1" hidden="1">
      <c r="A246" s="6" t="s">
        <v>341</v>
      </c>
      <c r="B246" s="25" t="s">
        <v>240</v>
      </c>
      <c r="C246" s="25" t="s">
        <v>4</v>
      </c>
      <c r="D246" s="63" t="s">
        <v>256</v>
      </c>
      <c r="E246" s="69"/>
      <c r="F246" s="63"/>
      <c r="G246" s="23">
        <f t="shared" si="6"/>
        <v>0</v>
      </c>
      <c r="H246" s="23"/>
      <c r="I246" s="23"/>
      <c r="J246" s="23"/>
    </row>
    <row r="247" spans="1:10" s="3" customFormat="1" ht="321" customHeight="1">
      <c r="A247" s="6" t="s">
        <v>290</v>
      </c>
      <c r="B247" s="25" t="s">
        <v>288</v>
      </c>
      <c r="C247" s="25" t="s">
        <v>3</v>
      </c>
      <c r="D247" s="63" t="s">
        <v>342</v>
      </c>
      <c r="E247" s="69" t="s">
        <v>446</v>
      </c>
      <c r="F247" s="69" t="s">
        <v>581</v>
      </c>
      <c r="G247" s="23">
        <f t="shared" si="6"/>
        <v>2795691.36</v>
      </c>
      <c r="H247" s="23">
        <v>1500000</v>
      </c>
      <c r="I247" s="23">
        <f>810000+485691.36</f>
        <v>1295691.3599999999</v>
      </c>
      <c r="J247" s="23"/>
    </row>
    <row r="248" spans="1:10" s="3" customFormat="1" ht="333" customHeight="1">
      <c r="A248" s="6" t="s">
        <v>291</v>
      </c>
      <c r="B248" s="25" t="s">
        <v>289</v>
      </c>
      <c r="C248" s="25" t="s">
        <v>3</v>
      </c>
      <c r="D248" s="63" t="s">
        <v>343</v>
      </c>
      <c r="E248" s="69" t="s">
        <v>446</v>
      </c>
      <c r="F248" s="69" t="s">
        <v>581</v>
      </c>
      <c r="G248" s="23">
        <f t="shared" si="6"/>
        <v>-810000</v>
      </c>
      <c r="H248" s="23"/>
      <c r="I248" s="23">
        <v>-810000</v>
      </c>
      <c r="J248" s="23"/>
    </row>
    <row r="249" spans="1:10" s="2" customFormat="1" ht="97.5" customHeight="1">
      <c r="A249" s="12"/>
      <c r="B249" s="26"/>
      <c r="C249" s="26"/>
      <c r="D249" s="66" t="s">
        <v>176</v>
      </c>
      <c r="E249" s="74"/>
      <c r="F249" s="74"/>
      <c r="G249" s="22">
        <f>SUM(G250:G254)</f>
        <v>5071516.3</v>
      </c>
      <c r="H249" s="22">
        <f>SUM(H250:H254)</f>
        <v>2475266</v>
      </c>
      <c r="I249" s="22">
        <f>SUM(I250:I254)</f>
        <v>2596250.3</v>
      </c>
      <c r="J249" s="22">
        <f>SUM(J250:J254)</f>
        <v>0</v>
      </c>
    </row>
    <row r="250" spans="1:10" ht="180" customHeight="1">
      <c r="A250" s="6" t="s">
        <v>177</v>
      </c>
      <c r="B250" s="25" t="s">
        <v>70</v>
      </c>
      <c r="C250" s="25" t="s">
        <v>2</v>
      </c>
      <c r="D250" s="63" t="s">
        <v>471</v>
      </c>
      <c r="E250" s="63" t="s">
        <v>454</v>
      </c>
      <c r="F250" s="89" t="s">
        <v>344</v>
      </c>
      <c r="G250" s="23">
        <f>H250+I250</f>
        <v>40000</v>
      </c>
      <c r="H250" s="23">
        <v>40000</v>
      </c>
      <c r="I250" s="23"/>
      <c r="J250" s="23"/>
    </row>
    <row r="251" spans="1:10" ht="212.25" customHeight="1">
      <c r="A251" s="6" t="s">
        <v>253</v>
      </c>
      <c r="B251" s="25" t="s">
        <v>183</v>
      </c>
      <c r="C251" s="25" t="s">
        <v>203</v>
      </c>
      <c r="D251" s="63" t="s">
        <v>202</v>
      </c>
      <c r="E251" s="63" t="s">
        <v>461</v>
      </c>
      <c r="F251" s="88" t="s">
        <v>519</v>
      </c>
      <c r="G251" s="23">
        <f>H251+I251</f>
        <v>175000</v>
      </c>
      <c r="H251" s="23">
        <v>175000</v>
      </c>
      <c r="I251" s="23"/>
      <c r="J251" s="23"/>
    </row>
    <row r="252" spans="1:10" ht="235.5" customHeight="1">
      <c r="A252" s="6" t="s">
        <v>541</v>
      </c>
      <c r="B252" s="25">
        <v>7370</v>
      </c>
      <c r="C252" s="6" t="s">
        <v>4</v>
      </c>
      <c r="D252" s="63" t="s">
        <v>311</v>
      </c>
      <c r="E252" s="63" t="s">
        <v>464</v>
      </c>
      <c r="F252" s="88" t="s">
        <v>520</v>
      </c>
      <c r="G252" s="23">
        <f>H252+I252</f>
        <v>2260266</v>
      </c>
      <c r="H252" s="23">
        <f>900000+1360266</f>
        <v>2260266</v>
      </c>
      <c r="I252" s="23"/>
      <c r="J252" s="23"/>
    </row>
    <row r="253" spans="1:10" s="3" customFormat="1" ht="192" customHeight="1">
      <c r="A253" s="43" t="s">
        <v>241</v>
      </c>
      <c r="B253" s="44" t="s">
        <v>240</v>
      </c>
      <c r="C253" s="44" t="s">
        <v>4</v>
      </c>
      <c r="D253" s="122" t="s">
        <v>256</v>
      </c>
      <c r="E253" s="63" t="s">
        <v>461</v>
      </c>
      <c r="F253" s="88" t="s">
        <v>521</v>
      </c>
      <c r="G253" s="23">
        <f>H253+I253</f>
        <v>223307</v>
      </c>
      <c r="H253" s="23"/>
      <c r="I253" s="23">
        <v>223307</v>
      </c>
      <c r="J253" s="23"/>
    </row>
    <row r="254" spans="1:10" s="3" customFormat="1" ht="238.5" customHeight="1">
      <c r="A254" s="111"/>
      <c r="B254" s="112"/>
      <c r="C254" s="112"/>
      <c r="D254" s="122"/>
      <c r="E254" s="63" t="s">
        <v>464</v>
      </c>
      <c r="F254" s="88" t="s">
        <v>520</v>
      </c>
      <c r="G254" s="23">
        <f>H254+I254</f>
        <v>2372943.3</v>
      </c>
      <c r="H254" s="23"/>
      <c r="I254" s="23">
        <v>2372943.3</v>
      </c>
      <c r="J254" s="23"/>
    </row>
    <row r="255" spans="1:10" s="2" customFormat="1" ht="135.75" customHeight="1">
      <c r="A255" s="12"/>
      <c r="B255" s="26"/>
      <c r="C255" s="26"/>
      <c r="D255" s="66" t="s">
        <v>168</v>
      </c>
      <c r="E255" s="66"/>
      <c r="F255" s="95"/>
      <c r="G255" s="22">
        <f>SUM(G256:G262)</f>
        <v>1718000</v>
      </c>
      <c r="H255" s="22">
        <f>SUM(H256:H262)</f>
        <v>1653000</v>
      </c>
      <c r="I255" s="22">
        <f>SUM(I256:I262)</f>
        <v>65000</v>
      </c>
      <c r="J255" s="22">
        <f>SUM(J256:J262)</f>
        <v>65000</v>
      </c>
    </row>
    <row r="256" spans="1:10" s="2" customFormat="1" ht="177" customHeight="1" hidden="1">
      <c r="A256" s="6" t="s">
        <v>426</v>
      </c>
      <c r="B256" s="25" t="s">
        <v>70</v>
      </c>
      <c r="C256" s="25" t="s">
        <v>2</v>
      </c>
      <c r="D256" s="63" t="s">
        <v>71</v>
      </c>
      <c r="E256" s="63" t="s">
        <v>454</v>
      </c>
      <c r="F256" s="63" t="s">
        <v>347</v>
      </c>
      <c r="G256" s="23">
        <f>H256+I256</f>
        <v>0</v>
      </c>
      <c r="H256" s="23"/>
      <c r="I256" s="22"/>
      <c r="J256" s="22"/>
    </row>
    <row r="257" spans="1:10" ht="240" customHeight="1">
      <c r="A257" s="6" t="s">
        <v>169</v>
      </c>
      <c r="B257" s="25" t="s">
        <v>97</v>
      </c>
      <c r="C257" s="25" t="s">
        <v>24</v>
      </c>
      <c r="D257" s="63" t="s">
        <v>98</v>
      </c>
      <c r="E257" s="69" t="s">
        <v>469</v>
      </c>
      <c r="F257" s="88" t="s">
        <v>522</v>
      </c>
      <c r="G257" s="23">
        <f aca="true" t="shared" si="7" ref="G257:G262">H257+I257</f>
        <v>450000</v>
      </c>
      <c r="H257" s="23">
        <f>550000-400000+300000</f>
        <v>450000</v>
      </c>
      <c r="I257" s="23"/>
      <c r="J257" s="23"/>
    </row>
    <row r="258" spans="1:10" ht="208.5" customHeight="1" hidden="1">
      <c r="A258" s="6" t="s">
        <v>312</v>
      </c>
      <c r="B258" s="25" t="s">
        <v>310</v>
      </c>
      <c r="C258" s="25" t="s">
        <v>4</v>
      </c>
      <c r="D258" s="63" t="s">
        <v>311</v>
      </c>
      <c r="E258" s="69" t="s">
        <v>462</v>
      </c>
      <c r="F258" s="63" t="s">
        <v>439</v>
      </c>
      <c r="G258" s="23">
        <f t="shared" si="7"/>
        <v>0</v>
      </c>
      <c r="H258" s="23"/>
      <c r="I258" s="23"/>
      <c r="J258" s="23"/>
    </row>
    <row r="259" spans="1:10" ht="163.5" customHeight="1">
      <c r="A259" s="6" t="s">
        <v>170</v>
      </c>
      <c r="B259" s="25" t="s">
        <v>88</v>
      </c>
      <c r="C259" s="25" t="s">
        <v>5</v>
      </c>
      <c r="D259" s="63" t="s">
        <v>46</v>
      </c>
      <c r="E259" s="63" t="s">
        <v>456</v>
      </c>
      <c r="F259" s="63" t="s">
        <v>577</v>
      </c>
      <c r="G259" s="23">
        <f t="shared" si="7"/>
        <v>312000</v>
      </c>
      <c r="H259" s="23">
        <v>312000</v>
      </c>
      <c r="I259" s="23"/>
      <c r="J259" s="23"/>
    </row>
    <row r="260" spans="1:10" ht="240" customHeight="1">
      <c r="A260" s="6" t="s">
        <v>218</v>
      </c>
      <c r="B260" s="25" t="s">
        <v>217</v>
      </c>
      <c r="C260" s="25" t="s">
        <v>4</v>
      </c>
      <c r="D260" s="63" t="s">
        <v>219</v>
      </c>
      <c r="E260" s="69" t="s">
        <v>469</v>
      </c>
      <c r="F260" s="88" t="s">
        <v>523</v>
      </c>
      <c r="G260" s="23">
        <f t="shared" si="7"/>
        <v>20000</v>
      </c>
      <c r="H260" s="23"/>
      <c r="I260" s="23">
        <v>20000</v>
      </c>
      <c r="J260" s="23">
        <v>20000</v>
      </c>
    </row>
    <row r="261" spans="1:10" ht="230.25" customHeight="1">
      <c r="A261" s="6" t="s">
        <v>221</v>
      </c>
      <c r="B261" s="25" t="s">
        <v>222</v>
      </c>
      <c r="C261" s="25" t="s">
        <v>4</v>
      </c>
      <c r="D261" s="63" t="s">
        <v>223</v>
      </c>
      <c r="E261" s="69" t="s">
        <v>469</v>
      </c>
      <c r="F261" s="88" t="s">
        <v>524</v>
      </c>
      <c r="G261" s="23">
        <f t="shared" si="7"/>
        <v>45000</v>
      </c>
      <c r="H261" s="23"/>
      <c r="I261" s="23">
        <v>45000</v>
      </c>
      <c r="J261" s="23">
        <v>45000</v>
      </c>
    </row>
    <row r="262" spans="1:10" s="3" customFormat="1" ht="247.5" customHeight="1">
      <c r="A262" s="6" t="s">
        <v>220</v>
      </c>
      <c r="B262" s="25" t="s">
        <v>197</v>
      </c>
      <c r="C262" s="6" t="s">
        <v>4</v>
      </c>
      <c r="D262" s="63" t="s">
        <v>198</v>
      </c>
      <c r="E262" s="69" t="s">
        <v>469</v>
      </c>
      <c r="F262" s="88" t="s">
        <v>525</v>
      </c>
      <c r="G262" s="23">
        <f t="shared" si="7"/>
        <v>891000</v>
      </c>
      <c r="H262" s="23">
        <v>891000</v>
      </c>
      <c r="I262" s="23"/>
      <c r="J262" s="23"/>
    </row>
    <row r="263" spans="1:10" ht="187.5" customHeight="1" hidden="1">
      <c r="A263" s="6" t="s">
        <v>284</v>
      </c>
      <c r="B263" s="25" t="s">
        <v>273</v>
      </c>
      <c r="C263" s="25" t="s">
        <v>26</v>
      </c>
      <c r="D263" s="64" t="s">
        <v>274</v>
      </c>
      <c r="E263" s="63" t="s">
        <v>456</v>
      </c>
      <c r="F263" s="63" t="s">
        <v>399</v>
      </c>
      <c r="G263" s="23">
        <f>H263+I263</f>
        <v>0</v>
      </c>
      <c r="H263" s="23"/>
      <c r="I263" s="23"/>
      <c r="J263" s="23"/>
    </row>
    <row r="264" spans="1:10" s="2" customFormat="1" ht="138.75" customHeight="1">
      <c r="A264" s="12"/>
      <c r="B264" s="26"/>
      <c r="C264" s="26"/>
      <c r="D264" s="66" t="s">
        <v>178</v>
      </c>
      <c r="E264" s="74"/>
      <c r="F264" s="74"/>
      <c r="G264" s="22">
        <f>SUM(G265:G274)</f>
        <v>196966619.4</v>
      </c>
      <c r="H264" s="22">
        <f>SUM(H265:H274)</f>
        <v>1672659</v>
      </c>
      <c r="I264" s="22">
        <f>SUM(I265:I274)</f>
        <v>195293960.4</v>
      </c>
      <c r="J264" s="22">
        <f>SUM(J265:J274)</f>
        <v>0</v>
      </c>
    </row>
    <row r="265" spans="1:10" s="2" customFormat="1" ht="177" hidden="1">
      <c r="A265" s="6" t="s">
        <v>427</v>
      </c>
      <c r="B265" s="25" t="s">
        <v>70</v>
      </c>
      <c r="C265" s="25" t="s">
        <v>2</v>
      </c>
      <c r="D265" s="63" t="s">
        <v>71</v>
      </c>
      <c r="E265" s="63" t="s">
        <v>454</v>
      </c>
      <c r="F265" s="63" t="s">
        <v>347</v>
      </c>
      <c r="G265" s="23">
        <f aca="true" t="shared" si="8" ref="G265:G276">H265+I265</f>
        <v>0</v>
      </c>
      <c r="H265" s="23"/>
      <c r="I265" s="22"/>
      <c r="J265" s="22"/>
    </row>
    <row r="266" spans="1:10" s="2" customFormat="1" ht="391.5" customHeight="1">
      <c r="A266" s="113" t="s">
        <v>588</v>
      </c>
      <c r="B266" s="113" t="s">
        <v>589</v>
      </c>
      <c r="C266" s="113" t="s">
        <v>203</v>
      </c>
      <c r="D266" s="125" t="s">
        <v>590</v>
      </c>
      <c r="E266" s="117" t="s">
        <v>461</v>
      </c>
      <c r="F266" s="127" t="s">
        <v>519</v>
      </c>
      <c r="G266" s="119">
        <f t="shared" si="8"/>
        <v>194791960.4</v>
      </c>
      <c r="H266" s="119"/>
      <c r="I266" s="119">
        <v>194791960.4</v>
      </c>
      <c r="J266" s="123"/>
    </row>
    <row r="267" spans="1:10" s="2" customFormat="1" ht="65.25" customHeight="1">
      <c r="A267" s="114"/>
      <c r="B267" s="114"/>
      <c r="C267" s="114"/>
      <c r="D267" s="126"/>
      <c r="E267" s="118"/>
      <c r="F267" s="128"/>
      <c r="G267" s="120"/>
      <c r="H267" s="120"/>
      <c r="I267" s="120"/>
      <c r="J267" s="124"/>
    </row>
    <row r="268" spans="1:10" s="2" customFormat="1" ht="156.75" customHeight="1">
      <c r="A268" s="6" t="s">
        <v>224</v>
      </c>
      <c r="B268" s="25" t="s">
        <v>82</v>
      </c>
      <c r="C268" s="25" t="s">
        <v>25</v>
      </c>
      <c r="D268" s="63" t="s">
        <v>53</v>
      </c>
      <c r="E268" s="63" t="s">
        <v>437</v>
      </c>
      <c r="F268" s="63" t="s">
        <v>463</v>
      </c>
      <c r="G268" s="23">
        <f t="shared" si="8"/>
        <v>330040</v>
      </c>
      <c r="H268" s="23">
        <f>426000-9800-70000-16160</f>
        <v>330040</v>
      </c>
      <c r="I268" s="23"/>
      <c r="J268" s="23"/>
    </row>
    <row r="269" spans="1:10" s="2" customFormat="1" ht="188.25" customHeight="1">
      <c r="A269" s="6" t="s">
        <v>324</v>
      </c>
      <c r="B269" s="25" t="s">
        <v>197</v>
      </c>
      <c r="C269" s="6" t="s">
        <v>4</v>
      </c>
      <c r="D269" s="63" t="s">
        <v>198</v>
      </c>
      <c r="E269" s="69" t="s">
        <v>462</v>
      </c>
      <c r="F269" s="63" t="s">
        <v>526</v>
      </c>
      <c r="G269" s="23">
        <f t="shared" si="8"/>
        <v>181380</v>
      </c>
      <c r="H269" s="23">
        <v>181380</v>
      </c>
      <c r="I269" s="23"/>
      <c r="J269" s="23"/>
    </row>
    <row r="270" spans="1:10" s="2" customFormat="1" ht="198.75" customHeight="1">
      <c r="A270" s="6" t="s">
        <v>372</v>
      </c>
      <c r="B270" s="25">
        <v>8330</v>
      </c>
      <c r="C270" s="6" t="s">
        <v>12</v>
      </c>
      <c r="D270" s="63" t="s">
        <v>383</v>
      </c>
      <c r="E270" s="69" t="s">
        <v>462</v>
      </c>
      <c r="F270" s="63" t="s">
        <v>526</v>
      </c>
      <c r="G270" s="23">
        <f t="shared" si="8"/>
        <v>75000</v>
      </c>
      <c r="H270" s="23">
        <v>75000</v>
      </c>
      <c r="I270" s="23"/>
      <c r="J270" s="23"/>
    </row>
    <row r="271" spans="1:10" ht="160.5" customHeight="1">
      <c r="A271" s="6" t="s">
        <v>179</v>
      </c>
      <c r="B271" s="25" t="s">
        <v>78</v>
      </c>
      <c r="C271" s="6" t="s">
        <v>12</v>
      </c>
      <c r="D271" s="63" t="s">
        <v>79</v>
      </c>
      <c r="E271" s="69" t="s">
        <v>448</v>
      </c>
      <c r="F271" s="63" t="s">
        <v>345</v>
      </c>
      <c r="G271" s="23">
        <f t="shared" si="8"/>
        <v>502000</v>
      </c>
      <c r="H271" s="23"/>
      <c r="I271" s="23">
        <f>103000+399000</f>
        <v>502000</v>
      </c>
      <c r="J271" s="23"/>
    </row>
    <row r="272" spans="1:10" ht="194.25" customHeight="1">
      <c r="A272" s="6" t="s">
        <v>384</v>
      </c>
      <c r="B272" s="25">
        <v>8600</v>
      </c>
      <c r="C272" s="6" t="s">
        <v>385</v>
      </c>
      <c r="D272" s="63" t="s">
        <v>386</v>
      </c>
      <c r="E272" s="69" t="s">
        <v>462</v>
      </c>
      <c r="F272" s="63" t="s">
        <v>526</v>
      </c>
      <c r="G272" s="23">
        <f t="shared" si="8"/>
        <v>1086239</v>
      </c>
      <c r="H272" s="23">
        <f>1833489+130750-878000</f>
        <v>1086239</v>
      </c>
      <c r="I272" s="23"/>
      <c r="J272" s="23"/>
    </row>
    <row r="273" spans="1:10" ht="182.25" customHeight="1">
      <c r="A273" s="6" t="s">
        <v>373</v>
      </c>
      <c r="B273" s="25">
        <v>8881</v>
      </c>
      <c r="C273" s="6" t="s">
        <v>4</v>
      </c>
      <c r="D273" s="63" t="s">
        <v>375</v>
      </c>
      <c r="E273" s="69" t="s">
        <v>462</v>
      </c>
      <c r="F273" s="63" t="s">
        <v>526</v>
      </c>
      <c r="G273" s="23">
        <f t="shared" si="8"/>
        <v>1112506</v>
      </c>
      <c r="H273" s="23"/>
      <c r="I273" s="23">
        <v>1112506</v>
      </c>
      <c r="J273" s="23">
        <v>1112506</v>
      </c>
    </row>
    <row r="274" spans="1:10" ht="185.25" customHeight="1">
      <c r="A274" s="6" t="s">
        <v>374</v>
      </c>
      <c r="B274" s="25">
        <v>8882</v>
      </c>
      <c r="C274" s="6" t="s">
        <v>4</v>
      </c>
      <c r="D274" s="63" t="s">
        <v>376</v>
      </c>
      <c r="E274" s="69" t="s">
        <v>462</v>
      </c>
      <c r="F274" s="63" t="s">
        <v>526</v>
      </c>
      <c r="G274" s="23">
        <f t="shared" si="8"/>
        <v>-1112506</v>
      </c>
      <c r="H274" s="23"/>
      <c r="I274" s="23">
        <v>-1112506</v>
      </c>
      <c r="J274" s="23">
        <v>-1112506</v>
      </c>
    </row>
    <row r="275" spans="1:10" ht="409.5" customHeight="1" hidden="1">
      <c r="A275" s="6" t="s">
        <v>361</v>
      </c>
      <c r="B275" s="29" t="s">
        <v>363</v>
      </c>
      <c r="C275" s="29" t="s">
        <v>26</v>
      </c>
      <c r="D275" s="31" t="s">
        <v>362</v>
      </c>
      <c r="E275" s="9" t="s">
        <v>462</v>
      </c>
      <c r="F275" s="63" t="s">
        <v>439</v>
      </c>
      <c r="G275" s="23">
        <f t="shared" si="8"/>
        <v>0</v>
      </c>
      <c r="H275" s="23"/>
      <c r="I275" s="23"/>
      <c r="J275" s="23"/>
    </row>
    <row r="276" spans="1:10" ht="177" customHeight="1" hidden="1">
      <c r="A276" s="6" t="s">
        <v>261</v>
      </c>
      <c r="B276" s="25" t="s">
        <v>76</v>
      </c>
      <c r="C276" s="25" t="s">
        <v>26</v>
      </c>
      <c r="D276" s="7" t="s">
        <v>77</v>
      </c>
      <c r="E276" s="9" t="s">
        <v>462</v>
      </c>
      <c r="F276" s="63" t="s">
        <v>439</v>
      </c>
      <c r="G276" s="23">
        <f t="shared" si="8"/>
        <v>0</v>
      </c>
      <c r="H276" s="23"/>
      <c r="I276" s="23"/>
      <c r="J276" s="23"/>
    </row>
    <row r="277" spans="1:10" s="18" customFormat="1" ht="63" customHeight="1">
      <c r="A277" s="17"/>
      <c r="B277" s="162" t="s">
        <v>394</v>
      </c>
      <c r="C277" s="162"/>
      <c r="D277" s="162"/>
      <c r="E277" s="162"/>
      <c r="F277" s="96"/>
      <c r="G277" s="45">
        <f>G17+G65+G113+G139+G161+G165+G174+G220+G222+G249+G255+G264</f>
        <v>2841717447.27</v>
      </c>
      <c r="H277" s="45">
        <f>H17+H65+H113+H139+H161+H165+H174+H220+H222+H249+H255+H264</f>
        <v>1849112976.38</v>
      </c>
      <c r="I277" s="45">
        <f>I17+I65+I113+I139+I161+I165+I174+I220+I222+I249+I255+I264</f>
        <v>992604470.89</v>
      </c>
      <c r="J277" s="45">
        <f>J17+J65+J113+J139+J161+J165+J174+J220+J222+J249+J255+J264</f>
        <v>716455085.61</v>
      </c>
    </row>
    <row r="278" spans="1:15" ht="156.75" customHeight="1">
      <c r="A278" s="58"/>
      <c r="B278" s="48"/>
      <c r="C278" s="48"/>
      <c r="D278" s="7"/>
      <c r="E278" s="7" t="s">
        <v>454</v>
      </c>
      <c r="F278" s="89" t="s">
        <v>344</v>
      </c>
      <c r="G278" s="32">
        <f>G18+G32+G33+G52+G56+G66+G114+G140+G166+G175+G221+G223+G250+G256+G265</f>
        <v>4772342</v>
      </c>
      <c r="H278" s="32">
        <f>H18+H32+H33+H52+H56+H66+H114+H140+H166+H175+H221+H223+H250+H256+H265</f>
        <v>4772342</v>
      </c>
      <c r="I278" s="32">
        <f>I18+I32+I33+I52+I56+I66+I114+I140+I166+I175+I221+I223+I250+I256+I265</f>
        <v>0</v>
      </c>
      <c r="J278" s="32">
        <f>J18+J32+J33+J52+J56+J66+J114+J140+J166+J175+J221+J223+J250+J256+J265</f>
        <v>0</v>
      </c>
      <c r="O278" s="105"/>
    </row>
    <row r="279" spans="1:10" ht="177" customHeight="1" hidden="1">
      <c r="A279" s="58"/>
      <c r="B279" s="48"/>
      <c r="C279" s="48"/>
      <c r="D279" s="7"/>
      <c r="E279" s="7" t="s">
        <v>440</v>
      </c>
      <c r="F279" s="89" t="str">
        <f>F19</f>
        <v>Проєкт</v>
      </c>
      <c r="G279" s="15">
        <f>G19</f>
        <v>0</v>
      </c>
      <c r="H279" s="15">
        <f>H19</f>
        <v>0</v>
      </c>
      <c r="I279" s="15">
        <f>I19</f>
        <v>0</v>
      </c>
      <c r="J279" s="15">
        <f>J19</f>
        <v>0</v>
      </c>
    </row>
    <row r="280" spans="1:10" ht="144.75" customHeight="1">
      <c r="A280" s="58"/>
      <c r="B280" s="48"/>
      <c r="C280" s="48"/>
      <c r="D280" s="54"/>
      <c r="E280" s="7" t="s">
        <v>451</v>
      </c>
      <c r="F280" s="63" t="s">
        <v>353</v>
      </c>
      <c r="G280" s="32">
        <f>G22+G24+G67+G70+G73+G75+G76+G80+G81+G82+G83+G84+G85+G86+G91+G98+G107+G109+G78+G92+G79+G90+G89+G74+G77+G87+G88+G100+G108</f>
        <v>1271454050.2</v>
      </c>
      <c r="H280" s="32">
        <f>H22+H24+H67+H70+H73+H75+H76+H80+H81+H82+H83+H84+H85+H86+H91+H98+H107+H109+H78+H92+H79+H90+H89+H74+H77+H87+H88+H100+H108</f>
        <v>1176148245.72</v>
      </c>
      <c r="I280" s="32">
        <f>I22+I24+I67+I70+I73+I75+I76+I80+I81+I82+I83+I84+I85+I86+I91+I98+I107+I109+I78+I92+I79+I90+I89+I74+I77+I87+I88+I100+I108</f>
        <v>95305804.48</v>
      </c>
      <c r="J280" s="32">
        <f>J22+J24+J67+J70+J73+J75+J76+J80+J81+J82+J83+J84+J85+J86+J91+J98+J107+J109+J78+J92+J79+J90+J89+J74+J77+J87+J88+J100+J108</f>
        <v>54922354.480000004</v>
      </c>
    </row>
    <row r="281" spans="1:10" ht="145.5" customHeight="1">
      <c r="A281" s="58"/>
      <c r="B281" s="48"/>
      <c r="C281" s="48"/>
      <c r="D281" s="54"/>
      <c r="E281" s="9" t="s">
        <v>443</v>
      </c>
      <c r="F281" s="63" t="s">
        <v>491</v>
      </c>
      <c r="G281" s="32">
        <f>G115+G117+G118+G120+G122+G123+G125+G126+G128+G138+G124+G129+G136+G137+G132</f>
        <v>244165642.48000002</v>
      </c>
      <c r="H281" s="32">
        <f>H115+H117+H118+H120+H122+H123+H125+H126+H128+H138+H124+H129+H136+H137+H132</f>
        <v>96996147.23</v>
      </c>
      <c r="I281" s="32">
        <f>I115+I117+I118+I120+I122+I123+I125+I126+I128+I138+I124+I129+I136+I137+I132</f>
        <v>147169495.25</v>
      </c>
      <c r="J281" s="32">
        <f>J115+J117+J118+J120+J122+J123+J125+J126+J128+J138+J124+J129+J136+J137+J132</f>
        <v>147169495.25</v>
      </c>
    </row>
    <row r="282" spans="1:10" ht="189.75" customHeight="1">
      <c r="A282" s="58"/>
      <c r="B282" s="48"/>
      <c r="C282" s="48"/>
      <c r="D282" s="54"/>
      <c r="E282" s="7" t="s">
        <v>461</v>
      </c>
      <c r="F282" s="88" t="s">
        <v>527</v>
      </c>
      <c r="G282" s="32">
        <f>G176+G178+G179+G182+G183+G184+G185+G189+G192+G194+G197+G199+G200+G202+G204+G208+G209+G212+G214+G217+G219+G224+G242+G251+G253+G203+G206+G218+G216+G266</f>
        <v>647857736.53</v>
      </c>
      <c r="H282" s="32">
        <f>H176+H178+H179+H182+H183+H184+H185+H189+H192+H194+H197+H199+H200+H202+H204+H208+H209+H212+H214+H217+H219+H224+H242+H251+H253+H203+H206+H218+H216+H266</f>
        <v>295809120.38</v>
      </c>
      <c r="I282" s="32">
        <f>I176+I178+I179+I182+I183+I184+I185+I189+I192+I194+I197+I199+I200+I202+I204+I208+I209+I212+I214+I217+I219+I224+I242+I251+I253+I203+I206+I218+I216+I266</f>
        <v>352048616.15</v>
      </c>
      <c r="J282" s="32">
        <f>J176+J178+J179+J182+J183+J184+J185+J189+J192+J194+J197+J199+J200+J202+J204+J208+J209+J212+J214+J217+J219+J224+J242+J251+J253+J203+J206+J218+J216+J266</f>
        <v>153699282.18</v>
      </c>
    </row>
    <row r="283" spans="1:10" ht="240.75" customHeight="1">
      <c r="A283" s="58"/>
      <c r="B283" s="48"/>
      <c r="C283" s="48"/>
      <c r="D283" s="54"/>
      <c r="E283" s="9" t="s">
        <v>469</v>
      </c>
      <c r="F283" s="88" t="s">
        <v>528</v>
      </c>
      <c r="G283" s="32">
        <f>G257+G260+G261+G262</f>
        <v>1406000</v>
      </c>
      <c r="H283" s="32">
        <f>H257+H260+H261+H262</f>
        <v>1341000</v>
      </c>
      <c r="I283" s="32">
        <f>I257+I260+I261+I262</f>
        <v>65000</v>
      </c>
      <c r="J283" s="32">
        <f>J257+J260+J261+J262</f>
        <v>65000</v>
      </c>
    </row>
    <row r="284" spans="1:10" ht="153.75" customHeight="1">
      <c r="A284" s="58"/>
      <c r="B284" s="48"/>
      <c r="C284" s="48"/>
      <c r="D284" s="54"/>
      <c r="E284" s="7" t="s">
        <v>397</v>
      </c>
      <c r="F284" s="89" t="s">
        <v>357</v>
      </c>
      <c r="G284" s="32">
        <f>G54+G62</f>
        <v>2137255</v>
      </c>
      <c r="H284" s="32">
        <f>H54+H58+H62</f>
        <v>1337255</v>
      </c>
      <c r="I284" s="32">
        <f>I54+I58+I62</f>
        <v>800000</v>
      </c>
      <c r="J284" s="32">
        <f>J54+J58+J62</f>
        <v>800000</v>
      </c>
    </row>
    <row r="285" spans="1:10" ht="147" customHeight="1">
      <c r="A285" s="58"/>
      <c r="B285" s="48"/>
      <c r="C285" s="48"/>
      <c r="D285" s="54"/>
      <c r="E285" s="7" t="s">
        <v>447</v>
      </c>
      <c r="F285" s="89" t="s">
        <v>414</v>
      </c>
      <c r="G285" s="32">
        <f>G41+G42+G44+G45+G49+G43</f>
        <v>81676596</v>
      </c>
      <c r="H285" s="32">
        <f>H41+H42+H44+H45+H49+H43</f>
        <v>62678696</v>
      </c>
      <c r="I285" s="32">
        <f>I41+I42+I44+I45+I49+I43</f>
        <v>18997900</v>
      </c>
      <c r="J285" s="32">
        <f>J41+J42+J44+J45+J49+J43</f>
        <v>18997900</v>
      </c>
    </row>
    <row r="286" spans="1:10" ht="186.75" customHeight="1">
      <c r="A286" s="58"/>
      <c r="B286" s="48"/>
      <c r="C286" s="48"/>
      <c r="D286" s="54"/>
      <c r="E286" s="7" t="s">
        <v>450</v>
      </c>
      <c r="F286" s="63" t="s">
        <v>460</v>
      </c>
      <c r="G286" s="32">
        <f>G46+G207</f>
        <v>9902000</v>
      </c>
      <c r="H286" s="32">
        <f>H46+H207</f>
        <v>5882000</v>
      </c>
      <c r="I286" s="32">
        <f>I46+I207</f>
        <v>4020000</v>
      </c>
      <c r="J286" s="32">
        <f>J46+J207</f>
        <v>4020000</v>
      </c>
    </row>
    <row r="287" spans="1:10" ht="150.75" customHeight="1">
      <c r="A287" s="58"/>
      <c r="B287" s="48"/>
      <c r="C287" s="48"/>
      <c r="D287" s="54"/>
      <c r="E287" s="7" t="s">
        <v>438</v>
      </c>
      <c r="F287" s="89" t="s">
        <v>346</v>
      </c>
      <c r="G287" s="32">
        <f>G29+G68+G71+G142+G143+G144+G145+G146+G147+G148+G149+G151+G153+G154+G156+G159+G94</f>
        <v>80046662.55</v>
      </c>
      <c r="H287" s="32">
        <f>H29+H68+H71+H142+H143+H144+H145+H146+H147+H148+H149+H151+H153+H154+H156+H159+H94</f>
        <v>79989662.55</v>
      </c>
      <c r="I287" s="32">
        <f>I29+I68+I71+I142+I143+I144+I145+I146+I147+I148+I149+I151+I153+I154+I156+I159+I94</f>
        <v>57000</v>
      </c>
      <c r="J287" s="32">
        <f>J29+J68+J71+J142+J143+J144+J145+J146+J147+J148+J149+J151+J153+J154+J156+J159+J94</f>
        <v>57000</v>
      </c>
    </row>
    <row r="288" spans="1:10" ht="148.5" customHeight="1">
      <c r="A288" s="58"/>
      <c r="B288" s="48"/>
      <c r="C288" s="48"/>
      <c r="D288" s="54"/>
      <c r="E288" s="7" t="s">
        <v>453</v>
      </c>
      <c r="F288" s="89" t="s">
        <v>366</v>
      </c>
      <c r="G288" s="33">
        <f>G21</f>
        <v>100000</v>
      </c>
      <c r="H288" s="33">
        <f>H21</f>
        <v>100000</v>
      </c>
      <c r="I288" s="33">
        <f>I21</f>
        <v>0</v>
      </c>
      <c r="J288" s="33">
        <f>J21</f>
        <v>0</v>
      </c>
    </row>
    <row r="289" spans="1:10" ht="143.25" customHeight="1">
      <c r="A289" s="58"/>
      <c r="B289" s="48"/>
      <c r="C289" s="48"/>
      <c r="D289" s="54"/>
      <c r="E289" s="7" t="s">
        <v>458</v>
      </c>
      <c r="F289" s="63" t="s">
        <v>355</v>
      </c>
      <c r="G289" s="33">
        <f>G167+G168+G169+G170+G171</f>
        <v>3167687</v>
      </c>
      <c r="H289" s="33">
        <f>H167+H168+H169+H170+H171</f>
        <v>2370187</v>
      </c>
      <c r="I289" s="33">
        <f>I167+I168+I169+I170+I171</f>
        <v>797500</v>
      </c>
      <c r="J289" s="33">
        <f>J167+J168+J169+J170+J171</f>
        <v>797500</v>
      </c>
    </row>
    <row r="290" spans="1:10" ht="141.75" customHeight="1">
      <c r="A290" s="58"/>
      <c r="B290" s="48"/>
      <c r="C290" s="48"/>
      <c r="D290" s="54"/>
      <c r="E290" s="7" t="s">
        <v>466</v>
      </c>
      <c r="F290" s="89" t="s">
        <v>428</v>
      </c>
      <c r="G290" s="32">
        <f>G25+G28</f>
        <v>1688812</v>
      </c>
      <c r="H290" s="32">
        <f>H25+H28</f>
        <v>1688812</v>
      </c>
      <c r="I290" s="32">
        <f>I25+I28</f>
        <v>0</v>
      </c>
      <c r="J290" s="32">
        <f>J25+J28</f>
        <v>0</v>
      </c>
    </row>
    <row r="291" spans="1:10" s="37" customFormat="1" ht="147.75" customHeight="1">
      <c r="A291" s="58"/>
      <c r="B291" s="49"/>
      <c r="C291" s="48"/>
      <c r="D291" s="55"/>
      <c r="E291" s="7" t="s">
        <v>467</v>
      </c>
      <c r="F291" s="89" t="s">
        <v>468</v>
      </c>
      <c r="G291" s="32">
        <f>G96+G162+G163+G164+G226+G188</f>
        <v>6413729</v>
      </c>
      <c r="H291" s="32">
        <f>H96+H162+H163+H164+H226+H188</f>
        <v>243910</v>
      </c>
      <c r="I291" s="32">
        <f>I96+I162+I163+I164+I226+I188</f>
        <v>6169819</v>
      </c>
      <c r="J291" s="32">
        <f>J96+J162+J163+J164+J226+J188</f>
        <v>6169829</v>
      </c>
    </row>
    <row r="292" spans="1:10" ht="248.25" customHeight="1">
      <c r="A292" s="58"/>
      <c r="B292" s="48"/>
      <c r="C292" s="48"/>
      <c r="D292" s="54"/>
      <c r="E292" s="7" t="s">
        <v>457</v>
      </c>
      <c r="F292" s="89" t="s">
        <v>387</v>
      </c>
      <c r="G292" s="32">
        <f>G53+G213</f>
        <v>2404036.64</v>
      </c>
      <c r="H292" s="32">
        <f>H53+H213</f>
        <v>1005771.98</v>
      </c>
      <c r="I292" s="32">
        <f>I53+I213</f>
        <v>1398264.66</v>
      </c>
      <c r="J292" s="32">
        <f>J53+J213</f>
        <v>1398264.66</v>
      </c>
    </row>
    <row r="293" spans="1:10" ht="137.25" customHeight="1">
      <c r="A293" s="58"/>
      <c r="B293" s="48"/>
      <c r="C293" s="48"/>
      <c r="D293" s="54"/>
      <c r="E293" s="7" t="s">
        <v>413</v>
      </c>
      <c r="F293" s="89" t="s">
        <v>354</v>
      </c>
      <c r="G293" s="32">
        <f>G23+G26+G27+G31+G93</f>
        <v>3765646</v>
      </c>
      <c r="H293" s="32">
        <f>H23+H26+H27+H31+H93</f>
        <v>3765646</v>
      </c>
      <c r="I293" s="32">
        <f>I23+I26+I27+I31+I93</f>
        <v>0</v>
      </c>
      <c r="J293" s="32">
        <f>J23+J26+J27+J31+J93</f>
        <v>0</v>
      </c>
    </row>
    <row r="294" spans="1:10" ht="238.5" customHeight="1">
      <c r="A294" s="58"/>
      <c r="B294" s="48"/>
      <c r="C294" s="48"/>
      <c r="D294" s="54"/>
      <c r="E294" s="7" t="s">
        <v>452</v>
      </c>
      <c r="F294" s="89" t="s">
        <v>396</v>
      </c>
      <c r="G294" s="32">
        <f>G20</f>
        <v>296000</v>
      </c>
      <c r="H294" s="32">
        <f>H20</f>
        <v>296000</v>
      </c>
      <c r="I294" s="32">
        <f>I20</f>
        <v>0</v>
      </c>
      <c r="J294" s="32">
        <f>J20</f>
        <v>0</v>
      </c>
    </row>
    <row r="295" spans="1:10" ht="186" customHeight="1">
      <c r="A295" s="58"/>
      <c r="B295" s="48"/>
      <c r="C295" s="48"/>
      <c r="D295" s="54"/>
      <c r="E295" s="9" t="s">
        <v>462</v>
      </c>
      <c r="F295" s="63" t="s">
        <v>582</v>
      </c>
      <c r="G295" s="32">
        <f>G50+G61+G110+G155+G190+G225+G228+G229+G230+G231+G232+G234+G235+G237+G238+G240+G241+G243+G245+G258+G269+G270+G272+G273+G274+G275+G276+G57+G233+G60+G205+G116</f>
        <v>96175854.36999999</v>
      </c>
      <c r="H295" s="32">
        <f>H50+H61+H110+H155+H190+H225+H228+H229+H230+H231+H232+H234+H235+H237+H238+H240+H241+H243+H245+H258+H269+H270+H272+H273+H274+H275+H276+H57+H233+H60+H205+H116</f>
        <v>3228047.97</v>
      </c>
      <c r="I295" s="32">
        <f>I50+I61+I110+I155+I190+I225+I228+I229+I230+I231+I232+I234+I235+I237+I238+I240+I241+I243+I245+I258+I269+I270+I272+I273+I274+I275+I276+I57+I233+I60+I205+I116</f>
        <v>92947806.4</v>
      </c>
      <c r="J295" s="32">
        <f>J50+J61+J110+J155+J190+J225+J228+J229+J230+J231+J232+J234+J235+J237+J238+J240+J241+J243+J245+J258+J269+J270+J272+J273+J274+J275+J276+J57+J233+J60+J205+J116</f>
        <v>75847806.4</v>
      </c>
    </row>
    <row r="296" spans="1:10" ht="132.75" customHeight="1" hidden="1">
      <c r="A296" s="58"/>
      <c r="B296" s="48"/>
      <c r="C296" s="48"/>
      <c r="D296" s="54"/>
      <c r="E296" s="7" t="s">
        <v>459</v>
      </c>
      <c r="F296" s="63" t="s">
        <v>415</v>
      </c>
      <c r="G296" s="32">
        <f>G177</f>
        <v>0</v>
      </c>
      <c r="H296" s="32">
        <f>H177</f>
        <v>0</v>
      </c>
      <c r="I296" s="32">
        <f>I177</f>
        <v>0</v>
      </c>
      <c r="J296" s="32">
        <f>J177</f>
        <v>0</v>
      </c>
    </row>
    <row r="297" spans="1:10" ht="333" customHeight="1">
      <c r="A297" s="58"/>
      <c r="B297" s="48"/>
      <c r="C297" s="48"/>
      <c r="D297" s="54"/>
      <c r="E297" s="9" t="s">
        <v>446</v>
      </c>
      <c r="F297" s="69" t="s">
        <v>581</v>
      </c>
      <c r="G297" s="32">
        <f>G227+G247+G248</f>
        <v>2057040.0099999998</v>
      </c>
      <c r="H297" s="32">
        <f>H227+H247+H248</f>
        <v>1500000</v>
      </c>
      <c r="I297" s="32">
        <f>I227+I247+I248</f>
        <v>557040.0099999998</v>
      </c>
      <c r="J297" s="32">
        <f>J227+J247+J248</f>
        <v>0</v>
      </c>
    </row>
    <row r="298" spans="1:10" ht="264" customHeight="1">
      <c r="A298" s="58"/>
      <c r="B298" s="48"/>
      <c r="C298" s="48"/>
      <c r="D298" s="54"/>
      <c r="E298" s="7" t="s">
        <v>432</v>
      </c>
      <c r="F298" s="63" t="s">
        <v>416</v>
      </c>
      <c r="G298" s="32">
        <f>G191</f>
        <v>614964</v>
      </c>
      <c r="H298" s="32">
        <f>H191</f>
        <v>614964</v>
      </c>
      <c r="I298" s="32">
        <f>I191</f>
        <v>0</v>
      </c>
      <c r="J298" s="32">
        <f>J191</f>
        <v>0</v>
      </c>
    </row>
    <row r="299" spans="1:10" ht="141.75" customHeight="1">
      <c r="A299" s="58"/>
      <c r="B299" s="48"/>
      <c r="C299" s="48"/>
      <c r="D299" s="54"/>
      <c r="E299" s="9" t="s">
        <v>448</v>
      </c>
      <c r="F299" s="63" t="s">
        <v>345</v>
      </c>
      <c r="G299" s="32">
        <f>G55+G106+G135+G173+G180+G186+G193+G195+G198+G201+G210+G215+G236+G271+G239</f>
        <v>77620703.07</v>
      </c>
      <c r="H299" s="32">
        <f>H55+H106+H135+H173+H180+H186+H193+H195+H198+H201+H210+H215+H236+H271+H239</f>
        <v>0</v>
      </c>
      <c r="I299" s="32">
        <f>I55+I106+I135+I173+I180+I186+I193+I195+I198+I201+I210+I215+I236+I271+I239</f>
        <v>77620703.07</v>
      </c>
      <c r="J299" s="32">
        <f>J55+J106+J135+J173+J180+J186+J193+J195+J198+J201+J210+J215+J236+J271+J239</f>
        <v>73294103.07</v>
      </c>
    </row>
    <row r="300" spans="1:10" ht="151.5" customHeight="1">
      <c r="A300" s="58"/>
      <c r="B300" s="48"/>
      <c r="C300" s="48"/>
      <c r="D300" s="54"/>
      <c r="E300" s="7" t="str">
        <f>E157</f>
        <v>Програма Сумської міської територіальної громади «Соціальна підтримка захисників України та членів їх сімей» на 2020-2022 роки»</v>
      </c>
      <c r="F300" s="89" t="s">
        <v>404</v>
      </c>
      <c r="G300" s="32">
        <f>G30+G69+G111+G119+G121+G127+G150+G152+G157+G160+G72+G95</f>
        <v>38403607</v>
      </c>
      <c r="H300" s="32">
        <f>H30+H69+H111+H119+H121+H127+H150+H152+H157+H160+H72+H95</f>
        <v>38403607</v>
      </c>
      <c r="I300" s="32">
        <f>I30+I69+I111+I119+I121+I127+I150+I152+I157+I160+I72+I95</f>
        <v>0</v>
      </c>
      <c r="J300" s="32">
        <f>J30+J69+J111+J119+J121+J127+J150+J152+J157+J160+J72+J95</f>
        <v>0</v>
      </c>
    </row>
    <row r="301" spans="1:10" ht="142.5" customHeight="1">
      <c r="A301" s="58"/>
      <c r="B301" s="48"/>
      <c r="C301" s="48"/>
      <c r="D301" s="54"/>
      <c r="E301" s="7" t="s">
        <v>437</v>
      </c>
      <c r="F301" s="63" t="s">
        <v>463</v>
      </c>
      <c r="G301" s="32">
        <f>G48+G51+G102+G104+G133+G134+G172+G244+G268+G105+G99+G131+G130</f>
        <v>151276927.12</v>
      </c>
      <c r="H301" s="32">
        <f>H48+H51+H102+H104+H133+H134+H172+H244+H268+H105+H99+H131+H130</f>
        <v>1715076.55</v>
      </c>
      <c r="I301" s="32">
        <f>I48+I51+I102+I104+I133+I134+I172+I244+I268+I105+I99+I131+I130</f>
        <v>149561850.57</v>
      </c>
      <c r="J301" s="32">
        <f>J48+J51+J102+J104+J133+J134+J172+J244+J268+J105+J99+J131+J130</f>
        <v>137457916.57</v>
      </c>
    </row>
    <row r="302" spans="1:10" ht="232.5" customHeight="1">
      <c r="A302" s="58"/>
      <c r="B302" s="48"/>
      <c r="C302" s="48"/>
      <c r="D302" s="54"/>
      <c r="E302" s="7" t="s">
        <v>464</v>
      </c>
      <c r="F302" s="63" t="s">
        <v>504</v>
      </c>
      <c r="G302" s="32">
        <f>G252+G254</f>
        <v>4633209.3</v>
      </c>
      <c r="H302" s="32">
        <f>H252+H254</f>
        <v>2260266</v>
      </c>
      <c r="I302" s="32">
        <f>I252+I254</f>
        <v>2372943.3</v>
      </c>
      <c r="J302" s="32">
        <f>J252+J254</f>
        <v>0</v>
      </c>
    </row>
    <row r="303" spans="1:10" ht="142.5" customHeight="1">
      <c r="A303" s="58"/>
      <c r="B303" s="48"/>
      <c r="C303" s="48"/>
      <c r="D303" s="54"/>
      <c r="E303" s="7" t="s">
        <v>455</v>
      </c>
      <c r="F303" s="89" t="s">
        <v>356</v>
      </c>
      <c r="G303" s="32">
        <f>G34+G35+G36+G37+G38+G39+G40+G97</f>
        <v>75249917</v>
      </c>
      <c r="H303" s="32">
        <f>H34+H35+H36+H37+H38+H39+H40+H97</f>
        <v>65523439</v>
      </c>
      <c r="I303" s="32">
        <f>I34+I35+I36+I37+I38+I39+I40+I97</f>
        <v>9726478</v>
      </c>
      <c r="J303" s="32">
        <f>J34+J35+J36+J37+J38+J39+J40+J97</f>
        <v>9513484</v>
      </c>
    </row>
    <row r="304" spans="1:10" ht="152.25" customHeight="1">
      <c r="A304" s="58"/>
      <c r="B304" s="48"/>
      <c r="C304" s="48"/>
      <c r="D304" s="54"/>
      <c r="E304" s="9" t="s">
        <v>395</v>
      </c>
      <c r="F304" s="63" t="s">
        <v>578</v>
      </c>
      <c r="G304" s="32">
        <f>G181+G211</f>
        <v>33059530</v>
      </c>
      <c r="H304" s="32">
        <f>H181+H211</f>
        <v>71280</v>
      </c>
      <c r="I304" s="32">
        <f>I181+I211</f>
        <v>32988250</v>
      </c>
      <c r="J304" s="32">
        <f>J181+J211</f>
        <v>32245150</v>
      </c>
    </row>
    <row r="305" spans="1:10" ht="148.5" customHeight="1">
      <c r="A305" s="58"/>
      <c r="B305" s="48"/>
      <c r="C305" s="48"/>
      <c r="D305" s="54"/>
      <c r="E305" s="7" t="s">
        <v>456</v>
      </c>
      <c r="F305" s="63" t="s">
        <v>577</v>
      </c>
      <c r="G305" s="32">
        <f>G47+G259+G263</f>
        <v>372000</v>
      </c>
      <c r="H305" s="32">
        <f>H47+H259+H263</f>
        <v>372000</v>
      </c>
      <c r="I305" s="32">
        <f>I47+I259+I263</f>
        <v>0</v>
      </c>
      <c r="J305" s="32">
        <f>J47+J259+J263</f>
        <v>0</v>
      </c>
    </row>
    <row r="306" ht="38.25" customHeight="1" hidden="1"/>
    <row r="307" ht="38.25" customHeight="1" hidden="1"/>
    <row r="308" ht="38.25" customHeight="1" hidden="1"/>
    <row r="309" spans="1:10" s="35" customFormat="1" ht="43.5" customHeight="1" hidden="1">
      <c r="A309" s="50"/>
      <c r="B309" s="50"/>
      <c r="C309" s="50"/>
      <c r="D309" s="56"/>
      <c r="E309" s="34"/>
      <c r="F309" s="97"/>
      <c r="G309" s="36" t="e">
        <f>G277-#REF!</f>
        <v>#REF!</v>
      </c>
      <c r="H309" s="36" t="e">
        <f>H277-#REF!</f>
        <v>#REF!</v>
      </c>
      <c r="I309" s="36" t="e">
        <f>I277-#REF!</f>
        <v>#REF!</v>
      </c>
      <c r="J309" s="36" t="e">
        <f>J277-#REF!</f>
        <v>#REF!</v>
      </c>
    </row>
    <row r="310" ht="38.25" customHeight="1" hidden="1"/>
    <row r="311" spans="1:10" ht="377.25" customHeight="1">
      <c r="A311" s="48"/>
      <c r="B311" s="48"/>
      <c r="C311" s="48"/>
      <c r="D311" s="54"/>
      <c r="E311" s="63" t="s">
        <v>530</v>
      </c>
      <c r="F311" s="63" t="s">
        <v>593</v>
      </c>
      <c r="G311" s="32">
        <f>G63</f>
        <v>610000</v>
      </c>
      <c r="H311" s="32">
        <f>H63</f>
        <v>610000</v>
      </c>
      <c r="I311" s="32">
        <f>I63</f>
        <v>0</v>
      </c>
      <c r="J311" s="32">
        <f>J63</f>
        <v>0</v>
      </c>
    </row>
    <row r="312" spans="1:10" s="3" customFormat="1" ht="158.25" customHeight="1">
      <c r="A312" s="48"/>
      <c r="B312" s="48"/>
      <c r="C312" s="48"/>
      <c r="D312" s="54"/>
      <c r="E312" s="9" t="s">
        <v>442</v>
      </c>
      <c r="F312" s="89" t="s">
        <v>441</v>
      </c>
      <c r="G312" s="23">
        <f>G158</f>
        <v>300000</v>
      </c>
      <c r="H312" s="23">
        <f>H158</f>
        <v>300000</v>
      </c>
      <c r="I312" s="23">
        <f>I158</f>
        <v>0</v>
      </c>
      <c r="J312" s="23">
        <f>J158</f>
        <v>0</v>
      </c>
    </row>
    <row r="313" spans="1:10" s="3" customFormat="1" ht="237" customHeight="1">
      <c r="A313" s="48"/>
      <c r="B313" s="48"/>
      <c r="C313" s="48"/>
      <c r="D313" s="54"/>
      <c r="E313" s="7" t="s">
        <v>507</v>
      </c>
      <c r="F313" s="89" t="s">
        <v>508</v>
      </c>
      <c r="G313" s="32">
        <f>G141</f>
        <v>39500</v>
      </c>
      <c r="H313" s="32">
        <f>H141</f>
        <v>39500</v>
      </c>
      <c r="I313" s="32">
        <f>I141</f>
        <v>0</v>
      </c>
      <c r="J313" s="32">
        <f>J141</f>
        <v>0</v>
      </c>
    </row>
    <row r="314" spans="1:10" s="3" customFormat="1" ht="228" customHeight="1">
      <c r="A314" s="48"/>
      <c r="B314" s="48"/>
      <c r="C314" s="48"/>
      <c r="D314" s="54"/>
      <c r="E314" s="7" t="s">
        <v>579</v>
      </c>
      <c r="F314" s="63" t="s">
        <v>580</v>
      </c>
      <c r="G314" s="32">
        <f>G187</f>
        <v>50000</v>
      </c>
      <c r="H314" s="32">
        <f>H187</f>
        <v>50000</v>
      </c>
      <c r="I314" s="32">
        <f>I187</f>
        <v>0</v>
      </c>
      <c r="J314" s="32">
        <f>J187</f>
        <v>0</v>
      </c>
    </row>
    <row r="315" spans="1:10" ht="160.5" customHeight="1">
      <c r="A315" s="51"/>
      <c r="B315" s="51"/>
      <c r="C315" s="51"/>
      <c r="D315" s="57"/>
      <c r="E315" s="41"/>
      <c r="F315" s="98"/>
      <c r="G315" s="79"/>
      <c r="H315" s="79"/>
      <c r="I315" s="79"/>
      <c r="J315" s="79"/>
    </row>
    <row r="316" spans="1:10" ht="60" customHeight="1">
      <c r="A316" s="51"/>
      <c r="B316" s="51"/>
      <c r="C316" s="51"/>
      <c r="D316" s="57"/>
      <c r="E316" s="41"/>
      <c r="F316" s="98"/>
      <c r="G316" s="42"/>
      <c r="H316" s="42"/>
      <c r="I316" s="42"/>
      <c r="J316" s="42"/>
    </row>
    <row r="317" spans="1:10" ht="60" customHeight="1">
      <c r="A317" s="51"/>
      <c r="B317" s="51"/>
      <c r="C317" s="51"/>
      <c r="D317" s="57"/>
      <c r="E317" s="41"/>
      <c r="F317" s="98"/>
      <c r="G317" s="42"/>
      <c r="H317" s="42"/>
      <c r="I317" s="42"/>
      <c r="J317" s="42"/>
    </row>
    <row r="318" spans="1:10" s="87" customFormat="1" ht="133.5" customHeight="1">
      <c r="A318" s="139" t="s">
        <v>571</v>
      </c>
      <c r="B318" s="139"/>
      <c r="C318" s="139"/>
      <c r="D318" s="139"/>
      <c r="E318" s="139"/>
      <c r="F318" s="99"/>
      <c r="G318" s="108"/>
      <c r="H318" s="129" t="s">
        <v>583</v>
      </c>
      <c r="I318" s="129"/>
      <c r="J318" s="129"/>
    </row>
    <row r="319" spans="1:10" s="78" customFormat="1" ht="97.5" customHeight="1">
      <c r="A319" s="83" t="s">
        <v>587</v>
      </c>
      <c r="B319" s="84"/>
      <c r="C319" s="84"/>
      <c r="D319" s="85"/>
      <c r="E319" s="83"/>
      <c r="F319" s="100"/>
      <c r="G319" s="83"/>
      <c r="H319" s="86"/>
      <c r="I319" s="86"/>
      <c r="J319" s="86"/>
    </row>
    <row r="320" spans="1:10" ht="102.75" customHeight="1">
      <c r="A320" s="153"/>
      <c r="B320" s="153"/>
      <c r="G320" s="42"/>
      <c r="H320" s="42"/>
      <c r="I320" s="42"/>
      <c r="J320" s="42"/>
    </row>
    <row r="321" spans="7:10" ht="84.75" customHeight="1">
      <c r="G321" s="42"/>
      <c r="H321" s="42"/>
      <c r="I321" s="42"/>
      <c r="J321" s="42"/>
    </row>
  </sheetData>
  <sheetProtection/>
  <mergeCells count="162">
    <mergeCell ref="D176:D177"/>
    <mergeCell ref="D194:D196"/>
    <mergeCell ref="B70:B72"/>
    <mergeCell ref="D156:D158"/>
    <mergeCell ref="D159:D160"/>
    <mergeCell ref="C156:C158"/>
    <mergeCell ref="A200:A201"/>
    <mergeCell ref="A194:A196"/>
    <mergeCell ref="C159:C160"/>
    <mergeCell ref="D149:D150"/>
    <mergeCell ref="C192:C193"/>
    <mergeCell ref="B200:B201"/>
    <mergeCell ref="C176:C177"/>
    <mergeCell ref="D192:D193"/>
    <mergeCell ref="C179:C180"/>
    <mergeCell ref="D189:D191"/>
    <mergeCell ref="D179:D180"/>
    <mergeCell ref="A12:J12"/>
    <mergeCell ref="A13:J13"/>
    <mergeCell ref="A159:A160"/>
    <mergeCell ref="A149:A150"/>
    <mergeCell ref="B149:B150"/>
    <mergeCell ref="A209:A210"/>
    <mergeCell ref="D200:D201"/>
    <mergeCell ref="C209:C210"/>
    <mergeCell ref="D209:D210"/>
    <mergeCell ref="B230:B231"/>
    <mergeCell ref="A204:A205"/>
    <mergeCell ref="B204:B205"/>
    <mergeCell ref="C204:C205"/>
    <mergeCell ref="D204:D205"/>
    <mergeCell ref="B277:E277"/>
    <mergeCell ref="B209:B210"/>
    <mergeCell ref="C230:C231"/>
    <mergeCell ref="A235:A236"/>
    <mergeCell ref="B235:B236"/>
    <mergeCell ref="C235:C236"/>
    <mergeCell ref="A238:A239"/>
    <mergeCell ref="B238:B239"/>
    <mergeCell ref="D238:D239"/>
    <mergeCell ref="C238:C239"/>
    <mergeCell ref="A151:A152"/>
    <mergeCell ref="B151:B152"/>
    <mergeCell ref="B120:B121"/>
    <mergeCell ref="B126:B127"/>
    <mergeCell ref="B179:B180"/>
    <mergeCell ref="B129:B130"/>
    <mergeCell ref="A129:A130"/>
    <mergeCell ref="B156:B158"/>
    <mergeCell ref="B67:B69"/>
    <mergeCell ref="A192:A193"/>
    <mergeCell ref="A115:A116"/>
    <mergeCell ref="A176:A177"/>
    <mergeCell ref="B159:B160"/>
    <mergeCell ref="B176:B177"/>
    <mergeCell ref="A189:A191"/>
    <mergeCell ref="A179:A180"/>
    <mergeCell ref="A118:A119"/>
    <mergeCell ref="B192:B193"/>
    <mergeCell ref="C29:C30"/>
    <mergeCell ref="D67:D69"/>
    <mergeCell ref="D23:D24"/>
    <mergeCell ref="A70:A72"/>
    <mergeCell ref="A50:A51"/>
    <mergeCell ref="A58:A60"/>
    <mergeCell ref="C50:C51"/>
    <mergeCell ref="C58:C60"/>
    <mergeCell ref="A61:A64"/>
    <mergeCell ref="B50:B51"/>
    <mergeCell ref="B23:B24"/>
    <mergeCell ref="C61:C64"/>
    <mergeCell ref="C93:C95"/>
    <mergeCell ref="C67:C69"/>
    <mergeCell ref="D70:D72"/>
    <mergeCell ref="B20:B21"/>
    <mergeCell ref="D58:D60"/>
    <mergeCell ref="C20:C21"/>
    <mergeCell ref="C23:C24"/>
    <mergeCell ref="C70:C72"/>
    <mergeCell ref="D99:D102"/>
    <mergeCell ref="B93:B95"/>
    <mergeCell ref="B115:B116"/>
    <mergeCell ref="B118:B119"/>
    <mergeCell ref="A109:A110"/>
    <mergeCell ref="D109:D110"/>
    <mergeCell ref="C115:C116"/>
    <mergeCell ref="B99:B102"/>
    <mergeCell ref="B109:B110"/>
    <mergeCell ref="C109:C110"/>
    <mergeCell ref="C149:C150"/>
    <mergeCell ref="D131:D132"/>
    <mergeCell ref="C118:C119"/>
    <mergeCell ref="A120:A121"/>
    <mergeCell ref="D129:D130"/>
    <mergeCell ref="B131:B132"/>
    <mergeCell ref="A131:A132"/>
    <mergeCell ref="D118:D119"/>
    <mergeCell ref="C131:C132"/>
    <mergeCell ref="C129:C130"/>
    <mergeCell ref="A20:A21"/>
    <mergeCell ref="D20:D21"/>
    <mergeCell ref="D50:D51"/>
    <mergeCell ref="C151:C152"/>
    <mergeCell ref="D93:D95"/>
    <mergeCell ref="D115:D116"/>
    <mergeCell ref="C99:C102"/>
    <mergeCell ref="B58:B60"/>
    <mergeCell ref="A67:A69"/>
    <mergeCell ref="D29:D30"/>
    <mergeCell ref="A320:B320"/>
    <mergeCell ref="A156:A158"/>
    <mergeCell ref="E15:E16"/>
    <mergeCell ref="B29:B30"/>
    <mergeCell ref="C15:C16"/>
    <mergeCell ref="A99:A102"/>
    <mergeCell ref="A93:A95"/>
    <mergeCell ref="B15:B16"/>
    <mergeCell ref="A15:A16"/>
    <mergeCell ref="A23:A24"/>
    <mergeCell ref="B61:B64"/>
    <mergeCell ref="A29:A30"/>
    <mergeCell ref="D61:D64"/>
    <mergeCell ref="A185:A187"/>
    <mergeCell ref="D151:D152"/>
    <mergeCell ref="D126:D127"/>
    <mergeCell ref="D120:D121"/>
    <mergeCell ref="C126:C127"/>
    <mergeCell ref="A126:A127"/>
    <mergeCell ref="C120:C121"/>
    <mergeCell ref="G1:J1"/>
    <mergeCell ref="A11:J11"/>
    <mergeCell ref="I15:J15"/>
    <mergeCell ref="G15:G16"/>
    <mergeCell ref="F15:F16"/>
    <mergeCell ref="D15:D16"/>
    <mergeCell ref="H15:H16"/>
    <mergeCell ref="H318:J318"/>
    <mergeCell ref="D185:D187"/>
    <mergeCell ref="B185:B187"/>
    <mergeCell ref="C200:C201"/>
    <mergeCell ref="B194:B196"/>
    <mergeCell ref="C194:C196"/>
    <mergeCell ref="B189:B191"/>
    <mergeCell ref="C189:C191"/>
    <mergeCell ref="C185:C187"/>
    <mergeCell ref="A318:E318"/>
    <mergeCell ref="I266:I267"/>
    <mergeCell ref="J266:J267"/>
    <mergeCell ref="D266:D267"/>
    <mergeCell ref="C266:C267"/>
    <mergeCell ref="B266:B267"/>
    <mergeCell ref="A266:A267"/>
    <mergeCell ref="E266:E267"/>
    <mergeCell ref="F266:F267"/>
    <mergeCell ref="A211:A212"/>
    <mergeCell ref="B211:B212"/>
    <mergeCell ref="C211:C212"/>
    <mergeCell ref="D211:D212"/>
    <mergeCell ref="G266:G267"/>
    <mergeCell ref="H266:H267"/>
    <mergeCell ref="A230:A231"/>
    <mergeCell ref="D253:D254"/>
  </mergeCells>
  <printOptions horizontalCentered="1"/>
  <pageMargins left="0" right="0" top="0.7086614173228347" bottom="0.5905511811023623" header="0.5905511811023623" footer="0.31496062992125984"/>
  <pageSetup firstPageNumber="1" useFirstPageNumber="1" fitToHeight="100" fitToWidth="1" horizontalDpi="600" verticalDpi="600" orientation="landscape" paperSize="9" scale="20" r:id="rId1"/>
  <headerFooter scaleWithDoc="0" alignWithMargins="0">
    <oddHeader>&amp;R
</oddHeader>
    <oddFooter>&amp;R&amp;9Сторінка &amp;P</oddFooter>
  </headerFooter>
  <rowBreaks count="2" manualBreakCount="2">
    <brk id="210" max="9" man="1"/>
    <brk id="2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Вольченко Марина Павлівна</cp:lastModifiedBy>
  <cp:lastPrinted>2021-12-28T13:31:42Z</cp:lastPrinted>
  <dcterms:created xsi:type="dcterms:W3CDTF">2014-01-17T10:52:16Z</dcterms:created>
  <dcterms:modified xsi:type="dcterms:W3CDTF">2021-12-28T13:39:00Z</dcterms:modified>
  <cp:category/>
  <cp:version/>
  <cp:contentType/>
  <cp:contentStatus/>
</cp:coreProperties>
</file>