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firstSheet="1" activeTab="20"/>
  </bookViews>
  <sheets>
    <sheet name="дод. зміни 2020 1" sheetId="1" state="hidden" r:id="rId1"/>
    <sheet name="дод 2" sheetId="2" r:id="rId2"/>
    <sheet name="дод 3  Трансп.інфрастр. " sheetId="3" state="hidden" r:id="rId3"/>
    <sheet name="дод 4 Свет " sheetId="4" state="hidden" r:id="rId4"/>
    <sheet name="дод 5 озеленення  (2)" sheetId="5" state="hidden" r:id="rId5"/>
    <sheet name="дод 8 Пот Благуострій" sheetId="6" state="hidden" r:id="rId6"/>
    <sheet name="дод 9  Тварини" sheetId="7" state="hidden" r:id="rId7"/>
    <sheet name="дод 10  Кап Благоустрою інші" sheetId="8" state="hidden" r:id="rId8"/>
    <sheet name="дод 11   кап ремонт житло. " sheetId="9" state="hidden" r:id="rId9"/>
    <sheet name="дод 12 Святкові   " sheetId="10" state="hidden" r:id="rId10"/>
    <sheet name="дод 13 інша діяльність 6090" sheetId="11" state="hidden" r:id="rId11"/>
    <sheet name="дод 6  Кладовища  (2)" sheetId="12" state="hidden" r:id="rId12"/>
    <sheet name="дод 7  сан очистка (2)" sheetId="13" state="hidden" r:id="rId13"/>
    <sheet name="дод 14   Вода  " sheetId="14" state="hidden" r:id="rId14"/>
    <sheet name="дод 15  финпидтримка  " sheetId="15" state="hidden" r:id="rId15"/>
    <sheet name="дод 16  цільовий фонд " sheetId="16" state="hidden" r:id="rId16"/>
    <sheet name="дод 17  Енргозбер. заходи" sheetId="17" state="hidden" r:id="rId17"/>
    <sheet name="дод 18 статут зміцн.мат.тех." sheetId="18" state="hidden" r:id="rId18"/>
    <sheet name="дод 19  Субв. Сироватк (Крас " sheetId="19" state="hidden" r:id="rId19"/>
    <sheet name="дод 20  паспорт дом  " sheetId="20" state="hidden" r:id="rId20"/>
    <sheet name="дод.21 Буд.реставр. та реконстр" sheetId="21" r:id="rId21"/>
    <sheet name="дод 22 Поверн  бюдж позичок" sheetId="22" state="hidden" r:id="rId22"/>
    <sheet name="дод 25  Заборг в тариф " sheetId="23" state="hidden" r:id="rId23"/>
    <sheet name="дод 27 кап+пот ремонт пошкжитло" sheetId="24" state="hidden" r:id="rId24"/>
  </sheets>
  <definedNames>
    <definedName name="_xlnm.Print_Area" localSheetId="9">'дод 12 Святкові   '!$A$1:$K$61</definedName>
    <definedName name="_xlnm.Print_Area" localSheetId="10">'дод 13 інша діяльність 6090'!$A$1:$K$81</definedName>
    <definedName name="_xlnm.Print_Area" localSheetId="13">'дод 14   Вода  '!$A$1:$K$33</definedName>
    <definedName name="_xlnm.Print_Area" localSheetId="14">'дод 15  финпидтримка  '!$A$1:$K$41</definedName>
    <definedName name="_xlnm.Print_Area" localSheetId="15">'дод 16  цільовий фонд '!$A$1:$K$26</definedName>
    <definedName name="_xlnm.Print_Area" localSheetId="16">'дод 17  Енргозбер. заходи'!$A$1:$M$27</definedName>
    <definedName name="_xlnm.Print_Area" localSheetId="17">'дод 18 статут зміцн.мат.тех.'!$A$1:$J$156</definedName>
    <definedName name="_xlnm.Print_Area" localSheetId="1">'дод 2'!$A$1:$U$45</definedName>
    <definedName name="_xlnm.Print_Area" localSheetId="22">'дод 25  Заборг в тариф '!$A$1:$H$27</definedName>
    <definedName name="_xlnm.Print_Area" localSheetId="2">'дод 3  Трансп.інфрастр. '!$A$1:$H$56</definedName>
    <definedName name="_xlnm.Print_Area" localSheetId="4">'дод 5 озеленення  (2)'!$A$1:$K$91</definedName>
    <definedName name="_xlnm.Print_Area" localSheetId="11">'дод 6  Кладовища  (2)'!$A$1:$O$42</definedName>
    <definedName name="_xlnm.Print_Area" localSheetId="20">'дод.21 Буд.реставр. та реконстр'!$A$1:$S$62</definedName>
  </definedNames>
  <calcPr fullCalcOnLoad="1"/>
</workbook>
</file>

<file path=xl/sharedStrings.xml><?xml version="1.0" encoding="utf-8"?>
<sst xmlns="http://schemas.openxmlformats.org/spreadsheetml/2006/main" count="1868" uniqueCount="631">
  <si>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</si>
  <si>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</si>
  <si>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</si>
  <si>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</si>
  <si>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</si>
  <si>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</si>
  <si>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</si>
  <si>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</si>
  <si>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</si>
  <si>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</si>
  <si>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</si>
  <si>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</si>
  <si>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</si>
  <si>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</si>
  <si>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</si>
  <si>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</si>
  <si>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</si>
  <si>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</si>
  <si>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</si>
  <si>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</si>
  <si>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</si>
  <si>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</si>
  <si>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</si>
  <si>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</si>
  <si>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</si>
  <si>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</si>
  <si>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</si>
  <si>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</si>
  <si>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</si>
  <si>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</si>
  <si>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</si>
  <si>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</si>
  <si>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</si>
  <si>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</si>
  <si>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</si>
  <si>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</si>
  <si>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</si>
  <si>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</si>
  <si>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</si>
  <si>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</si>
  <si>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</si>
  <si>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</si>
  <si>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</si>
  <si>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</si>
  <si>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</si>
  <si>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</si>
  <si>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</si>
  <si>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</si>
  <si>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</si>
  <si>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</si>
  <si>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</si>
  <si>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</si>
  <si>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</si>
  <si>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</si>
  <si>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</si>
  <si>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</si>
  <si>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</si>
  <si>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</si>
  <si>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</si>
  <si>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</si>
  <si>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</si>
  <si>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</si>
  <si>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</si>
  <si>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</si>
  <si>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</si>
  <si>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</si>
  <si>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</si>
  <si>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</si>
  <si>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</si>
  <si>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</si>
  <si>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</si>
  <si>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</si>
  <si>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</si>
  <si>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</si>
  <si>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</si>
  <si>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</si>
  <si>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</si>
  <si>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</si>
  <si>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</si>
  <si>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</si>
  <si>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</si>
  <si>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</si>
  <si>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</si>
  <si>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</si>
  <si>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</si>
  <si>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</si>
  <si>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</si>
  <si>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</si>
  <si>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</si>
  <si>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</si>
  <si>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</si>
  <si>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</si>
  <si>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</si>
  <si>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</si>
  <si>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</si>
  <si>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</si>
  <si>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</si>
  <si>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</si>
  <si>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</si>
  <si>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</si>
  <si>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</si>
  <si>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</si>
  <si>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</si>
  <si>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</si>
  <si>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</si>
  <si>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</si>
  <si>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</si>
  <si>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</si>
  <si>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</si>
  <si>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</si>
  <si>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</si>
  <si>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</si>
  <si>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</si>
  <si>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</si>
  <si>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</si>
  <si>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</si>
  <si>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</si>
  <si>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</si>
  <si>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</si>
  <si>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</si>
  <si>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</si>
  <si>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</si>
  <si>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</si>
  <si>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</si>
  <si>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</si>
  <si>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</si>
  <si>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</si>
  <si>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</si>
  <si>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</si>
  <si>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</si>
  <si>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</si>
  <si>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</si>
  <si>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</si>
  <si>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</si>
  <si>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</si>
  <si>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</si>
  <si>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</si>
  <si>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</si>
  <si>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</si>
  <si>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</si>
  <si>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</si>
  <si>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</si>
  <si>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</si>
  <si>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</si>
  <si>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</si>
  <si>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</si>
  <si>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</si>
  <si>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</si>
  <si>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</si>
  <si>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</si>
  <si>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</si>
  <si>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</si>
  <si>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</si>
  <si>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</si>
  <si>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</si>
  <si>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</si>
  <si>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</si>
  <si>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</si>
  <si>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</si>
  <si>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</si>
  <si>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</si>
  <si>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</si>
  <si>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</si>
  <si>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</si>
  <si>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</si>
  <si>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</si>
  <si>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</si>
  <si>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</si>
  <si>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</si>
  <si>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</si>
  <si>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</si>
  <si>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</si>
  <si>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</si>
  <si>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</si>
  <si>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</si>
  <si>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</si>
  <si>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</si>
  <si>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</si>
  <si>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</si>
  <si>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</si>
  <si>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</si>
  <si>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</si>
  <si>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</si>
  <si>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</si>
  <si>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</si>
  <si>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</si>
  <si>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</si>
  <si>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</si>
  <si>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</si>
  <si>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</si>
  <si>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</si>
  <si>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</si>
  <si>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</si>
  <si>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</si>
  <si>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</si>
  <si>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</si>
  <si>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</si>
  <si>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</si>
  <si>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</si>
  <si>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</si>
  <si>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</si>
  <si>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</si>
  <si>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</si>
  <si>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</si>
  <si>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</si>
  <si>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</si>
  <si>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</si>
  <si>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</si>
  <si>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</si>
  <si>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</si>
  <si>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</si>
  <si>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</si>
  <si>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</si>
  <si>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</si>
  <si>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</si>
  <si>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</si>
  <si>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</si>
  <si>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</si>
  <si>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</si>
  <si>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</si>
  <si>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</si>
  <si>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</si>
  <si>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</si>
  <si>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</si>
  <si>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</si>
  <si>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</si>
  <si>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</si>
  <si>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</si>
  <si>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</si>
  <si>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</si>
  <si>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</si>
  <si>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</si>
  <si>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</si>
  <si>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</si>
  <si>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</si>
  <si>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</si>
  <si>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</si>
  <si>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</si>
  <si>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</si>
  <si>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</si>
  <si>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</si>
  <si>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</si>
  <si>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</si>
  <si>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</si>
  <si>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</si>
  <si>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</si>
  <si>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</si>
  <si>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</si>
  <si>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</si>
  <si>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</si>
  <si>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</si>
  <si>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</si>
  <si>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</si>
  <si>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</si>
  <si>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</si>
  <si>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</si>
  <si>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</si>
  <si>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</si>
  <si>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</si>
  <si>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</si>
  <si>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</si>
  <si>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</si>
  <si>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</si>
  <si>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</si>
  <si>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</si>
  <si>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</si>
  <si>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</si>
  <si>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</si>
  <si>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</si>
  <si>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</si>
  <si>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</si>
  <si>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</si>
  <si>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</si>
  <si>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</si>
  <si>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</si>
  <si>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</si>
  <si>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</si>
  <si>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</si>
  <si>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</si>
  <si>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</si>
  <si>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</si>
  <si>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</si>
  <si>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</si>
  <si>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</si>
  <si>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</si>
  <si>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</si>
  <si>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</si>
  <si>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</si>
  <si>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</si>
  <si>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</si>
  <si>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</si>
  <si>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</si>
  <si>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</si>
  <si>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</si>
  <si>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</si>
  <si>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</si>
  <si>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</si>
  <si>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</si>
  <si>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</si>
  <si>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</si>
  <si>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</si>
  <si>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</si>
  <si>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</si>
  <si>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</si>
  <si>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</si>
  <si>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</si>
  <si>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</si>
  <si>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</si>
  <si>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</si>
  <si>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</si>
  <si>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</si>
  <si>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</si>
  <si>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</si>
  <si>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</si>
  <si>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</si>
  <si>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</si>
  <si>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</si>
  <si>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</si>
  <si>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</si>
  <si>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</si>
  <si>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</si>
  <si>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</si>
  <si>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</si>
  <si>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</si>
  <si>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</si>
  <si>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</si>
  <si>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</si>
  <si>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</si>
  <si>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</si>
  <si>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</si>
  <si>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</si>
  <si>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</si>
  <si>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</si>
  <si>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</si>
  <si>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</si>
  <si>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</si>
  <si>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</si>
  <si>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</si>
  <si>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</si>
  <si>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</si>
  <si>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</si>
  <si>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</si>
  <si>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</si>
  <si>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</si>
  <si>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</si>
  <si>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</si>
  <si>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</si>
  <si>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</si>
  <si>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</si>
  <si>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</si>
  <si>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</si>
  <si>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</si>
  <si>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</si>
  <si>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</si>
  <si>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</si>
  <si>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</si>
  <si>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</si>
  <si>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</si>
  <si>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</si>
  <si>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</si>
  <si>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</si>
  <si>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</si>
  <si>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</si>
  <si>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</si>
  <si>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</si>
  <si>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</si>
  <si>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</si>
  <si>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</si>
  <si>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</si>
  <si>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</si>
  <si>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</si>
  <si>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</si>
  <si>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</si>
  <si>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</si>
  <si>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</si>
  <si>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</si>
  <si>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</si>
  <si>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</si>
  <si>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</si>
  <si>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</si>
  <si>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</si>
  <si>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</si>
  <si>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Поточний ремонт та утримання в належному стані об'єктів благоустрою  на 2022 - 2024 роки</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</si>
  <si>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</si>
  <si>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</si>
  <si>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</si>
  <si>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</si>
  <si>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</si>
  <si>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</si>
  <si>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</si>
  <si>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</si>
  <si>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10</t>
  </si>
  <si>
    <t xml:space="preserve">Виготовлення та встановлення покажчиків назв вулиць </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</si>
  <si>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</si>
  <si>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</si>
  <si>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</si>
  <si>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</si>
  <si>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</si>
  <si>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</si>
  <si>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</si>
  <si>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</si>
  <si>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</si>
  <si>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</si>
  <si>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</si>
  <si>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</si>
  <si>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</si>
  <si>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</si>
  <si>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</si>
  <si>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</si>
  <si>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</si>
  <si>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</si>
  <si>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</si>
  <si>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</si>
  <si>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</si>
  <si>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</si>
  <si>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</si>
  <si>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</si>
  <si>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</si>
  <si>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</si>
  <si>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</si>
  <si>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</si>
  <si>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</si>
  <si>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</si>
  <si>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</si>
  <si>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</si>
  <si>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</si>
  <si>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</si>
  <si>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</si>
  <si>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</si>
  <si>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</si>
  <si>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</si>
  <si>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</si>
  <si>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</si>
  <si>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</si>
  <si>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</si>
  <si>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</si>
  <si>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</si>
  <si>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</si>
  <si>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</si>
  <si>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</si>
  <si>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</si>
  <si>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</si>
  <si>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</si>
  <si>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</si>
  <si>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</si>
  <si>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</si>
  <si>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</si>
  <si>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</si>
  <si>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</si>
  <si>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</si>
  <si>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</si>
  <si>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</si>
  <si>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</si>
  <si>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</si>
  <si>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</si>
  <si>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</si>
  <si>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</si>
  <si>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</si>
  <si>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</si>
  <si>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</si>
  <si>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</si>
  <si>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</si>
  <si>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</si>
  <si>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</si>
  <si>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</si>
  <si>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</si>
  <si>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</si>
  <si>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</si>
  <si>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</si>
  <si>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</si>
  <si>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</si>
  <si>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</si>
  <si>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</si>
  <si>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</si>
  <si>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</si>
  <si>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</si>
  <si>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</si>
  <si>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</si>
  <si>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</si>
  <si>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</si>
  <si>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</si>
  <si>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</si>
  <si>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</si>
  <si>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</si>
  <si>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</si>
  <si>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</si>
  <si>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</si>
  <si>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</si>
  <si>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</si>
  <si>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</si>
  <si>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</si>
  <si>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</si>
  <si>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</si>
  <si>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</si>
  <si>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</si>
  <si>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</si>
  <si>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</si>
  <si>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</si>
  <si>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</si>
  <si>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</si>
  <si>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</si>
  <si>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</si>
  <si>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</si>
  <si>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</si>
  <si>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</si>
  <si>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</si>
  <si>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</si>
  <si>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</si>
  <si>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</si>
  <si>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</si>
  <si>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</si>
  <si>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</si>
  <si>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</si>
  <si>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</si>
  <si>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</si>
  <si>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</si>
  <si>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</si>
  <si>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</si>
  <si>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</si>
  <si>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</si>
  <si>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</si>
  <si>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</si>
  <si>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</si>
  <si>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</si>
  <si>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</si>
  <si>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</si>
  <si>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</si>
  <si>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</si>
  <si>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</si>
  <si>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</si>
  <si>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</si>
  <si>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</si>
  <si>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</si>
  <si>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</si>
  <si>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</si>
  <si>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</si>
  <si>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</si>
  <si>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</si>
  <si>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</si>
  <si>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</si>
  <si>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</si>
  <si>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</si>
  <si>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</si>
  <si>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</si>
  <si>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</si>
  <si>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</si>
  <si>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</si>
  <si>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</si>
  <si>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</si>
  <si>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</si>
  <si>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</si>
  <si>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</si>
  <si>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</si>
  <si>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</si>
  <si>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</si>
  <si>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</si>
  <si>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</si>
  <si>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</si>
  <si>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</si>
  <si>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</si>
  <si>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</si>
  <si>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</si>
  <si>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</si>
  <si>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</si>
  <si>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</si>
  <si>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</si>
  <si>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</si>
  <si>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</si>
  <si>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</si>
  <si>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</si>
  <si>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</si>
  <si>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</si>
  <si>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</si>
  <si>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</si>
  <si>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</si>
  <si>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</si>
  <si>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</si>
  <si>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</si>
  <si>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ЛИСЕНКО</t>
  </si>
  <si>
    <t>від                         №</t>
  </si>
  <si>
    <t>Додаток 15</t>
  </si>
  <si>
    <t>Додаток 4</t>
  </si>
  <si>
    <t>Виконавець: Олександр ЖУРБА</t>
  </si>
  <si>
    <t>до рішення  Сумської міської ради</t>
  </si>
  <si>
    <t>Додаток  6</t>
  </si>
  <si>
    <t>Поповнення статутного капіталу  КП «Чисте місто» СМР (придбання гусеничного бульдозеру)</t>
  </si>
  <si>
    <t xml:space="preserve">на 2022- 2024  роки, затвердженої рішенням Сумської міської ради </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</si>
  <si>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</si>
  <si>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</si>
  <si>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Інші видатки у сфері житлово-комунального господарства</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</si>
  <si>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</si>
  <si>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Департамент забезпечення ресурсних платежів СМР, Управління архітектури та містобудування СМР та інші суб'єкти господарювання</t>
  </si>
  <si>
    <t>Придбання гусеничного бульдозеру</t>
  </si>
  <si>
    <t xml:space="preserve">від 26 січня 2022 року №2718-МР (зі змінами)»   </t>
  </si>
  <si>
    <t>«Про внесення змін до Комплексної цільової програми</t>
  </si>
  <si>
    <t xml:space="preserve"> від 26 січня 2022 року № 2718-МР (зі змінами)» </t>
  </si>
  <si>
    <t>«Про затвердження Комплексної цільової програми</t>
  </si>
  <si>
    <t xml:space="preserve"> від 26 січня 2022 року № 2718-МР (зі змінами)»   </t>
  </si>
  <si>
    <t xml:space="preserve">2024 роки, затвердженої рішенням Сумської міської ради                                  </t>
  </si>
  <si>
    <t xml:space="preserve">господарства Сумської міської територіальної громади на 2022- </t>
  </si>
  <si>
    <t>від 26 січня 2022 року   № 2718-МР (зі змінами)»</t>
  </si>
  <si>
    <t>від 26 січня 2022 року  № 2718-МР (зі змінами)»</t>
  </si>
  <si>
    <t>від 26 січня 2022 року № 2718 - МР (зі змінами)»</t>
  </si>
  <si>
    <t>до рішення   Сумської міської ради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</si>
  <si>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</si>
  <si>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</si>
  <si>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Поповнення статутного капіталу  КП «Зеленбуд» СМР (придбання спеціалізованої техніки - рубальної машини)</t>
  </si>
  <si>
    <t>Поповнення статутного капіталу  КП «Зеленбуд» СМР (придбання спеціалізованої техніки - корчувальника-подрібнювача пнів)</t>
  </si>
  <si>
    <t>Надання послуг з проведення експертної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t>
  </si>
  <si>
    <t>від                 2023 року №                     - МР</t>
  </si>
  <si>
    <t>Демонтаж будівлі Ритуального залу на Ново – Центральному Баранівському  кладовищі  м.Суми</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</si>
  <si>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</si>
  <si>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у тому числі</t>
  </si>
  <si>
    <t>у тому числі за роками</t>
  </si>
  <si>
    <t>від 15 березня 2023 року № 3560 - МР</t>
  </si>
  <si>
    <t>Реалізація проєкту «Circular-based waste management» («Управління відходами на основі замкненого циклу») в тому числі придбання спеціалізованої техніки (подрібнювач для будівельних та ремонтних відходів – шредер)»</t>
  </si>
  <si>
    <t>Поповнення статутного капіталу  КП «Зеленбуд» СМР (придбання спеціалізованої техніки - трактора колісного)</t>
  </si>
  <si>
    <t>Поповнення статутного капіталу  КП «Зеленбуд» СМР (придбання спеціалізованої техніки - подрібнювача деревини)</t>
  </si>
  <si>
    <t>Поповнення статутного капіталу  КП «Зеленбуд» СМР (придбання спеціалізованої техніки - вантажного автомобіля)</t>
  </si>
  <si>
    <t>Поповнення статутного капіталу  КП «Зеленбуд» СМР (придбання спеціалізованої техніки - міні-трактора косарки)</t>
  </si>
  <si>
    <t>9</t>
  </si>
  <si>
    <t>Фінансова підтримка КП «Сумикомунінвест» СМР</t>
  </si>
  <si>
    <t>Департамент інфраструктури міста СМР,  КП «Сумикомунінвест» СМР</t>
  </si>
  <si>
    <t>Надання послуг з обстеження технічного стану житлових будинків на території Сумської міської територіальної громади, пошкоджених внаслідок збройної агресії Російської Федерації проти України</t>
  </si>
  <si>
    <t>Поповнення статутного капіталу  КП «Зеленбуд» СМР (придбання спеціалізованої техніки – екскаватора – навантажувача, трактора колісного з навісним обладнанням, подрібнювача деревини, міні-трактора косарки, вантажного автомобіля)</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</si>
  <si>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</si>
  <si>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Освітлення вулиць (оплата електроенергії вуличного освітлення), в тому числі судовий збір, сплата по судовому рішенню</t>
  </si>
  <si>
    <t>від  20 вересня  2023 року №4115 - МР</t>
  </si>
  <si>
    <t>від                           2023 року №                   - МР</t>
  </si>
  <si>
    <t xml:space="preserve">Виконавець: Євген БРОВЕНКО  </t>
  </si>
  <si>
    <t>від                         2023 року №                            - МР</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</si>
</sst>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8"/>
      <name val="Times New Roman"/>
      <family val="1"/>
    </font>
    <font>
      <sz val="14"/>
      <color indexed="10"/>
      <name val="Times New Roman"/>
      <family val="1"/>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5" fillId="32" borderId="0" applyNumberFormat="0" applyBorder="0" applyAlignment="0" applyProtection="0"/>
  </cellStyleXfs>
  <cellXfs count="76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27" fillId="34" borderId="10" xfId="0" applyFont="1" applyFill="1" applyBorder="1" applyAlignment="1">
      <alignment horizontal="left" wrapText="1"/>
    </xf>
    <xf numFmtId="0" fontId="27"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27"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5" fillId="0" borderId="0" xfId="53" applyFont="1" applyBorder="1" applyAlignment="1">
      <alignment horizontal="center"/>
      <protection/>
    </xf>
    <xf numFmtId="2" fontId="16"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0" xfId="53" applyFont="1" applyFill="1" applyBorder="1" applyAlignment="1">
      <alignment vertical="center" wrapText="1"/>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8"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7"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0" borderId="13" xfId="53" applyFont="1" applyBorder="1" applyAlignment="1">
      <alignment horizontal="left" vertical="center" wrapText="1"/>
      <protection/>
    </xf>
    <xf numFmtId="0" fontId="19"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0"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1"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27"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2"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1"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3" fillId="0" borderId="0" xfId="0" applyFont="1" applyAlignment="1">
      <alignment horizontal="center" vertical="center"/>
    </xf>
    <xf numFmtId="0" fontId="6"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27"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27" fillId="34" borderId="15" xfId="0" applyFont="1" applyFill="1" applyBorder="1" applyAlignment="1">
      <alignment horizontal="left" vertical="center" wrapText="1"/>
    </xf>
    <xf numFmtId="0" fontId="1" fillId="35" borderId="11" xfId="0" applyFont="1" applyFill="1" applyBorder="1" applyAlignment="1">
      <alignment wrapText="1"/>
    </xf>
    <xf numFmtId="0" fontId="27"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4" fillId="0" borderId="0" xfId="53" applyFont="1" applyBorder="1" applyAlignment="1">
      <alignment horizontal="left" vertical="center" wrapText="1"/>
      <protection/>
    </xf>
    <xf numFmtId="0" fontId="24" fillId="0" borderId="0" xfId="53" applyFont="1" applyAlignment="1">
      <alignment horizontal="center" vertical="center" wrapText="1"/>
      <protection/>
    </xf>
    <xf numFmtId="194" fontId="24" fillId="0" borderId="0" xfId="53" applyNumberFormat="1" applyFont="1" applyAlignment="1">
      <alignment horizontal="center" vertical="center" wrapText="1"/>
      <protection/>
    </xf>
    <xf numFmtId="0" fontId="25" fillId="34" borderId="0" xfId="53" applyFont="1" applyFill="1">
      <alignment/>
      <protection/>
    </xf>
    <xf numFmtId="194" fontId="14" fillId="34" borderId="0" xfId="53" applyNumberFormat="1" applyFont="1" applyFill="1" applyBorder="1" applyAlignment="1">
      <alignment horizontal="center" vertical="center"/>
      <protection/>
    </xf>
    <xf numFmtId="0" fontId="25" fillId="0" borderId="0" xfId="0" applyFont="1" applyAlignment="1">
      <alignment/>
    </xf>
    <xf numFmtId="0" fontId="24" fillId="0" borderId="0" xfId="53" applyFont="1">
      <alignment/>
      <protection/>
    </xf>
    <xf numFmtId="0" fontId="24" fillId="0" borderId="0" xfId="53" applyFont="1" applyAlignment="1">
      <alignment horizontal="center"/>
      <protection/>
    </xf>
    <xf numFmtId="0" fontId="24" fillId="0" borderId="0" xfId="53" applyFont="1" applyAlignment="1">
      <alignment vertical="center" wrapText="1"/>
      <protection/>
    </xf>
    <xf numFmtId="0" fontId="14" fillId="0" borderId="0" xfId="53" applyFont="1" applyAlignment="1">
      <alignment vertical="center" wrapText="1"/>
      <protection/>
    </xf>
    <xf numFmtId="0" fontId="24" fillId="0" borderId="0" xfId="0" applyFont="1" applyAlignment="1">
      <alignment/>
    </xf>
    <xf numFmtId="194" fontId="24" fillId="34" borderId="0" xfId="0" applyNumberFormat="1" applyFont="1" applyFill="1" applyBorder="1" applyAlignment="1">
      <alignment horizontal="center" vertical="center"/>
    </xf>
    <xf numFmtId="194" fontId="24"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27"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1" fillId="35" borderId="0" xfId="0" applyFont="1" applyFill="1" applyAlignment="1">
      <alignment/>
    </xf>
    <xf numFmtId="0" fontId="21"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7"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7" fillId="34" borderId="10" xfId="0" applyNumberFormat="1" applyFont="1" applyFill="1" applyBorder="1" applyAlignment="1">
      <alignment horizontal="left" vertical="top" wrapText="1"/>
    </xf>
    <xf numFmtId="198" fontId="17"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7" fillId="34" borderId="10" xfId="0" applyNumberFormat="1" applyFont="1" applyFill="1" applyBorder="1" applyAlignment="1">
      <alignment horizontal="center" vertical="center" wrapText="1"/>
    </xf>
    <xf numFmtId="0" fontId="17"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0" fillId="0" borderId="0" xfId="53" applyAlignment="1">
      <alignment wrapText="1"/>
      <protection/>
    </xf>
    <xf numFmtId="0" fontId="2" fillId="0" borderId="0" xfId="0" applyFont="1" applyAlignment="1">
      <alignment horizontal="left" wrapText="1"/>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6"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27" fillId="0" borderId="10" xfId="0" applyFont="1" applyBorder="1" applyAlignment="1">
      <alignment vertical="center" wrapText="1"/>
    </xf>
    <xf numFmtId="0" fontId="27" fillId="34" borderId="10" xfId="0" applyFont="1" applyFill="1" applyBorder="1" applyAlignment="1">
      <alignment vertical="center" wrapText="1"/>
    </xf>
    <xf numFmtId="0" fontId="27" fillId="34" borderId="13" xfId="0" applyFont="1" applyFill="1" applyBorder="1" applyAlignment="1">
      <alignment vertical="center" wrapText="1"/>
    </xf>
    <xf numFmtId="0" fontId="27" fillId="0" borderId="10" xfId="0" applyFont="1" applyBorder="1" applyAlignment="1">
      <alignment horizontal="left" wrapText="1"/>
    </xf>
    <xf numFmtId="0" fontId="27" fillId="0" borderId="10" xfId="0" applyFont="1" applyBorder="1" applyAlignment="1">
      <alignment horizontal="justify" vertical="center" wrapText="1"/>
    </xf>
    <xf numFmtId="0" fontId="27"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1"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7"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6"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4" fontId="6"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198" fontId="6"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7"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13" fillId="40" borderId="0" xfId="53" applyFont="1" applyFill="1">
      <alignment/>
      <protection/>
    </xf>
    <xf numFmtId="198" fontId="28" fillId="40" borderId="10" xfId="0" applyNumberFormat="1" applyFont="1" applyFill="1" applyBorder="1" applyAlignment="1">
      <alignment horizontal="center" vertical="center"/>
    </xf>
    <xf numFmtId="0" fontId="1" fillId="40" borderId="10" xfId="53" applyFont="1" applyFill="1" applyBorder="1" applyAlignment="1">
      <alignment vertical="center" wrapText="1"/>
      <protection/>
    </xf>
    <xf numFmtId="0" fontId="6" fillId="40" borderId="13"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2" fillId="40" borderId="0" xfId="53" applyFont="1" applyFill="1" applyAlignment="1">
      <alignment/>
      <protection/>
    </xf>
    <xf numFmtId="0" fontId="2" fillId="40" borderId="0" xfId="53" applyFont="1" applyFill="1" applyAlignment="1">
      <alignment horizontal="left"/>
      <protection/>
    </xf>
    <xf numFmtId="0" fontId="2" fillId="40" borderId="0" xfId="53" applyFont="1" applyFill="1">
      <alignment/>
      <protection/>
    </xf>
    <xf numFmtId="0" fontId="6" fillId="40" borderId="0" xfId="53" applyFont="1" applyFill="1" applyAlignment="1">
      <alignment horizontal="left"/>
      <protection/>
    </xf>
    <xf numFmtId="197" fontId="6" fillId="0" borderId="10" xfId="53" applyNumberFormat="1" applyFont="1" applyBorder="1" applyAlignment="1">
      <alignment horizontal="center" vertical="center" wrapText="1"/>
      <protection/>
    </xf>
    <xf numFmtId="197" fontId="6" fillId="40" borderId="10" xfId="53" applyNumberFormat="1" applyFont="1" applyFill="1" applyBorder="1" applyAlignment="1">
      <alignment horizontal="center" vertical="center" wrapText="1"/>
      <protection/>
    </xf>
    <xf numFmtId="0" fontId="66" fillId="40" borderId="0" xfId="0" applyFont="1" applyFill="1" applyBorder="1" applyAlignment="1">
      <alignment vertical="center" wrapText="1"/>
    </xf>
    <xf numFmtId="0" fontId="6" fillId="0" borderId="18" xfId="53" applyFont="1" applyBorder="1" applyAlignment="1">
      <alignment horizontal="center" vertical="center" wrapText="1"/>
      <protection/>
    </xf>
    <xf numFmtId="210" fontId="6" fillId="0" borderId="10" xfId="62" applyNumberFormat="1" applyFont="1" applyBorder="1" applyAlignment="1">
      <alignment horizontal="left" vertical="center" wrapText="1"/>
    </xf>
    <xf numFmtId="0" fontId="6" fillId="0" borderId="10" xfId="53" applyFont="1" applyBorder="1" applyAlignment="1">
      <alignment horizontal="left" wrapText="1"/>
      <protection/>
    </xf>
    <xf numFmtId="0" fontId="6" fillId="0" borderId="0" xfId="53" applyFont="1" applyBorder="1" applyAlignment="1">
      <alignment horizontal="center" vertical="center" wrapText="1"/>
      <protection/>
    </xf>
    <xf numFmtId="0" fontId="24" fillId="40" borderId="0" xfId="53" applyFont="1" applyFill="1" applyAlignment="1">
      <alignment horizontal="center"/>
      <protection/>
    </xf>
    <xf numFmtId="193" fontId="1" fillId="35" borderId="10" xfId="62" applyFont="1" applyFill="1" applyBorder="1" applyAlignment="1">
      <alignment horizontal="center" vertical="center" wrapText="1"/>
    </xf>
    <xf numFmtId="193" fontId="1" fillId="35" borderId="12" xfId="62" applyFont="1" applyFill="1" applyBorder="1" applyAlignment="1">
      <alignment horizontal="center" vertical="center" wrapText="1"/>
    </xf>
    <xf numFmtId="193" fontId="1" fillId="0" borderId="10" xfId="62" applyFont="1" applyBorder="1" applyAlignment="1">
      <alignment horizontal="center" vertical="center" wrapText="1"/>
    </xf>
    <xf numFmtId="193" fontId="6" fillId="40" borderId="10" xfId="62" applyFont="1" applyFill="1" applyBorder="1" applyAlignment="1">
      <alignment horizontal="center" vertical="center" wrapText="1"/>
    </xf>
    <xf numFmtId="193" fontId="6" fillId="40" borderId="12" xfId="62" applyFont="1" applyFill="1" applyBorder="1" applyAlignment="1">
      <alignment horizontal="center" vertical="center" wrapText="1"/>
    </xf>
    <xf numFmtId="193" fontId="6" fillId="0" borderId="10" xfId="62" applyFont="1" applyBorder="1" applyAlignment="1">
      <alignment horizontal="center" vertical="center" wrapText="1"/>
    </xf>
    <xf numFmtId="193" fontId="6" fillId="0" borderId="12" xfId="62" applyFont="1" applyFill="1" applyBorder="1" applyAlignment="1">
      <alignment horizontal="center" vertical="center" wrapText="1"/>
    </xf>
    <xf numFmtId="193" fontId="6" fillId="0" borderId="12" xfId="62" applyFont="1" applyBorder="1" applyAlignment="1">
      <alignment horizontal="center" vertical="center" wrapText="1"/>
    </xf>
    <xf numFmtId="193" fontId="28" fillId="0" borderId="12" xfId="62" applyFont="1" applyBorder="1" applyAlignment="1">
      <alignment horizontal="center" vertical="center" wrapText="1"/>
    </xf>
    <xf numFmtId="193" fontId="24" fillId="40" borderId="10" xfId="62" applyFont="1" applyFill="1" applyBorder="1" applyAlignment="1">
      <alignment horizontal="center" vertical="center" wrapText="1"/>
    </xf>
    <xf numFmtId="0" fontId="24" fillId="34" borderId="0" xfId="53" applyFont="1" applyFill="1">
      <alignment/>
      <protection/>
    </xf>
    <xf numFmtId="0" fontId="24" fillId="34" borderId="0" xfId="53" applyFont="1" applyFill="1" applyAlignment="1">
      <alignment/>
      <protection/>
    </xf>
    <xf numFmtId="0" fontId="24" fillId="34" borderId="0" xfId="53" applyFont="1" applyFill="1" applyAlignment="1">
      <alignment vertical="center" wrapText="1"/>
      <protection/>
    </xf>
    <xf numFmtId="0" fontId="24" fillId="34" borderId="0" xfId="53" applyFont="1" applyFill="1" applyAlignment="1">
      <alignment horizontal="left" vertical="center" wrapText="1"/>
      <protection/>
    </xf>
    <xf numFmtId="0" fontId="24" fillId="0" borderId="0" xfId="53" applyFont="1" applyBorder="1" applyAlignment="1">
      <alignment horizontal="left" vertical="center"/>
      <protection/>
    </xf>
    <xf numFmtId="0" fontId="14" fillId="40" borderId="13" xfId="53" applyFont="1" applyFill="1" applyBorder="1" applyAlignment="1">
      <alignment horizontal="center" vertical="center" wrapText="1"/>
      <protection/>
    </xf>
    <xf numFmtId="0" fontId="14" fillId="34" borderId="19"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24" fillId="34" borderId="10" xfId="53" applyFont="1" applyFill="1" applyBorder="1" applyAlignment="1">
      <alignment horizontal="center" vertical="center" wrapText="1"/>
      <protection/>
    </xf>
    <xf numFmtId="0" fontId="24" fillId="34" borderId="10" xfId="53" applyFont="1" applyFill="1" applyBorder="1" applyAlignment="1">
      <alignment horizontal="left" vertical="center" wrapText="1"/>
      <protection/>
    </xf>
    <xf numFmtId="4" fontId="24" fillId="34" borderId="10" xfId="53" applyNumberFormat="1" applyFont="1" applyFill="1" applyBorder="1" applyAlignment="1">
      <alignment horizontal="center" vertical="center" wrapText="1"/>
      <protection/>
    </xf>
    <xf numFmtId="0" fontId="14" fillId="34" borderId="10" xfId="53" applyFont="1" applyFill="1" applyBorder="1" applyAlignment="1">
      <alignment vertical="center" wrapText="1"/>
      <protection/>
    </xf>
    <xf numFmtId="0" fontId="25" fillId="34" borderId="10" xfId="53" applyFont="1" applyFill="1" applyBorder="1">
      <alignment/>
      <protection/>
    </xf>
    <xf numFmtId="4" fontId="24" fillId="0" borderId="10" xfId="53" applyNumberFormat="1" applyFont="1" applyFill="1" applyBorder="1" applyAlignment="1">
      <alignment horizontal="center" vertical="center" wrapText="1"/>
      <protection/>
    </xf>
    <xf numFmtId="193" fontId="24" fillId="34" borderId="10" xfId="64" applyFont="1" applyFill="1" applyBorder="1" applyAlignment="1">
      <alignment horizontal="center" vertical="center"/>
    </xf>
    <xf numFmtId="197" fontId="14" fillId="34" borderId="10" xfId="53" applyNumberFormat="1" applyFont="1" applyFill="1" applyBorder="1" applyAlignment="1">
      <alignment horizontal="center" vertical="center" wrapText="1"/>
      <protection/>
    </xf>
    <xf numFmtId="197" fontId="24" fillId="34" borderId="10" xfId="53" applyNumberFormat="1" applyFont="1" applyFill="1" applyBorder="1" applyAlignment="1">
      <alignment horizontal="center" vertical="center" wrapText="1"/>
      <protection/>
    </xf>
    <xf numFmtId="197" fontId="25" fillId="34" borderId="10" xfId="53" applyNumberFormat="1" applyFont="1" applyFill="1" applyBorder="1">
      <alignment/>
      <protection/>
    </xf>
    <xf numFmtId="4" fontId="24" fillId="34" borderId="10" xfId="53" applyNumberFormat="1" applyFont="1" applyFill="1" applyBorder="1" applyAlignment="1">
      <alignment vertical="center"/>
      <protection/>
    </xf>
    <xf numFmtId="0" fontId="24" fillId="34" borderId="10" xfId="53" applyFont="1" applyFill="1" applyBorder="1" applyAlignment="1">
      <alignment horizontal="center"/>
      <protection/>
    </xf>
    <xf numFmtId="193" fontId="24" fillId="34" borderId="10" xfId="62" applyFont="1" applyFill="1" applyBorder="1" applyAlignment="1">
      <alignment horizontal="center" vertical="center"/>
    </xf>
    <xf numFmtId="2" fontId="24" fillId="34" borderId="10" xfId="53" applyNumberFormat="1" applyFont="1" applyFill="1" applyBorder="1">
      <alignment/>
      <protection/>
    </xf>
    <xf numFmtId="0" fontId="6" fillId="41" borderId="10" xfId="0" applyFont="1" applyFill="1" applyBorder="1" applyAlignment="1">
      <alignment horizontal="left" vertical="center" wrapText="1"/>
    </xf>
    <xf numFmtId="0" fontId="6" fillId="41" borderId="10" xfId="53" applyFont="1" applyFill="1" applyBorder="1" applyAlignment="1">
      <alignment horizontal="center" vertical="center" wrapText="1"/>
      <protection/>
    </xf>
    <xf numFmtId="198" fontId="1" fillId="41" borderId="10" xfId="53" applyNumberFormat="1" applyFont="1" applyFill="1" applyBorder="1" applyAlignment="1">
      <alignment horizontal="center" vertical="center" wrapText="1"/>
      <protection/>
    </xf>
    <xf numFmtId="198" fontId="6" fillId="41" borderId="10" xfId="0" applyNumberFormat="1" applyFont="1" applyFill="1" applyBorder="1" applyAlignment="1">
      <alignment horizontal="center" vertical="center" wrapText="1"/>
    </xf>
    <xf numFmtId="0" fontId="6" fillId="40" borderId="10" xfId="53" applyFont="1" applyFill="1" applyBorder="1" applyAlignment="1">
      <alignment horizontal="center" vertical="center" wrapText="1"/>
      <protection/>
    </xf>
    <xf numFmtId="198" fontId="6" fillId="40" borderId="10" xfId="0" applyNumberFormat="1" applyFont="1" applyFill="1" applyBorder="1" applyAlignment="1">
      <alignment horizontal="center" vertical="center" wrapText="1"/>
    </xf>
    <xf numFmtId="0" fontId="1" fillId="40" borderId="10" xfId="53" applyFont="1" applyFill="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14" fillId="40" borderId="0" xfId="53" applyFont="1" applyFill="1" applyBorder="1" applyAlignment="1">
      <alignment horizontal="left" vertical="center" wrapText="1"/>
      <protection/>
    </xf>
    <xf numFmtId="0" fontId="24" fillId="40" borderId="0" xfId="53" applyFont="1" applyFill="1" applyAlignment="1">
      <alignment horizontal="center" vertical="center" wrapText="1"/>
      <protection/>
    </xf>
    <xf numFmtId="194" fontId="24" fillId="40" borderId="0" xfId="53" applyNumberFormat="1" applyFont="1" applyFill="1" applyAlignment="1">
      <alignment horizontal="center" vertical="center" wrapText="1"/>
      <protection/>
    </xf>
    <xf numFmtId="0" fontId="25" fillId="40" borderId="0" xfId="53" applyFont="1" applyFill="1">
      <alignment/>
      <protection/>
    </xf>
    <xf numFmtId="0" fontId="14" fillId="40" borderId="0" xfId="53" applyFont="1" applyFill="1" applyAlignment="1">
      <alignment horizontal="center"/>
      <protection/>
    </xf>
    <xf numFmtId="194" fontId="24" fillId="40" borderId="0" xfId="53" applyNumberFormat="1" applyFont="1" applyFill="1" applyBorder="1" applyAlignment="1">
      <alignment horizontal="center" vertical="center" wrapText="1"/>
      <protection/>
    </xf>
    <xf numFmtId="2" fontId="25" fillId="40" borderId="0" xfId="53" applyNumberFormat="1" applyFont="1" applyFill="1">
      <alignment/>
      <protection/>
    </xf>
    <xf numFmtId="0" fontId="3" fillId="40" borderId="0" xfId="53" applyFont="1" applyFill="1" applyBorder="1" applyAlignment="1">
      <alignment horizontal="left" vertical="center" wrapText="1"/>
      <protection/>
    </xf>
    <xf numFmtId="2" fontId="2" fillId="40" borderId="0" xfId="53" applyNumberFormat="1" applyFont="1" applyFill="1" applyAlignment="1">
      <alignment horizontal="left" vertical="center" wrapText="1"/>
      <protection/>
    </xf>
    <xf numFmtId="0" fontId="2" fillId="40" borderId="0" xfId="53" applyFont="1" applyFill="1" applyAlignment="1">
      <alignment horizontal="center" vertical="center" wrapText="1"/>
      <protection/>
    </xf>
    <xf numFmtId="194" fontId="3" fillId="40" borderId="0" xfId="53" applyNumberFormat="1" applyFont="1" applyFill="1" applyBorder="1" applyAlignment="1">
      <alignment horizontal="center" vertical="center" wrapText="1"/>
      <protection/>
    </xf>
    <xf numFmtId="2" fontId="13" fillId="40" borderId="0" xfId="53" applyNumberFormat="1" applyFont="1" applyFill="1">
      <alignment/>
      <protection/>
    </xf>
    <xf numFmtId="0" fontId="3" fillId="40" borderId="0" xfId="53" applyFont="1" applyFill="1" applyAlignment="1">
      <alignment horizontal="center"/>
      <protection/>
    </xf>
    <xf numFmtId="193" fontId="3" fillId="40" borderId="0" xfId="64" applyFont="1" applyFill="1" applyBorder="1" applyAlignment="1">
      <alignment horizontal="center" vertical="center"/>
    </xf>
    <xf numFmtId="0" fontId="2" fillId="40" borderId="0" xfId="53" applyFont="1" applyFill="1" applyBorder="1" applyAlignment="1">
      <alignment vertical="center" wrapText="1"/>
      <protection/>
    </xf>
    <xf numFmtId="0" fontId="2" fillId="40" borderId="0" xfId="53" applyFont="1" applyFill="1" applyAlignment="1">
      <alignment horizontal="left" vertical="center" wrapText="1"/>
      <protection/>
    </xf>
    <xf numFmtId="0" fontId="6" fillId="40" borderId="0" xfId="53" applyFont="1" applyFill="1" applyBorder="1" applyAlignment="1">
      <alignment horizontal="left" vertical="center" wrapText="1"/>
      <protection/>
    </xf>
    <xf numFmtId="0" fontId="6" fillId="40" borderId="0" xfId="53" applyFont="1" applyFill="1" applyAlignment="1">
      <alignment horizontal="center" vertical="center" wrapText="1"/>
      <protection/>
    </xf>
    <xf numFmtId="0" fontId="6" fillId="40" borderId="0" xfId="53" applyFont="1" applyFill="1" applyAlignment="1">
      <alignment vertical="center" wrapText="1"/>
      <protection/>
    </xf>
    <xf numFmtId="0" fontId="1" fillId="40" borderId="0" xfId="53" applyFont="1" applyFill="1" applyBorder="1" applyAlignment="1">
      <alignment horizontal="left" vertical="center" wrapText="1"/>
      <protection/>
    </xf>
    <xf numFmtId="0" fontId="1" fillId="40" borderId="0" xfId="53" applyFont="1" applyFill="1" applyAlignment="1">
      <alignment vertical="center" wrapText="1"/>
      <protection/>
    </xf>
    <xf numFmtId="2" fontId="6" fillId="40" borderId="0" xfId="53" applyNumberFormat="1"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4" xfId="53" applyFont="1" applyFill="1" applyBorder="1" applyAlignment="1">
      <alignment horizontal="center" vertical="center" wrapText="1"/>
      <protection/>
    </xf>
    <xf numFmtId="0" fontId="24" fillId="34" borderId="0" xfId="53" applyFont="1" applyFill="1" applyAlignment="1">
      <alignment horizontal="left" vertical="center" wrapText="1"/>
      <protection/>
    </xf>
    <xf numFmtId="0" fontId="24" fillId="0" borderId="0" xfId="0" applyFont="1" applyAlignment="1">
      <alignment horizontal="left" wrapText="1"/>
    </xf>
    <xf numFmtId="0" fontId="14" fillId="40" borderId="13"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4" fillId="34" borderId="21" xfId="53" applyFont="1" applyFill="1" applyBorder="1" applyAlignment="1">
      <alignment horizontal="right"/>
      <protection/>
    </xf>
    <xf numFmtId="0" fontId="24" fillId="40" borderId="0" xfId="53" applyFont="1" applyFill="1" applyBorder="1" applyAlignment="1">
      <alignment horizontal="left" vertical="center" wrapText="1"/>
      <protection/>
    </xf>
    <xf numFmtId="0" fontId="14" fillId="40" borderId="10"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24" fillId="40" borderId="0" xfId="53" applyFont="1" applyFill="1" applyAlignment="1">
      <alignment horizontal="center"/>
      <protection/>
    </xf>
    <xf numFmtId="0" fontId="2" fillId="40" borderId="0" xfId="53" applyFont="1" applyFill="1" applyBorder="1" applyAlignment="1">
      <alignment horizontal="left" vertical="center" wrapText="1"/>
      <protection/>
    </xf>
    <xf numFmtId="0" fontId="2" fillId="40" borderId="0" xfId="53" applyFont="1" applyFill="1" applyAlignment="1">
      <alignment horizontal="left" vertical="center" wrapText="1"/>
      <protection/>
    </xf>
    <xf numFmtId="0" fontId="14" fillId="34" borderId="0" xfId="53" applyFont="1" applyFill="1" applyAlignment="1">
      <alignment horizontal="center" vertical="center" wrapText="1"/>
      <protection/>
    </xf>
    <xf numFmtId="0" fontId="6" fillId="40" borderId="13" xfId="53"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4" fillId="0" borderId="0" xfId="53" applyFont="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9" fillId="0" borderId="0" xfId="53" applyFont="1" applyAlignment="1">
      <alignment horizontal="center"/>
      <protection/>
    </xf>
    <xf numFmtId="0" fontId="1" fillId="0" borderId="18"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40" borderId="10" xfId="0" applyFont="1" applyFill="1" applyBorder="1" applyAlignment="1">
      <alignment horizontal="center" vertical="center" wrapText="1"/>
    </xf>
    <xf numFmtId="0" fontId="14" fillId="0" borderId="0" xfId="0" applyFont="1" applyAlignment="1">
      <alignment horizontal="center" wrapText="1"/>
    </xf>
    <xf numFmtId="0" fontId="1" fillId="0" borderId="10" xfId="0" applyFont="1" applyBorder="1" applyAlignment="1">
      <alignment horizontal="center" vertical="center" wrapText="1"/>
    </xf>
    <xf numFmtId="0" fontId="6" fillId="40"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6" fillId="40" borderId="10" xfId="0" applyFont="1" applyFill="1" applyBorder="1" applyAlignment="1">
      <alignment horizontal="center" vertical="center"/>
    </xf>
    <xf numFmtId="0" fontId="1" fillId="0" borderId="10" xfId="0" applyFont="1" applyBorder="1" applyAlignment="1">
      <alignment horizontal="center"/>
    </xf>
    <xf numFmtId="0" fontId="6" fillId="40" borderId="10"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34" borderId="10"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24" fillId="0" borderId="0" xfId="0" applyFont="1" applyBorder="1" applyAlignment="1">
      <alignment horizontal="left" vertic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0" xfId="0" applyFont="1" applyAlignment="1">
      <alignment horizontal="center"/>
    </xf>
    <xf numFmtId="0" fontId="1" fillId="0" borderId="17"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2" fillId="0" borderId="0" xfId="53" applyFont="1" applyAlignment="1">
      <alignment horizontal="left" wrapText="1"/>
      <protection/>
    </xf>
    <xf numFmtId="0" fontId="6" fillId="40" borderId="12" xfId="53" applyFont="1" applyFill="1" applyBorder="1" applyAlignment="1">
      <alignment horizontal="left" vertical="center" wrapText="1"/>
      <protection/>
    </xf>
    <xf numFmtId="0" fontId="2" fillId="0" borderId="0" xfId="53" applyFont="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9" xfId="53" applyNumberFormat="1" applyFont="1" applyBorder="1" applyAlignment="1">
      <alignment horizontal="center" vertical="center" wrapText="1"/>
      <protection/>
    </xf>
    <xf numFmtId="198" fontId="1" fillId="0" borderId="20"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17" xfId="53" applyNumberFormat="1"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17" xfId="53" applyNumberFormat="1" applyFont="1" applyFill="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20"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2" fillId="0" borderId="0" xfId="0" applyFont="1" applyAlignment="1">
      <alignment horizontal="left"/>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0" fontId="6" fillId="0" borderId="10" xfId="53" applyFont="1" applyBorder="1" applyAlignment="1">
      <alignment horizontal="center" vertical="center" wrapText="1"/>
      <protection/>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1" fillId="0" borderId="16"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2" fillId="40" borderId="0" xfId="53" applyFont="1" applyFill="1" applyAlignment="1">
      <alignment horizontal="left"/>
      <protection/>
    </xf>
    <xf numFmtId="0" fontId="2" fillId="40" borderId="0" xfId="0" applyFont="1" applyFill="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05" customWidth="1"/>
    <col min="2" max="2" width="61.57421875" style="205" customWidth="1"/>
    <col min="3" max="3" width="13.421875" style="205" hidden="1" customWidth="1"/>
    <col min="4" max="4" width="16.421875" style="205" customWidth="1"/>
    <col min="5" max="6" width="15.7109375" style="205" customWidth="1"/>
    <col min="7" max="7" width="47.8515625" style="205" customWidth="1"/>
    <col min="8" max="8" width="65.57421875" style="205" customWidth="1"/>
    <col min="9" max="9" width="15.7109375" style="205" customWidth="1"/>
    <col min="10" max="10" width="16.00390625" style="205" customWidth="1"/>
    <col min="11" max="11" width="14.140625" style="205" customWidth="1"/>
    <col min="12" max="12" width="12.421875" style="205" hidden="1" customWidth="1"/>
    <col min="13" max="13" width="14.8515625" style="205" customWidth="1"/>
    <col min="14" max="14" width="14.28125" style="205" customWidth="1"/>
    <col min="15" max="15" width="27.7109375" style="205" customWidth="1"/>
    <col min="16" max="16" width="19.140625" style="205" customWidth="1"/>
    <col min="17" max="17" width="15.140625" style="205" customWidth="1"/>
    <col min="18" max="18" width="14.140625" style="205" customWidth="1"/>
    <col min="19" max="19" width="17.28125" style="205" customWidth="1"/>
    <col min="20" max="20" width="13.8515625" style="205" customWidth="1"/>
  </cols>
  <sheetData>
    <row r="1" ht="11.25" customHeight="1"/>
    <row r="2" spans="1:12" ht="42" customHeight="1">
      <c r="A2" s="595" t="s">
        <v>107</v>
      </c>
      <c r="B2" s="595"/>
      <c r="C2" s="595"/>
      <c r="D2" s="595"/>
      <c r="E2" s="595"/>
      <c r="F2" s="595"/>
      <c r="G2" s="595"/>
      <c r="H2" s="595"/>
      <c r="I2" s="218"/>
      <c r="J2" s="218"/>
      <c r="K2" s="218"/>
      <c r="L2" s="218"/>
    </row>
    <row r="3" spans="1:12" ht="12.75" customHeight="1">
      <c r="A3" s="78"/>
      <c r="B3" s="78"/>
      <c r="C3" s="78"/>
      <c r="D3" s="219"/>
      <c r="E3" s="78"/>
      <c r="F3" s="78"/>
      <c r="G3" s="218"/>
      <c r="H3" s="247" t="s">
        <v>101</v>
      </c>
      <c r="I3" s="218"/>
      <c r="J3" s="218"/>
      <c r="K3" s="218"/>
      <c r="L3" s="218"/>
    </row>
    <row r="4" spans="1:12" ht="6" customHeight="1">
      <c r="A4" s="78"/>
      <c r="B4" s="78"/>
      <c r="C4" s="78"/>
      <c r="D4" s="219"/>
      <c r="E4" s="78"/>
      <c r="F4" s="78"/>
      <c r="G4" s="218"/>
      <c r="H4" s="218"/>
      <c r="I4" s="218"/>
      <c r="J4" s="218"/>
      <c r="K4" s="218"/>
      <c r="L4" s="218"/>
    </row>
    <row r="5" spans="1:12" ht="37.5" customHeight="1">
      <c r="A5" s="586" t="s">
        <v>440</v>
      </c>
      <c r="B5" s="587" t="s">
        <v>504</v>
      </c>
      <c r="C5" s="587" t="s">
        <v>446</v>
      </c>
      <c r="D5" s="235" t="s">
        <v>55</v>
      </c>
      <c r="E5" s="235" t="s">
        <v>56</v>
      </c>
      <c r="F5" s="587" t="s">
        <v>99</v>
      </c>
      <c r="G5" s="587" t="s">
        <v>98</v>
      </c>
      <c r="H5" s="254" t="s">
        <v>57</v>
      </c>
      <c r="I5" s="218"/>
      <c r="J5" s="218"/>
      <c r="K5" s="218"/>
      <c r="L5" s="218"/>
    </row>
    <row r="6" spans="1:12" ht="15" customHeight="1">
      <c r="A6" s="586"/>
      <c r="B6" s="596"/>
      <c r="C6" s="596"/>
      <c r="D6" s="587">
        <v>2020</v>
      </c>
      <c r="E6" s="587">
        <v>2020</v>
      </c>
      <c r="F6" s="596"/>
      <c r="G6" s="596"/>
      <c r="H6" s="237"/>
      <c r="I6" s="218"/>
      <c r="J6" s="218"/>
      <c r="K6" s="218"/>
      <c r="L6" s="218"/>
    </row>
    <row r="7" spans="1:12" ht="15" customHeight="1">
      <c r="A7" s="586"/>
      <c r="B7" s="588"/>
      <c r="C7" s="588"/>
      <c r="D7" s="588"/>
      <c r="E7" s="588"/>
      <c r="F7" s="588"/>
      <c r="G7" s="588"/>
      <c r="H7" s="238"/>
      <c r="I7" s="218"/>
      <c r="J7" s="218"/>
      <c r="K7" s="218"/>
      <c r="L7" s="218"/>
    </row>
    <row r="8" spans="1:12" ht="51" customHeight="1">
      <c r="A8" s="61">
        <v>1</v>
      </c>
      <c r="B8" s="129" t="s">
        <v>117</v>
      </c>
      <c r="C8" s="255" t="s">
        <v>449</v>
      </c>
      <c r="D8" s="206">
        <v>100</v>
      </c>
      <c r="E8" s="206">
        <f>100+E9+E10+E11</f>
        <v>9100</v>
      </c>
      <c r="F8" s="206">
        <f>E8-D8</f>
        <v>9000</v>
      </c>
      <c r="G8" s="583" t="s">
        <v>167</v>
      </c>
      <c r="H8" s="592" t="s">
        <v>168</v>
      </c>
      <c r="I8" s="218"/>
      <c r="J8" s="218"/>
      <c r="K8" s="218"/>
      <c r="L8" s="218"/>
    </row>
    <row r="9" spans="1:12" ht="48.75" customHeight="1">
      <c r="A9" s="192" t="s">
        <v>41</v>
      </c>
      <c r="B9" s="252" t="s">
        <v>164</v>
      </c>
      <c r="C9" s="255"/>
      <c r="D9" s="206">
        <v>0</v>
      </c>
      <c r="E9" s="206">
        <v>2000</v>
      </c>
      <c r="F9" s="206">
        <f>E9-D9</f>
        <v>2000</v>
      </c>
      <c r="G9" s="591"/>
      <c r="H9" s="593"/>
      <c r="I9" s="218"/>
      <c r="J9" s="218"/>
      <c r="K9" s="218"/>
      <c r="L9" s="218"/>
    </row>
    <row r="10" spans="1:12" ht="34.5" customHeight="1">
      <c r="A10" s="192" t="s">
        <v>45</v>
      </c>
      <c r="B10" s="252" t="s">
        <v>165</v>
      </c>
      <c r="C10" s="255"/>
      <c r="D10" s="206">
        <v>0</v>
      </c>
      <c r="E10" s="206">
        <v>6000</v>
      </c>
      <c r="F10" s="206">
        <f>E10-D10</f>
        <v>6000</v>
      </c>
      <c r="G10" s="591"/>
      <c r="H10" s="593"/>
      <c r="I10" s="218"/>
      <c r="J10" s="218"/>
      <c r="K10" s="218"/>
      <c r="L10" s="218"/>
    </row>
    <row r="11" spans="1:12" ht="32.25" customHeight="1">
      <c r="A11" s="192" t="s">
        <v>46</v>
      </c>
      <c r="B11" s="252" t="s">
        <v>166</v>
      </c>
      <c r="C11" s="255"/>
      <c r="D11" s="206">
        <v>0</v>
      </c>
      <c r="E11" s="206">
        <v>1000</v>
      </c>
      <c r="F11" s="206">
        <f>E11-D11</f>
        <v>1000</v>
      </c>
      <c r="G11" s="584"/>
      <c r="H11" s="594"/>
      <c r="I11" s="218"/>
      <c r="J11" s="218"/>
      <c r="K11" s="218"/>
      <c r="L11" s="218"/>
    </row>
    <row r="12" spans="1:12" ht="48.75" customHeight="1">
      <c r="A12" s="192" t="s">
        <v>169</v>
      </c>
      <c r="B12" s="129" t="s">
        <v>150</v>
      </c>
      <c r="C12" s="255"/>
      <c r="D12" s="206">
        <v>75377.3</v>
      </c>
      <c r="E12" s="206">
        <v>75487.3</v>
      </c>
      <c r="F12" s="206">
        <f>E12-D12</f>
        <v>110</v>
      </c>
      <c r="G12" s="583" t="s">
        <v>171</v>
      </c>
      <c r="H12" s="585" t="s">
        <v>163</v>
      </c>
      <c r="I12" s="218"/>
      <c r="J12" s="218"/>
      <c r="K12" s="218"/>
      <c r="L12" s="218"/>
    </row>
    <row r="13" spans="1:12" ht="51.75" customHeight="1">
      <c r="A13" s="192" t="s">
        <v>81</v>
      </c>
      <c r="B13" s="252" t="s">
        <v>170</v>
      </c>
      <c r="C13" s="255"/>
      <c r="D13" s="206">
        <v>0</v>
      </c>
      <c r="E13" s="206">
        <v>110</v>
      </c>
      <c r="F13" s="206">
        <v>110</v>
      </c>
      <c r="G13" s="584"/>
      <c r="H13" s="585"/>
      <c r="I13" s="218"/>
      <c r="J13" s="218"/>
      <c r="K13" s="218"/>
      <c r="L13" s="218"/>
    </row>
    <row r="14" spans="1:12" ht="18.75">
      <c r="A14" s="586" t="s">
        <v>439</v>
      </c>
      <c r="B14" s="586"/>
      <c r="C14" s="235"/>
      <c r="D14" s="62">
        <f>D8+D10+D12</f>
        <v>75477.3</v>
      </c>
      <c r="E14" s="62">
        <f>E8+E10+E12</f>
        <v>90587.3</v>
      </c>
      <c r="F14" s="62">
        <f>F8++F12</f>
        <v>9110</v>
      </c>
      <c r="G14" s="220"/>
      <c r="H14" s="220"/>
      <c r="I14" s="218"/>
      <c r="J14" s="218"/>
      <c r="K14" s="218"/>
      <c r="L14" s="218"/>
    </row>
    <row r="15" spans="1:12" ht="15.75">
      <c r="A15" s="109"/>
      <c r="B15" s="109"/>
      <c r="C15" s="109"/>
      <c r="D15" s="109"/>
      <c r="E15" s="199"/>
      <c r="F15" s="199"/>
      <c r="G15" s="218"/>
      <c r="H15" s="218"/>
      <c r="I15" s="218"/>
      <c r="J15" s="218"/>
      <c r="K15" s="218"/>
      <c r="L15" s="218"/>
    </row>
    <row r="16" spans="1:12" ht="15.75">
      <c r="A16" s="109"/>
      <c r="B16" s="109"/>
      <c r="C16" s="109"/>
      <c r="D16" s="109"/>
      <c r="E16" s="199"/>
      <c r="F16" s="199"/>
      <c r="G16" s="218"/>
      <c r="H16" s="218"/>
      <c r="I16" s="218"/>
      <c r="J16" s="218"/>
      <c r="K16" s="218"/>
      <c r="L16" s="218"/>
    </row>
    <row r="17" spans="1:12" ht="15.75">
      <c r="A17" s="109"/>
      <c r="B17" s="109"/>
      <c r="C17" s="109"/>
      <c r="D17" s="109"/>
      <c r="E17" s="110"/>
      <c r="F17" s="110"/>
      <c r="G17" s="218"/>
      <c r="H17" s="218"/>
      <c r="I17" s="218"/>
      <c r="J17" s="218"/>
      <c r="K17" s="218"/>
      <c r="L17" s="218"/>
    </row>
    <row r="18" spans="1:12" ht="33" customHeight="1">
      <c r="A18" s="589" t="s">
        <v>161</v>
      </c>
      <c r="B18" s="589"/>
      <c r="C18" s="589"/>
      <c r="D18" s="589"/>
      <c r="E18" s="136"/>
      <c r="F18" s="136"/>
      <c r="G18" s="63"/>
      <c r="H18" s="162" t="s">
        <v>162</v>
      </c>
      <c r="I18" s="218"/>
      <c r="J18" s="218"/>
      <c r="K18" s="218"/>
      <c r="L18" s="218"/>
    </row>
    <row r="19" spans="1:12" ht="18.75">
      <c r="A19" s="222"/>
      <c r="B19" s="222"/>
      <c r="C19" s="222"/>
      <c r="D19" s="223"/>
      <c r="E19" s="110"/>
      <c r="F19" s="110"/>
      <c r="G19" s="203"/>
      <c r="H19" s="218"/>
      <c r="I19" s="218"/>
      <c r="J19" s="218"/>
      <c r="K19" s="218"/>
      <c r="L19" s="218"/>
    </row>
    <row r="20" spans="1:12" ht="18.75">
      <c r="A20" s="590"/>
      <c r="B20" s="590"/>
      <c r="C20" s="253"/>
      <c r="D20" s="130"/>
      <c r="E20" s="224"/>
      <c r="F20" s="224"/>
      <c r="G20" s="218"/>
      <c r="H20" s="218"/>
      <c r="I20" s="218"/>
      <c r="J20" s="218"/>
      <c r="K20" s="218"/>
      <c r="L20" s="218"/>
    </row>
    <row r="21" ht="15">
      <c r="A21" s="210"/>
    </row>
    <row r="22" ht="15">
      <c r="A22" s="210"/>
    </row>
    <row r="23" ht="15">
      <c r="A23" s="210"/>
    </row>
    <row r="24" ht="15">
      <c r="A24" s="210"/>
    </row>
    <row r="25" ht="15">
      <c r="A25" s="210"/>
    </row>
    <row r="26" ht="15">
      <c r="A26" s="210"/>
    </row>
    <row r="27" ht="15">
      <c r="A27" s="210"/>
    </row>
    <row r="28" ht="15">
      <c r="A28" s="210"/>
    </row>
    <row r="29" ht="15">
      <c r="A29" s="210"/>
    </row>
  </sheetData>
  <sheetProtection/>
  <mergeCells count="15">
    <mergeCell ref="A2:H2"/>
    <mergeCell ref="A5:A7"/>
    <mergeCell ref="B5:B7"/>
    <mergeCell ref="C5:C7"/>
    <mergeCell ref="F5:F7"/>
    <mergeCell ref="G5:G7"/>
    <mergeCell ref="D6:D7"/>
    <mergeCell ref="G12:G13"/>
    <mergeCell ref="H12:H13"/>
    <mergeCell ref="A14:B14"/>
    <mergeCell ref="E6:E7"/>
    <mergeCell ref="A18:D18"/>
    <mergeCell ref="A20:B20"/>
    <mergeCell ref="G8:G11"/>
    <mergeCell ref="H8:H11"/>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J17" sqref="J17:J1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451</v>
      </c>
      <c r="J1" s="1" t="s">
        <v>475</v>
      </c>
      <c r="K1" s="271"/>
      <c r="L1" s="13" t="s">
        <v>451</v>
      </c>
    </row>
    <row r="2" spans="2:15" ht="15.75">
      <c r="B2" s="15"/>
      <c r="C2" s="15"/>
      <c r="D2" s="15"/>
      <c r="E2" s="15"/>
      <c r="F2" s="15"/>
      <c r="G2" s="15"/>
      <c r="H2" s="15"/>
      <c r="I2" s="13"/>
      <c r="J2" s="12" t="s">
        <v>444</v>
      </c>
      <c r="K2" s="12"/>
      <c r="L2" s="15"/>
      <c r="M2" s="12"/>
      <c r="N2" s="12"/>
      <c r="O2" s="12"/>
    </row>
    <row r="3" spans="2:15" ht="15.75">
      <c r="B3" s="15"/>
      <c r="C3" s="15"/>
      <c r="D3" s="15"/>
      <c r="E3" s="15"/>
      <c r="F3" s="15"/>
      <c r="G3" s="15"/>
      <c r="H3" s="15"/>
      <c r="I3" s="12" t="s">
        <v>444</v>
      </c>
      <c r="J3" s="12" t="s">
        <v>594</v>
      </c>
      <c r="K3" s="12"/>
      <c r="L3" s="15"/>
      <c r="M3" s="12"/>
      <c r="N3" s="12"/>
      <c r="O3" s="12"/>
    </row>
    <row r="4" spans="2:15" ht="15.75">
      <c r="B4" s="15"/>
      <c r="C4" s="15"/>
      <c r="D4" s="15"/>
      <c r="E4" s="15"/>
      <c r="F4" s="15"/>
      <c r="G4" s="15"/>
      <c r="H4" s="15"/>
      <c r="I4" s="12"/>
      <c r="J4" s="17" t="s">
        <v>158</v>
      </c>
      <c r="K4" s="17"/>
      <c r="L4" s="15"/>
      <c r="M4" s="12"/>
      <c r="N4" s="12"/>
      <c r="O4" s="12"/>
    </row>
    <row r="5" spans="2:15" ht="15.75">
      <c r="B5" s="15"/>
      <c r="C5" s="15"/>
      <c r="D5" s="15"/>
      <c r="E5" s="15"/>
      <c r="F5" s="15"/>
      <c r="G5" s="15"/>
      <c r="H5" s="15"/>
      <c r="I5" s="12" t="s">
        <v>452</v>
      </c>
      <c r="J5" s="17" t="s">
        <v>355</v>
      </c>
      <c r="K5" s="17"/>
      <c r="L5" s="15"/>
      <c r="M5" s="12"/>
      <c r="N5" s="12"/>
      <c r="O5" s="12"/>
    </row>
    <row r="6" spans="2:15" ht="15.75">
      <c r="B6" s="15"/>
      <c r="C6" s="15"/>
      <c r="D6" s="15"/>
      <c r="E6" s="15"/>
      <c r="F6" s="15"/>
      <c r="G6" s="15"/>
      <c r="H6" s="15"/>
      <c r="I6" s="12" t="s">
        <v>453</v>
      </c>
      <c r="J6" s="620" t="s">
        <v>431</v>
      </c>
      <c r="K6" s="620"/>
      <c r="L6" s="620"/>
      <c r="M6" s="620"/>
      <c r="N6" s="620"/>
      <c r="O6" s="620"/>
    </row>
    <row r="7" spans="2:15" ht="15.75" customHeight="1">
      <c r="B7" s="15"/>
      <c r="C7" s="15"/>
      <c r="D7" s="15"/>
      <c r="E7" s="15"/>
      <c r="F7" s="15"/>
      <c r="G7" s="15"/>
      <c r="H7" s="16"/>
      <c r="I7" s="12"/>
      <c r="J7" s="620" t="s">
        <v>597</v>
      </c>
      <c r="K7" s="620"/>
      <c r="L7" s="620"/>
      <c r="M7" s="620"/>
      <c r="N7" s="620"/>
      <c r="O7" s="620"/>
    </row>
    <row r="8" spans="2:15" ht="15.75" customHeight="1">
      <c r="B8" s="15"/>
      <c r="C8" s="15"/>
      <c r="D8" s="15"/>
      <c r="E8" s="15"/>
      <c r="F8" s="15"/>
      <c r="G8" s="15"/>
      <c r="H8" s="15"/>
      <c r="I8" s="15"/>
      <c r="J8" s="620" t="s">
        <v>609</v>
      </c>
      <c r="K8" s="620"/>
      <c r="L8" s="395"/>
      <c r="M8" s="395"/>
      <c r="N8" s="395"/>
      <c r="O8" s="395"/>
    </row>
    <row r="9" spans="2:15" ht="15.75">
      <c r="B9" s="15"/>
      <c r="C9" s="15"/>
      <c r="D9" s="15"/>
      <c r="E9" s="15"/>
      <c r="F9" s="15"/>
      <c r="G9" s="15"/>
      <c r="H9" s="15"/>
      <c r="I9" s="15"/>
      <c r="J9" s="395"/>
      <c r="K9" s="395"/>
      <c r="L9" s="395"/>
      <c r="M9" s="395"/>
      <c r="N9" s="395"/>
      <c r="O9" s="395"/>
    </row>
    <row r="10" spans="2:12" ht="36" customHeight="1">
      <c r="B10" s="621" t="s">
        <v>386</v>
      </c>
      <c r="C10" s="621"/>
      <c r="D10" s="621"/>
      <c r="E10" s="621"/>
      <c r="F10" s="621"/>
      <c r="G10" s="621"/>
      <c r="H10" s="621"/>
      <c r="I10" s="621"/>
      <c r="J10" s="621"/>
      <c r="K10" s="621"/>
      <c r="L10" s="15"/>
    </row>
    <row r="11" spans="2:12" ht="18.75">
      <c r="B11" s="15"/>
      <c r="C11" s="15"/>
      <c r="D11" s="626"/>
      <c r="E11" s="626"/>
      <c r="F11" s="626"/>
      <c r="G11" s="626"/>
      <c r="H11" s="626"/>
      <c r="I11" s="15"/>
      <c r="J11" s="15"/>
      <c r="K11" s="250" t="s">
        <v>113</v>
      </c>
      <c r="L11" s="15"/>
    </row>
    <row r="12" spans="1:12" ht="15.75" customHeight="1">
      <c r="A12" s="667" t="s">
        <v>440</v>
      </c>
      <c r="B12" s="622" t="s">
        <v>445</v>
      </c>
      <c r="C12" s="622" t="s">
        <v>446</v>
      </c>
      <c r="D12" s="622" t="s">
        <v>116</v>
      </c>
      <c r="E12" s="627" t="s">
        <v>442</v>
      </c>
      <c r="F12" s="627"/>
      <c r="G12" s="627"/>
      <c r="H12" s="627"/>
      <c r="I12" s="627"/>
      <c r="J12" s="657"/>
      <c r="K12" s="625" t="s">
        <v>448</v>
      </c>
      <c r="L12" s="15"/>
    </row>
    <row r="13" spans="1:12" ht="15.75">
      <c r="A13" s="668"/>
      <c r="B13" s="623"/>
      <c r="C13" s="623"/>
      <c r="D13" s="623"/>
      <c r="E13" s="622">
        <v>2022</v>
      </c>
      <c r="F13" s="622">
        <v>2023</v>
      </c>
      <c r="G13" s="622" t="s">
        <v>457</v>
      </c>
      <c r="H13" s="622" t="s">
        <v>458</v>
      </c>
      <c r="I13" s="622" t="s">
        <v>459</v>
      </c>
      <c r="J13" s="625">
        <v>2024</v>
      </c>
      <c r="K13" s="625"/>
      <c r="L13" s="15"/>
    </row>
    <row r="14" spans="1:12" ht="21.75" customHeight="1">
      <c r="A14" s="669"/>
      <c r="B14" s="624"/>
      <c r="C14" s="624"/>
      <c r="D14" s="624"/>
      <c r="E14" s="624"/>
      <c r="F14" s="624"/>
      <c r="G14" s="624"/>
      <c r="H14" s="624"/>
      <c r="I14" s="624"/>
      <c r="J14" s="625"/>
      <c r="K14" s="625"/>
      <c r="L14" s="15"/>
    </row>
    <row r="15" spans="1:12" s="218" customFormat="1" ht="28.5" customHeight="1">
      <c r="A15" s="670">
        <v>1</v>
      </c>
      <c r="B15" s="671" t="s">
        <v>307</v>
      </c>
      <c r="C15" s="612" t="s">
        <v>191</v>
      </c>
      <c r="D15" s="675">
        <f>E16+F16+J15</f>
        <v>1121.1</v>
      </c>
      <c r="E15" s="673">
        <f>1007.3-417.1</f>
        <v>590.1999999999999</v>
      </c>
      <c r="F15" s="673">
        <v>1067.7</v>
      </c>
      <c r="G15" s="396"/>
      <c r="H15" s="396"/>
      <c r="I15" s="396"/>
      <c r="J15" s="673">
        <v>1121.1</v>
      </c>
      <c r="K15" s="612" t="s">
        <v>40</v>
      </c>
      <c r="L15" s="78"/>
    </row>
    <row r="16" spans="1:12" s="218" customFormat="1" ht="22.5" customHeight="1">
      <c r="A16" s="670"/>
      <c r="B16" s="672"/>
      <c r="C16" s="614"/>
      <c r="D16" s="676"/>
      <c r="E16" s="674"/>
      <c r="F16" s="674"/>
      <c r="G16" s="396"/>
      <c r="H16" s="396"/>
      <c r="I16" s="396"/>
      <c r="J16" s="674"/>
      <c r="K16" s="614"/>
      <c r="L16" s="78"/>
    </row>
    <row r="17" spans="1:12" s="218" customFormat="1" ht="31.5" customHeight="1">
      <c r="A17" s="670">
        <v>2</v>
      </c>
      <c r="B17" s="671" t="s">
        <v>308</v>
      </c>
      <c r="C17" s="612" t="s">
        <v>191</v>
      </c>
      <c r="D17" s="675">
        <f aca="true" t="shared" si="0" ref="D17:D53">E17+F17+J17</f>
        <v>4191.8</v>
      </c>
      <c r="E17" s="673">
        <f>1468-568.2-72</f>
        <v>827.8</v>
      </c>
      <c r="F17" s="673">
        <v>1641</v>
      </c>
      <c r="G17" s="396"/>
      <c r="H17" s="396"/>
      <c r="I17" s="396"/>
      <c r="J17" s="673">
        <v>1723</v>
      </c>
      <c r="K17" s="612" t="s">
        <v>40</v>
      </c>
      <c r="L17" s="78"/>
    </row>
    <row r="18" spans="1:12" s="218" customFormat="1" ht="24" customHeight="1">
      <c r="A18" s="670"/>
      <c r="B18" s="672"/>
      <c r="C18" s="614"/>
      <c r="D18" s="676"/>
      <c r="E18" s="674"/>
      <c r="F18" s="674"/>
      <c r="G18" s="396"/>
      <c r="H18" s="396"/>
      <c r="I18" s="396"/>
      <c r="J18" s="674"/>
      <c r="K18" s="614"/>
      <c r="L18" s="78"/>
    </row>
    <row r="19" spans="1:12" s="218" customFormat="1" ht="46.5" customHeight="1">
      <c r="A19" s="61">
        <v>3</v>
      </c>
      <c r="B19" s="268" t="s">
        <v>228</v>
      </c>
      <c r="C19" s="61" t="s">
        <v>191</v>
      </c>
      <c r="D19" s="398">
        <f t="shared" si="0"/>
        <v>190</v>
      </c>
      <c r="E19" s="396">
        <f>60-10</f>
        <v>50</v>
      </c>
      <c r="F19" s="396">
        <v>70</v>
      </c>
      <c r="G19" s="396"/>
      <c r="H19" s="396"/>
      <c r="I19" s="396"/>
      <c r="J19" s="396">
        <v>70</v>
      </c>
      <c r="K19" s="267" t="s">
        <v>40</v>
      </c>
      <c r="L19" s="78"/>
    </row>
    <row r="20" spans="1:12" s="218" customFormat="1" ht="39.75" customHeight="1">
      <c r="A20" s="61">
        <v>4</v>
      </c>
      <c r="B20" s="268" t="s">
        <v>229</v>
      </c>
      <c r="C20" s="61" t="s">
        <v>191</v>
      </c>
      <c r="D20" s="398">
        <f t="shared" si="0"/>
        <v>5848</v>
      </c>
      <c r="E20" s="396">
        <f>1150+850-654</f>
        <v>1346</v>
      </c>
      <c r="F20" s="396">
        <f>1219+1000</f>
        <v>2219</v>
      </c>
      <c r="G20" s="396"/>
      <c r="H20" s="396"/>
      <c r="I20" s="396"/>
      <c r="J20" s="396">
        <f>1283+1000</f>
        <v>2283</v>
      </c>
      <c r="K20" s="267" t="s">
        <v>40</v>
      </c>
      <c r="L20" s="78"/>
    </row>
    <row r="21" spans="1:12" s="218" customFormat="1" ht="43.5" customHeight="1">
      <c r="A21" s="61">
        <v>5</v>
      </c>
      <c r="B21" s="268" t="s">
        <v>309</v>
      </c>
      <c r="C21" s="61" t="s">
        <v>191</v>
      </c>
      <c r="D21" s="398">
        <f t="shared" si="0"/>
        <v>500</v>
      </c>
      <c r="E21" s="396">
        <v>150</v>
      </c>
      <c r="F21" s="396">
        <v>170</v>
      </c>
      <c r="G21" s="396"/>
      <c r="H21" s="396"/>
      <c r="I21" s="396"/>
      <c r="J21" s="396">
        <v>180</v>
      </c>
      <c r="K21" s="267" t="s">
        <v>40</v>
      </c>
      <c r="L21" s="78"/>
    </row>
    <row r="22" spans="1:12" s="218" customFormat="1" ht="57" customHeight="1">
      <c r="A22" s="61">
        <v>6</v>
      </c>
      <c r="B22" s="268" t="s">
        <v>232</v>
      </c>
      <c r="C22" s="61" t="s">
        <v>191</v>
      </c>
      <c r="D22" s="398">
        <f t="shared" si="0"/>
        <v>0</v>
      </c>
      <c r="E22" s="396">
        <f>1200-1200</f>
        <v>0</v>
      </c>
      <c r="F22" s="396"/>
      <c r="G22" s="396"/>
      <c r="H22" s="396"/>
      <c r="I22" s="396"/>
      <c r="J22" s="396"/>
      <c r="K22" s="267" t="s">
        <v>40</v>
      </c>
      <c r="L22" s="78"/>
    </row>
    <row r="23" spans="1:12" s="218" customFormat="1" ht="46.5" customHeight="1">
      <c r="A23" s="61">
        <v>7</v>
      </c>
      <c r="B23" s="268" t="s">
        <v>233</v>
      </c>
      <c r="C23" s="61" t="s">
        <v>191</v>
      </c>
      <c r="D23" s="398">
        <f t="shared" si="0"/>
        <v>0</v>
      </c>
      <c r="E23" s="396">
        <f>130-130</f>
        <v>0</v>
      </c>
      <c r="F23" s="396"/>
      <c r="G23" s="396"/>
      <c r="H23" s="396"/>
      <c r="I23" s="396"/>
      <c r="J23" s="396"/>
      <c r="K23" s="267" t="s">
        <v>40</v>
      </c>
      <c r="L23" s="78"/>
    </row>
    <row r="24" spans="1:12" s="264" customFormat="1" ht="27.75" customHeight="1" hidden="1">
      <c r="A24" s="334">
        <v>6</v>
      </c>
      <c r="B24" s="282"/>
      <c r="C24" s="277"/>
      <c r="D24" s="431"/>
      <c r="E24" s="432"/>
      <c r="F24" s="432"/>
      <c r="G24" s="432"/>
      <c r="H24" s="432"/>
      <c r="I24" s="432"/>
      <c r="J24" s="432"/>
      <c r="K24" s="277"/>
      <c r="L24" s="274"/>
    </row>
    <row r="25" spans="1:12" ht="34.5" customHeight="1" hidden="1">
      <c r="A25" s="667">
        <v>10</v>
      </c>
      <c r="B25" s="671" t="s">
        <v>1</v>
      </c>
      <c r="C25" s="61" t="s">
        <v>449</v>
      </c>
      <c r="D25" s="398">
        <f t="shared" si="0"/>
        <v>123</v>
      </c>
      <c r="E25" s="396">
        <v>65</v>
      </c>
      <c r="F25" s="396">
        <v>58</v>
      </c>
      <c r="G25" s="396"/>
      <c r="H25" s="396"/>
      <c r="I25" s="396"/>
      <c r="J25" s="396"/>
      <c r="K25" s="612" t="s">
        <v>464</v>
      </c>
      <c r="L25" s="15"/>
    </row>
    <row r="26" spans="1:12" ht="18.75" hidden="1">
      <c r="A26" s="669"/>
      <c r="B26" s="672"/>
      <c r="C26" s="61" t="s">
        <v>155</v>
      </c>
      <c r="D26" s="398">
        <f t="shared" si="0"/>
        <v>75</v>
      </c>
      <c r="E26" s="396"/>
      <c r="F26" s="396"/>
      <c r="G26" s="396"/>
      <c r="H26" s="396"/>
      <c r="I26" s="396"/>
      <c r="J26" s="396">
        <v>75</v>
      </c>
      <c r="K26" s="614"/>
      <c r="L26" s="15"/>
    </row>
    <row r="27" spans="1:12" ht="36.75" customHeight="1" hidden="1">
      <c r="A27" s="667">
        <v>11</v>
      </c>
      <c r="B27" s="671" t="s">
        <v>94</v>
      </c>
      <c r="C27" s="61" t="s">
        <v>449</v>
      </c>
      <c r="D27" s="398">
        <f t="shared" si="0"/>
        <v>274</v>
      </c>
      <c r="E27" s="396">
        <f>42+80+87</f>
        <v>209</v>
      </c>
      <c r="F27" s="396">
        <f>63+2</f>
        <v>65</v>
      </c>
      <c r="G27" s="396"/>
      <c r="H27" s="396"/>
      <c r="I27" s="396"/>
      <c r="J27" s="396"/>
      <c r="K27" s="612" t="s">
        <v>464</v>
      </c>
      <c r="L27" s="15"/>
    </row>
    <row r="28" spans="1:12" ht="29.25" customHeight="1" hidden="1">
      <c r="A28" s="669"/>
      <c r="B28" s="672"/>
      <c r="C28" s="195" t="s">
        <v>155</v>
      </c>
      <c r="D28" s="398">
        <f t="shared" si="0"/>
        <v>75</v>
      </c>
      <c r="E28" s="396"/>
      <c r="F28" s="396"/>
      <c r="G28" s="396"/>
      <c r="H28" s="396"/>
      <c r="I28" s="396"/>
      <c r="J28" s="396">
        <v>75</v>
      </c>
      <c r="K28" s="614"/>
      <c r="L28" s="15"/>
    </row>
    <row r="29" spans="1:12" ht="37.5" hidden="1">
      <c r="A29" s="76">
        <v>12</v>
      </c>
      <c r="B29" s="60" t="s">
        <v>43</v>
      </c>
      <c r="C29" s="195" t="s">
        <v>449</v>
      </c>
      <c r="D29" s="398">
        <f t="shared" si="0"/>
        <v>150</v>
      </c>
      <c r="E29" s="92">
        <v>150</v>
      </c>
      <c r="F29" s="396">
        <v>0</v>
      </c>
      <c r="G29" s="396">
        <v>0</v>
      </c>
      <c r="H29" s="396">
        <v>0</v>
      </c>
      <c r="I29" s="396">
        <v>0</v>
      </c>
      <c r="J29" s="396">
        <v>0</v>
      </c>
      <c r="K29" s="259" t="s">
        <v>464</v>
      </c>
      <c r="L29" s="15"/>
    </row>
    <row r="30" spans="1:12" ht="37.5" hidden="1">
      <c r="A30" s="76">
        <v>13</v>
      </c>
      <c r="B30" s="60" t="s">
        <v>44</v>
      </c>
      <c r="C30" s="195" t="s">
        <v>449</v>
      </c>
      <c r="D30" s="398">
        <f t="shared" si="0"/>
        <v>1</v>
      </c>
      <c r="E30" s="92">
        <v>1</v>
      </c>
      <c r="F30" s="396">
        <v>0</v>
      </c>
      <c r="G30" s="396"/>
      <c r="H30" s="396"/>
      <c r="I30" s="396"/>
      <c r="J30" s="396">
        <v>0</v>
      </c>
      <c r="K30" s="259" t="s">
        <v>464</v>
      </c>
      <c r="L30" s="15"/>
    </row>
    <row r="31" spans="1:12" s="264" customFormat="1" ht="56.25" customHeight="1" hidden="1">
      <c r="A31" s="278"/>
      <c r="B31" s="279"/>
      <c r="C31" s="273"/>
      <c r="D31" s="431"/>
      <c r="E31" s="432"/>
      <c r="F31" s="432"/>
      <c r="G31" s="432"/>
      <c r="H31" s="432"/>
      <c r="I31" s="432"/>
      <c r="J31" s="432"/>
      <c r="K31" s="276"/>
      <c r="L31" s="274"/>
    </row>
    <row r="32" spans="1:12" ht="75" hidden="1">
      <c r="A32" s="76">
        <v>15</v>
      </c>
      <c r="B32" s="60" t="s">
        <v>90</v>
      </c>
      <c r="C32" s="195" t="s">
        <v>449</v>
      </c>
      <c r="D32" s="398">
        <f t="shared" si="0"/>
        <v>250</v>
      </c>
      <c r="E32" s="92">
        <v>0</v>
      </c>
      <c r="F32" s="396">
        <v>250</v>
      </c>
      <c r="G32" s="396"/>
      <c r="H32" s="396"/>
      <c r="I32" s="396"/>
      <c r="J32" s="396">
        <v>0</v>
      </c>
      <c r="K32" s="259" t="s">
        <v>464</v>
      </c>
      <c r="L32" s="15"/>
    </row>
    <row r="33" spans="1:12" ht="37.5" hidden="1">
      <c r="A33" s="76">
        <v>16</v>
      </c>
      <c r="B33" s="60" t="s">
        <v>93</v>
      </c>
      <c r="C33" s="195" t="s">
        <v>449</v>
      </c>
      <c r="D33" s="398">
        <f t="shared" si="0"/>
        <v>200</v>
      </c>
      <c r="E33" s="92">
        <v>0</v>
      </c>
      <c r="F33" s="396">
        <v>200</v>
      </c>
      <c r="G33" s="396"/>
      <c r="H33" s="396"/>
      <c r="I33" s="396"/>
      <c r="J33" s="396">
        <v>0</v>
      </c>
      <c r="K33" s="259" t="s">
        <v>464</v>
      </c>
      <c r="L33" s="15"/>
    </row>
    <row r="34" spans="1:12" ht="86.25" customHeight="1" hidden="1">
      <c r="A34" s="76">
        <v>17</v>
      </c>
      <c r="B34" s="60" t="s">
        <v>95</v>
      </c>
      <c r="C34" s="195" t="s">
        <v>449</v>
      </c>
      <c r="D34" s="398">
        <f t="shared" si="0"/>
        <v>79.7</v>
      </c>
      <c r="E34" s="92">
        <v>0</v>
      </c>
      <c r="F34" s="396">
        <f>0+20+30+16.2+13.5</f>
        <v>79.7</v>
      </c>
      <c r="G34" s="396"/>
      <c r="H34" s="396"/>
      <c r="I34" s="396"/>
      <c r="J34" s="396">
        <v>0</v>
      </c>
      <c r="K34" s="259" t="s">
        <v>464</v>
      </c>
      <c r="L34" s="15"/>
    </row>
    <row r="35" spans="1:12" ht="32.25" customHeight="1" hidden="1">
      <c r="A35" s="667">
        <v>18</v>
      </c>
      <c r="B35" s="671" t="s">
        <v>125</v>
      </c>
      <c r="C35" s="195" t="s">
        <v>449</v>
      </c>
      <c r="D35" s="398">
        <f t="shared" si="0"/>
        <v>15</v>
      </c>
      <c r="E35" s="92">
        <v>0</v>
      </c>
      <c r="F35" s="396">
        <f>0+12+3</f>
        <v>15</v>
      </c>
      <c r="G35" s="396"/>
      <c r="H35" s="396"/>
      <c r="I35" s="396"/>
      <c r="J35" s="396"/>
      <c r="K35" s="612" t="s">
        <v>464</v>
      </c>
      <c r="L35" s="15"/>
    </row>
    <row r="36" spans="1:12" ht="21" customHeight="1" hidden="1">
      <c r="A36" s="669"/>
      <c r="B36" s="672"/>
      <c r="C36" s="195" t="s">
        <v>155</v>
      </c>
      <c r="D36" s="398">
        <f t="shared" si="0"/>
        <v>30</v>
      </c>
      <c r="E36" s="92"/>
      <c r="F36" s="396"/>
      <c r="G36" s="396"/>
      <c r="H36" s="396"/>
      <c r="I36" s="396"/>
      <c r="J36" s="396">
        <v>30</v>
      </c>
      <c r="K36" s="614"/>
      <c r="L36" s="15"/>
    </row>
    <row r="37" spans="1:12" ht="42" customHeight="1" hidden="1">
      <c r="A37" s="76">
        <v>19</v>
      </c>
      <c r="B37" s="275" t="s">
        <v>153</v>
      </c>
      <c r="C37" s="61" t="s">
        <v>449</v>
      </c>
      <c r="D37" s="398">
        <f t="shared" si="0"/>
        <v>200</v>
      </c>
      <c r="E37" s="92"/>
      <c r="F37" s="396">
        <f>0+200</f>
        <v>200</v>
      </c>
      <c r="G37" s="396"/>
      <c r="H37" s="396"/>
      <c r="I37" s="396"/>
      <c r="J37" s="396"/>
      <c r="K37" s="259" t="s">
        <v>464</v>
      </c>
      <c r="L37" s="15"/>
    </row>
    <row r="38" spans="1:12" ht="42" customHeight="1" hidden="1">
      <c r="A38" s="76">
        <v>20</v>
      </c>
      <c r="B38" s="139" t="s">
        <v>128</v>
      </c>
      <c r="C38" s="61" t="s">
        <v>449</v>
      </c>
      <c r="D38" s="398">
        <f t="shared" si="0"/>
        <v>80</v>
      </c>
      <c r="E38" s="92"/>
      <c r="F38" s="396">
        <f>0+80</f>
        <v>80</v>
      </c>
      <c r="G38" s="396"/>
      <c r="H38" s="396"/>
      <c r="I38" s="396"/>
      <c r="J38" s="396"/>
      <c r="K38" s="259" t="s">
        <v>464</v>
      </c>
      <c r="L38" s="15"/>
    </row>
    <row r="39" spans="1:12" ht="42" customHeight="1" hidden="1">
      <c r="A39" s="76">
        <v>21</v>
      </c>
      <c r="B39" s="139" t="s">
        <v>130</v>
      </c>
      <c r="C39" s="61" t="s">
        <v>449</v>
      </c>
      <c r="D39" s="398">
        <f t="shared" si="0"/>
        <v>84</v>
      </c>
      <c r="E39" s="92"/>
      <c r="F39" s="396">
        <v>84</v>
      </c>
      <c r="G39" s="396"/>
      <c r="H39" s="396"/>
      <c r="I39" s="396"/>
      <c r="J39" s="396"/>
      <c r="K39" s="259" t="s">
        <v>464</v>
      </c>
      <c r="L39" s="15"/>
    </row>
    <row r="40" spans="1:12" ht="69" customHeight="1" hidden="1">
      <c r="A40" s="76">
        <v>22</v>
      </c>
      <c r="B40" s="139" t="s">
        <v>131</v>
      </c>
      <c r="C40" s="61" t="s">
        <v>449</v>
      </c>
      <c r="D40" s="398">
        <f t="shared" si="0"/>
        <v>11.1</v>
      </c>
      <c r="E40" s="92"/>
      <c r="F40" s="396">
        <v>11.1</v>
      </c>
      <c r="G40" s="396"/>
      <c r="H40" s="396"/>
      <c r="I40" s="396"/>
      <c r="J40" s="396"/>
      <c r="K40" s="259" t="s">
        <v>464</v>
      </c>
      <c r="L40" s="15"/>
    </row>
    <row r="41" spans="1:12" ht="34.5" customHeight="1" hidden="1">
      <c r="A41" s="76">
        <v>23</v>
      </c>
      <c r="B41" s="139" t="s">
        <v>152</v>
      </c>
      <c r="C41" s="61" t="s">
        <v>449</v>
      </c>
      <c r="D41" s="398">
        <f t="shared" si="0"/>
        <v>96</v>
      </c>
      <c r="E41" s="92"/>
      <c r="F41" s="396">
        <v>96</v>
      </c>
      <c r="G41" s="396"/>
      <c r="H41" s="396"/>
      <c r="I41" s="396"/>
      <c r="J41" s="396"/>
      <c r="K41" s="259" t="s">
        <v>464</v>
      </c>
      <c r="L41" s="15"/>
    </row>
    <row r="42" spans="1:12" ht="54.75" customHeight="1" hidden="1">
      <c r="A42" s="76">
        <v>24</v>
      </c>
      <c r="B42" s="139" t="s">
        <v>132</v>
      </c>
      <c r="C42" s="61" t="s">
        <v>155</v>
      </c>
      <c r="D42" s="398">
        <f t="shared" si="0"/>
        <v>150</v>
      </c>
      <c r="E42" s="92"/>
      <c r="F42" s="396"/>
      <c r="G42" s="396"/>
      <c r="H42" s="396"/>
      <c r="I42" s="396"/>
      <c r="J42" s="396">
        <v>150</v>
      </c>
      <c r="K42" s="259" t="s">
        <v>464</v>
      </c>
      <c r="L42" s="15"/>
    </row>
    <row r="43" spans="1:12" ht="49.5" customHeight="1" hidden="1">
      <c r="A43" s="76">
        <v>25</v>
      </c>
      <c r="B43" s="139" t="s">
        <v>133</v>
      </c>
      <c r="C43" s="61" t="s">
        <v>155</v>
      </c>
      <c r="D43" s="398">
        <f t="shared" si="0"/>
        <v>50</v>
      </c>
      <c r="E43" s="92"/>
      <c r="F43" s="396"/>
      <c r="G43" s="396"/>
      <c r="H43" s="396"/>
      <c r="I43" s="396"/>
      <c r="J43" s="396">
        <v>50</v>
      </c>
      <c r="K43" s="259" t="s">
        <v>464</v>
      </c>
      <c r="L43" s="15"/>
    </row>
    <row r="44" spans="1:12" ht="39.75" customHeight="1" hidden="1">
      <c r="A44" s="76">
        <v>26</v>
      </c>
      <c r="B44" s="139" t="s">
        <v>134</v>
      </c>
      <c r="C44" s="61" t="s">
        <v>155</v>
      </c>
      <c r="D44" s="398">
        <f t="shared" si="0"/>
        <v>85</v>
      </c>
      <c r="E44" s="92"/>
      <c r="F44" s="396"/>
      <c r="G44" s="396"/>
      <c r="H44" s="396"/>
      <c r="I44" s="396"/>
      <c r="J44" s="396">
        <v>85</v>
      </c>
      <c r="K44" s="259" t="s">
        <v>464</v>
      </c>
      <c r="L44" s="15"/>
    </row>
    <row r="45" spans="1:12" ht="38.25" customHeight="1" hidden="1">
      <c r="A45" s="76">
        <v>27</v>
      </c>
      <c r="B45" s="139" t="s">
        <v>135</v>
      </c>
      <c r="C45" s="61" t="s">
        <v>155</v>
      </c>
      <c r="D45" s="398">
        <f t="shared" si="0"/>
        <v>300</v>
      </c>
      <c r="E45" s="92"/>
      <c r="F45" s="396"/>
      <c r="G45" s="396"/>
      <c r="H45" s="396"/>
      <c r="I45" s="396"/>
      <c r="J45" s="396">
        <v>300</v>
      </c>
      <c r="K45" s="259" t="s">
        <v>464</v>
      </c>
      <c r="L45" s="15"/>
    </row>
    <row r="46" spans="1:12" ht="96" customHeight="1" hidden="1">
      <c r="A46" s="76">
        <v>28</v>
      </c>
      <c r="B46" s="139" t="s">
        <v>154</v>
      </c>
      <c r="C46" s="61" t="s">
        <v>155</v>
      </c>
      <c r="D46" s="398">
        <f t="shared" si="0"/>
        <v>60</v>
      </c>
      <c r="E46" s="92"/>
      <c r="F46" s="396"/>
      <c r="G46" s="396"/>
      <c r="H46" s="396"/>
      <c r="I46" s="396"/>
      <c r="J46" s="396">
        <v>60</v>
      </c>
      <c r="K46" s="259" t="s">
        <v>464</v>
      </c>
      <c r="L46" s="15"/>
    </row>
    <row r="47" spans="1:12" ht="39" customHeight="1" hidden="1">
      <c r="A47" s="76">
        <v>29</v>
      </c>
      <c r="B47" s="139" t="s">
        <v>160</v>
      </c>
      <c r="C47" s="61" t="s">
        <v>155</v>
      </c>
      <c r="D47" s="398">
        <f t="shared" si="0"/>
        <v>190</v>
      </c>
      <c r="E47" s="92"/>
      <c r="F47" s="396"/>
      <c r="G47" s="396"/>
      <c r="H47" s="396"/>
      <c r="I47" s="396"/>
      <c r="J47" s="396">
        <v>190</v>
      </c>
      <c r="K47" s="259" t="s">
        <v>464</v>
      </c>
      <c r="L47" s="15"/>
    </row>
    <row r="48" spans="1:12" ht="109.5" customHeight="1" hidden="1">
      <c r="A48" s="76">
        <v>30</v>
      </c>
      <c r="B48" s="139" t="s">
        <v>174</v>
      </c>
      <c r="C48" s="61" t="s">
        <v>155</v>
      </c>
      <c r="D48" s="398">
        <f t="shared" si="0"/>
        <v>4.3</v>
      </c>
      <c r="E48" s="92"/>
      <c r="F48" s="396"/>
      <c r="G48" s="396"/>
      <c r="H48" s="396"/>
      <c r="I48" s="396"/>
      <c r="J48" s="396">
        <v>4.3</v>
      </c>
      <c r="K48" s="259" t="s">
        <v>464</v>
      </c>
      <c r="L48" s="15"/>
    </row>
    <row r="49" spans="1:12" ht="54.75" customHeight="1" hidden="1">
      <c r="A49" s="76">
        <v>31</v>
      </c>
      <c r="B49" s="129" t="s">
        <v>175</v>
      </c>
      <c r="C49" s="61" t="s">
        <v>155</v>
      </c>
      <c r="D49" s="398">
        <f t="shared" si="0"/>
        <v>79</v>
      </c>
      <c r="E49" s="92"/>
      <c r="F49" s="396"/>
      <c r="G49" s="396"/>
      <c r="H49" s="396"/>
      <c r="I49" s="396"/>
      <c r="J49" s="396">
        <v>79</v>
      </c>
      <c r="K49" s="259" t="s">
        <v>464</v>
      </c>
      <c r="L49" s="15"/>
    </row>
    <row r="50" spans="1:12" ht="83.25" customHeight="1" hidden="1">
      <c r="A50" s="76">
        <v>32</v>
      </c>
      <c r="B50" s="129" t="s">
        <v>176</v>
      </c>
      <c r="C50" s="61" t="s">
        <v>155</v>
      </c>
      <c r="D50" s="398">
        <f t="shared" si="0"/>
        <v>190</v>
      </c>
      <c r="E50" s="92"/>
      <c r="F50" s="396"/>
      <c r="G50" s="396"/>
      <c r="H50" s="396"/>
      <c r="I50" s="396"/>
      <c r="J50" s="396">
        <v>190</v>
      </c>
      <c r="K50" s="259" t="s">
        <v>464</v>
      </c>
      <c r="L50" s="15"/>
    </row>
    <row r="51" spans="1:12" ht="39" customHeight="1" hidden="1">
      <c r="A51" s="76">
        <v>33</v>
      </c>
      <c r="B51" s="129" t="s">
        <v>177</v>
      </c>
      <c r="C51" s="61" t="s">
        <v>155</v>
      </c>
      <c r="D51" s="398">
        <f t="shared" si="0"/>
        <v>40</v>
      </c>
      <c r="E51" s="92"/>
      <c r="F51" s="396"/>
      <c r="G51" s="396"/>
      <c r="H51" s="396"/>
      <c r="I51" s="396"/>
      <c r="J51" s="396">
        <v>40</v>
      </c>
      <c r="K51" s="259" t="s">
        <v>464</v>
      </c>
      <c r="L51" s="15"/>
    </row>
    <row r="52" spans="1:12" ht="60.75" customHeight="1" hidden="1">
      <c r="A52" s="76">
        <v>34</v>
      </c>
      <c r="B52" s="129" t="s">
        <v>186</v>
      </c>
      <c r="C52" s="61" t="s">
        <v>155</v>
      </c>
      <c r="D52" s="398">
        <f t="shared" si="0"/>
        <v>39</v>
      </c>
      <c r="E52" s="92"/>
      <c r="F52" s="396"/>
      <c r="G52" s="396"/>
      <c r="H52" s="396"/>
      <c r="I52" s="396"/>
      <c r="J52" s="396">
        <v>39</v>
      </c>
      <c r="K52" s="259" t="s">
        <v>464</v>
      </c>
      <c r="L52" s="15"/>
    </row>
    <row r="53" spans="1:12" ht="46.5" customHeight="1" hidden="1">
      <c r="A53" s="76">
        <v>35</v>
      </c>
      <c r="B53" s="129" t="s">
        <v>187</v>
      </c>
      <c r="C53" s="61" t="s">
        <v>155</v>
      </c>
      <c r="D53" s="398">
        <f t="shared" si="0"/>
        <v>450</v>
      </c>
      <c r="E53" s="92"/>
      <c r="F53" s="396"/>
      <c r="G53" s="396"/>
      <c r="H53" s="396"/>
      <c r="I53" s="396"/>
      <c r="J53" s="396">
        <v>450</v>
      </c>
      <c r="K53" s="259" t="s">
        <v>464</v>
      </c>
      <c r="L53" s="15"/>
    </row>
    <row r="54" spans="1:12" ht="21.75" customHeight="1">
      <c r="A54" s="69"/>
      <c r="B54" s="55" t="s">
        <v>439</v>
      </c>
      <c r="C54" s="65"/>
      <c r="D54" s="90">
        <f>E54+F54+J54</f>
        <v>13508.8</v>
      </c>
      <c r="E54" s="90">
        <f aca="true" t="shared" si="1" ref="E54:J54">E15+E17+E19+E20+E21+E22+E23</f>
        <v>2964</v>
      </c>
      <c r="F54" s="90">
        <f t="shared" si="1"/>
        <v>5167.7</v>
      </c>
      <c r="G54" s="90">
        <f t="shared" si="1"/>
        <v>0</v>
      </c>
      <c r="H54" s="90">
        <f t="shared" si="1"/>
        <v>0</v>
      </c>
      <c r="I54" s="90">
        <f t="shared" si="1"/>
        <v>0</v>
      </c>
      <c r="J54" s="90">
        <f t="shared" si="1"/>
        <v>5377.1</v>
      </c>
      <c r="K54" s="66"/>
      <c r="L54" s="15"/>
    </row>
    <row r="55" spans="1:12" ht="15.75">
      <c r="A55" s="38"/>
      <c r="B55" s="18"/>
      <c r="C55" s="18"/>
      <c r="D55" s="79"/>
      <c r="E55" s="79"/>
      <c r="F55" s="79"/>
      <c r="G55" s="79"/>
      <c r="H55" s="79"/>
      <c r="I55" s="79"/>
      <c r="J55" s="79"/>
      <c r="K55" s="20"/>
      <c r="L55" s="15"/>
    </row>
    <row r="56" spans="1:12" ht="15.75" hidden="1">
      <c r="A56" s="38"/>
      <c r="B56" s="18"/>
      <c r="C56" s="18"/>
      <c r="D56" s="79"/>
      <c r="E56" s="79"/>
      <c r="F56" s="79"/>
      <c r="G56" s="79"/>
      <c r="H56" s="79"/>
      <c r="I56" s="79"/>
      <c r="J56" s="79"/>
      <c r="K56" s="20"/>
      <c r="L56" s="15"/>
    </row>
    <row r="57" spans="1:13" s="80" customFormat="1" ht="18.75" customHeight="1">
      <c r="A57" s="14"/>
      <c r="B57" s="18"/>
      <c r="C57" s="18"/>
      <c r="D57" s="19"/>
      <c r="E57" s="19"/>
      <c r="F57" s="19"/>
      <c r="G57" s="19"/>
      <c r="H57" s="19"/>
      <c r="I57" s="19"/>
      <c r="J57" s="19"/>
      <c r="K57" s="20"/>
      <c r="L57" s="84" t="s">
        <v>441</v>
      </c>
      <c r="M57" s="83"/>
    </row>
    <row r="58" spans="1:13" s="80" customFormat="1" ht="18.75" customHeight="1">
      <c r="A58" s="14"/>
      <c r="B58" s="48"/>
      <c r="C58" s="49"/>
      <c r="D58" s="14"/>
      <c r="E58" s="19"/>
      <c r="F58" s="19"/>
      <c r="G58" s="19"/>
      <c r="H58" s="19"/>
      <c r="I58" s="19"/>
      <c r="J58" s="19"/>
      <c r="K58" s="49"/>
      <c r="L58" s="84"/>
      <c r="M58" s="83"/>
    </row>
    <row r="59" spans="2:12" s="80" customFormat="1" ht="33" customHeight="1">
      <c r="B59" s="225" t="s">
        <v>450</v>
      </c>
      <c r="C59" s="225"/>
      <c r="E59" s="225"/>
      <c r="F59" s="662" t="s">
        <v>578</v>
      </c>
      <c r="G59" s="662"/>
      <c r="H59" s="662"/>
      <c r="I59" s="662"/>
      <c r="J59" s="662"/>
      <c r="K59" s="83"/>
      <c r="L59" s="87"/>
    </row>
    <row r="60" spans="2:14" s="80" customFormat="1" ht="13.5" customHeight="1">
      <c r="B60" s="81"/>
      <c r="C60" s="81"/>
      <c r="E60" s="81"/>
      <c r="F60" s="82"/>
      <c r="G60" s="82"/>
      <c r="H60" s="82"/>
      <c r="I60" s="82"/>
      <c r="J60" s="82"/>
      <c r="K60" s="83"/>
      <c r="L60" s="87"/>
      <c r="N60" s="89"/>
    </row>
    <row r="61" spans="1:11" ht="18.75">
      <c r="A61" s="80"/>
      <c r="B61" s="590" t="s">
        <v>582</v>
      </c>
      <c r="C61" s="590"/>
      <c r="D61" s="80"/>
      <c r="E61" s="85"/>
      <c r="F61" s="86"/>
      <c r="G61" s="86"/>
      <c r="H61" s="86"/>
      <c r="I61" s="86"/>
      <c r="J61" s="86"/>
      <c r="K61" s="87"/>
    </row>
    <row r="62" spans="1:11" ht="15.75">
      <c r="A62" s="80"/>
      <c r="B62" s="113"/>
      <c r="C62" s="80"/>
      <c r="D62" s="88"/>
      <c r="E62" s="86"/>
      <c r="F62" s="86"/>
      <c r="G62" s="86"/>
      <c r="H62" s="86"/>
      <c r="I62" s="86"/>
      <c r="J62" s="86"/>
      <c r="K62" s="87"/>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4">
    <mergeCell ref="B61:C61"/>
    <mergeCell ref="K17:K18"/>
    <mergeCell ref="E17:E18"/>
    <mergeCell ref="K35:K36"/>
    <mergeCell ref="F13:F14"/>
    <mergeCell ref="K27:K28"/>
    <mergeCell ref="K15:K16"/>
    <mergeCell ref="K12:K14"/>
    <mergeCell ref="K25:K26"/>
    <mergeCell ref="E12:J12"/>
    <mergeCell ref="F59:J59"/>
    <mergeCell ref="C15:C16"/>
    <mergeCell ref="J17:J18"/>
    <mergeCell ref="D17:D18"/>
    <mergeCell ref="C17:C18"/>
    <mergeCell ref="F17:F18"/>
    <mergeCell ref="A35:A36"/>
    <mergeCell ref="A25:A26"/>
    <mergeCell ref="B25:B26"/>
    <mergeCell ref="A27:A28"/>
    <mergeCell ref="B27:B28"/>
    <mergeCell ref="A17:A18"/>
    <mergeCell ref="B35:B36"/>
    <mergeCell ref="B17:B18"/>
    <mergeCell ref="B10:K10"/>
    <mergeCell ref="H13:H14"/>
    <mergeCell ref="I13:I14"/>
    <mergeCell ref="C12:C14"/>
    <mergeCell ref="D15:D16"/>
    <mergeCell ref="E13:E14"/>
    <mergeCell ref="B12:B14"/>
    <mergeCell ref="J15:J16"/>
    <mergeCell ref="D12:D14"/>
    <mergeCell ref="G13:G14"/>
    <mergeCell ref="J6:O6"/>
    <mergeCell ref="J7:O7"/>
    <mergeCell ref="A12:A14"/>
    <mergeCell ref="J13:J14"/>
    <mergeCell ref="A15:A16"/>
    <mergeCell ref="B15:B16"/>
    <mergeCell ref="F15:F16"/>
    <mergeCell ref="D11:H11"/>
    <mergeCell ref="E15:E16"/>
    <mergeCell ref="J8:K8"/>
  </mergeCells>
  <printOptions horizontalCentered="1"/>
  <pageMargins left="0" right="0" top="1.1811023622047245" bottom="0" header="0" footer="0"/>
  <pageSetup fitToHeight="0" fitToWidth="1" horizontalDpi="600" verticalDpi="600" orientation="landscape" paperSize="9" scale="68" r:id="rId1"/>
  <rowBreaks count="1" manualBreakCount="1">
    <brk id="61" max="10" man="1"/>
  </rowBreaks>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87"/>
  <sheetViews>
    <sheetView view="pageBreakPreview" zoomScale="80" zoomScaleSheetLayoutView="80" zoomScalePageLayoutView="0" workbookViewId="0" topLeftCell="A9">
      <selection activeCell="E21" sqref="E2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451</v>
      </c>
      <c r="J1" s="1" t="s">
        <v>241</v>
      </c>
      <c r="K1" s="271"/>
      <c r="L1" s="13" t="s">
        <v>451</v>
      </c>
    </row>
    <row r="2" spans="2:15" ht="15.75">
      <c r="B2" s="15"/>
      <c r="C2" s="15"/>
      <c r="D2" s="15"/>
      <c r="E2" s="15"/>
      <c r="F2" s="15"/>
      <c r="G2" s="15"/>
      <c r="H2" s="15"/>
      <c r="I2" s="12" t="s">
        <v>444</v>
      </c>
      <c r="J2" s="12" t="s">
        <v>444</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ustomHeight="1">
      <c r="B6" s="15"/>
      <c r="C6" s="15"/>
      <c r="D6" s="15"/>
      <c r="E6" s="15"/>
      <c r="F6" s="15"/>
      <c r="G6" s="15"/>
      <c r="H6" s="16"/>
      <c r="I6" s="12" t="s">
        <v>454</v>
      </c>
      <c r="J6" s="620" t="s">
        <v>431</v>
      </c>
      <c r="K6" s="620"/>
      <c r="L6" s="620"/>
      <c r="M6" s="620"/>
      <c r="N6" s="620"/>
      <c r="O6" s="620"/>
    </row>
    <row r="7" spans="2:15" ht="15.75" customHeight="1">
      <c r="B7" s="15"/>
      <c r="C7" s="15"/>
      <c r="D7" s="15"/>
      <c r="E7" s="15"/>
      <c r="F7" s="15"/>
      <c r="G7" s="15"/>
      <c r="H7" s="16"/>
      <c r="I7" s="12"/>
      <c r="J7" s="620" t="s">
        <v>597</v>
      </c>
      <c r="K7" s="620"/>
      <c r="L7" s="620"/>
      <c r="M7" s="620"/>
      <c r="N7" s="620"/>
      <c r="O7" s="620"/>
    </row>
    <row r="8" spans="2:15" ht="15.75" customHeight="1">
      <c r="B8" s="15"/>
      <c r="C8" s="15"/>
      <c r="D8" s="15"/>
      <c r="E8" s="15"/>
      <c r="F8" s="15"/>
      <c r="G8" s="15"/>
      <c r="H8" s="15"/>
      <c r="I8" s="15"/>
      <c r="J8" s="620" t="s">
        <v>614</v>
      </c>
      <c r="K8" s="620"/>
      <c r="L8" s="395"/>
      <c r="M8" s="395"/>
      <c r="N8" s="395"/>
      <c r="O8" s="395"/>
    </row>
    <row r="9" spans="2:12" s="218" customFormat="1" ht="36" customHeight="1">
      <c r="B9" s="650" t="s">
        <v>387</v>
      </c>
      <c r="C9" s="650"/>
      <c r="D9" s="650"/>
      <c r="E9" s="650"/>
      <c r="F9" s="650"/>
      <c r="G9" s="650"/>
      <c r="H9" s="650"/>
      <c r="I9" s="650"/>
      <c r="J9" s="650"/>
      <c r="K9" s="650"/>
      <c r="L9" s="78"/>
    </row>
    <row r="10" spans="2:12" ht="18.75">
      <c r="B10" s="15"/>
      <c r="C10" s="15"/>
      <c r="D10" s="626"/>
      <c r="E10" s="626"/>
      <c r="F10" s="626"/>
      <c r="G10" s="626"/>
      <c r="H10" s="626"/>
      <c r="I10" s="15"/>
      <c r="J10" s="15"/>
      <c r="K10" s="250" t="s">
        <v>113</v>
      </c>
      <c r="L10" s="15"/>
    </row>
    <row r="11" spans="1:12" ht="15.75" customHeight="1">
      <c r="A11" s="667" t="s">
        <v>440</v>
      </c>
      <c r="B11" s="622" t="s">
        <v>445</v>
      </c>
      <c r="C11" s="622" t="s">
        <v>446</v>
      </c>
      <c r="D11" s="622" t="s">
        <v>116</v>
      </c>
      <c r="E11" s="627" t="s">
        <v>442</v>
      </c>
      <c r="F11" s="627"/>
      <c r="G11" s="627"/>
      <c r="H11" s="627"/>
      <c r="I11" s="627"/>
      <c r="J11" s="657"/>
      <c r="K11" s="625" t="s">
        <v>448</v>
      </c>
      <c r="L11" s="15"/>
    </row>
    <row r="12" spans="1:12" ht="15.75">
      <c r="A12" s="668"/>
      <c r="B12" s="623"/>
      <c r="C12" s="623"/>
      <c r="D12" s="623"/>
      <c r="E12" s="622">
        <v>2022</v>
      </c>
      <c r="F12" s="622">
        <v>2023</v>
      </c>
      <c r="G12" s="622" t="s">
        <v>457</v>
      </c>
      <c r="H12" s="622" t="s">
        <v>458</v>
      </c>
      <c r="I12" s="622" t="s">
        <v>459</v>
      </c>
      <c r="J12" s="625">
        <v>2024</v>
      </c>
      <c r="K12" s="625"/>
      <c r="L12" s="15"/>
    </row>
    <row r="13" spans="1:12" ht="21.75" customHeight="1">
      <c r="A13" s="669"/>
      <c r="B13" s="624"/>
      <c r="C13" s="624"/>
      <c r="D13" s="624"/>
      <c r="E13" s="624"/>
      <c r="F13" s="624"/>
      <c r="G13" s="624"/>
      <c r="H13" s="624"/>
      <c r="I13" s="624"/>
      <c r="J13" s="625"/>
      <c r="K13" s="625"/>
      <c r="L13" s="15"/>
    </row>
    <row r="14" spans="1:12" s="266" customFormat="1" ht="42.75" customHeight="1">
      <c r="A14" s="287"/>
      <c r="B14" s="190"/>
      <c r="C14" s="190"/>
      <c r="D14" s="57">
        <f>E14+F14+J14</f>
        <v>38935.255</v>
      </c>
      <c r="E14" s="57">
        <f>E15+E16+E17+E18+E19+E20+E21+E22+E23+E24+E27+E29+E28+E30+E31+E32+E33+E34+E35+E36</f>
        <v>5286.415</v>
      </c>
      <c r="F14" s="57">
        <f>F15+F16+F17+F18+F19+F20+F21+F22+F23+F24+F27+F29+F28+F30+F31+F32+F33+F34+F35+F36+F37+F38</f>
        <v>31181.84</v>
      </c>
      <c r="G14" s="57">
        <f>G15+G16+G17+G18+G19+G20+G21+G22+G23+G24+G27+G29+G28+G30+G31+G32+G33+G34+G35</f>
        <v>0</v>
      </c>
      <c r="H14" s="57">
        <f>H15+H16+H17+H18+H19+H20+H21+H22+H23+H24+H27+H29+H28+H30+H31+H32+H33+H34+H35</f>
        <v>0</v>
      </c>
      <c r="I14" s="57">
        <f>I15+I16+I17+I18+I19+I20+I21+I22+I23+I24+I27+I29+I28+I30+I31+I32+I33+I34+I35</f>
        <v>0</v>
      </c>
      <c r="J14" s="57">
        <f>J15+J16+J17+J18+J19+J20+J21+J22+J23+J24+J27+J29+J28+J30+J31+J32+J33+J34+J35</f>
        <v>2467</v>
      </c>
      <c r="K14" s="189"/>
      <c r="L14" s="288"/>
    </row>
    <row r="15" spans="1:12" s="50" customFormat="1" ht="57" customHeight="1">
      <c r="A15" s="267">
        <v>1</v>
      </c>
      <c r="B15" s="268" t="s">
        <v>425</v>
      </c>
      <c r="C15" s="61" t="s">
        <v>191</v>
      </c>
      <c r="D15" s="163">
        <f aca="true" t="shared" si="0" ref="D15:D30">E15+F15+J15</f>
        <v>326.6</v>
      </c>
      <c r="E15" s="104">
        <f>382.2-280-15-47.2</f>
        <v>39.999999999999986</v>
      </c>
      <c r="F15" s="104">
        <f>427.3-290-0.7</f>
        <v>136.60000000000002</v>
      </c>
      <c r="G15" s="104"/>
      <c r="H15" s="104"/>
      <c r="I15" s="104"/>
      <c r="J15" s="104">
        <f>450-300</f>
        <v>150</v>
      </c>
      <c r="K15" s="267" t="s">
        <v>40</v>
      </c>
      <c r="L15" s="370"/>
    </row>
    <row r="16" spans="1:12" s="218" customFormat="1" ht="69" customHeight="1">
      <c r="A16" s="267">
        <v>2</v>
      </c>
      <c r="B16" s="268" t="s">
        <v>430</v>
      </c>
      <c r="C16" s="61" t="s">
        <v>191</v>
      </c>
      <c r="D16" s="163">
        <f t="shared" si="0"/>
        <v>16.13</v>
      </c>
      <c r="E16" s="104">
        <f>4+0.7</f>
        <v>4.7</v>
      </c>
      <c r="F16" s="104">
        <f>4+0.7+2.73</f>
        <v>7.43</v>
      </c>
      <c r="G16" s="104"/>
      <c r="H16" s="104"/>
      <c r="I16" s="104"/>
      <c r="J16" s="104">
        <v>4</v>
      </c>
      <c r="K16" s="267" t="s">
        <v>267</v>
      </c>
      <c r="L16" s="78"/>
    </row>
    <row r="17" spans="1:12" s="218" customFormat="1" ht="56.25" customHeight="1">
      <c r="A17" s="267">
        <v>3</v>
      </c>
      <c r="B17" s="268" t="s">
        <v>227</v>
      </c>
      <c r="C17" s="195" t="s">
        <v>191</v>
      </c>
      <c r="D17" s="163">
        <f t="shared" si="0"/>
        <v>223.27</v>
      </c>
      <c r="E17" s="104">
        <f>101.7-0.7</f>
        <v>101</v>
      </c>
      <c r="F17" s="104">
        <f>60-2.73</f>
        <v>57.27</v>
      </c>
      <c r="G17" s="104"/>
      <c r="H17" s="104"/>
      <c r="I17" s="104"/>
      <c r="J17" s="104">
        <v>65</v>
      </c>
      <c r="K17" s="267" t="s">
        <v>267</v>
      </c>
      <c r="L17" s="78"/>
    </row>
    <row r="18" spans="1:12" s="218" customFormat="1" ht="51.75" customHeight="1">
      <c r="A18" s="267">
        <v>4</v>
      </c>
      <c r="B18" s="268" t="s">
        <v>230</v>
      </c>
      <c r="C18" s="61" t="s">
        <v>191</v>
      </c>
      <c r="D18" s="163">
        <f t="shared" si="0"/>
        <v>175</v>
      </c>
      <c r="E18" s="104">
        <f>45+15</f>
        <v>60</v>
      </c>
      <c r="F18" s="104">
        <f>50+10</f>
        <v>60</v>
      </c>
      <c r="G18" s="104"/>
      <c r="H18" s="104"/>
      <c r="I18" s="104"/>
      <c r="J18" s="104">
        <v>55</v>
      </c>
      <c r="K18" s="267" t="s">
        <v>268</v>
      </c>
      <c r="L18" s="78"/>
    </row>
    <row r="19" spans="1:12" s="218" customFormat="1" ht="39.75" customHeight="1">
      <c r="A19" s="267">
        <v>5</v>
      </c>
      <c r="B19" s="268" t="s">
        <v>342</v>
      </c>
      <c r="C19" s="61" t="s">
        <v>191</v>
      </c>
      <c r="D19" s="163">
        <f t="shared" si="0"/>
        <v>1141.5</v>
      </c>
      <c r="E19" s="104">
        <f>240+100+47.2+19.3</f>
        <v>406.5</v>
      </c>
      <c r="F19" s="104">
        <f>253+217</f>
        <v>470</v>
      </c>
      <c r="G19" s="104"/>
      <c r="H19" s="104"/>
      <c r="I19" s="104"/>
      <c r="J19" s="104">
        <v>265</v>
      </c>
      <c r="K19" s="267" t="s">
        <v>40</v>
      </c>
      <c r="L19" s="78"/>
    </row>
    <row r="20" spans="1:12" s="218" customFormat="1" ht="39.75" customHeight="1">
      <c r="A20" s="267">
        <v>6</v>
      </c>
      <c r="B20" s="268" t="s">
        <v>231</v>
      </c>
      <c r="C20" s="61" t="s">
        <v>191</v>
      </c>
      <c r="D20" s="163">
        <f t="shared" si="0"/>
        <v>1865</v>
      </c>
      <c r="E20" s="104">
        <v>525</v>
      </c>
      <c r="F20" s="104">
        <f>550+230</f>
        <v>780</v>
      </c>
      <c r="G20" s="104"/>
      <c r="H20" s="104"/>
      <c r="I20" s="104"/>
      <c r="J20" s="104">
        <v>560</v>
      </c>
      <c r="K20" s="267" t="s">
        <v>40</v>
      </c>
      <c r="L20" s="78"/>
    </row>
    <row r="21" spans="1:12" s="218" customFormat="1" ht="39.75" customHeight="1">
      <c r="A21" s="267">
        <v>7</v>
      </c>
      <c r="B21" s="268" t="s">
        <v>135</v>
      </c>
      <c r="C21" s="61" t="s">
        <v>191</v>
      </c>
      <c r="D21" s="163">
        <f t="shared" si="0"/>
        <v>1070</v>
      </c>
      <c r="E21" s="104">
        <f>500-19.3-50-154.15-276.55</f>
        <v>0</v>
      </c>
      <c r="F21" s="104">
        <v>520</v>
      </c>
      <c r="G21" s="104"/>
      <c r="H21" s="104"/>
      <c r="I21" s="104"/>
      <c r="J21" s="104">
        <v>550</v>
      </c>
      <c r="K21" s="267" t="s">
        <v>40</v>
      </c>
      <c r="L21" s="78"/>
    </row>
    <row r="22" spans="1:12" s="218" customFormat="1" ht="57.75" customHeight="1">
      <c r="A22" s="267">
        <v>8</v>
      </c>
      <c r="B22" s="268" t="s">
        <v>343</v>
      </c>
      <c r="C22" s="61" t="s">
        <v>191</v>
      </c>
      <c r="D22" s="163">
        <f t="shared" si="0"/>
        <v>260</v>
      </c>
      <c r="E22" s="104">
        <f>100-100</f>
        <v>0</v>
      </c>
      <c r="F22" s="104">
        <v>120</v>
      </c>
      <c r="G22" s="104"/>
      <c r="H22" s="104"/>
      <c r="I22" s="104"/>
      <c r="J22" s="104">
        <v>140</v>
      </c>
      <c r="K22" s="267" t="s">
        <v>40</v>
      </c>
      <c r="L22" s="78"/>
    </row>
    <row r="23" spans="1:12" s="218" customFormat="1" ht="57" customHeight="1">
      <c r="A23" s="267">
        <v>9</v>
      </c>
      <c r="B23" s="268" t="s">
        <v>310</v>
      </c>
      <c r="C23" s="61" t="s">
        <v>191</v>
      </c>
      <c r="D23" s="163">
        <f t="shared" si="0"/>
        <v>119</v>
      </c>
      <c r="E23" s="104">
        <f>53.1-29.86-23.24</f>
        <v>0</v>
      </c>
      <c r="F23" s="104">
        <v>59</v>
      </c>
      <c r="G23" s="104"/>
      <c r="H23" s="104"/>
      <c r="I23" s="104"/>
      <c r="J23" s="104">
        <v>60</v>
      </c>
      <c r="K23" s="267" t="s">
        <v>40</v>
      </c>
      <c r="L23" s="78"/>
    </row>
    <row r="24" spans="1:12" s="218" customFormat="1" ht="45" customHeight="1">
      <c r="A24" s="267">
        <v>10</v>
      </c>
      <c r="B24" s="268" t="s">
        <v>311</v>
      </c>
      <c r="C24" s="61" t="s">
        <v>191</v>
      </c>
      <c r="D24" s="163">
        <f t="shared" si="0"/>
        <v>125</v>
      </c>
      <c r="E24" s="104">
        <f>300-270</f>
        <v>30</v>
      </c>
      <c r="F24" s="104">
        <f>95</f>
        <v>95</v>
      </c>
      <c r="G24" s="104"/>
      <c r="H24" s="104"/>
      <c r="I24" s="104"/>
      <c r="J24" s="104"/>
      <c r="K24" s="267" t="s">
        <v>40</v>
      </c>
      <c r="L24" s="78"/>
    </row>
    <row r="25" spans="1:12" s="218" customFormat="1" ht="97.5" customHeight="1" hidden="1">
      <c r="A25" s="267">
        <v>20</v>
      </c>
      <c r="B25" s="268" t="s">
        <v>234</v>
      </c>
      <c r="C25" s="61" t="s">
        <v>191</v>
      </c>
      <c r="D25" s="163">
        <f t="shared" si="0"/>
        <v>0</v>
      </c>
      <c r="E25" s="104"/>
      <c r="F25" s="104"/>
      <c r="G25" s="104"/>
      <c r="H25" s="104"/>
      <c r="I25" s="104"/>
      <c r="J25" s="104"/>
      <c r="K25" s="267" t="s">
        <v>40</v>
      </c>
      <c r="L25" s="78"/>
    </row>
    <row r="26" spans="1:12" s="218" customFormat="1" ht="75.75" customHeight="1" hidden="1">
      <c r="A26" s="267">
        <v>21</v>
      </c>
      <c r="B26" s="179" t="s">
        <v>235</v>
      </c>
      <c r="C26" s="61" t="s">
        <v>191</v>
      </c>
      <c r="D26" s="163">
        <f t="shared" si="0"/>
        <v>0</v>
      </c>
      <c r="E26" s="104"/>
      <c r="F26" s="104"/>
      <c r="G26" s="104"/>
      <c r="H26" s="104"/>
      <c r="I26" s="104"/>
      <c r="J26" s="104"/>
      <c r="K26" s="267" t="s">
        <v>40</v>
      </c>
      <c r="L26" s="78"/>
    </row>
    <row r="27" spans="1:12" s="218" customFormat="1" ht="39.75" customHeight="1">
      <c r="A27" s="267">
        <v>11</v>
      </c>
      <c r="B27" s="268" t="s">
        <v>392</v>
      </c>
      <c r="C27" s="61" t="s">
        <v>191</v>
      </c>
      <c r="D27" s="163">
        <f t="shared" si="0"/>
        <v>1188.1</v>
      </c>
      <c r="E27" s="104">
        <f>150+40+40-179.9</f>
        <v>50.099999999999994</v>
      </c>
      <c r="F27" s="104">
        <f>159+20+771</f>
        <v>950</v>
      </c>
      <c r="G27" s="104"/>
      <c r="H27" s="104"/>
      <c r="I27" s="104"/>
      <c r="J27" s="104">
        <f>168+20</f>
        <v>188</v>
      </c>
      <c r="K27" s="267" t="s">
        <v>40</v>
      </c>
      <c r="L27" s="78"/>
    </row>
    <row r="28" spans="1:12" s="218" customFormat="1" ht="39" customHeight="1">
      <c r="A28" s="612">
        <v>12</v>
      </c>
      <c r="B28" s="612" t="s">
        <v>615</v>
      </c>
      <c r="C28" s="61" t="s">
        <v>35</v>
      </c>
      <c r="D28" s="163">
        <f t="shared" si="0"/>
        <v>6616.26</v>
      </c>
      <c r="E28" s="104">
        <v>1780</v>
      </c>
      <c r="F28" s="104">
        <f>2923.2+1913.06</f>
        <v>4836.26</v>
      </c>
      <c r="G28" s="104"/>
      <c r="H28" s="104"/>
      <c r="I28" s="104"/>
      <c r="J28" s="104"/>
      <c r="K28" s="612" t="s">
        <v>40</v>
      </c>
      <c r="L28" s="78"/>
    </row>
    <row r="29" spans="1:12" s="50" customFormat="1" ht="51.75" customHeight="1">
      <c r="A29" s="614"/>
      <c r="B29" s="614"/>
      <c r="C29" s="61" t="s">
        <v>191</v>
      </c>
      <c r="D29" s="163">
        <f t="shared" si="0"/>
        <v>8654</v>
      </c>
      <c r="E29" s="104">
        <f>350-27</f>
        <v>323</v>
      </c>
      <c r="F29" s="104">
        <f>380+511+840+6600</f>
        <v>8331</v>
      </c>
      <c r="G29" s="104"/>
      <c r="H29" s="104"/>
      <c r="I29" s="104"/>
      <c r="J29" s="104"/>
      <c r="K29" s="614"/>
      <c r="L29" s="370"/>
    </row>
    <row r="30" spans="1:12" s="218" customFormat="1" ht="146.25" customHeight="1">
      <c r="A30" s="267">
        <v>13</v>
      </c>
      <c r="B30" s="268" t="s">
        <v>422</v>
      </c>
      <c r="C30" s="61" t="s">
        <v>191</v>
      </c>
      <c r="D30" s="163">
        <f t="shared" si="0"/>
        <v>3646.7349999999997</v>
      </c>
      <c r="E30" s="104">
        <f>1542+154.155</f>
        <v>1696.155</v>
      </c>
      <c r="F30" s="104">
        <f>1542+326+82.58</f>
        <v>1950.58</v>
      </c>
      <c r="G30" s="104"/>
      <c r="H30" s="104"/>
      <c r="I30" s="104"/>
      <c r="J30" s="104"/>
      <c r="K30" s="267" t="s">
        <v>40</v>
      </c>
      <c r="L30" s="78"/>
    </row>
    <row r="31" spans="1:12" s="218" customFormat="1" ht="47.25" customHeight="1">
      <c r="A31" s="267">
        <v>14</v>
      </c>
      <c r="B31" s="268" t="s">
        <v>363</v>
      </c>
      <c r="C31" s="61" t="s">
        <v>191</v>
      </c>
      <c r="D31" s="163">
        <f aca="true" t="shared" si="1" ref="D31:D39">E31+F31+J31</f>
        <v>960.1</v>
      </c>
      <c r="E31" s="104">
        <f>325-254.9</f>
        <v>70.1</v>
      </c>
      <c r="F31" s="104">
        <f>345+180</f>
        <v>525</v>
      </c>
      <c r="G31" s="104"/>
      <c r="H31" s="104"/>
      <c r="I31" s="104"/>
      <c r="J31" s="104">
        <v>365</v>
      </c>
      <c r="K31" s="267" t="s">
        <v>40</v>
      </c>
      <c r="L31" s="78"/>
    </row>
    <row r="32" spans="1:12" s="218" customFormat="1" ht="37.5">
      <c r="A32" s="267">
        <v>15</v>
      </c>
      <c r="B32" s="268" t="s">
        <v>306</v>
      </c>
      <c r="C32" s="61" t="s">
        <v>191</v>
      </c>
      <c r="D32" s="163">
        <f t="shared" si="1"/>
        <v>173</v>
      </c>
      <c r="E32" s="104">
        <f>55-7</f>
        <v>48</v>
      </c>
      <c r="F32" s="104">
        <v>60</v>
      </c>
      <c r="G32" s="104"/>
      <c r="H32" s="104"/>
      <c r="I32" s="104"/>
      <c r="J32" s="104">
        <v>65</v>
      </c>
      <c r="K32" s="267" t="s">
        <v>40</v>
      </c>
      <c r="L32" s="78"/>
    </row>
    <row r="33" spans="1:12" s="218" customFormat="1" ht="75">
      <c r="A33" s="267">
        <v>16</v>
      </c>
      <c r="B33" s="478" t="s">
        <v>563</v>
      </c>
      <c r="C33" s="61" t="s">
        <v>191</v>
      </c>
      <c r="D33" s="163">
        <f t="shared" si="1"/>
        <v>50</v>
      </c>
      <c r="E33" s="104">
        <f>0+50</f>
        <v>50</v>
      </c>
      <c r="F33" s="104"/>
      <c r="G33" s="104"/>
      <c r="H33" s="104"/>
      <c r="I33" s="104"/>
      <c r="J33" s="104"/>
      <c r="K33" s="267" t="s">
        <v>40</v>
      </c>
      <c r="L33" s="78"/>
    </row>
    <row r="34" spans="1:12" s="218" customFormat="1" ht="37.5">
      <c r="A34" s="267">
        <v>17</v>
      </c>
      <c r="B34" s="481" t="s">
        <v>566</v>
      </c>
      <c r="C34" s="61" t="s">
        <v>191</v>
      </c>
      <c r="D34" s="163">
        <f t="shared" si="1"/>
        <v>129.86</v>
      </c>
      <c r="E34" s="104">
        <f>0+29.86</f>
        <v>29.86</v>
      </c>
      <c r="F34" s="104">
        <v>100</v>
      </c>
      <c r="G34" s="104"/>
      <c r="H34" s="104"/>
      <c r="I34" s="104"/>
      <c r="J34" s="104"/>
      <c r="K34" s="267" t="s">
        <v>40</v>
      </c>
      <c r="L34" s="78"/>
    </row>
    <row r="35" spans="1:12" s="218" customFormat="1" ht="37.5">
      <c r="A35" s="267">
        <v>18</v>
      </c>
      <c r="B35" s="481" t="s">
        <v>577</v>
      </c>
      <c r="C35" s="61" t="s">
        <v>191</v>
      </c>
      <c r="D35" s="163">
        <f t="shared" si="1"/>
        <v>1500</v>
      </c>
      <c r="E35" s="104"/>
      <c r="F35" s="104">
        <v>1500</v>
      </c>
      <c r="G35" s="104"/>
      <c r="H35" s="104"/>
      <c r="I35" s="104"/>
      <c r="J35" s="104"/>
      <c r="K35" s="267" t="s">
        <v>40</v>
      </c>
      <c r="L35" s="78"/>
    </row>
    <row r="36" spans="1:12" s="218" customFormat="1" ht="37.5">
      <c r="A36" s="267">
        <v>19</v>
      </c>
      <c r="B36" s="481" t="s">
        <v>589</v>
      </c>
      <c r="C36" s="61" t="s">
        <v>191</v>
      </c>
      <c r="D36" s="163">
        <f t="shared" si="1"/>
        <v>1972</v>
      </c>
      <c r="E36" s="104">
        <f>0+72</f>
        <v>72</v>
      </c>
      <c r="F36" s="104">
        <f>0+400+1000+500</f>
        <v>1900</v>
      </c>
      <c r="G36" s="104"/>
      <c r="H36" s="104"/>
      <c r="I36" s="104"/>
      <c r="J36" s="104"/>
      <c r="K36" s="267" t="s">
        <v>40</v>
      </c>
      <c r="L36" s="78"/>
    </row>
    <row r="37" spans="1:12" s="218" customFormat="1" ht="37.5">
      <c r="A37" s="267">
        <v>20</v>
      </c>
      <c r="B37" s="481" t="s">
        <v>592</v>
      </c>
      <c r="C37" s="61" t="s">
        <v>191</v>
      </c>
      <c r="D37" s="163">
        <f t="shared" si="1"/>
        <v>6200</v>
      </c>
      <c r="E37" s="104"/>
      <c r="F37" s="104">
        <v>6200</v>
      </c>
      <c r="G37" s="104"/>
      <c r="H37" s="104"/>
      <c r="I37" s="104"/>
      <c r="J37" s="104"/>
      <c r="K37" s="267" t="s">
        <v>40</v>
      </c>
      <c r="L37" s="78"/>
    </row>
    <row r="38" spans="1:12" s="218" customFormat="1" ht="37.5">
      <c r="A38" s="267">
        <v>21</v>
      </c>
      <c r="B38" s="481" t="s">
        <v>610</v>
      </c>
      <c r="C38" s="61" t="s">
        <v>191</v>
      </c>
      <c r="D38" s="163">
        <f t="shared" si="1"/>
        <v>2523.7</v>
      </c>
      <c r="E38" s="104"/>
      <c r="F38" s="104">
        <f>655.6+868.1+1000</f>
        <v>2523.7</v>
      </c>
      <c r="G38" s="104"/>
      <c r="H38" s="104"/>
      <c r="I38" s="104"/>
      <c r="J38" s="104"/>
      <c r="K38" s="267" t="s">
        <v>40</v>
      </c>
      <c r="L38" s="78"/>
    </row>
    <row r="39" spans="1:12" s="291" customFormat="1" ht="48.75" customHeight="1">
      <c r="A39" s="239"/>
      <c r="B39" s="289"/>
      <c r="C39" s="235"/>
      <c r="D39" s="163">
        <f t="shared" si="1"/>
        <v>3037.5299999999997</v>
      </c>
      <c r="E39" s="163">
        <f aca="true" t="shared" si="2" ref="E39:J39">E40+E41+E42+E43</f>
        <v>955.1</v>
      </c>
      <c r="F39" s="163">
        <f t="shared" si="2"/>
        <v>1004.8299999999999</v>
      </c>
      <c r="G39" s="163">
        <f t="shared" si="2"/>
        <v>244.7</v>
      </c>
      <c r="H39" s="163">
        <f t="shared" si="2"/>
        <v>244.7</v>
      </c>
      <c r="I39" s="163">
        <f t="shared" si="2"/>
        <v>244.7</v>
      </c>
      <c r="J39" s="163">
        <f t="shared" si="2"/>
        <v>1077.6000000000001</v>
      </c>
      <c r="K39" s="239"/>
      <c r="L39" s="290"/>
    </row>
    <row r="40" spans="1:12" ht="59.25" customHeight="1">
      <c r="A40" s="159">
        <v>22</v>
      </c>
      <c r="B40" s="268" t="s">
        <v>86</v>
      </c>
      <c r="C40" s="61" t="s">
        <v>191</v>
      </c>
      <c r="D40" s="163">
        <f aca="true" t="shared" si="3" ref="D40:D73">E40+F40+J40</f>
        <v>551.25</v>
      </c>
      <c r="E40" s="103">
        <v>182.5</v>
      </c>
      <c r="F40" s="103">
        <v>183.75</v>
      </c>
      <c r="G40" s="103">
        <v>177.5</v>
      </c>
      <c r="H40" s="103">
        <v>177.5</v>
      </c>
      <c r="I40" s="103">
        <v>177.5</v>
      </c>
      <c r="J40" s="103">
        <v>185</v>
      </c>
      <c r="K40" s="612" t="s">
        <v>591</v>
      </c>
      <c r="L40" s="15"/>
    </row>
    <row r="41" spans="1:12" ht="84" customHeight="1">
      <c r="A41" s="267">
        <v>23</v>
      </c>
      <c r="B41" s="268" t="s">
        <v>236</v>
      </c>
      <c r="C41" s="61" t="s">
        <v>191</v>
      </c>
      <c r="D41" s="163">
        <f t="shared" si="3"/>
        <v>440.28999999999996</v>
      </c>
      <c r="E41" s="103">
        <v>136.23</v>
      </c>
      <c r="F41" s="103">
        <v>144.7</v>
      </c>
      <c r="G41" s="103"/>
      <c r="H41" s="103"/>
      <c r="I41" s="103"/>
      <c r="J41" s="103">
        <v>159.36</v>
      </c>
      <c r="K41" s="613"/>
      <c r="L41" s="15"/>
    </row>
    <row r="42" spans="1:12" ht="125.25" customHeight="1">
      <c r="A42" s="336">
        <v>24</v>
      </c>
      <c r="B42" s="268" t="s">
        <v>237</v>
      </c>
      <c r="C42" s="61" t="s">
        <v>191</v>
      </c>
      <c r="D42" s="163">
        <f t="shared" si="3"/>
        <v>1810.79</v>
      </c>
      <c r="E42" s="103">
        <v>563.17</v>
      </c>
      <c r="F42" s="103">
        <v>597.18</v>
      </c>
      <c r="G42" s="103"/>
      <c r="H42" s="103"/>
      <c r="I42" s="103"/>
      <c r="J42" s="103">
        <v>650.44</v>
      </c>
      <c r="K42" s="613"/>
      <c r="L42" s="15"/>
    </row>
    <row r="43" spans="1:12" ht="65.25" customHeight="1">
      <c r="A43" s="336">
        <v>25</v>
      </c>
      <c r="B43" s="268" t="s">
        <v>238</v>
      </c>
      <c r="C43" s="61" t="s">
        <v>191</v>
      </c>
      <c r="D43" s="163">
        <f t="shared" si="3"/>
        <v>235.2</v>
      </c>
      <c r="E43" s="103">
        <v>73.2</v>
      </c>
      <c r="F43" s="103">
        <v>79.2</v>
      </c>
      <c r="G43" s="103">
        <v>67.2</v>
      </c>
      <c r="H43" s="103">
        <v>67.2</v>
      </c>
      <c r="I43" s="103">
        <v>67.2</v>
      </c>
      <c r="J43" s="103">
        <v>82.8</v>
      </c>
      <c r="K43" s="613"/>
      <c r="L43" s="15"/>
    </row>
    <row r="44" spans="1:12" s="264" customFormat="1" ht="27.75" customHeight="1" hidden="1">
      <c r="A44" s="281"/>
      <c r="B44" s="282"/>
      <c r="C44" s="277"/>
      <c r="D44" s="280"/>
      <c r="E44" s="272"/>
      <c r="F44" s="272"/>
      <c r="G44" s="272"/>
      <c r="H44" s="272"/>
      <c r="I44" s="272"/>
      <c r="J44" s="272"/>
      <c r="K44" s="277"/>
      <c r="L44" s="274"/>
    </row>
    <row r="45" spans="1:12" ht="34.5" customHeight="1" hidden="1">
      <c r="A45" s="667">
        <v>10</v>
      </c>
      <c r="B45" s="671" t="s">
        <v>1</v>
      </c>
      <c r="C45" s="61" t="s">
        <v>449</v>
      </c>
      <c r="D45" s="163">
        <f t="shared" si="3"/>
        <v>123</v>
      </c>
      <c r="E45" s="104">
        <v>65</v>
      </c>
      <c r="F45" s="104">
        <v>58</v>
      </c>
      <c r="G45" s="104"/>
      <c r="H45" s="104"/>
      <c r="I45" s="104"/>
      <c r="J45" s="104"/>
      <c r="K45" s="612" t="s">
        <v>464</v>
      </c>
      <c r="L45" s="15"/>
    </row>
    <row r="46" spans="1:12" ht="18.75" hidden="1">
      <c r="A46" s="669"/>
      <c r="B46" s="672"/>
      <c r="C46" s="61" t="s">
        <v>155</v>
      </c>
      <c r="D46" s="163">
        <f t="shared" si="3"/>
        <v>75</v>
      </c>
      <c r="E46" s="104"/>
      <c r="F46" s="104"/>
      <c r="G46" s="104"/>
      <c r="H46" s="104"/>
      <c r="I46" s="104"/>
      <c r="J46" s="104">
        <v>75</v>
      </c>
      <c r="K46" s="614"/>
      <c r="L46" s="15"/>
    </row>
    <row r="47" spans="1:12" ht="36.75" customHeight="1" hidden="1">
      <c r="A47" s="667">
        <v>11</v>
      </c>
      <c r="B47" s="671" t="s">
        <v>94</v>
      </c>
      <c r="C47" s="61" t="s">
        <v>449</v>
      </c>
      <c r="D47" s="163">
        <f t="shared" si="3"/>
        <v>274</v>
      </c>
      <c r="E47" s="104">
        <f>42+80+87</f>
        <v>209</v>
      </c>
      <c r="F47" s="104">
        <f>63+2</f>
        <v>65</v>
      </c>
      <c r="G47" s="104"/>
      <c r="H47" s="104"/>
      <c r="I47" s="104"/>
      <c r="J47" s="104"/>
      <c r="K47" s="612" t="s">
        <v>464</v>
      </c>
      <c r="L47" s="15"/>
    </row>
    <row r="48" spans="1:12" ht="29.25" customHeight="1" hidden="1">
      <c r="A48" s="669"/>
      <c r="B48" s="672"/>
      <c r="C48" s="195" t="s">
        <v>155</v>
      </c>
      <c r="D48" s="163">
        <f t="shared" si="3"/>
        <v>75</v>
      </c>
      <c r="E48" s="104"/>
      <c r="F48" s="104"/>
      <c r="G48" s="104"/>
      <c r="H48" s="104"/>
      <c r="I48" s="104"/>
      <c r="J48" s="104">
        <v>75</v>
      </c>
      <c r="K48" s="614"/>
      <c r="L48" s="15"/>
    </row>
    <row r="49" spans="1:12" ht="37.5" hidden="1">
      <c r="A49" s="76">
        <v>12</v>
      </c>
      <c r="B49" s="60" t="s">
        <v>43</v>
      </c>
      <c r="C49" s="195" t="s">
        <v>449</v>
      </c>
      <c r="D49" s="163">
        <f t="shared" si="3"/>
        <v>150</v>
      </c>
      <c r="E49" s="59">
        <v>150</v>
      </c>
      <c r="F49" s="104">
        <v>0</v>
      </c>
      <c r="G49" s="104">
        <v>0</v>
      </c>
      <c r="H49" s="104">
        <v>0</v>
      </c>
      <c r="I49" s="104">
        <v>0</v>
      </c>
      <c r="J49" s="104">
        <v>0</v>
      </c>
      <c r="K49" s="259" t="s">
        <v>464</v>
      </c>
      <c r="L49" s="15"/>
    </row>
    <row r="50" spans="1:12" ht="37.5" hidden="1">
      <c r="A50" s="76">
        <v>13</v>
      </c>
      <c r="B50" s="60" t="s">
        <v>44</v>
      </c>
      <c r="C50" s="195" t="s">
        <v>449</v>
      </c>
      <c r="D50" s="163">
        <f t="shared" si="3"/>
        <v>1</v>
      </c>
      <c r="E50" s="59">
        <v>1</v>
      </c>
      <c r="F50" s="104">
        <v>0</v>
      </c>
      <c r="G50" s="104"/>
      <c r="H50" s="104"/>
      <c r="I50" s="104"/>
      <c r="J50" s="104">
        <v>0</v>
      </c>
      <c r="K50" s="259" t="s">
        <v>464</v>
      </c>
      <c r="L50" s="15"/>
    </row>
    <row r="51" spans="1:12" s="264" customFormat="1" ht="56.25" customHeight="1" hidden="1">
      <c r="A51" s="278"/>
      <c r="B51" s="279"/>
      <c r="C51" s="273"/>
      <c r="D51" s="280"/>
      <c r="E51" s="272"/>
      <c r="F51" s="272"/>
      <c r="G51" s="272"/>
      <c r="H51" s="272"/>
      <c r="I51" s="272"/>
      <c r="J51" s="272"/>
      <c r="K51" s="276"/>
      <c r="L51" s="274"/>
    </row>
    <row r="52" spans="1:12" ht="75" hidden="1">
      <c r="A52" s="76">
        <v>15</v>
      </c>
      <c r="B52" s="60" t="s">
        <v>90</v>
      </c>
      <c r="C52" s="195" t="s">
        <v>449</v>
      </c>
      <c r="D52" s="163">
        <f t="shared" si="3"/>
        <v>250</v>
      </c>
      <c r="E52" s="59">
        <v>0</v>
      </c>
      <c r="F52" s="104">
        <v>250</v>
      </c>
      <c r="G52" s="104"/>
      <c r="H52" s="104"/>
      <c r="I52" s="104"/>
      <c r="J52" s="104">
        <v>0</v>
      </c>
      <c r="K52" s="259" t="s">
        <v>464</v>
      </c>
      <c r="L52" s="15"/>
    </row>
    <row r="53" spans="1:12" ht="37.5" hidden="1">
      <c r="A53" s="76">
        <v>16</v>
      </c>
      <c r="B53" s="60" t="s">
        <v>93</v>
      </c>
      <c r="C53" s="195" t="s">
        <v>449</v>
      </c>
      <c r="D53" s="163">
        <f t="shared" si="3"/>
        <v>200</v>
      </c>
      <c r="E53" s="59">
        <v>0</v>
      </c>
      <c r="F53" s="104">
        <v>200</v>
      </c>
      <c r="G53" s="104"/>
      <c r="H53" s="104"/>
      <c r="I53" s="104"/>
      <c r="J53" s="104">
        <v>0</v>
      </c>
      <c r="K53" s="259" t="s">
        <v>464</v>
      </c>
      <c r="L53" s="15"/>
    </row>
    <row r="54" spans="1:12" ht="86.25" customHeight="1" hidden="1">
      <c r="A54" s="76">
        <v>17</v>
      </c>
      <c r="B54" s="60" t="s">
        <v>95</v>
      </c>
      <c r="C54" s="195" t="s">
        <v>449</v>
      </c>
      <c r="D54" s="163">
        <f t="shared" si="3"/>
        <v>79.7</v>
      </c>
      <c r="E54" s="59">
        <v>0</v>
      </c>
      <c r="F54" s="104">
        <f>0+20+30+16.2+13.5</f>
        <v>79.7</v>
      </c>
      <c r="G54" s="104"/>
      <c r="H54" s="104"/>
      <c r="I54" s="104"/>
      <c r="J54" s="104">
        <v>0</v>
      </c>
      <c r="K54" s="259" t="s">
        <v>464</v>
      </c>
      <c r="L54" s="15"/>
    </row>
    <row r="55" spans="1:12" ht="32.25" customHeight="1" hidden="1">
      <c r="A55" s="667">
        <v>18</v>
      </c>
      <c r="B55" s="671" t="s">
        <v>125</v>
      </c>
      <c r="C55" s="195" t="s">
        <v>449</v>
      </c>
      <c r="D55" s="163">
        <f t="shared" si="3"/>
        <v>15</v>
      </c>
      <c r="E55" s="59">
        <v>0</v>
      </c>
      <c r="F55" s="104">
        <f>0+12+3</f>
        <v>15</v>
      </c>
      <c r="G55" s="104"/>
      <c r="H55" s="104"/>
      <c r="I55" s="104"/>
      <c r="J55" s="104"/>
      <c r="K55" s="612" t="s">
        <v>464</v>
      </c>
      <c r="L55" s="15"/>
    </row>
    <row r="56" spans="1:12" ht="21" customHeight="1" hidden="1">
      <c r="A56" s="669"/>
      <c r="B56" s="672"/>
      <c r="C56" s="195" t="s">
        <v>155</v>
      </c>
      <c r="D56" s="163">
        <f t="shared" si="3"/>
        <v>30</v>
      </c>
      <c r="E56" s="59"/>
      <c r="F56" s="104"/>
      <c r="G56" s="104"/>
      <c r="H56" s="104"/>
      <c r="I56" s="104"/>
      <c r="J56" s="104">
        <v>30</v>
      </c>
      <c r="K56" s="614"/>
      <c r="L56" s="15"/>
    </row>
    <row r="57" spans="1:12" ht="42" customHeight="1" hidden="1">
      <c r="A57" s="76">
        <v>19</v>
      </c>
      <c r="B57" s="275" t="s">
        <v>153</v>
      </c>
      <c r="C57" s="61" t="s">
        <v>449</v>
      </c>
      <c r="D57" s="163">
        <f t="shared" si="3"/>
        <v>200</v>
      </c>
      <c r="E57" s="59"/>
      <c r="F57" s="104">
        <f>0+200</f>
        <v>200</v>
      </c>
      <c r="G57" s="104"/>
      <c r="H57" s="104"/>
      <c r="I57" s="104"/>
      <c r="J57" s="104"/>
      <c r="K57" s="259" t="s">
        <v>464</v>
      </c>
      <c r="L57" s="15"/>
    </row>
    <row r="58" spans="1:12" ht="42" customHeight="1" hidden="1">
      <c r="A58" s="76">
        <v>20</v>
      </c>
      <c r="B58" s="139" t="s">
        <v>128</v>
      </c>
      <c r="C58" s="61" t="s">
        <v>449</v>
      </c>
      <c r="D58" s="163">
        <f t="shared" si="3"/>
        <v>80</v>
      </c>
      <c r="E58" s="59"/>
      <c r="F58" s="104">
        <f>0+80</f>
        <v>80</v>
      </c>
      <c r="G58" s="104"/>
      <c r="H58" s="104"/>
      <c r="I58" s="104"/>
      <c r="J58" s="104"/>
      <c r="K58" s="259" t="s">
        <v>464</v>
      </c>
      <c r="L58" s="15"/>
    </row>
    <row r="59" spans="1:12" ht="42" customHeight="1" hidden="1">
      <c r="A59" s="76">
        <v>21</v>
      </c>
      <c r="B59" s="139" t="s">
        <v>130</v>
      </c>
      <c r="C59" s="61" t="s">
        <v>449</v>
      </c>
      <c r="D59" s="163">
        <f t="shared" si="3"/>
        <v>84</v>
      </c>
      <c r="E59" s="59"/>
      <c r="F59" s="104">
        <v>84</v>
      </c>
      <c r="G59" s="104"/>
      <c r="H59" s="104"/>
      <c r="I59" s="104"/>
      <c r="J59" s="104"/>
      <c r="K59" s="259" t="s">
        <v>464</v>
      </c>
      <c r="L59" s="15"/>
    </row>
    <row r="60" spans="1:12" ht="69" customHeight="1" hidden="1">
      <c r="A60" s="76">
        <v>22</v>
      </c>
      <c r="B60" s="139" t="s">
        <v>131</v>
      </c>
      <c r="C60" s="61" t="s">
        <v>449</v>
      </c>
      <c r="D60" s="163">
        <f t="shared" si="3"/>
        <v>11.1</v>
      </c>
      <c r="E60" s="59"/>
      <c r="F60" s="104">
        <v>11.1</v>
      </c>
      <c r="G60" s="104"/>
      <c r="H60" s="104"/>
      <c r="I60" s="104"/>
      <c r="J60" s="104"/>
      <c r="K60" s="259" t="s">
        <v>464</v>
      </c>
      <c r="L60" s="15"/>
    </row>
    <row r="61" spans="1:12" ht="34.5" customHeight="1" hidden="1">
      <c r="A61" s="76">
        <v>23</v>
      </c>
      <c r="B61" s="139" t="s">
        <v>152</v>
      </c>
      <c r="C61" s="61" t="s">
        <v>449</v>
      </c>
      <c r="D61" s="163">
        <f t="shared" si="3"/>
        <v>96</v>
      </c>
      <c r="E61" s="59"/>
      <c r="F61" s="104">
        <v>96</v>
      </c>
      <c r="G61" s="104"/>
      <c r="H61" s="104"/>
      <c r="I61" s="104"/>
      <c r="J61" s="104"/>
      <c r="K61" s="259" t="s">
        <v>464</v>
      </c>
      <c r="L61" s="15"/>
    </row>
    <row r="62" spans="1:12" ht="54.75" customHeight="1" hidden="1">
      <c r="A62" s="76">
        <v>24</v>
      </c>
      <c r="B62" s="139" t="s">
        <v>132</v>
      </c>
      <c r="C62" s="61" t="s">
        <v>155</v>
      </c>
      <c r="D62" s="163">
        <f t="shared" si="3"/>
        <v>150</v>
      </c>
      <c r="E62" s="59"/>
      <c r="F62" s="104"/>
      <c r="G62" s="104"/>
      <c r="H62" s="104"/>
      <c r="I62" s="104"/>
      <c r="J62" s="104">
        <v>150</v>
      </c>
      <c r="K62" s="259" t="s">
        <v>464</v>
      </c>
      <c r="L62" s="15"/>
    </row>
    <row r="63" spans="1:12" ht="49.5" customHeight="1" hidden="1">
      <c r="A63" s="76">
        <v>25</v>
      </c>
      <c r="B63" s="139" t="s">
        <v>133</v>
      </c>
      <c r="C63" s="61" t="s">
        <v>155</v>
      </c>
      <c r="D63" s="163">
        <f t="shared" si="3"/>
        <v>50</v>
      </c>
      <c r="E63" s="59"/>
      <c r="F63" s="104"/>
      <c r="G63" s="104"/>
      <c r="H63" s="104"/>
      <c r="I63" s="104"/>
      <c r="J63" s="104">
        <v>50</v>
      </c>
      <c r="K63" s="259" t="s">
        <v>464</v>
      </c>
      <c r="L63" s="15"/>
    </row>
    <row r="64" spans="1:12" ht="39.75" customHeight="1" hidden="1">
      <c r="A64" s="76">
        <v>26</v>
      </c>
      <c r="B64" s="139" t="s">
        <v>134</v>
      </c>
      <c r="C64" s="61" t="s">
        <v>155</v>
      </c>
      <c r="D64" s="163">
        <f t="shared" si="3"/>
        <v>85</v>
      </c>
      <c r="E64" s="59"/>
      <c r="F64" s="104"/>
      <c r="G64" s="104"/>
      <c r="H64" s="104"/>
      <c r="I64" s="104"/>
      <c r="J64" s="104">
        <v>85</v>
      </c>
      <c r="K64" s="259" t="s">
        <v>464</v>
      </c>
      <c r="L64" s="15"/>
    </row>
    <row r="65" spans="1:12" ht="38.25" customHeight="1" hidden="1">
      <c r="A65" s="76">
        <v>27</v>
      </c>
      <c r="B65" s="139" t="s">
        <v>135</v>
      </c>
      <c r="C65" s="61" t="s">
        <v>155</v>
      </c>
      <c r="D65" s="163">
        <f t="shared" si="3"/>
        <v>300</v>
      </c>
      <c r="E65" s="59"/>
      <c r="F65" s="104"/>
      <c r="G65" s="104"/>
      <c r="H65" s="104"/>
      <c r="I65" s="104"/>
      <c r="J65" s="104">
        <v>300</v>
      </c>
      <c r="K65" s="259" t="s">
        <v>464</v>
      </c>
      <c r="L65" s="15"/>
    </row>
    <row r="66" spans="1:12" ht="96" customHeight="1" hidden="1">
      <c r="A66" s="76">
        <v>28</v>
      </c>
      <c r="B66" s="139" t="s">
        <v>154</v>
      </c>
      <c r="C66" s="61" t="s">
        <v>155</v>
      </c>
      <c r="D66" s="163">
        <f t="shared" si="3"/>
        <v>60</v>
      </c>
      <c r="E66" s="59"/>
      <c r="F66" s="104"/>
      <c r="G66" s="104"/>
      <c r="H66" s="104"/>
      <c r="I66" s="104"/>
      <c r="J66" s="104">
        <v>60</v>
      </c>
      <c r="K66" s="259" t="s">
        <v>464</v>
      </c>
      <c r="L66" s="15"/>
    </row>
    <row r="67" spans="1:12" ht="39" customHeight="1" hidden="1">
      <c r="A67" s="76">
        <v>29</v>
      </c>
      <c r="B67" s="139" t="s">
        <v>160</v>
      </c>
      <c r="C67" s="61" t="s">
        <v>155</v>
      </c>
      <c r="D67" s="163">
        <f t="shared" si="3"/>
        <v>190</v>
      </c>
      <c r="E67" s="59"/>
      <c r="F67" s="104"/>
      <c r="G67" s="104"/>
      <c r="H67" s="104"/>
      <c r="I67" s="104"/>
      <c r="J67" s="104">
        <v>190</v>
      </c>
      <c r="K67" s="259" t="s">
        <v>464</v>
      </c>
      <c r="L67" s="15"/>
    </row>
    <row r="68" spans="1:12" ht="109.5" customHeight="1" hidden="1">
      <c r="A68" s="76">
        <v>30</v>
      </c>
      <c r="B68" s="139" t="s">
        <v>174</v>
      </c>
      <c r="C68" s="61" t="s">
        <v>155</v>
      </c>
      <c r="D68" s="163">
        <f t="shared" si="3"/>
        <v>4.3</v>
      </c>
      <c r="E68" s="59"/>
      <c r="F68" s="104"/>
      <c r="G68" s="104"/>
      <c r="H68" s="104"/>
      <c r="I68" s="104"/>
      <c r="J68" s="104">
        <v>4.3</v>
      </c>
      <c r="K68" s="259" t="s">
        <v>464</v>
      </c>
      <c r="L68" s="15"/>
    </row>
    <row r="69" spans="1:12" ht="54.75" customHeight="1" hidden="1">
      <c r="A69" s="76">
        <v>31</v>
      </c>
      <c r="B69" s="129" t="s">
        <v>175</v>
      </c>
      <c r="C69" s="61" t="s">
        <v>155</v>
      </c>
      <c r="D69" s="163">
        <f t="shared" si="3"/>
        <v>79</v>
      </c>
      <c r="E69" s="59"/>
      <c r="F69" s="104"/>
      <c r="G69" s="104"/>
      <c r="H69" s="104"/>
      <c r="I69" s="104"/>
      <c r="J69" s="104">
        <v>79</v>
      </c>
      <c r="K69" s="259" t="s">
        <v>464</v>
      </c>
      <c r="L69" s="15"/>
    </row>
    <row r="70" spans="1:12" ht="83.25" customHeight="1" hidden="1">
      <c r="A70" s="76">
        <v>32</v>
      </c>
      <c r="B70" s="129" t="s">
        <v>176</v>
      </c>
      <c r="C70" s="61" t="s">
        <v>155</v>
      </c>
      <c r="D70" s="163">
        <f t="shared" si="3"/>
        <v>190</v>
      </c>
      <c r="E70" s="59"/>
      <c r="F70" s="104"/>
      <c r="G70" s="104"/>
      <c r="H70" s="104"/>
      <c r="I70" s="104"/>
      <c r="J70" s="104">
        <v>190</v>
      </c>
      <c r="K70" s="259" t="s">
        <v>464</v>
      </c>
      <c r="L70" s="15"/>
    </row>
    <row r="71" spans="1:12" ht="39" customHeight="1" hidden="1">
      <c r="A71" s="76">
        <v>33</v>
      </c>
      <c r="B71" s="129" t="s">
        <v>177</v>
      </c>
      <c r="C71" s="61" t="s">
        <v>155</v>
      </c>
      <c r="D71" s="163">
        <f t="shared" si="3"/>
        <v>40</v>
      </c>
      <c r="E71" s="59"/>
      <c r="F71" s="104"/>
      <c r="G71" s="104"/>
      <c r="H71" s="104"/>
      <c r="I71" s="104"/>
      <c r="J71" s="104">
        <v>40</v>
      </c>
      <c r="K71" s="259" t="s">
        <v>464</v>
      </c>
      <c r="L71" s="15"/>
    </row>
    <row r="72" spans="1:12" ht="60.75" customHeight="1" hidden="1">
      <c r="A72" s="76">
        <v>34</v>
      </c>
      <c r="B72" s="129" t="s">
        <v>186</v>
      </c>
      <c r="C72" s="61" t="s">
        <v>155</v>
      </c>
      <c r="D72" s="163">
        <f t="shared" si="3"/>
        <v>39</v>
      </c>
      <c r="E72" s="59"/>
      <c r="F72" s="104"/>
      <c r="G72" s="104"/>
      <c r="H72" s="104"/>
      <c r="I72" s="104"/>
      <c r="J72" s="104">
        <v>39</v>
      </c>
      <c r="K72" s="259" t="s">
        <v>464</v>
      </c>
      <c r="L72" s="15"/>
    </row>
    <row r="73" spans="1:12" ht="46.5" customHeight="1" hidden="1">
      <c r="A73" s="76">
        <v>35</v>
      </c>
      <c r="B73" s="129" t="s">
        <v>187</v>
      </c>
      <c r="C73" s="61" t="s">
        <v>155</v>
      </c>
      <c r="D73" s="163">
        <f t="shared" si="3"/>
        <v>450</v>
      </c>
      <c r="E73" s="59"/>
      <c r="F73" s="104"/>
      <c r="G73" s="104"/>
      <c r="H73" s="104"/>
      <c r="I73" s="104"/>
      <c r="J73" s="104">
        <v>450</v>
      </c>
      <c r="K73" s="259" t="s">
        <v>464</v>
      </c>
      <c r="L73" s="15"/>
    </row>
    <row r="74" spans="1:12" ht="21.75" customHeight="1">
      <c r="A74" s="69"/>
      <c r="B74" s="55" t="s">
        <v>439</v>
      </c>
      <c r="C74" s="65"/>
      <c r="D74" s="57">
        <f>E74+F74+J74</f>
        <v>41972.784999999996</v>
      </c>
      <c r="E74" s="57">
        <f aca="true" t="shared" si="4" ref="E74:J74">E39+E14</f>
        <v>6241.515</v>
      </c>
      <c r="F74" s="57">
        <f t="shared" si="4"/>
        <v>32186.67</v>
      </c>
      <c r="G74" s="57">
        <f t="shared" si="4"/>
        <v>244.7</v>
      </c>
      <c r="H74" s="57">
        <f t="shared" si="4"/>
        <v>244.7</v>
      </c>
      <c r="I74" s="57">
        <f t="shared" si="4"/>
        <v>244.7</v>
      </c>
      <c r="J74" s="57">
        <f t="shared" si="4"/>
        <v>3544.6000000000004</v>
      </c>
      <c r="K74" s="66"/>
      <c r="L74" s="15"/>
    </row>
    <row r="75" spans="1:12" ht="15.75">
      <c r="A75" s="38"/>
      <c r="B75" s="18"/>
      <c r="C75" s="18"/>
      <c r="D75" s="79"/>
      <c r="E75" s="79"/>
      <c r="F75" s="79"/>
      <c r="G75" s="79"/>
      <c r="H75" s="79"/>
      <c r="I75" s="79"/>
      <c r="J75" s="79"/>
      <c r="K75" s="20"/>
      <c r="L75" s="15"/>
    </row>
    <row r="76" spans="1:12" ht="15.75" hidden="1">
      <c r="A76" s="38"/>
      <c r="B76" s="18"/>
      <c r="C76" s="18"/>
      <c r="D76" s="79"/>
      <c r="E76" s="79"/>
      <c r="F76" s="79"/>
      <c r="G76" s="79"/>
      <c r="H76" s="79"/>
      <c r="I76" s="79"/>
      <c r="J76" s="79"/>
      <c r="K76" s="20"/>
      <c r="L76" s="15"/>
    </row>
    <row r="77" spans="1:13" s="80" customFormat="1" ht="18.75" customHeight="1">
      <c r="A77" s="14"/>
      <c r="B77" s="18"/>
      <c r="C77" s="18"/>
      <c r="D77" s="19"/>
      <c r="E77" s="19"/>
      <c r="F77" s="19"/>
      <c r="G77" s="19"/>
      <c r="H77" s="19"/>
      <c r="I77" s="19"/>
      <c r="J77" s="19"/>
      <c r="K77" s="20"/>
      <c r="L77" s="84" t="s">
        <v>441</v>
      </c>
      <c r="M77" s="83"/>
    </row>
    <row r="78" spans="1:13" s="80" customFormat="1" ht="18.75" customHeight="1">
      <c r="A78" s="14"/>
      <c r="B78" s="48"/>
      <c r="C78" s="49"/>
      <c r="D78" s="14"/>
      <c r="E78" s="19"/>
      <c r="F78" s="19"/>
      <c r="G78" s="19"/>
      <c r="H78" s="19"/>
      <c r="I78" s="19"/>
      <c r="J78" s="19"/>
      <c r="K78" s="49"/>
      <c r="L78" s="84"/>
      <c r="M78" s="83"/>
    </row>
    <row r="79" spans="2:12" s="80" customFormat="1" ht="33" customHeight="1">
      <c r="B79" s="225" t="s">
        <v>450</v>
      </c>
      <c r="C79" s="225"/>
      <c r="E79" s="225"/>
      <c r="F79" s="662" t="s">
        <v>578</v>
      </c>
      <c r="G79" s="662"/>
      <c r="H79" s="662"/>
      <c r="I79" s="662"/>
      <c r="J79" s="662"/>
      <c r="K79" s="83"/>
      <c r="L79" s="87"/>
    </row>
    <row r="80" spans="2:14" s="80" customFormat="1" ht="13.5" customHeight="1">
      <c r="B80" s="81"/>
      <c r="C80" s="81"/>
      <c r="E80" s="81"/>
      <c r="F80" s="82"/>
      <c r="G80" s="82"/>
      <c r="H80" s="82"/>
      <c r="I80" s="82"/>
      <c r="J80" s="82"/>
      <c r="K80" s="83"/>
      <c r="L80" s="87"/>
      <c r="N80" s="89"/>
    </row>
    <row r="81" spans="1:11" ht="18.75">
      <c r="A81" s="80"/>
      <c r="B81" s="590" t="s">
        <v>582</v>
      </c>
      <c r="C81" s="590"/>
      <c r="D81" s="80"/>
      <c r="E81" s="85"/>
      <c r="F81" s="86"/>
      <c r="G81" s="86"/>
      <c r="H81" s="86"/>
      <c r="I81" s="86"/>
      <c r="J81" s="86"/>
      <c r="K81" s="87"/>
    </row>
    <row r="82" spans="1:11" ht="15.75">
      <c r="A82" s="80"/>
      <c r="B82" s="113"/>
      <c r="C82" s="80"/>
      <c r="D82" s="88"/>
      <c r="E82" s="86"/>
      <c r="F82" s="86"/>
      <c r="G82" s="86"/>
      <c r="H82" s="86"/>
      <c r="I82" s="86"/>
      <c r="J82" s="86"/>
      <c r="K82" s="87"/>
    </row>
    <row r="83" spans="2:11" ht="15.75">
      <c r="B83" s="28"/>
      <c r="C83" s="29"/>
      <c r="D83" s="30"/>
      <c r="E83" s="26"/>
      <c r="F83" s="26"/>
      <c r="G83" s="26"/>
      <c r="H83" s="26"/>
      <c r="I83" s="26"/>
      <c r="J83" s="15"/>
      <c r="K83" s="15"/>
    </row>
    <row r="84" spans="3:10" ht="15.75">
      <c r="C84" s="30"/>
      <c r="D84" s="26"/>
      <c r="E84" s="26"/>
      <c r="F84" s="26"/>
      <c r="G84" s="26"/>
      <c r="H84" s="26"/>
      <c r="I84" s="26"/>
      <c r="J84" s="26"/>
    </row>
    <row r="85" spans="3:10" ht="15.75">
      <c r="C85" s="31"/>
      <c r="D85" s="26"/>
      <c r="E85" s="26"/>
      <c r="F85" s="26"/>
      <c r="G85" s="26"/>
      <c r="H85" s="26"/>
      <c r="I85" s="26"/>
      <c r="J85" s="26"/>
    </row>
    <row r="87" ht="12.75">
      <c r="H87" s="32"/>
    </row>
  </sheetData>
  <sheetProtection/>
  <mergeCells count="32">
    <mergeCell ref="B81:C81"/>
    <mergeCell ref="F79:J79"/>
    <mergeCell ref="K40:K43"/>
    <mergeCell ref="B9:K9"/>
    <mergeCell ref="D10:H10"/>
    <mergeCell ref="G12:G13"/>
    <mergeCell ref="D11:D13"/>
    <mergeCell ref="J6:O6"/>
    <mergeCell ref="K28:K29"/>
    <mergeCell ref="F12:F13"/>
    <mergeCell ref="H12:H13"/>
    <mergeCell ref="I12:I13"/>
    <mergeCell ref="B28:B29"/>
    <mergeCell ref="K11:K13"/>
    <mergeCell ref="J8:K8"/>
    <mergeCell ref="A11:A13"/>
    <mergeCell ref="B11:B13"/>
    <mergeCell ref="C11:C13"/>
    <mergeCell ref="J12:J13"/>
    <mergeCell ref="J7:O7"/>
    <mergeCell ref="E11:J11"/>
    <mergeCell ref="E12:E13"/>
    <mergeCell ref="A55:A56"/>
    <mergeCell ref="B55:B56"/>
    <mergeCell ref="K55:K56"/>
    <mergeCell ref="A47:A48"/>
    <mergeCell ref="K47:K48"/>
    <mergeCell ref="A28:A29"/>
    <mergeCell ref="B45:B46"/>
    <mergeCell ref="K45:K46"/>
    <mergeCell ref="A45:A46"/>
    <mergeCell ref="B47:B48"/>
  </mergeCells>
  <printOptions horizontalCentered="1"/>
  <pageMargins left="0" right="0" top="1.1811023622047245" bottom="0.1968503937007874" header="0" footer="0"/>
  <pageSetup fitToHeight="0" fitToWidth="1" horizontalDpi="600" verticalDpi="600" orientation="landscape" paperSize="9" scale="68" r:id="rId1"/>
  <rowBreaks count="1" manualBreakCount="1">
    <brk id="29" max="10" man="1"/>
  </rowBreaks>
</worksheet>
</file>

<file path=xl/worksheets/sheet12.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0">
      <selection activeCell="G8" sqref="G8:H8"/>
    </sheetView>
  </sheetViews>
  <sheetFormatPr defaultColWidth="9.140625" defaultRowHeight="12.75" outlineLevelCol="1"/>
  <cols>
    <col min="1" max="1" width="6.7109375" style="122" customWidth="1"/>
    <col min="2" max="2" width="50.00390625" style="122" customWidth="1"/>
    <col min="3" max="3" width="20.140625" style="122" customWidth="1"/>
    <col min="4" max="4" width="18.8515625" style="122" customWidth="1"/>
    <col min="5" max="5" width="17.140625" style="122" customWidth="1"/>
    <col min="6" max="6" width="16.421875" style="122" customWidth="1"/>
    <col min="7" max="7" width="17.7109375" style="122" customWidth="1"/>
    <col min="8" max="8" width="55.57421875" style="122" customWidth="1"/>
    <col min="9" max="10" width="9.140625" style="122" hidden="1" customWidth="1"/>
    <col min="11" max="11" width="9.8515625" style="122" hidden="1" customWidth="1"/>
    <col min="12" max="12" width="10.140625" style="122" hidden="1" customWidth="1" outlineLevel="1"/>
    <col min="13" max="15" width="0" style="122" hidden="1" customWidth="1" outlineLevel="1"/>
    <col min="16" max="16" width="9.140625" style="122" customWidth="1" collapsed="1"/>
    <col min="17" max="16384" width="9.140625" style="122" customWidth="1"/>
  </cols>
  <sheetData>
    <row r="1" spans="2:9" ht="15.75">
      <c r="B1" s="127"/>
      <c r="C1" s="127"/>
      <c r="D1" s="127"/>
      <c r="E1" s="127"/>
      <c r="F1" s="127"/>
      <c r="G1" s="1" t="s">
        <v>557</v>
      </c>
      <c r="H1" s="271"/>
      <c r="I1" s="143" t="s">
        <v>451</v>
      </c>
    </row>
    <row r="2" spans="2:12" ht="15.75">
      <c r="B2" s="127"/>
      <c r="C2" s="127"/>
      <c r="D2" s="127"/>
      <c r="E2" s="127"/>
      <c r="F2" s="127"/>
      <c r="G2" s="12" t="s">
        <v>444</v>
      </c>
      <c r="H2" s="12"/>
      <c r="I2" s="15"/>
      <c r="J2" s="12"/>
      <c r="K2" s="12"/>
      <c r="L2" s="12"/>
    </row>
    <row r="3" spans="2:12" ht="15.75">
      <c r="B3" s="127"/>
      <c r="C3" s="127"/>
      <c r="D3" s="127"/>
      <c r="E3" s="127"/>
      <c r="F3" s="127"/>
      <c r="G3" s="12" t="s">
        <v>594</v>
      </c>
      <c r="H3" s="12"/>
      <c r="I3" s="15"/>
      <c r="J3" s="12"/>
      <c r="K3" s="12"/>
      <c r="L3" s="12"/>
    </row>
    <row r="4" spans="2:12" ht="15.75">
      <c r="B4" s="127"/>
      <c r="C4" s="127"/>
      <c r="D4" s="127"/>
      <c r="E4" s="127"/>
      <c r="F4" s="127"/>
      <c r="G4" s="17" t="s">
        <v>158</v>
      </c>
      <c r="H4" s="17"/>
      <c r="I4" s="15"/>
      <c r="J4" s="12"/>
      <c r="K4" s="12"/>
      <c r="L4" s="12"/>
    </row>
    <row r="5" spans="2:12" ht="15.75">
      <c r="B5" s="127"/>
      <c r="C5" s="127"/>
      <c r="D5" s="127"/>
      <c r="E5" s="127"/>
      <c r="F5" s="127"/>
      <c r="G5" s="17" t="s">
        <v>355</v>
      </c>
      <c r="H5" s="17"/>
      <c r="I5" s="15"/>
      <c r="J5" s="12"/>
      <c r="K5" s="12"/>
      <c r="L5" s="12"/>
    </row>
    <row r="6" spans="2:12" ht="15.75">
      <c r="B6" s="127"/>
      <c r="C6" s="127"/>
      <c r="D6" s="127"/>
      <c r="E6" s="127"/>
      <c r="F6" s="127"/>
      <c r="G6" s="17" t="s">
        <v>431</v>
      </c>
      <c r="H6" s="17"/>
      <c r="I6" s="207"/>
      <c r="J6" s="12"/>
      <c r="K6" s="12"/>
      <c r="L6" s="12"/>
    </row>
    <row r="7" spans="2:12" ht="15.75" customHeight="1">
      <c r="B7" s="127"/>
      <c r="C7" s="127"/>
      <c r="D7" s="127"/>
      <c r="E7" s="127"/>
      <c r="F7" s="127"/>
      <c r="G7" s="620" t="s">
        <v>597</v>
      </c>
      <c r="H7" s="620"/>
      <c r="I7" s="620"/>
      <c r="J7" s="620"/>
      <c r="K7" s="620"/>
      <c r="L7" s="620"/>
    </row>
    <row r="8" spans="2:12" ht="15.75" customHeight="1">
      <c r="B8" s="127"/>
      <c r="C8" s="127"/>
      <c r="D8" s="127"/>
      <c r="E8" s="127"/>
      <c r="F8" s="127"/>
      <c r="G8" s="620" t="s">
        <v>609</v>
      </c>
      <c r="H8" s="620"/>
      <c r="I8" s="395"/>
      <c r="J8" s="395"/>
      <c r="K8" s="395"/>
      <c r="L8" s="395"/>
    </row>
    <row r="9" spans="2:9" ht="15.75">
      <c r="B9" s="127"/>
      <c r="C9" s="127"/>
      <c r="D9" s="127"/>
      <c r="E9" s="127"/>
      <c r="F9" s="127"/>
      <c r="G9" s="127"/>
      <c r="H9" s="127"/>
      <c r="I9" s="127"/>
    </row>
    <row r="10" spans="1:9" ht="36.75" customHeight="1">
      <c r="A10" s="691" t="s">
        <v>380</v>
      </c>
      <c r="B10" s="691"/>
      <c r="C10" s="691"/>
      <c r="D10" s="691"/>
      <c r="E10" s="691"/>
      <c r="F10" s="691"/>
      <c r="G10" s="691"/>
      <c r="H10" s="691"/>
      <c r="I10" s="127"/>
    </row>
    <row r="11" spans="2:9" ht="15.75">
      <c r="B11" s="127"/>
      <c r="C11" s="127"/>
      <c r="D11" s="692"/>
      <c r="E11" s="692"/>
      <c r="F11" s="692"/>
      <c r="G11" s="127"/>
      <c r="H11" s="249" t="s">
        <v>113</v>
      </c>
      <c r="I11" s="127"/>
    </row>
    <row r="12" spans="1:9" ht="18.75">
      <c r="A12" s="677" t="s">
        <v>461</v>
      </c>
      <c r="B12" s="677" t="s">
        <v>445</v>
      </c>
      <c r="C12" s="677" t="s">
        <v>446</v>
      </c>
      <c r="D12" s="677" t="s">
        <v>103</v>
      </c>
      <c r="E12" s="680" t="s">
        <v>442</v>
      </c>
      <c r="F12" s="680"/>
      <c r="G12" s="681"/>
      <c r="H12" s="682" t="s">
        <v>448</v>
      </c>
      <c r="I12" s="127"/>
    </row>
    <row r="13" spans="1:9" ht="15.75" customHeight="1">
      <c r="A13" s="678"/>
      <c r="B13" s="678"/>
      <c r="C13" s="678"/>
      <c r="D13" s="678"/>
      <c r="E13" s="677">
        <v>2022</v>
      </c>
      <c r="F13" s="677">
        <v>2023</v>
      </c>
      <c r="G13" s="682">
        <v>2024</v>
      </c>
      <c r="H13" s="682"/>
      <c r="I13" s="127"/>
    </row>
    <row r="14" spans="1:9" ht="26.25" customHeight="1">
      <c r="A14" s="679"/>
      <c r="B14" s="679"/>
      <c r="C14" s="679"/>
      <c r="D14" s="679"/>
      <c r="E14" s="679"/>
      <c r="F14" s="679"/>
      <c r="G14" s="682"/>
      <c r="H14" s="682"/>
      <c r="I14" s="127"/>
    </row>
    <row r="15" spans="1:9" ht="43.5" customHeight="1">
      <c r="A15" s="377">
        <v>1</v>
      </c>
      <c r="B15" s="293" t="s">
        <v>420</v>
      </c>
      <c r="C15" s="285" t="s">
        <v>242</v>
      </c>
      <c r="D15" s="283">
        <f aca="true" t="shared" si="0" ref="D15:D33">E15+F15+G15</f>
        <v>46431</v>
      </c>
      <c r="E15" s="488">
        <f>16448.1-5759.1</f>
        <v>10688.999999999998</v>
      </c>
      <c r="F15" s="458">
        <v>17435</v>
      </c>
      <c r="G15" s="458">
        <v>18307</v>
      </c>
      <c r="H15" s="683" t="s">
        <v>40</v>
      </c>
      <c r="I15" s="127"/>
    </row>
    <row r="16" spans="1:9" ht="27.75" customHeight="1" hidden="1">
      <c r="A16" s="383" t="s">
        <v>41</v>
      </c>
      <c r="B16" s="297" t="s">
        <v>334</v>
      </c>
      <c r="C16" s="686" t="s">
        <v>242</v>
      </c>
      <c r="D16" s="384">
        <f t="shared" si="0"/>
        <v>2637.6000000000004</v>
      </c>
      <c r="E16" s="489">
        <v>1280.4</v>
      </c>
      <c r="F16" s="385">
        <v>1357.2</v>
      </c>
      <c r="G16" s="385"/>
      <c r="H16" s="684"/>
      <c r="I16" s="127"/>
    </row>
    <row r="17" spans="1:9" ht="30.75" customHeight="1" hidden="1">
      <c r="A17" s="383" t="s">
        <v>45</v>
      </c>
      <c r="B17" s="297" t="s">
        <v>335</v>
      </c>
      <c r="C17" s="687"/>
      <c r="D17" s="384">
        <f t="shared" si="0"/>
        <v>2198</v>
      </c>
      <c r="E17" s="489">
        <v>1067</v>
      </c>
      <c r="F17" s="385">
        <v>1131</v>
      </c>
      <c r="G17" s="385"/>
      <c r="H17" s="684"/>
      <c r="I17" s="127"/>
    </row>
    <row r="18" spans="1:9" ht="29.25" customHeight="1" hidden="1">
      <c r="A18" s="383" t="s">
        <v>46</v>
      </c>
      <c r="B18" s="297" t="s">
        <v>336</v>
      </c>
      <c r="C18" s="687"/>
      <c r="D18" s="384">
        <f t="shared" si="0"/>
        <v>2637.6000000000004</v>
      </c>
      <c r="E18" s="489">
        <v>1280.4</v>
      </c>
      <c r="F18" s="385">
        <v>1357.2</v>
      </c>
      <c r="G18" s="385"/>
      <c r="H18" s="684"/>
      <c r="I18" s="127"/>
    </row>
    <row r="19" spans="1:9" ht="30" customHeight="1" hidden="1">
      <c r="A19" s="383" t="s">
        <v>47</v>
      </c>
      <c r="B19" s="297" t="s">
        <v>337</v>
      </c>
      <c r="C19" s="688"/>
      <c r="D19" s="384">
        <f t="shared" si="0"/>
        <v>2637.6000000000004</v>
      </c>
      <c r="E19" s="489">
        <v>1280.4</v>
      </c>
      <c r="F19" s="385">
        <v>1357.2</v>
      </c>
      <c r="G19" s="385"/>
      <c r="H19" s="685"/>
      <c r="I19" s="127"/>
    </row>
    <row r="20" spans="1:12" ht="52.5" customHeight="1">
      <c r="A20" s="284">
        <v>2</v>
      </c>
      <c r="B20" s="268" t="s">
        <v>4</v>
      </c>
      <c r="C20" s="285" t="s">
        <v>242</v>
      </c>
      <c r="D20" s="283">
        <f t="shared" si="0"/>
        <v>12945.999999999998</v>
      </c>
      <c r="E20" s="490">
        <f>452.5+265.4+74.7+117.5+1792+162.6+83.8+621.6+58.5+53.7+252.1+198.4+529+84.7+80-2921.2</f>
        <v>1905.2999999999993</v>
      </c>
      <c r="F20" s="170">
        <f>505.9+296.7+83.5+131.4+2003.5+181.8+93.7+695+63.4+60+281.9+221.8+591.4+94.7+81</f>
        <v>5385.699999999999</v>
      </c>
      <c r="G20" s="170">
        <v>5655</v>
      </c>
      <c r="H20" s="683" t="s">
        <v>40</v>
      </c>
      <c r="I20" s="127"/>
      <c r="L20" s="122" t="s">
        <v>338</v>
      </c>
    </row>
    <row r="21" spans="1:9" ht="27.75" customHeight="1" hidden="1">
      <c r="A21" s="383" t="s">
        <v>81</v>
      </c>
      <c r="B21" s="297" t="s">
        <v>334</v>
      </c>
      <c r="C21" s="686" t="s">
        <v>242</v>
      </c>
      <c r="D21" s="384">
        <f t="shared" si="0"/>
        <v>110</v>
      </c>
      <c r="E21" s="491">
        <v>53.4</v>
      </c>
      <c r="F21" s="386">
        <v>56.6</v>
      </c>
      <c r="G21" s="386"/>
      <c r="H21" s="684"/>
      <c r="I21" s="127"/>
    </row>
    <row r="22" spans="1:9" ht="29.25" customHeight="1" hidden="1">
      <c r="A22" s="383" t="s">
        <v>100</v>
      </c>
      <c r="B22" s="297" t="s">
        <v>335</v>
      </c>
      <c r="C22" s="687"/>
      <c r="D22" s="384">
        <f t="shared" si="0"/>
        <v>1099</v>
      </c>
      <c r="E22" s="491">
        <v>533.5</v>
      </c>
      <c r="F22" s="386">
        <v>565.5</v>
      </c>
      <c r="G22" s="386"/>
      <c r="H22" s="684"/>
      <c r="I22" s="127"/>
    </row>
    <row r="23" spans="1:9" ht="24.75" customHeight="1" hidden="1">
      <c r="A23" s="383" t="s">
        <v>108</v>
      </c>
      <c r="B23" s="297" t="s">
        <v>336</v>
      </c>
      <c r="C23" s="687"/>
      <c r="D23" s="384">
        <f t="shared" si="0"/>
        <v>330</v>
      </c>
      <c r="E23" s="491">
        <v>160</v>
      </c>
      <c r="F23" s="386">
        <v>170</v>
      </c>
      <c r="G23" s="386"/>
      <c r="H23" s="684"/>
      <c r="I23" s="127"/>
    </row>
    <row r="24" spans="1:9" ht="27" customHeight="1" hidden="1">
      <c r="A24" s="383" t="s">
        <v>109</v>
      </c>
      <c r="B24" s="297" t="s">
        <v>337</v>
      </c>
      <c r="C24" s="688"/>
      <c r="D24" s="384">
        <f t="shared" si="0"/>
        <v>330</v>
      </c>
      <c r="E24" s="491">
        <v>160</v>
      </c>
      <c r="F24" s="386">
        <v>170</v>
      </c>
      <c r="G24" s="386"/>
      <c r="H24" s="685"/>
      <c r="I24" s="127"/>
    </row>
    <row r="25" spans="1:9" ht="60.75" customHeight="1">
      <c r="A25" s="284">
        <v>3</v>
      </c>
      <c r="B25" s="286" t="s">
        <v>500</v>
      </c>
      <c r="C25" s="285" t="s">
        <v>242</v>
      </c>
      <c r="D25" s="283">
        <f t="shared" si="0"/>
        <v>18188.3</v>
      </c>
      <c r="E25" s="490">
        <f>5928.7-150-1178.7</f>
        <v>4600</v>
      </c>
      <c r="F25" s="170">
        <v>6628.3</v>
      </c>
      <c r="G25" s="170">
        <v>6960</v>
      </c>
      <c r="H25" s="284" t="s">
        <v>40</v>
      </c>
      <c r="I25" s="127"/>
    </row>
    <row r="26" spans="1:9" ht="45.75" customHeight="1">
      <c r="A26" s="284">
        <v>4</v>
      </c>
      <c r="B26" s="286" t="s">
        <v>501</v>
      </c>
      <c r="C26" s="285" t="s">
        <v>242</v>
      </c>
      <c r="D26" s="283">
        <f t="shared" si="0"/>
        <v>1123.9</v>
      </c>
      <c r="E26" s="490">
        <f>406.1-212.9</f>
        <v>193.20000000000002</v>
      </c>
      <c r="F26" s="170">
        <v>454</v>
      </c>
      <c r="G26" s="170">
        <v>476.7</v>
      </c>
      <c r="H26" s="284" t="s">
        <v>40</v>
      </c>
      <c r="I26" s="127"/>
    </row>
    <row r="27" spans="1:9" ht="56.25" customHeight="1">
      <c r="A27" s="284">
        <v>5</v>
      </c>
      <c r="B27" s="286" t="s">
        <v>248</v>
      </c>
      <c r="C27" s="285" t="s">
        <v>242</v>
      </c>
      <c r="D27" s="283">
        <f t="shared" si="0"/>
        <v>194</v>
      </c>
      <c r="E27" s="490">
        <f>24+9+8.8+22.2-9</f>
        <v>55</v>
      </c>
      <c r="F27" s="170">
        <f>25.4+9.6+9.3+23.5</f>
        <v>67.8</v>
      </c>
      <c r="G27" s="170">
        <v>71.2</v>
      </c>
      <c r="H27" s="284" t="s">
        <v>40</v>
      </c>
      <c r="I27" s="127"/>
    </row>
    <row r="28" spans="1:9" ht="42.75" customHeight="1">
      <c r="A28" s="683">
        <v>6</v>
      </c>
      <c r="B28" s="689" t="s">
        <v>188</v>
      </c>
      <c r="C28" s="161" t="s">
        <v>35</v>
      </c>
      <c r="D28" s="283">
        <f t="shared" si="0"/>
        <v>107.9</v>
      </c>
      <c r="E28" s="170">
        <f>50-50</f>
        <v>0</v>
      </c>
      <c r="F28" s="170">
        <v>52.6</v>
      </c>
      <c r="G28" s="170">
        <v>55.3</v>
      </c>
      <c r="H28" s="683" t="s">
        <v>40</v>
      </c>
      <c r="I28" s="127"/>
    </row>
    <row r="29" spans="1:9" ht="41.25" customHeight="1">
      <c r="A29" s="684"/>
      <c r="B29" s="690"/>
      <c r="C29" s="285" t="s">
        <v>242</v>
      </c>
      <c r="D29" s="296">
        <f t="shared" si="0"/>
        <v>107.9</v>
      </c>
      <c r="E29" s="170">
        <f>50-50</f>
        <v>0</v>
      </c>
      <c r="F29" s="170">
        <v>52.6</v>
      </c>
      <c r="G29" s="170">
        <v>55.3</v>
      </c>
      <c r="H29" s="684"/>
      <c r="I29" s="127"/>
    </row>
    <row r="30" spans="1:9" ht="56.25" customHeight="1" hidden="1">
      <c r="A30" s="400">
        <v>7</v>
      </c>
      <c r="B30" s="355" t="s">
        <v>249</v>
      </c>
      <c r="C30" s="401" t="s">
        <v>242</v>
      </c>
      <c r="D30" s="402">
        <f t="shared" si="0"/>
        <v>0</v>
      </c>
      <c r="E30" s="403"/>
      <c r="F30" s="403"/>
      <c r="G30" s="403"/>
      <c r="H30" s="404" t="s">
        <v>40</v>
      </c>
      <c r="I30" s="127"/>
    </row>
    <row r="31" spans="1:9" ht="56.25" customHeight="1" hidden="1">
      <c r="A31" s="405">
        <v>8</v>
      </c>
      <c r="B31" s="406" t="s">
        <v>366</v>
      </c>
      <c r="C31" s="407" t="s">
        <v>242</v>
      </c>
      <c r="D31" s="408">
        <f t="shared" si="0"/>
        <v>0</v>
      </c>
      <c r="E31" s="409"/>
      <c r="F31" s="409"/>
      <c r="G31" s="409"/>
      <c r="H31" s="410" t="s">
        <v>40</v>
      </c>
      <c r="I31" s="127"/>
    </row>
    <row r="32" spans="1:9" ht="112.5">
      <c r="A32" s="462">
        <v>7</v>
      </c>
      <c r="B32" s="286" t="s">
        <v>433</v>
      </c>
      <c r="C32" s="285" t="s">
        <v>242</v>
      </c>
      <c r="D32" s="283">
        <f t="shared" si="0"/>
        <v>150</v>
      </c>
      <c r="E32" s="463">
        <v>150</v>
      </c>
      <c r="F32" s="463"/>
      <c r="G32" s="463"/>
      <c r="H32" s="284" t="s">
        <v>40</v>
      </c>
      <c r="I32" s="127"/>
    </row>
    <row r="33" spans="1:9" ht="24" customHeight="1">
      <c r="A33" s="145"/>
      <c r="B33" s="171" t="s">
        <v>439</v>
      </c>
      <c r="C33" s="172"/>
      <c r="D33" s="169">
        <f t="shared" si="0"/>
        <v>79248.99999999999</v>
      </c>
      <c r="E33" s="169">
        <f>E15+E20+E25+E26+E27+E28+E29+E32</f>
        <v>17592.499999999996</v>
      </c>
      <c r="F33" s="169">
        <f>F15+F20+F25+F26+F27+F28+F29+F30+F32+F31</f>
        <v>30075.999999999993</v>
      </c>
      <c r="G33" s="169">
        <f>G15+G20+G25+G26+G27+G28+G29+G30+G32+G31</f>
        <v>31580.5</v>
      </c>
      <c r="H33" s="146"/>
      <c r="I33" s="127"/>
    </row>
    <row r="34" spans="1:9" ht="10.5" customHeight="1">
      <c r="A34" s="147"/>
      <c r="B34" s="148"/>
      <c r="C34" s="148"/>
      <c r="D34" s="149"/>
      <c r="E34" s="149"/>
      <c r="F34" s="149"/>
      <c r="G34" s="149"/>
      <c r="H34" s="150"/>
      <c r="I34" s="127"/>
    </row>
    <row r="35" spans="1:9" ht="15.75" hidden="1">
      <c r="A35" s="147"/>
      <c r="B35" s="148"/>
      <c r="C35" s="148"/>
      <c r="D35" s="149"/>
      <c r="E35" s="149"/>
      <c r="F35" s="149"/>
      <c r="G35" s="149"/>
      <c r="H35" s="150"/>
      <c r="I35" s="127"/>
    </row>
    <row r="36" spans="1:9" ht="15.75" hidden="1">
      <c r="A36" s="147"/>
      <c r="B36" s="148"/>
      <c r="C36" s="148"/>
      <c r="D36" s="149"/>
      <c r="E36" s="149"/>
      <c r="F36" s="149"/>
      <c r="G36" s="149"/>
      <c r="H36" s="150"/>
      <c r="I36" s="127"/>
    </row>
    <row r="37" spans="2:9" ht="15.75">
      <c r="B37" s="148"/>
      <c r="C37" s="148"/>
      <c r="D37" s="149"/>
      <c r="E37" s="149"/>
      <c r="F37" s="149"/>
      <c r="G37" s="149"/>
      <c r="H37" s="150"/>
      <c r="I37" s="127"/>
    </row>
    <row r="38" spans="2:9" ht="20.25">
      <c r="B38" s="693" t="s">
        <v>450</v>
      </c>
      <c r="C38" s="693"/>
      <c r="D38" s="234"/>
      <c r="E38" s="392"/>
      <c r="F38" s="392"/>
      <c r="G38" s="392"/>
      <c r="H38" s="328" t="s">
        <v>578</v>
      </c>
      <c r="I38" s="124"/>
    </row>
    <row r="39" spans="2:9" ht="6" customHeight="1">
      <c r="B39" s="123"/>
      <c r="C39" s="123"/>
      <c r="D39" s="123"/>
      <c r="E39" s="151"/>
      <c r="F39" s="151"/>
      <c r="G39" s="124"/>
      <c r="H39" s="152"/>
      <c r="I39" s="124"/>
    </row>
    <row r="40" spans="2:9" ht="8.25" customHeight="1">
      <c r="B40" s="123"/>
      <c r="C40" s="123"/>
      <c r="D40" s="123"/>
      <c r="E40" s="151"/>
      <c r="F40" s="151"/>
      <c r="G40" s="124"/>
      <c r="H40" s="152"/>
      <c r="I40" s="124"/>
    </row>
    <row r="41" spans="2:8" ht="18.75">
      <c r="B41" s="590" t="s">
        <v>582</v>
      </c>
      <c r="C41" s="590"/>
      <c r="D41" s="125"/>
      <c r="E41" s="126"/>
      <c r="F41" s="126"/>
      <c r="G41" s="127"/>
      <c r="H41" s="127"/>
    </row>
    <row r="42" spans="2:10" ht="15.75">
      <c r="B42" s="128" t="s">
        <v>443</v>
      </c>
      <c r="C42" s="128"/>
      <c r="D42" s="126"/>
      <c r="E42" s="126"/>
      <c r="F42" s="126"/>
      <c r="G42" s="127"/>
      <c r="H42" s="127"/>
      <c r="J42" s="144"/>
    </row>
    <row r="43" spans="2:8" ht="15.75">
      <c r="B43" s="153"/>
      <c r="C43" s="154"/>
      <c r="D43" s="155"/>
      <c r="E43" s="126"/>
      <c r="F43" s="126"/>
      <c r="G43" s="127"/>
      <c r="H43" s="127"/>
    </row>
    <row r="44" spans="3:7" ht="15.75">
      <c r="C44" s="155"/>
      <c r="D44" s="126"/>
      <c r="E44" s="126"/>
      <c r="F44" s="126"/>
      <c r="G44" s="126"/>
    </row>
    <row r="45" spans="3:7" ht="15.75">
      <c r="C45" s="156"/>
      <c r="D45" s="126"/>
      <c r="E45" s="126"/>
      <c r="F45" s="126"/>
      <c r="G45" s="126"/>
    </row>
  </sheetData>
  <sheetProtection/>
  <mergeCells count="22">
    <mergeCell ref="B41:C41"/>
    <mergeCell ref="C16:C19"/>
    <mergeCell ref="G8:H8"/>
    <mergeCell ref="G7:L7"/>
    <mergeCell ref="A10:H10"/>
    <mergeCell ref="D11:F11"/>
    <mergeCell ref="A12:A14"/>
    <mergeCell ref="B12:B14"/>
    <mergeCell ref="B38:C38"/>
    <mergeCell ref="C12:C14"/>
    <mergeCell ref="H15:H19"/>
    <mergeCell ref="H20:H24"/>
    <mergeCell ref="C21:C24"/>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J8" sqref="J8:K8"/>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451</v>
      </c>
      <c r="J1" s="1" t="s">
        <v>584</v>
      </c>
      <c r="K1" s="271"/>
      <c r="L1" s="13" t="s">
        <v>451</v>
      </c>
    </row>
    <row r="2" spans="2:15" ht="15.75">
      <c r="B2" s="15"/>
      <c r="C2" s="15"/>
      <c r="D2" s="15"/>
      <c r="E2" s="15"/>
      <c r="F2" s="15"/>
      <c r="G2" s="15"/>
      <c r="H2" s="15"/>
      <c r="I2" s="12" t="s">
        <v>444</v>
      </c>
      <c r="J2" s="12" t="s">
        <v>583</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20" t="s">
        <v>431</v>
      </c>
      <c r="K6" s="620"/>
      <c r="L6" s="620"/>
      <c r="M6" s="620"/>
      <c r="N6" s="620"/>
      <c r="O6" s="620"/>
    </row>
    <row r="7" spans="2:15" ht="15.75" customHeight="1">
      <c r="B7" s="15"/>
      <c r="C7" s="15"/>
      <c r="D7" s="15"/>
      <c r="E7" s="15"/>
      <c r="F7" s="15"/>
      <c r="G7" s="15"/>
      <c r="H7" s="15"/>
      <c r="I7" s="12"/>
      <c r="J7" s="620" t="s">
        <v>597</v>
      </c>
      <c r="K7" s="620"/>
      <c r="L7" s="620"/>
      <c r="M7" s="620"/>
      <c r="N7" s="620"/>
      <c r="O7" s="620"/>
    </row>
    <row r="8" spans="2:12" ht="15.75" customHeight="1">
      <c r="B8" s="15"/>
      <c r="C8" s="15"/>
      <c r="D8" s="15"/>
      <c r="E8" s="15"/>
      <c r="F8" s="15"/>
      <c r="G8" s="15"/>
      <c r="H8" s="15"/>
      <c r="I8" s="12"/>
      <c r="J8" s="620" t="s">
        <v>609</v>
      </c>
      <c r="K8" s="620"/>
      <c r="L8" s="12"/>
    </row>
    <row r="9" spans="2:12" ht="15.75">
      <c r="B9" s="15"/>
      <c r="C9" s="15"/>
      <c r="D9" s="15"/>
      <c r="E9" s="15"/>
      <c r="F9" s="15"/>
      <c r="G9" s="15"/>
      <c r="H9" s="15"/>
      <c r="I9" s="15"/>
      <c r="J9" s="15"/>
      <c r="K9" s="15"/>
      <c r="L9" s="15"/>
    </row>
    <row r="10" spans="2:12" ht="36.75" customHeight="1">
      <c r="B10" s="621" t="s">
        <v>381</v>
      </c>
      <c r="C10" s="621"/>
      <c r="D10" s="621"/>
      <c r="E10" s="621"/>
      <c r="F10" s="621"/>
      <c r="G10" s="621"/>
      <c r="H10" s="621"/>
      <c r="I10" s="621"/>
      <c r="J10" s="621"/>
      <c r="K10" s="621"/>
      <c r="L10" s="15"/>
    </row>
    <row r="11" spans="2:12" ht="15.75">
      <c r="B11" s="15"/>
      <c r="C11" s="15"/>
      <c r="D11" s="626"/>
      <c r="E11" s="626"/>
      <c r="F11" s="626"/>
      <c r="G11" s="626"/>
      <c r="H11" s="626"/>
      <c r="I11" s="15"/>
      <c r="J11" s="15"/>
      <c r="K11" s="34" t="s">
        <v>113</v>
      </c>
      <c r="L11" s="15"/>
    </row>
    <row r="12" spans="1:12" ht="15.75" customHeight="1">
      <c r="A12" s="695" t="s">
        <v>461</v>
      </c>
      <c r="B12" s="622" t="s">
        <v>445</v>
      </c>
      <c r="C12" s="622" t="s">
        <v>446</v>
      </c>
      <c r="D12" s="622" t="s">
        <v>103</v>
      </c>
      <c r="E12" s="627" t="s">
        <v>442</v>
      </c>
      <c r="F12" s="627"/>
      <c r="G12" s="627"/>
      <c r="H12" s="627"/>
      <c r="I12" s="627"/>
      <c r="J12" s="657"/>
      <c r="K12" s="625" t="s">
        <v>448</v>
      </c>
      <c r="L12" s="15"/>
    </row>
    <row r="13" spans="1:12" ht="15.75">
      <c r="A13" s="696"/>
      <c r="B13" s="623"/>
      <c r="C13" s="623"/>
      <c r="D13" s="623"/>
      <c r="E13" s="622">
        <v>2022</v>
      </c>
      <c r="F13" s="622">
        <v>2023</v>
      </c>
      <c r="G13" s="622" t="s">
        <v>457</v>
      </c>
      <c r="H13" s="622" t="s">
        <v>458</v>
      </c>
      <c r="I13" s="622" t="s">
        <v>459</v>
      </c>
      <c r="J13" s="625">
        <v>2024</v>
      </c>
      <c r="K13" s="625"/>
      <c r="L13" s="15"/>
    </row>
    <row r="14" spans="1:12" ht="21" customHeight="1">
      <c r="A14" s="697"/>
      <c r="B14" s="624"/>
      <c r="C14" s="624"/>
      <c r="D14" s="624"/>
      <c r="E14" s="624"/>
      <c r="F14" s="624"/>
      <c r="G14" s="624"/>
      <c r="H14" s="624"/>
      <c r="I14" s="624"/>
      <c r="J14" s="625"/>
      <c r="K14" s="625"/>
      <c r="L14" s="15"/>
    </row>
    <row r="15" spans="1:12" s="50" customFormat="1" ht="121.5" customHeight="1">
      <c r="A15" s="267">
        <v>1</v>
      </c>
      <c r="B15" s="268" t="s">
        <v>261</v>
      </c>
      <c r="C15" s="61" t="s">
        <v>191</v>
      </c>
      <c r="D15" s="426">
        <f aca="true" t="shared" si="0" ref="D15:D26">E15+F15+J15</f>
        <v>3869.1000000000004</v>
      </c>
      <c r="E15" s="492">
        <f>1651.7-200-300-471.7</f>
        <v>680</v>
      </c>
      <c r="F15" s="396">
        <f>1750.8-200</f>
        <v>1550.8</v>
      </c>
      <c r="G15" s="396"/>
      <c r="H15" s="396"/>
      <c r="I15" s="396"/>
      <c r="J15" s="396">
        <f>1838.3-200</f>
        <v>1638.3</v>
      </c>
      <c r="K15" s="267" t="s">
        <v>40</v>
      </c>
      <c r="L15" s="370"/>
    </row>
    <row r="16" spans="1:12" s="50" customFormat="1" ht="77.25" customHeight="1">
      <c r="A16" s="267">
        <v>2</v>
      </c>
      <c r="B16" s="268" t="s">
        <v>92</v>
      </c>
      <c r="C16" s="61" t="s">
        <v>191</v>
      </c>
      <c r="D16" s="426">
        <f t="shared" si="0"/>
        <v>16076</v>
      </c>
      <c r="E16" s="396">
        <f>6519.4-2000-1160+460.6</f>
        <v>3819.9999999999995</v>
      </c>
      <c r="F16" s="396">
        <f>6910.5-2000+2089.5</f>
        <v>7000</v>
      </c>
      <c r="G16" s="396"/>
      <c r="H16" s="396"/>
      <c r="I16" s="396"/>
      <c r="J16" s="396">
        <f>7256-2000</f>
        <v>5256</v>
      </c>
      <c r="K16" s="267" t="s">
        <v>40</v>
      </c>
      <c r="L16" s="370"/>
    </row>
    <row r="17" spans="1:14" ht="56.25">
      <c r="A17" s="159">
        <v>3</v>
      </c>
      <c r="B17" s="268" t="s">
        <v>360</v>
      </c>
      <c r="C17" s="35" t="s">
        <v>191</v>
      </c>
      <c r="D17" s="90">
        <f t="shared" si="0"/>
        <v>747.7</v>
      </c>
      <c r="E17" s="492">
        <f>300-200</f>
        <v>100</v>
      </c>
      <c r="F17" s="492">
        <v>316</v>
      </c>
      <c r="G17" s="396">
        <v>100</v>
      </c>
      <c r="H17" s="396">
        <v>100</v>
      </c>
      <c r="I17" s="396">
        <v>100</v>
      </c>
      <c r="J17" s="396">
        <v>331.7</v>
      </c>
      <c r="K17" s="159" t="s">
        <v>40</v>
      </c>
      <c r="L17" s="15"/>
      <c r="N17" s="50"/>
    </row>
    <row r="18" spans="1:14" ht="75.75" customHeight="1">
      <c r="A18" s="159">
        <v>4</v>
      </c>
      <c r="B18" s="268" t="s">
        <v>303</v>
      </c>
      <c r="C18" s="35" t="s">
        <v>191</v>
      </c>
      <c r="D18" s="90">
        <f t="shared" si="0"/>
        <v>1514</v>
      </c>
      <c r="E18" s="492">
        <f>450+50</f>
        <v>500</v>
      </c>
      <c r="F18" s="492">
        <f>475+41</f>
        <v>516</v>
      </c>
      <c r="G18" s="396"/>
      <c r="H18" s="396"/>
      <c r="I18" s="396"/>
      <c r="J18" s="396">
        <v>498</v>
      </c>
      <c r="K18" s="159" t="s">
        <v>40</v>
      </c>
      <c r="L18" s="15"/>
      <c r="N18" s="50"/>
    </row>
    <row r="19" spans="1:14" ht="73.5" customHeight="1">
      <c r="A19" s="159">
        <v>5</v>
      </c>
      <c r="B19" s="268" t="s">
        <v>418</v>
      </c>
      <c r="C19" s="35" t="s">
        <v>191</v>
      </c>
      <c r="D19" s="90">
        <f t="shared" si="0"/>
        <v>4530</v>
      </c>
      <c r="E19" s="492">
        <v>1290</v>
      </c>
      <c r="F19" s="492">
        <v>1580</v>
      </c>
      <c r="G19" s="396"/>
      <c r="H19" s="396"/>
      <c r="I19" s="396"/>
      <c r="J19" s="396">
        <v>1660</v>
      </c>
      <c r="K19" s="615" t="s">
        <v>40</v>
      </c>
      <c r="L19" s="15"/>
      <c r="N19" s="50"/>
    </row>
    <row r="20" spans="1:14" ht="29.25" customHeight="1" hidden="1">
      <c r="A20" s="380" t="s">
        <v>121</v>
      </c>
      <c r="B20" s="297" t="s">
        <v>334</v>
      </c>
      <c r="C20" s="628" t="s">
        <v>191</v>
      </c>
      <c r="D20" s="391">
        <f t="shared" si="0"/>
        <v>155</v>
      </c>
      <c r="E20" s="495">
        <v>75</v>
      </c>
      <c r="F20" s="495">
        <v>80</v>
      </c>
      <c r="G20" s="427"/>
      <c r="H20" s="427"/>
      <c r="I20" s="427"/>
      <c r="J20" s="427"/>
      <c r="K20" s="616"/>
      <c r="L20" s="15"/>
      <c r="N20" s="50"/>
    </row>
    <row r="21" spans="1:14" ht="25.5" customHeight="1" hidden="1">
      <c r="A21" s="380" t="s">
        <v>137</v>
      </c>
      <c r="B21" s="297" t="s">
        <v>335</v>
      </c>
      <c r="C21" s="629"/>
      <c r="D21" s="391">
        <f t="shared" si="0"/>
        <v>111</v>
      </c>
      <c r="E21" s="495">
        <v>54</v>
      </c>
      <c r="F21" s="495">
        <v>57</v>
      </c>
      <c r="G21" s="427"/>
      <c r="H21" s="427"/>
      <c r="I21" s="427"/>
      <c r="J21" s="427"/>
      <c r="K21" s="616"/>
      <c r="L21" s="15"/>
      <c r="N21" s="50"/>
    </row>
    <row r="22" spans="1:14" ht="24.75" customHeight="1" hidden="1">
      <c r="A22" s="380" t="s">
        <v>145</v>
      </c>
      <c r="B22" s="297" t="s">
        <v>336</v>
      </c>
      <c r="C22" s="629"/>
      <c r="D22" s="391">
        <f t="shared" si="0"/>
        <v>132</v>
      </c>
      <c r="E22" s="495">
        <v>64</v>
      </c>
      <c r="F22" s="495">
        <v>68</v>
      </c>
      <c r="G22" s="427"/>
      <c r="H22" s="427"/>
      <c r="I22" s="427"/>
      <c r="J22" s="427"/>
      <c r="K22" s="616"/>
      <c r="L22" s="15"/>
      <c r="N22" s="50"/>
    </row>
    <row r="23" spans="1:14" ht="24" customHeight="1" hidden="1">
      <c r="A23" s="380" t="s">
        <v>280</v>
      </c>
      <c r="B23" s="297" t="s">
        <v>337</v>
      </c>
      <c r="C23" s="630"/>
      <c r="D23" s="391">
        <f t="shared" si="0"/>
        <v>89</v>
      </c>
      <c r="E23" s="495">
        <v>43</v>
      </c>
      <c r="F23" s="495">
        <v>46</v>
      </c>
      <c r="G23" s="427"/>
      <c r="H23" s="427"/>
      <c r="I23" s="427"/>
      <c r="J23" s="427"/>
      <c r="K23" s="617"/>
      <c r="L23" s="15"/>
      <c r="N23" s="50"/>
    </row>
    <row r="24" spans="1:14" ht="54.75" customHeight="1">
      <c r="A24" s="159">
        <v>6</v>
      </c>
      <c r="B24" s="268" t="s">
        <v>304</v>
      </c>
      <c r="C24" s="35" t="s">
        <v>191</v>
      </c>
      <c r="D24" s="90">
        <f t="shared" si="0"/>
        <v>2283</v>
      </c>
      <c r="E24" s="492">
        <f>750-210</f>
        <v>540</v>
      </c>
      <c r="F24" s="492">
        <v>850</v>
      </c>
      <c r="G24" s="396"/>
      <c r="H24" s="396"/>
      <c r="I24" s="396"/>
      <c r="J24" s="396">
        <v>893</v>
      </c>
      <c r="K24" s="159" t="s">
        <v>40</v>
      </c>
      <c r="L24" s="15"/>
      <c r="N24" s="50"/>
    </row>
    <row r="25" spans="1:14" ht="54.75" customHeight="1">
      <c r="A25" s="159">
        <v>7</v>
      </c>
      <c r="B25" s="268" t="s">
        <v>434</v>
      </c>
      <c r="C25" s="35" t="s">
        <v>191</v>
      </c>
      <c r="D25" s="90">
        <f t="shared" si="0"/>
        <v>500</v>
      </c>
      <c r="E25" s="396">
        <v>500</v>
      </c>
      <c r="F25" s="396"/>
      <c r="G25" s="396"/>
      <c r="H25" s="396"/>
      <c r="I25" s="396"/>
      <c r="J25" s="396"/>
      <c r="K25" s="159" t="s">
        <v>40</v>
      </c>
      <c r="L25" s="15"/>
      <c r="N25" s="50"/>
    </row>
    <row r="26" spans="1:12" ht="32.25" customHeight="1">
      <c r="A26" s="75"/>
      <c r="B26" s="55" t="s">
        <v>439</v>
      </c>
      <c r="C26" s="61"/>
      <c r="D26" s="90">
        <f t="shared" si="0"/>
        <v>29519.8</v>
      </c>
      <c r="E26" s="90">
        <f>E15+E16+E17+E18+E19+E24+E25</f>
        <v>7430</v>
      </c>
      <c r="F26" s="90">
        <f>F15+F16+F17+F18+F19+F24</f>
        <v>11812.8</v>
      </c>
      <c r="G26" s="90">
        <f>G15+G16+G17+G18+G19+G24</f>
        <v>100</v>
      </c>
      <c r="H26" s="90">
        <f>H15+H16+H17+H18+H19+H24</f>
        <v>100</v>
      </c>
      <c r="I26" s="90">
        <f>I15+I16+I17+I18+I19+I24</f>
        <v>100</v>
      </c>
      <c r="J26" s="90">
        <f>J15+J16+J17+J18+J19+J24</f>
        <v>10277</v>
      </c>
      <c r="K26" s="35"/>
      <c r="L26" s="15"/>
    </row>
    <row r="27" spans="2:12" ht="15.75">
      <c r="B27" s="18"/>
      <c r="C27" s="130"/>
      <c r="D27" s="19"/>
      <c r="E27" s="19"/>
      <c r="F27" s="19"/>
      <c r="G27" s="19"/>
      <c r="H27" s="19"/>
      <c r="I27" s="19"/>
      <c r="J27" s="19"/>
      <c r="K27" s="131"/>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8"/>
      <c r="C31" s="49"/>
      <c r="E31" s="19"/>
      <c r="F31" s="19"/>
      <c r="G31" s="19"/>
      <c r="H31" s="19"/>
      <c r="I31" s="19"/>
      <c r="J31" s="19"/>
      <c r="K31" s="49"/>
      <c r="L31" s="15"/>
    </row>
    <row r="32" spans="2:12" ht="21.75" customHeight="1">
      <c r="B32" s="694" t="s">
        <v>159</v>
      </c>
      <c r="C32" s="694"/>
      <c r="D32" s="221"/>
      <c r="E32" s="22"/>
      <c r="F32" s="22"/>
      <c r="G32" s="16"/>
      <c r="H32" s="16"/>
      <c r="I32" s="16"/>
      <c r="J32" s="23"/>
      <c r="K32" s="328" t="s">
        <v>578</v>
      </c>
      <c r="L32" s="23"/>
    </row>
    <row r="33" spans="2:12" ht="6.75" customHeight="1">
      <c r="B33" s="221"/>
      <c r="C33" s="221"/>
      <c r="D33" s="221"/>
      <c r="E33" s="22"/>
      <c r="F33" s="22"/>
      <c r="G33" s="16"/>
      <c r="H33" s="16"/>
      <c r="I33" s="16"/>
      <c r="J33" s="23"/>
      <c r="K33" s="23"/>
      <c r="L33" s="23"/>
    </row>
    <row r="34" spans="2:11" ht="18.75">
      <c r="B34" s="590" t="s">
        <v>582</v>
      </c>
      <c r="C34" s="590"/>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J6:O6"/>
    <mergeCell ref="J8:K8"/>
    <mergeCell ref="J7:O7"/>
    <mergeCell ref="B10:K10"/>
    <mergeCell ref="D11:H11"/>
    <mergeCell ref="C20:C23"/>
    <mergeCell ref="E12:J12"/>
    <mergeCell ref="A12:A14"/>
    <mergeCell ref="B12:B14"/>
    <mergeCell ref="I13:I14"/>
    <mergeCell ref="J13:J14"/>
    <mergeCell ref="D12:D14"/>
    <mergeCell ref="H13:H14"/>
    <mergeCell ref="C12:C14"/>
    <mergeCell ref="B34:C34"/>
    <mergeCell ref="E13:E14"/>
    <mergeCell ref="F13:F14"/>
    <mergeCell ref="G13:G14"/>
    <mergeCell ref="B32:C32"/>
    <mergeCell ref="K19:K23"/>
    <mergeCell ref="K12:K14"/>
  </mergeCells>
  <printOptions horizontalCentered="1"/>
  <pageMargins left="0" right="0" top="1.1811023622047245" bottom="0" header="0" footer="0"/>
  <pageSetup fitToHeight="1" fitToWidth="1" horizontalDpi="600" verticalDpi="600" orientation="landscape" paperSize="9" scale="57" r:id="rId1"/>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3">
      <selection activeCell="B27" sqref="B27"/>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451</v>
      </c>
      <c r="J1" s="15" t="s">
        <v>241</v>
      </c>
      <c r="K1" s="207"/>
    </row>
    <row r="2" spans="2:15" ht="17.25" customHeight="1">
      <c r="B2" s="15"/>
      <c r="C2" s="15"/>
      <c r="D2" s="15"/>
      <c r="E2" s="15"/>
      <c r="F2" s="15"/>
      <c r="G2" s="15"/>
      <c r="H2" s="15"/>
      <c r="I2" s="12" t="s">
        <v>444</v>
      </c>
      <c r="J2" s="12" t="s">
        <v>444</v>
      </c>
      <c r="K2" s="12"/>
      <c r="L2" s="15"/>
      <c r="M2" s="12"/>
      <c r="N2" s="12"/>
      <c r="O2" s="12"/>
    </row>
    <row r="3" spans="2:15" ht="15.75" customHeight="1">
      <c r="B3" s="15"/>
      <c r="C3" s="15"/>
      <c r="D3" s="15"/>
      <c r="E3" s="15"/>
      <c r="F3" s="15"/>
      <c r="G3" s="15"/>
      <c r="H3" s="15"/>
      <c r="I3" s="12"/>
      <c r="J3" s="12" t="s">
        <v>594</v>
      </c>
      <c r="K3" s="12"/>
      <c r="L3" s="15"/>
      <c r="M3" s="12"/>
      <c r="N3" s="12"/>
      <c r="O3" s="12"/>
    </row>
    <row r="4" spans="2:15" ht="15" customHeight="1">
      <c r="B4" s="15"/>
      <c r="C4" s="15"/>
      <c r="D4" s="15"/>
      <c r="E4" s="15"/>
      <c r="F4" s="15"/>
      <c r="G4" s="15"/>
      <c r="H4" s="15"/>
      <c r="I4" s="12" t="s">
        <v>452</v>
      </c>
      <c r="J4" s="17" t="s">
        <v>158</v>
      </c>
      <c r="K4" s="17"/>
      <c r="L4" s="15"/>
      <c r="M4" s="12"/>
      <c r="N4" s="12"/>
      <c r="O4" s="12"/>
    </row>
    <row r="5" spans="2:15" ht="17.25" customHeight="1">
      <c r="B5" s="15"/>
      <c r="C5" s="15"/>
      <c r="D5" s="15"/>
      <c r="E5" s="15"/>
      <c r="F5" s="15"/>
      <c r="G5" s="15"/>
      <c r="H5" s="15"/>
      <c r="I5" s="12" t="s">
        <v>453</v>
      </c>
      <c r="J5" s="17" t="s">
        <v>355</v>
      </c>
      <c r="K5" s="17"/>
      <c r="L5" s="15"/>
      <c r="M5" s="12"/>
      <c r="N5" s="12"/>
      <c r="O5" s="12"/>
    </row>
    <row r="6" spans="2:15" ht="15" customHeight="1">
      <c r="B6" s="15"/>
      <c r="C6" s="15"/>
      <c r="D6" s="15"/>
      <c r="E6" s="15"/>
      <c r="F6" s="15"/>
      <c r="G6" s="15"/>
      <c r="H6" s="15"/>
      <c r="I6" s="12"/>
      <c r="J6" s="620" t="s">
        <v>431</v>
      </c>
      <c r="K6" s="620"/>
      <c r="L6" s="620"/>
      <c r="M6" s="620"/>
      <c r="N6" s="620"/>
      <c r="O6" s="620"/>
    </row>
    <row r="7" spans="2:15" ht="15" customHeight="1">
      <c r="B7" s="15"/>
      <c r="C7" s="15"/>
      <c r="D7" s="15"/>
      <c r="E7" s="15"/>
      <c r="F7" s="15"/>
      <c r="G7" s="15"/>
      <c r="H7" s="15"/>
      <c r="I7" s="12"/>
      <c r="J7" s="620" t="s">
        <v>597</v>
      </c>
      <c r="K7" s="620"/>
      <c r="L7" s="620"/>
      <c r="M7" s="620"/>
      <c r="N7" s="620"/>
      <c r="O7" s="620"/>
    </row>
    <row r="8" spans="2:15" ht="15" customHeight="1">
      <c r="B8" s="15"/>
      <c r="C8" s="15"/>
      <c r="D8" s="15"/>
      <c r="E8" s="15"/>
      <c r="F8" s="15"/>
      <c r="G8" s="15"/>
      <c r="H8" s="15"/>
      <c r="I8" s="12"/>
      <c r="J8" s="620" t="s">
        <v>627</v>
      </c>
      <c r="K8" s="620"/>
      <c r="L8" s="620"/>
      <c r="M8" s="620"/>
      <c r="N8" s="620"/>
      <c r="O8" s="620"/>
    </row>
    <row r="9" spans="9:11" s="213" customFormat="1" ht="15" customHeight="1">
      <c r="I9" s="54" t="s">
        <v>454</v>
      </c>
      <c r="J9" s="698"/>
      <c r="K9" s="698"/>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13"/>
      <c r="K11" s="15"/>
    </row>
    <row r="12" spans="2:11" ht="34.5" customHeight="1">
      <c r="B12" s="621" t="s">
        <v>544</v>
      </c>
      <c r="C12" s="621"/>
      <c r="D12" s="621"/>
      <c r="E12" s="621"/>
      <c r="F12" s="621"/>
      <c r="G12" s="621"/>
      <c r="H12" s="621"/>
      <c r="I12" s="621"/>
      <c r="J12" s="621"/>
      <c r="K12" s="621"/>
    </row>
    <row r="13" spans="2:11" ht="15.75">
      <c r="B13" s="15"/>
      <c r="C13" s="15"/>
      <c r="D13" s="626"/>
      <c r="E13" s="626"/>
      <c r="F13" s="626"/>
      <c r="G13" s="626"/>
      <c r="H13" s="626"/>
      <c r="I13" s="15"/>
      <c r="J13" s="15"/>
      <c r="K13" s="34" t="s">
        <v>101</v>
      </c>
    </row>
    <row r="14" spans="1:11" ht="15" customHeight="1">
      <c r="A14" s="622" t="s">
        <v>440</v>
      </c>
      <c r="B14" s="622" t="s">
        <v>445</v>
      </c>
      <c r="C14" s="622" t="s">
        <v>545</v>
      </c>
      <c r="D14" s="622" t="s">
        <v>103</v>
      </c>
      <c r="E14" s="627" t="s">
        <v>442</v>
      </c>
      <c r="F14" s="627"/>
      <c r="G14" s="627"/>
      <c r="H14" s="627"/>
      <c r="I14" s="627"/>
      <c r="J14" s="657"/>
      <c r="K14" s="625" t="s">
        <v>448</v>
      </c>
    </row>
    <row r="15" spans="1:11" ht="12.75">
      <c r="A15" s="623"/>
      <c r="B15" s="623"/>
      <c r="C15" s="623"/>
      <c r="D15" s="623"/>
      <c r="E15" s="622">
        <v>2022</v>
      </c>
      <c r="F15" s="622">
        <v>2023</v>
      </c>
      <c r="G15" s="622" t="s">
        <v>457</v>
      </c>
      <c r="H15" s="622" t="s">
        <v>458</v>
      </c>
      <c r="I15" s="622" t="s">
        <v>459</v>
      </c>
      <c r="J15" s="625">
        <v>2024</v>
      </c>
      <c r="K15" s="625"/>
    </row>
    <row r="16" spans="1:11" ht="24.75" customHeight="1">
      <c r="A16" s="624"/>
      <c r="B16" s="624"/>
      <c r="C16" s="624"/>
      <c r="D16" s="624"/>
      <c r="E16" s="624"/>
      <c r="F16" s="624"/>
      <c r="G16" s="624"/>
      <c r="H16" s="624"/>
      <c r="I16" s="624"/>
      <c r="J16" s="625"/>
      <c r="K16" s="625"/>
    </row>
    <row r="17" spans="1:11" s="465" customFormat="1" ht="36" customHeight="1">
      <c r="A17" s="612">
        <v>1</v>
      </c>
      <c r="B17" s="671" t="s">
        <v>546</v>
      </c>
      <c r="C17" s="612" t="s">
        <v>191</v>
      </c>
      <c r="D17" s="673">
        <f>E17+F17+J17</f>
        <v>126</v>
      </c>
      <c r="E17" s="673">
        <f>500-55.4-444.6</f>
        <v>0</v>
      </c>
      <c r="F17" s="673">
        <f>500-276-98</f>
        <v>126</v>
      </c>
      <c r="G17" s="464"/>
      <c r="H17" s="464"/>
      <c r="I17" s="464"/>
      <c r="J17" s="673"/>
      <c r="K17" s="612" t="s">
        <v>269</v>
      </c>
    </row>
    <row r="18" spans="1:11" s="465" customFormat="1" ht="27" customHeight="1">
      <c r="A18" s="614"/>
      <c r="B18" s="699"/>
      <c r="C18" s="614"/>
      <c r="D18" s="674"/>
      <c r="E18" s="674"/>
      <c r="F18" s="674"/>
      <c r="G18" s="464"/>
      <c r="H18" s="464"/>
      <c r="I18" s="464"/>
      <c r="J18" s="674"/>
      <c r="K18" s="614"/>
    </row>
    <row r="19" spans="1:11" s="465" customFormat="1" ht="31.5" customHeight="1">
      <c r="A19" s="612">
        <v>2</v>
      </c>
      <c r="B19" s="671" t="s">
        <v>547</v>
      </c>
      <c r="C19" s="612" t="s">
        <v>191</v>
      </c>
      <c r="D19" s="673">
        <f aca="true" t="shared" si="0" ref="D19:D27">SUM(E19:J19)</f>
        <v>1434.2</v>
      </c>
      <c r="E19" s="673">
        <f>600-389-11</f>
        <v>200</v>
      </c>
      <c r="F19" s="673">
        <f>600</f>
        <v>600</v>
      </c>
      <c r="G19" s="464"/>
      <c r="H19" s="464"/>
      <c r="I19" s="464"/>
      <c r="J19" s="673">
        <v>634.2</v>
      </c>
      <c r="K19" s="612" t="s">
        <v>269</v>
      </c>
    </row>
    <row r="20" spans="1:11" s="465" customFormat="1" ht="26.25" customHeight="1">
      <c r="A20" s="614"/>
      <c r="B20" s="699"/>
      <c r="C20" s="614"/>
      <c r="D20" s="674"/>
      <c r="E20" s="674"/>
      <c r="F20" s="674"/>
      <c r="G20" s="464"/>
      <c r="H20" s="464"/>
      <c r="I20" s="464"/>
      <c r="J20" s="674"/>
      <c r="K20" s="614"/>
    </row>
    <row r="21" spans="1:11" s="465" customFormat="1" ht="35.25" customHeight="1">
      <c r="A21" s="612">
        <v>3</v>
      </c>
      <c r="B21" s="671" t="s">
        <v>548</v>
      </c>
      <c r="C21" s="612" t="s">
        <v>191</v>
      </c>
      <c r="D21" s="673">
        <f t="shared" si="0"/>
        <v>571.9</v>
      </c>
      <c r="E21" s="673">
        <f>350-271-0.1</f>
        <v>78.9</v>
      </c>
      <c r="F21" s="673">
        <f>371.7-271.7</f>
        <v>100</v>
      </c>
      <c r="G21" s="464"/>
      <c r="H21" s="464"/>
      <c r="I21" s="464"/>
      <c r="J21" s="673">
        <v>393</v>
      </c>
      <c r="K21" s="612" t="s">
        <v>40</v>
      </c>
    </row>
    <row r="22" spans="1:11" s="465" customFormat="1" ht="14.25" customHeight="1">
      <c r="A22" s="614"/>
      <c r="B22" s="699"/>
      <c r="C22" s="614"/>
      <c r="D22" s="674"/>
      <c r="E22" s="674"/>
      <c r="F22" s="674"/>
      <c r="G22" s="464"/>
      <c r="H22" s="464"/>
      <c r="I22" s="464"/>
      <c r="J22" s="674"/>
      <c r="K22" s="614"/>
    </row>
    <row r="23" spans="1:11" s="468" customFormat="1" ht="56.25">
      <c r="A23" s="466">
        <v>4</v>
      </c>
      <c r="B23" s="467" t="s">
        <v>549</v>
      </c>
      <c r="C23" s="466" t="s">
        <v>191</v>
      </c>
      <c r="D23" s="464">
        <f t="shared" si="0"/>
        <v>1166.4</v>
      </c>
      <c r="E23" s="464">
        <f>264+269+55.4</f>
        <v>588.4</v>
      </c>
      <c r="F23" s="464">
        <f>0+276+2+300</f>
        <v>578</v>
      </c>
      <c r="G23" s="464"/>
      <c r="H23" s="464"/>
      <c r="I23" s="464"/>
      <c r="J23" s="464"/>
      <c r="K23" s="466" t="s">
        <v>40</v>
      </c>
    </row>
    <row r="24" spans="1:11" s="465" customFormat="1" ht="47.25" customHeight="1">
      <c r="A24" s="466">
        <v>5</v>
      </c>
      <c r="B24" s="467" t="s">
        <v>550</v>
      </c>
      <c r="C24" s="466" t="s">
        <v>191</v>
      </c>
      <c r="D24" s="464">
        <f>SUM(E24:J24)</f>
        <v>653</v>
      </c>
      <c r="E24" s="464">
        <f>100+120-25</f>
        <v>195</v>
      </c>
      <c r="F24" s="464">
        <f>120+98+100</f>
        <v>318</v>
      </c>
      <c r="G24" s="464"/>
      <c r="H24" s="464"/>
      <c r="I24" s="464"/>
      <c r="J24" s="464">
        <v>140</v>
      </c>
      <c r="K24" s="469" t="s">
        <v>40</v>
      </c>
    </row>
    <row r="25" spans="1:11" s="465" customFormat="1" ht="50.25" customHeight="1">
      <c r="A25" s="466">
        <v>6</v>
      </c>
      <c r="B25" s="467" t="s">
        <v>551</v>
      </c>
      <c r="C25" s="466" t="s">
        <v>191</v>
      </c>
      <c r="D25" s="464">
        <f t="shared" si="0"/>
        <v>77</v>
      </c>
      <c r="E25" s="464">
        <f>13-13</f>
        <v>0</v>
      </c>
      <c r="F25" s="464">
        <f>15+45</f>
        <v>60</v>
      </c>
      <c r="G25" s="464"/>
      <c r="H25" s="464"/>
      <c r="I25" s="464"/>
      <c r="J25" s="464">
        <v>17</v>
      </c>
      <c r="K25" s="469" t="s">
        <v>40</v>
      </c>
    </row>
    <row r="26" spans="1:11" s="465" customFormat="1" ht="50.25" customHeight="1">
      <c r="A26" s="469">
        <v>7</v>
      </c>
      <c r="B26" s="470" t="s">
        <v>552</v>
      </c>
      <c r="C26" s="466" t="s">
        <v>191</v>
      </c>
      <c r="D26" s="464">
        <f t="shared" si="0"/>
        <v>104.1</v>
      </c>
      <c r="E26" s="471">
        <f>40-30.9</f>
        <v>9.100000000000001</v>
      </c>
      <c r="F26" s="471">
        <v>45</v>
      </c>
      <c r="G26" s="472"/>
      <c r="H26" s="472"/>
      <c r="I26" s="472"/>
      <c r="J26" s="471">
        <v>50</v>
      </c>
      <c r="K26" s="469" t="s">
        <v>40</v>
      </c>
    </row>
    <row r="27" spans="1:11" s="465" customFormat="1" ht="305.25" customHeight="1">
      <c r="A27" s="469">
        <v>8</v>
      </c>
      <c r="B27" s="467" t="s">
        <v>625</v>
      </c>
      <c r="C27" s="466" t="s">
        <v>191</v>
      </c>
      <c r="D27" s="464">
        <f t="shared" si="0"/>
        <v>69612</v>
      </c>
      <c r="E27" s="471">
        <v>5000</v>
      </c>
      <c r="F27" s="471">
        <f>6000+30000+500+950+3000+3162+4000+1000+16000</f>
        <v>64612</v>
      </c>
      <c r="G27" s="472"/>
      <c r="H27" s="472"/>
      <c r="I27" s="472"/>
      <c r="J27" s="471"/>
      <c r="K27" s="469" t="s">
        <v>40</v>
      </c>
    </row>
    <row r="28" spans="1:11" ht="29.25" customHeight="1">
      <c r="A28" s="64"/>
      <c r="B28" s="55" t="s">
        <v>439</v>
      </c>
      <c r="C28" s="473"/>
      <c r="D28" s="90">
        <f>E28+F28+J28</f>
        <v>73744.59999999999</v>
      </c>
      <c r="E28" s="90">
        <f aca="true" t="shared" si="1" ref="E28:J28">E17+E19+E21+E23+E24+E25+E26+E27</f>
        <v>6071.4</v>
      </c>
      <c r="F28" s="90">
        <f>F17+F19+F21+F23+F24+F25+F26+F27</f>
        <v>66439</v>
      </c>
      <c r="G28" s="90">
        <f t="shared" si="1"/>
        <v>0</v>
      </c>
      <c r="H28" s="90">
        <f t="shared" si="1"/>
        <v>0</v>
      </c>
      <c r="I28" s="90">
        <f t="shared" si="1"/>
        <v>0</v>
      </c>
      <c r="J28" s="90">
        <f t="shared" si="1"/>
        <v>1234.2</v>
      </c>
      <c r="K28" s="66"/>
    </row>
    <row r="29" spans="1:11" ht="15.75">
      <c r="A29" s="36"/>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589" t="s">
        <v>450</v>
      </c>
      <c r="C31" s="589"/>
      <c r="D31" s="221"/>
      <c r="E31" s="22"/>
      <c r="F31" s="22"/>
      <c r="G31" s="16"/>
      <c r="H31" s="16"/>
      <c r="I31" s="16"/>
      <c r="J31" s="23"/>
      <c r="K31" s="83" t="s">
        <v>578</v>
      </c>
      <c r="L31" s="83"/>
      <c r="M31" s="83"/>
      <c r="N31" s="83"/>
      <c r="O31" s="83"/>
    </row>
    <row r="32" spans="2:11" ht="6.75" customHeight="1">
      <c r="B32" s="221"/>
      <c r="C32" s="221"/>
      <c r="D32" s="221"/>
      <c r="E32" s="22"/>
      <c r="F32" s="22"/>
      <c r="G32" s="16"/>
      <c r="H32" s="16"/>
      <c r="I32" s="16"/>
      <c r="J32" s="23"/>
      <c r="K32" s="23"/>
    </row>
    <row r="33" spans="2:11" ht="15.75" customHeight="1">
      <c r="B33" s="700" t="s">
        <v>582</v>
      </c>
      <c r="C33" s="700"/>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A21:A22"/>
    <mergeCell ref="B21:B22"/>
    <mergeCell ref="C21:C22"/>
    <mergeCell ref="D21:D22"/>
    <mergeCell ref="E21:E22"/>
    <mergeCell ref="F21:F22"/>
    <mergeCell ref="J19:J20"/>
    <mergeCell ref="K19:K20"/>
    <mergeCell ref="J21:J22"/>
    <mergeCell ref="K21:K22"/>
    <mergeCell ref="B31:C31"/>
    <mergeCell ref="B33:C33"/>
    <mergeCell ref="J17:J18"/>
    <mergeCell ref="A14:A16"/>
    <mergeCell ref="B14:B16"/>
    <mergeCell ref="K17:K18"/>
    <mergeCell ref="A19:A20"/>
    <mergeCell ref="B19:B20"/>
    <mergeCell ref="C19:C20"/>
    <mergeCell ref="D19:D20"/>
    <mergeCell ref="E19:E20"/>
    <mergeCell ref="F19:F20"/>
    <mergeCell ref="A17:A18"/>
    <mergeCell ref="B17:B18"/>
    <mergeCell ref="C17:C18"/>
    <mergeCell ref="D17:D18"/>
    <mergeCell ref="E17:E18"/>
    <mergeCell ref="F17:F18"/>
    <mergeCell ref="C14:C16"/>
    <mergeCell ref="D14:D16"/>
    <mergeCell ref="E14:J14"/>
    <mergeCell ref="K14:K16"/>
    <mergeCell ref="E15:E16"/>
    <mergeCell ref="F15:F16"/>
    <mergeCell ref="G15:G16"/>
    <mergeCell ref="H15:H16"/>
    <mergeCell ref="I15:I16"/>
    <mergeCell ref="J15:J16"/>
    <mergeCell ref="J6:O6"/>
    <mergeCell ref="J7:O7"/>
    <mergeCell ref="J9:K9"/>
    <mergeCell ref="B12:K12"/>
    <mergeCell ref="D13:H13"/>
    <mergeCell ref="J8:O8"/>
  </mergeCells>
  <printOptions horizontalCentered="1"/>
  <pageMargins left="0.3937007874015748" right="0.3937007874015748" top="1.1811023622047245" bottom="0.3937007874015748" header="0" footer="0"/>
  <pageSetup fitToWidth="0" fitToHeight="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F53" sqref="F53"/>
    </sheetView>
  </sheetViews>
  <sheetFormatPr defaultColWidth="9.140625" defaultRowHeight="12.75"/>
  <cols>
    <col min="1" max="1" width="8.00390625" style="14" customWidth="1"/>
    <col min="2" max="2" width="77.4218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451</v>
      </c>
      <c r="J1" s="236" t="s">
        <v>581</v>
      </c>
      <c r="K1"/>
    </row>
    <row r="2" spans="2:15" ht="15.75">
      <c r="B2" s="15"/>
      <c r="C2" s="15"/>
      <c r="D2" s="15"/>
      <c r="E2" s="15"/>
      <c r="F2" s="15"/>
      <c r="G2" s="15"/>
      <c r="H2" s="15"/>
      <c r="I2" s="12" t="s">
        <v>444</v>
      </c>
      <c r="J2" s="12" t="s">
        <v>583</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20" t="s">
        <v>431</v>
      </c>
      <c r="K6" s="620"/>
      <c r="L6" s="620"/>
      <c r="M6" s="620"/>
      <c r="N6" s="620"/>
      <c r="O6" s="620"/>
    </row>
    <row r="7" spans="2:15" ht="15.75" customHeight="1">
      <c r="B7" s="15"/>
      <c r="C7" s="15"/>
      <c r="D7" s="15"/>
      <c r="E7" s="15"/>
      <c r="F7" s="15"/>
      <c r="G7" s="15"/>
      <c r="H7" s="15"/>
      <c r="I7" s="12"/>
      <c r="J7" s="620" t="s">
        <v>597</v>
      </c>
      <c r="K7" s="620"/>
      <c r="L7" s="620"/>
      <c r="M7" s="620"/>
      <c r="N7" s="620"/>
      <c r="O7" s="620"/>
    </row>
    <row r="8" spans="2:15" ht="15.75">
      <c r="B8" s="15"/>
      <c r="C8" s="15"/>
      <c r="D8" s="15"/>
      <c r="E8" s="15"/>
      <c r="F8" s="15"/>
      <c r="G8" s="15"/>
      <c r="H8" s="16"/>
      <c r="I8" s="12" t="s">
        <v>454</v>
      </c>
      <c r="J8" s="620" t="s">
        <v>609</v>
      </c>
      <c r="K8" s="620"/>
      <c r="L8" s="395"/>
      <c r="M8" s="395"/>
      <c r="N8" s="395"/>
      <c r="O8" s="395"/>
    </row>
    <row r="9" spans="2:11" ht="21" customHeight="1">
      <c r="B9" s="15"/>
      <c r="C9" s="15"/>
      <c r="D9" s="15"/>
      <c r="E9" s="15"/>
      <c r="F9" s="15"/>
      <c r="G9" s="15"/>
      <c r="H9" s="16"/>
      <c r="I9" s="12" t="s">
        <v>455</v>
      </c>
      <c r="J9" s="213"/>
      <c r="K9" s="213"/>
    </row>
    <row r="10" spans="2:11" ht="15.75">
      <c r="B10" s="15"/>
      <c r="C10" s="15"/>
      <c r="D10" s="15"/>
      <c r="E10" s="15"/>
      <c r="F10" s="15"/>
      <c r="G10" s="15"/>
      <c r="H10" s="15"/>
      <c r="I10" s="15"/>
      <c r="J10" s="15"/>
      <c r="K10" s="15"/>
    </row>
    <row r="11" spans="1:11" ht="18.75">
      <c r="A11" s="621" t="s">
        <v>388</v>
      </c>
      <c r="B11" s="621"/>
      <c r="C11" s="621"/>
      <c r="D11" s="621"/>
      <c r="E11" s="621"/>
      <c r="F11" s="621"/>
      <c r="G11" s="621"/>
      <c r="H11" s="621"/>
      <c r="I11" s="621"/>
      <c r="J11" s="621"/>
      <c r="K11" s="621"/>
    </row>
    <row r="12" spans="2:11" ht="15.75">
      <c r="B12" s="15"/>
      <c r="C12" s="15"/>
      <c r="D12" s="626"/>
      <c r="E12" s="626"/>
      <c r="F12" s="626"/>
      <c r="G12" s="626"/>
      <c r="H12" s="626"/>
      <c r="I12" s="15"/>
      <c r="J12" s="15"/>
      <c r="K12" s="34" t="s">
        <v>101</v>
      </c>
    </row>
    <row r="13" spans="1:11" ht="18.75">
      <c r="A13" s="622" t="s">
        <v>461</v>
      </c>
      <c r="B13" s="622" t="s">
        <v>445</v>
      </c>
      <c r="C13" s="622" t="s">
        <v>446</v>
      </c>
      <c r="D13" s="622" t="s">
        <v>103</v>
      </c>
      <c r="E13" s="627" t="s">
        <v>442</v>
      </c>
      <c r="F13" s="627"/>
      <c r="G13" s="627"/>
      <c r="H13" s="627"/>
      <c r="I13" s="627"/>
      <c r="J13" s="657"/>
      <c r="K13" s="625" t="s">
        <v>448</v>
      </c>
    </row>
    <row r="14" spans="1:11" ht="12.75">
      <c r="A14" s="623"/>
      <c r="B14" s="623"/>
      <c r="C14" s="623"/>
      <c r="D14" s="623"/>
      <c r="E14" s="622">
        <v>2022</v>
      </c>
      <c r="F14" s="622">
        <v>2023</v>
      </c>
      <c r="G14" s="622" t="s">
        <v>457</v>
      </c>
      <c r="H14" s="622" t="s">
        <v>458</v>
      </c>
      <c r="I14" s="622" t="s">
        <v>459</v>
      </c>
      <c r="J14" s="625">
        <v>2024</v>
      </c>
      <c r="K14" s="625"/>
    </row>
    <row r="15" spans="1:11" ht="24.75" customHeight="1">
      <c r="A15" s="624"/>
      <c r="B15" s="624"/>
      <c r="C15" s="624"/>
      <c r="D15" s="624"/>
      <c r="E15" s="624"/>
      <c r="F15" s="624"/>
      <c r="G15" s="624"/>
      <c r="H15" s="624"/>
      <c r="I15" s="624"/>
      <c r="J15" s="625"/>
      <c r="K15" s="625"/>
    </row>
    <row r="16" spans="1:11" ht="25.5" customHeight="1">
      <c r="A16" s="622">
        <v>1</v>
      </c>
      <c r="B16" s="703" t="s">
        <v>226</v>
      </c>
      <c r="C16" s="586" t="s">
        <v>191</v>
      </c>
      <c r="D16" s="701">
        <f>E16+F16+J16</f>
        <v>1200</v>
      </c>
      <c r="E16" s="701">
        <v>350</v>
      </c>
      <c r="F16" s="705">
        <v>400</v>
      </c>
      <c r="G16" s="132"/>
      <c r="H16" s="132"/>
      <c r="I16" s="132"/>
      <c r="J16" s="705">
        <v>450</v>
      </c>
      <c r="K16" s="615" t="s">
        <v>270</v>
      </c>
    </row>
    <row r="17" spans="1:11" ht="22.5" customHeight="1">
      <c r="A17" s="624"/>
      <c r="B17" s="704"/>
      <c r="C17" s="586"/>
      <c r="D17" s="702"/>
      <c r="E17" s="702"/>
      <c r="F17" s="706"/>
      <c r="G17" s="132"/>
      <c r="H17" s="132"/>
      <c r="I17" s="132"/>
      <c r="J17" s="706"/>
      <c r="K17" s="617"/>
    </row>
    <row r="18" spans="1:11" s="50" customFormat="1" ht="51" customHeight="1" hidden="1">
      <c r="A18" s="369" t="s">
        <v>108</v>
      </c>
      <c r="B18" s="703" t="s">
        <v>226</v>
      </c>
      <c r="C18" s="586" t="s">
        <v>191</v>
      </c>
      <c r="D18" s="244">
        <f aca="true" t="shared" si="0" ref="D18:D27">E18+F18+J18</f>
        <v>1542</v>
      </c>
      <c r="E18" s="387">
        <v>1542</v>
      </c>
      <c r="F18" s="387"/>
      <c r="G18" s="387"/>
      <c r="H18" s="387"/>
      <c r="I18" s="387"/>
      <c r="J18" s="387"/>
      <c r="K18" s="615" t="s">
        <v>270</v>
      </c>
    </row>
    <row r="19" spans="1:11" ht="48.75" customHeight="1" hidden="1">
      <c r="A19" s="248" t="s">
        <v>109</v>
      </c>
      <c r="B19" s="704"/>
      <c r="C19" s="586"/>
      <c r="D19" s="244">
        <f t="shared" si="0"/>
        <v>233.1</v>
      </c>
      <c r="E19" s="244"/>
      <c r="F19" s="245">
        <v>233.1</v>
      </c>
      <c r="G19" s="245"/>
      <c r="H19" s="245"/>
      <c r="I19" s="245"/>
      <c r="J19" s="245"/>
      <c r="K19" s="617"/>
    </row>
    <row r="20" spans="1:11" ht="45" customHeight="1" hidden="1">
      <c r="A20" s="248" t="s">
        <v>110</v>
      </c>
      <c r="B20" s="703" t="s">
        <v>226</v>
      </c>
      <c r="C20" s="586" t="s">
        <v>191</v>
      </c>
      <c r="D20" s="244">
        <f t="shared" si="0"/>
        <v>1195</v>
      </c>
      <c r="E20" s="244"/>
      <c r="F20" s="245">
        <v>1195</v>
      </c>
      <c r="G20" s="245"/>
      <c r="H20" s="245"/>
      <c r="I20" s="245"/>
      <c r="J20" s="245"/>
      <c r="K20" s="615" t="s">
        <v>270</v>
      </c>
    </row>
    <row r="21" spans="1:11" s="264" customFormat="1" ht="31.5" customHeight="1" hidden="1">
      <c r="A21" s="262" t="s">
        <v>111</v>
      </c>
      <c r="B21" s="704"/>
      <c r="C21" s="586"/>
      <c r="D21" s="244">
        <f t="shared" si="0"/>
        <v>800</v>
      </c>
      <c r="E21" s="263">
        <v>800</v>
      </c>
      <c r="F21" s="263"/>
      <c r="G21" s="263"/>
      <c r="H21" s="263"/>
      <c r="I21" s="263"/>
      <c r="J21" s="263"/>
      <c r="K21" s="617"/>
    </row>
    <row r="22" spans="1:11" s="264" customFormat="1" ht="33" customHeight="1" hidden="1">
      <c r="A22" s="262" t="s">
        <v>112</v>
      </c>
      <c r="B22" s="703" t="s">
        <v>226</v>
      </c>
      <c r="C22" s="586" t="s">
        <v>191</v>
      </c>
      <c r="D22" s="244">
        <f t="shared" si="0"/>
        <v>1700</v>
      </c>
      <c r="E22" s="263">
        <v>1700</v>
      </c>
      <c r="F22" s="263"/>
      <c r="G22" s="263"/>
      <c r="H22" s="263"/>
      <c r="I22" s="263"/>
      <c r="J22" s="263"/>
      <c r="K22" s="615" t="s">
        <v>270</v>
      </c>
    </row>
    <row r="23" spans="1:11" s="264" customFormat="1" ht="33" customHeight="1" hidden="1">
      <c r="A23" s="262" t="s">
        <v>122</v>
      </c>
      <c r="B23" s="704"/>
      <c r="C23" s="586"/>
      <c r="D23" s="244">
        <f t="shared" si="0"/>
        <v>1542</v>
      </c>
      <c r="E23" s="263">
        <v>1542</v>
      </c>
      <c r="F23" s="263"/>
      <c r="G23" s="263"/>
      <c r="H23" s="263"/>
      <c r="I23" s="263"/>
      <c r="J23" s="263"/>
      <c r="K23" s="617"/>
    </row>
    <row r="24" spans="1:11" ht="33.75" customHeight="1" hidden="1">
      <c r="A24" s="248" t="s">
        <v>136</v>
      </c>
      <c r="B24" s="703" t="s">
        <v>226</v>
      </c>
      <c r="C24" s="586" t="s">
        <v>191</v>
      </c>
      <c r="D24" s="244">
        <f t="shared" si="0"/>
        <v>753.27</v>
      </c>
      <c r="E24" s="244"/>
      <c r="F24" s="245"/>
      <c r="G24" s="245"/>
      <c r="H24" s="245"/>
      <c r="I24" s="245"/>
      <c r="J24" s="245">
        <v>753.27</v>
      </c>
      <c r="K24" s="615" t="s">
        <v>270</v>
      </c>
    </row>
    <row r="25" spans="1:11" ht="33.75" customHeight="1" hidden="1">
      <c r="A25" s="248" t="s">
        <v>157</v>
      </c>
      <c r="B25" s="704"/>
      <c r="C25" s="586"/>
      <c r="D25" s="244">
        <f t="shared" si="0"/>
        <v>2000</v>
      </c>
      <c r="E25" s="244"/>
      <c r="F25" s="245"/>
      <c r="G25" s="245"/>
      <c r="H25" s="245"/>
      <c r="I25" s="245"/>
      <c r="J25" s="245">
        <v>2000</v>
      </c>
      <c r="K25" s="617"/>
    </row>
    <row r="26" spans="1:11" ht="46.5" customHeight="1" hidden="1">
      <c r="A26" s="248" t="s">
        <v>120</v>
      </c>
      <c r="B26" s="703" t="s">
        <v>226</v>
      </c>
      <c r="C26" s="586" t="s">
        <v>191</v>
      </c>
      <c r="D26" s="244">
        <f t="shared" si="0"/>
        <v>700</v>
      </c>
      <c r="E26" s="244"/>
      <c r="F26" s="245"/>
      <c r="G26" s="245"/>
      <c r="H26" s="245"/>
      <c r="I26" s="245"/>
      <c r="J26" s="245">
        <v>700</v>
      </c>
      <c r="K26" s="615" t="s">
        <v>270</v>
      </c>
    </row>
    <row r="27" spans="1:11" ht="41.25" customHeight="1" hidden="1">
      <c r="A27" s="248" t="s">
        <v>144</v>
      </c>
      <c r="B27" s="704"/>
      <c r="C27" s="586"/>
      <c r="D27" s="244">
        <f t="shared" si="0"/>
        <v>1300</v>
      </c>
      <c r="E27" s="244"/>
      <c r="F27" s="245"/>
      <c r="G27" s="245"/>
      <c r="H27" s="245"/>
      <c r="I27" s="245"/>
      <c r="J27" s="245">
        <v>1300</v>
      </c>
      <c r="K27" s="617"/>
    </row>
    <row r="28" spans="1:11" ht="2.25" customHeight="1" hidden="1">
      <c r="A28" s="35">
        <v>4</v>
      </c>
      <c r="B28" s="703" t="s">
        <v>226</v>
      </c>
      <c r="C28" s="586" t="s">
        <v>191</v>
      </c>
      <c r="D28" s="244">
        <v>13705</v>
      </c>
      <c r="E28" s="246">
        <v>13705</v>
      </c>
      <c r="F28" s="245"/>
      <c r="G28" s="245"/>
      <c r="H28" s="245"/>
      <c r="I28" s="245"/>
      <c r="J28" s="245"/>
      <c r="K28" s="615" t="s">
        <v>270</v>
      </c>
    </row>
    <row r="29" spans="1:11" s="266" customFormat="1" ht="42.75" customHeight="1" hidden="1">
      <c r="A29" s="55">
        <v>2</v>
      </c>
      <c r="B29" s="704"/>
      <c r="C29" s="586"/>
      <c r="D29" s="265" t="e">
        <f>D30+D31+#REF!</f>
        <v>#REF!</v>
      </c>
      <c r="E29" s="265" t="e">
        <f>E30+E31+#REF!</f>
        <v>#REF!</v>
      </c>
      <c r="F29" s="265">
        <f>F30</f>
        <v>0</v>
      </c>
      <c r="G29" s="265">
        <f>G30</f>
        <v>0</v>
      </c>
      <c r="H29" s="265">
        <f>H30</f>
        <v>0</v>
      </c>
      <c r="I29" s="265">
        <f>I30</f>
        <v>0</v>
      </c>
      <c r="J29" s="265">
        <f>J30</f>
        <v>0</v>
      </c>
      <c r="K29" s="617"/>
    </row>
    <row r="30" spans="1:11" ht="28.5" customHeight="1" hidden="1">
      <c r="A30" s="248" t="s">
        <v>108</v>
      </c>
      <c r="B30" s="703" t="s">
        <v>226</v>
      </c>
      <c r="C30" s="586" t="s">
        <v>191</v>
      </c>
      <c r="D30" s="244">
        <f>E30+F30+J30</f>
        <v>0</v>
      </c>
      <c r="E30" s="246">
        <f>3000-3000</f>
        <v>0</v>
      </c>
      <c r="F30" s="245"/>
      <c r="G30" s="245"/>
      <c r="H30" s="245"/>
      <c r="I30" s="245"/>
      <c r="J30" s="245"/>
      <c r="K30" s="615" t="s">
        <v>270</v>
      </c>
    </row>
    <row r="31" spans="1:11" ht="21" customHeight="1" hidden="1">
      <c r="A31" s="248" t="s">
        <v>109</v>
      </c>
      <c r="B31" s="704"/>
      <c r="C31" s="586"/>
      <c r="D31" s="244">
        <f>E31+F31+J31</f>
        <v>0</v>
      </c>
      <c r="E31" s="246">
        <f>2000-2000</f>
        <v>0</v>
      </c>
      <c r="F31" s="245"/>
      <c r="G31" s="245"/>
      <c r="H31" s="245"/>
      <c r="I31" s="245"/>
      <c r="J31" s="245"/>
      <c r="K31" s="617"/>
    </row>
    <row r="32" spans="1:11" ht="33.75" customHeight="1">
      <c r="A32" s="558" t="s">
        <v>169</v>
      </c>
      <c r="B32" s="503" t="s">
        <v>423</v>
      </c>
      <c r="C32" s="557" t="s">
        <v>191</v>
      </c>
      <c r="D32" s="265">
        <f>E32+F32+J32</f>
        <v>0</v>
      </c>
      <c r="E32" s="560">
        <f>1160-1160</f>
        <v>0</v>
      </c>
      <c r="F32" s="245"/>
      <c r="G32" s="245"/>
      <c r="H32" s="245"/>
      <c r="I32" s="245"/>
      <c r="J32" s="245"/>
      <c r="K32" s="35" t="s">
        <v>424</v>
      </c>
    </row>
    <row r="33" spans="1:11" ht="37.5" customHeight="1">
      <c r="A33" s="559" t="s">
        <v>157</v>
      </c>
      <c r="B33" s="503" t="s">
        <v>621</v>
      </c>
      <c r="C33" s="557" t="s">
        <v>191</v>
      </c>
      <c r="D33" s="265">
        <f>E33+F33+J33</f>
        <v>203</v>
      </c>
      <c r="E33" s="560"/>
      <c r="F33" s="132">
        <v>203</v>
      </c>
      <c r="G33" s="245"/>
      <c r="H33" s="245"/>
      <c r="I33" s="245"/>
      <c r="J33" s="245"/>
      <c r="K33" s="35" t="s">
        <v>622</v>
      </c>
    </row>
    <row r="34" spans="1:11" ht="24" customHeight="1">
      <c r="A34" s="64"/>
      <c r="B34" s="242"/>
      <c r="C34" s="503"/>
      <c r="D34" s="132">
        <f aca="true" t="shared" si="1" ref="D34:J34">D16+D32+D33</f>
        <v>1403</v>
      </c>
      <c r="E34" s="132">
        <f t="shared" si="1"/>
        <v>350</v>
      </c>
      <c r="F34" s="132">
        <f t="shared" si="1"/>
        <v>603</v>
      </c>
      <c r="G34" s="132">
        <f t="shared" si="1"/>
        <v>0</v>
      </c>
      <c r="H34" s="132">
        <f t="shared" si="1"/>
        <v>0</v>
      </c>
      <c r="I34" s="132">
        <f t="shared" si="1"/>
        <v>0</v>
      </c>
      <c r="J34" s="132">
        <f t="shared" si="1"/>
        <v>450</v>
      </c>
      <c r="K34" s="35"/>
    </row>
    <row r="35" spans="1:11" ht="10.5" customHeight="1">
      <c r="A35" s="304"/>
      <c r="B35" s="48"/>
      <c r="C35" s="48"/>
      <c r="D35" s="214"/>
      <c r="E35" s="214"/>
      <c r="F35" s="214"/>
      <c r="G35" s="214"/>
      <c r="H35" s="214"/>
      <c r="I35" s="214"/>
      <c r="J35" s="214"/>
      <c r="K35" s="215"/>
    </row>
    <row r="36" spans="1:11" ht="18.75" hidden="1">
      <c r="A36" s="63"/>
      <c r="B36" s="48"/>
      <c r="C36" s="48"/>
      <c r="D36" s="214"/>
      <c r="E36" s="214"/>
      <c r="F36" s="214"/>
      <c r="G36" s="214"/>
      <c r="H36" s="214"/>
      <c r="I36" s="214"/>
      <c r="J36" s="214"/>
      <c r="K36" s="215"/>
    </row>
    <row r="37" spans="1:11" ht="18.75">
      <c r="A37" s="63"/>
      <c r="B37" s="48"/>
      <c r="C37" s="49"/>
      <c r="D37" s="63"/>
      <c r="E37" s="214"/>
      <c r="F37" s="214"/>
      <c r="G37" s="214"/>
      <c r="H37" s="214"/>
      <c r="I37" s="214"/>
      <c r="J37" s="214"/>
      <c r="K37" s="49"/>
    </row>
    <row r="38" spans="2:11" s="327" customFormat="1" ht="20.25">
      <c r="B38" s="618" t="s">
        <v>149</v>
      </c>
      <c r="C38" s="618"/>
      <c r="D38" s="321"/>
      <c r="E38" s="322"/>
      <c r="F38" s="322"/>
      <c r="J38" s="329"/>
      <c r="K38" s="83" t="s">
        <v>578</v>
      </c>
    </row>
    <row r="39" spans="1:11" ht="15" customHeight="1">
      <c r="A39" s="63"/>
      <c r="B39" s="221"/>
      <c r="C39" s="221"/>
      <c r="D39" s="221"/>
      <c r="E39" s="22"/>
      <c r="F39" s="22"/>
      <c r="G39" s="63"/>
      <c r="H39" s="63"/>
      <c r="I39" s="63"/>
      <c r="J39" s="23"/>
      <c r="K39" s="23"/>
    </row>
    <row r="40" spans="1:11" ht="18.75">
      <c r="A40" s="63"/>
      <c r="B40" s="700" t="s">
        <v>582</v>
      </c>
      <c r="C40" s="700"/>
      <c r="D40" s="25"/>
      <c r="E40" s="22"/>
      <c r="F40" s="22"/>
      <c r="G40" s="22"/>
      <c r="H40" s="22"/>
      <c r="I40" s="22"/>
      <c r="J40" s="213"/>
      <c r="K40" s="213"/>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48">
    <mergeCell ref="J6:O6"/>
    <mergeCell ref="K18:K19"/>
    <mergeCell ref="K20:K21"/>
    <mergeCell ref="K22:K23"/>
    <mergeCell ref="K24:K25"/>
    <mergeCell ref="K26:K27"/>
    <mergeCell ref="J14:J15"/>
    <mergeCell ref="A11:K11"/>
    <mergeCell ref="D12:H12"/>
    <mergeCell ref="A13:A15"/>
    <mergeCell ref="K28:K29"/>
    <mergeCell ref="K30:K31"/>
    <mergeCell ref="C28:C29"/>
    <mergeCell ref="C30:C31"/>
    <mergeCell ref="B26:B27"/>
    <mergeCell ref="B28:B29"/>
    <mergeCell ref="B30:B31"/>
    <mergeCell ref="C18:C19"/>
    <mergeCell ref="C20:C21"/>
    <mergeCell ref="C22:C23"/>
    <mergeCell ref="C24:C25"/>
    <mergeCell ref="C26:C27"/>
    <mergeCell ref="I14:I15"/>
    <mergeCell ref="B13:B15"/>
    <mergeCell ref="C13:C15"/>
    <mergeCell ref="D13:D15"/>
    <mergeCell ref="E13:J13"/>
    <mergeCell ref="K13:K15"/>
    <mergeCell ref="A16:A17"/>
    <mergeCell ref="B16:B17"/>
    <mergeCell ref="J8:K8"/>
    <mergeCell ref="J7:O7"/>
    <mergeCell ref="E16:E17"/>
    <mergeCell ref="F16:F17"/>
    <mergeCell ref="K16:K17"/>
    <mergeCell ref="J16:J17"/>
    <mergeCell ref="G14:G15"/>
    <mergeCell ref="H14:H15"/>
    <mergeCell ref="B38:C38"/>
    <mergeCell ref="B40:C40"/>
    <mergeCell ref="C16:C17"/>
    <mergeCell ref="D16:D17"/>
    <mergeCell ref="E14:E15"/>
    <mergeCell ref="F14:F15"/>
    <mergeCell ref="B18:B19"/>
    <mergeCell ref="B20:B21"/>
    <mergeCell ref="B22:B23"/>
    <mergeCell ref="B24:B25"/>
  </mergeCells>
  <printOptions horizontalCentered="1"/>
  <pageMargins left="0.5905511811023623" right="0.5905511811023623" top="1.1811023622047245" bottom="0.1968503937007874" header="0" footer="0"/>
  <pageSetup fitToHeight="0"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G24" sqref="G24"/>
    </sheetView>
  </sheetViews>
  <sheetFormatPr defaultColWidth="9.140625" defaultRowHeight="12.75"/>
  <cols>
    <col min="1" max="1" width="6.140625" style="137" bestFit="1" customWidth="1"/>
    <col min="2" max="2" width="73.7109375" style="0" customWidth="1"/>
    <col min="3" max="3" width="17.7109375" style="0" customWidth="1"/>
    <col min="4" max="4" width="14.421875" style="0" customWidth="1"/>
    <col min="5" max="5" width="13.421875" style="181" customWidth="1"/>
    <col min="6" max="7" width="12.28125" style="0" customWidth="1"/>
    <col min="8" max="9" width="9.140625" style="0" hidden="1" customWidth="1"/>
    <col min="10" max="10" width="9.7109375" style="0" hidden="1" customWidth="1"/>
    <col min="11" max="11" width="64.57421875" style="0" customWidth="1"/>
    <col min="12" max="12" width="9.8515625" style="0" hidden="1" customWidth="1"/>
    <col min="13" max="16" width="9.140625" style="0" hidden="1" customWidth="1"/>
  </cols>
  <sheetData>
    <row r="1" spans="11:13" ht="15.75">
      <c r="K1" s="1" t="s">
        <v>580</v>
      </c>
      <c r="L1" s="271"/>
      <c r="M1" s="2"/>
    </row>
    <row r="2" spans="11:16" ht="15.75">
      <c r="K2" s="12" t="s">
        <v>444</v>
      </c>
      <c r="L2" s="12"/>
      <c r="M2" s="15"/>
      <c r="N2" s="12"/>
      <c r="O2" s="12"/>
      <c r="P2" s="12"/>
    </row>
    <row r="3" spans="11:16" ht="15.75">
      <c r="K3" s="12" t="s">
        <v>594</v>
      </c>
      <c r="L3" s="12"/>
      <c r="M3" s="15"/>
      <c r="N3" s="12"/>
      <c r="O3" s="12"/>
      <c r="P3" s="12"/>
    </row>
    <row r="4" spans="11:16" ht="15.75">
      <c r="K4" s="17" t="s">
        <v>158</v>
      </c>
      <c r="L4" s="17"/>
      <c r="M4" s="15"/>
      <c r="N4" s="12"/>
      <c r="O4" s="12"/>
      <c r="P4" s="12"/>
    </row>
    <row r="5" spans="2:16" ht="15.75">
      <c r="B5" s="1"/>
      <c r="C5" s="1"/>
      <c r="D5" s="1"/>
      <c r="E5" s="182"/>
      <c r="F5" s="1"/>
      <c r="G5" s="1"/>
      <c r="H5" s="1"/>
      <c r="I5" s="1"/>
      <c r="J5" s="2" t="s">
        <v>475</v>
      </c>
      <c r="K5" s="17" t="s">
        <v>599</v>
      </c>
      <c r="L5" s="17"/>
      <c r="M5" s="15"/>
      <c r="N5" s="12"/>
      <c r="O5" s="12"/>
      <c r="P5" s="12"/>
    </row>
    <row r="6" spans="2:16" ht="15.75">
      <c r="B6" s="1"/>
      <c r="C6" s="1"/>
      <c r="D6" s="1"/>
      <c r="E6" s="182"/>
      <c r="F6" s="1"/>
      <c r="G6" s="1"/>
      <c r="H6" s="1"/>
      <c r="I6" s="1"/>
      <c r="J6" s="2"/>
      <c r="K6" s="620" t="s">
        <v>598</v>
      </c>
      <c r="L6" s="620"/>
      <c r="M6" s="620"/>
      <c r="N6" s="620"/>
      <c r="O6" s="620"/>
      <c r="P6" s="620"/>
    </row>
    <row r="7" spans="2:16" ht="15.75">
      <c r="B7" s="1"/>
      <c r="C7" s="1"/>
      <c r="D7" s="1"/>
      <c r="E7" s="182"/>
      <c r="F7" s="1"/>
      <c r="G7" s="1"/>
      <c r="H7" s="1"/>
      <c r="I7" s="9"/>
      <c r="J7" s="3" t="s">
        <v>478</v>
      </c>
      <c r="K7" s="620" t="s">
        <v>597</v>
      </c>
      <c r="L7" s="620"/>
      <c r="M7" s="620"/>
      <c r="N7" s="620"/>
      <c r="O7" s="620"/>
      <c r="P7" s="620"/>
    </row>
    <row r="8" spans="2:16" ht="15.75">
      <c r="B8" s="1"/>
      <c r="C8" s="1"/>
      <c r="D8" s="1"/>
      <c r="E8" s="182"/>
      <c r="F8" s="1"/>
      <c r="G8" s="1"/>
      <c r="H8" s="1"/>
      <c r="I8" s="9"/>
      <c r="J8" s="3"/>
      <c r="K8" s="620" t="s">
        <v>609</v>
      </c>
      <c r="L8" s="620"/>
      <c r="M8" s="395"/>
      <c r="N8" s="395"/>
      <c r="O8" s="395"/>
      <c r="P8" s="395"/>
    </row>
    <row r="9" spans="2:14" ht="18.75">
      <c r="B9" s="1"/>
      <c r="C9" s="1"/>
      <c r="D9" s="1"/>
      <c r="E9" s="182"/>
      <c r="F9" s="1"/>
      <c r="G9" s="1"/>
      <c r="H9" s="1"/>
      <c r="I9" s="9"/>
      <c r="J9" s="3"/>
      <c r="K9" s="216"/>
      <c r="L9" s="51"/>
      <c r="M9" s="3"/>
      <c r="N9" s="3"/>
    </row>
    <row r="10" spans="2:11" ht="15.75">
      <c r="B10" s="1"/>
      <c r="C10" s="1"/>
      <c r="D10" s="1"/>
      <c r="E10" s="182"/>
      <c r="F10" s="1"/>
      <c r="G10" s="1"/>
      <c r="H10" s="1"/>
      <c r="I10" s="1"/>
      <c r="J10" s="1"/>
      <c r="K10" s="1"/>
    </row>
    <row r="11" spans="1:11" ht="51" customHeight="1">
      <c r="A11" s="300"/>
      <c r="B11" s="707" t="s">
        <v>389</v>
      </c>
      <c r="C11" s="707"/>
      <c r="D11" s="707"/>
      <c r="E11" s="707"/>
      <c r="F11" s="707"/>
      <c r="G11" s="707"/>
      <c r="H11" s="707"/>
      <c r="I11" s="707"/>
      <c r="J11" s="707"/>
      <c r="K11" s="707"/>
    </row>
    <row r="12" spans="1:11" ht="15.75">
      <c r="A12" s="300"/>
      <c r="B12" s="1"/>
      <c r="C12" s="1"/>
      <c r="D12" s="1"/>
      <c r="E12" s="182"/>
      <c r="F12" s="1"/>
      <c r="G12" s="1"/>
      <c r="H12" s="1"/>
      <c r="I12" s="1"/>
      <c r="J12" s="1"/>
      <c r="K12" s="43" t="s">
        <v>113</v>
      </c>
    </row>
    <row r="13" spans="1:11" ht="18.75">
      <c r="A13" s="643" t="s">
        <v>479</v>
      </c>
      <c r="B13" s="633" t="s">
        <v>445</v>
      </c>
      <c r="C13" s="633" t="s">
        <v>446</v>
      </c>
      <c r="D13" s="633" t="s">
        <v>103</v>
      </c>
      <c r="E13" s="641" t="s">
        <v>442</v>
      </c>
      <c r="F13" s="641"/>
      <c r="G13" s="641"/>
      <c r="H13" s="641"/>
      <c r="I13" s="641"/>
      <c r="J13" s="641"/>
      <c r="K13" s="633" t="s">
        <v>448</v>
      </c>
    </row>
    <row r="14" spans="1:11" ht="40.5" customHeight="1">
      <c r="A14" s="644"/>
      <c r="B14" s="633"/>
      <c r="C14" s="633"/>
      <c r="D14" s="633"/>
      <c r="E14" s="171">
        <v>2022</v>
      </c>
      <c r="F14" s="52">
        <v>2023</v>
      </c>
      <c r="G14" s="52">
        <v>2024</v>
      </c>
      <c r="H14" s="138" t="s">
        <v>457</v>
      </c>
      <c r="I14" s="138" t="s">
        <v>458</v>
      </c>
      <c r="J14" s="138" t="s">
        <v>459</v>
      </c>
      <c r="K14" s="633"/>
    </row>
    <row r="15" spans="1:11" ht="37.5" hidden="1">
      <c r="A15" s="631">
        <v>14</v>
      </c>
      <c r="B15" s="642" t="s">
        <v>26</v>
      </c>
      <c r="C15" s="161" t="s">
        <v>449</v>
      </c>
      <c r="D15" s="173">
        <f>E15+F15+G15</f>
        <v>0</v>
      </c>
      <c r="E15" s="173"/>
      <c r="F15" s="173"/>
      <c r="G15" s="173"/>
      <c r="H15" s="356"/>
      <c r="I15" s="356"/>
      <c r="J15" s="356"/>
      <c r="K15" s="634" t="s">
        <v>7</v>
      </c>
    </row>
    <row r="16" spans="1:11" ht="18.75" hidden="1">
      <c r="A16" s="631"/>
      <c r="B16" s="642"/>
      <c r="C16" s="161" t="s">
        <v>155</v>
      </c>
      <c r="D16" s="173">
        <f>E16+F16+G16</f>
        <v>0</v>
      </c>
      <c r="E16" s="173"/>
      <c r="F16" s="173"/>
      <c r="G16" s="173"/>
      <c r="H16" s="356"/>
      <c r="I16" s="356"/>
      <c r="J16" s="356"/>
      <c r="K16" s="636"/>
    </row>
    <row r="17" spans="1:11" ht="37.5" hidden="1">
      <c r="A17" s="161">
        <v>15</v>
      </c>
      <c r="B17" s="60" t="s">
        <v>39</v>
      </c>
      <c r="C17" s="61" t="s">
        <v>449</v>
      </c>
      <c r="D17" s="173">
        <f>E17+F17+G17</f>
        <v>0</v>
      </c>
      <c r="E17" s="191"/>
      <c r="F17" s="191"/>
      <c r="G17" s="191"/>
      <c r="H17" s="362"/>
      <c r="I17" s="362"/>
      <c r="J17" s="362"/>
      <c r="K17" s="61" t="s">
        <v>40</v>
      </c>
    </row>
    <row r="18" spans="1:11" s="351" customFormat="1" ht="46.5" customHeight="1">
      <c r="A18" s="358">
        <v>1</v>
      </c>
      <c r="B18" s="60" t="s">
        <v>350</v>
      </c>
      <c r="C18" s="61" t="s">
        <v>35</v>
      </c>
      <c r="D18" s="173">
        <f>E18+F18+G18</f>
        <v>1056.2</v>
      </c>
      <c r="E18" s="493">
        <f>350-49.3</f>
        <v>300.7</v>
      </c>
      <c r="F18" s="191">
        <v>368.5</v>
      </c>
      <c r="G18" s="191">
        <v>387</v>
      </c>
      <c r="H18" s="349"/>
      <c r="I18" s="349"/>
      <c r="J18" s="349"/>
      <c r="K18" s="61" t="s">
        <v>40</v>
      </c>
    </row>
    <row r="19" spans="1:11" s="351" customFormat="1" ht="46.5" customHeight="1">
      <c r="A19" s="358">
        <v>2</v>
      </c>
      <c r="B19" s="60" t="s">
        <v>356</v>
      </c>
      <c r="C19" s="61" t="s">
        <v>35</v>
      </c>
      <c r="D19" s="173">
        <f>E19+F19+G19</f>
        <v>4655</v>
      </c>
      <c r="E19" s="493">
        <f>1950-1395</f>
        <v>555</v>
      </c>
      <c r="F19" s="191">
        <v>2000</v>
      </c>
      <c r="G19" s="191">
        <v>2100</v>
      </c>
      <c r="H19" s="363">
        <v>1500</v>
      </c>
      <c r="I19" s="363">
        <v>1500</v>
      </c>
      <c r="J19" s="363">
        <v>1500</v>
      </c>
      <c r="K19" s="61" t="s">
        <v>40</v>
      </c>
    </row>
    <row r="20" spans="1:11" ht="35.25" customHeight="1">
      <c r="A20" s="302"/>
      <c r="B20" s="393" t="s">
        <v>439</v>
      </c>
      <c r="C20" s="393"/>
      <c r="D20" s="433">
        <f>D18+D19</f>
        <v>5711.2</v>
      </c>
      <c r="E20" s="433">
        <f>E18+E19</f>
        <v>855.7</v>
      </c>
      <c r="F20" s="433">
        <f>F18+F19</f>
        <v>2368.5</v>
      </c>
      <c r="G20" s="433">
        <f>G18+G19</f>
        <v>2487</v>
      </c>
      <c r="H20" s="197" t="e">
        <f>#REF!+#REF!+#REF!+#REF!+#REF!+#REF!+#REF!+#REF!+#REF!+#REF!+#REF!+#REF!+#REF!+#REF!+#REF!</f>
        <v>#REF!</v>
      </c>
      <c r="I20" s="197" t="e">
        <f>#REF!+#REF!+#REF!+#REF!+#REF!+#REF!+#REF!+#REF!+#REF!+#REF!+#REF!+#REF!+#REF!+#REF!+#REF!</f>
        <v>#REF!</v>
      </c>
      <c r="J20" s="197" t="e">
        <f>#REF!+#REF!+#REF!+#REF!+#REF!+#REF!+#REF!+#REF!+#REF!+#REF!+#REF!+#REF!+#REF!+#REF!+#REF!</f>
        <v>#REF!</v>
      </c>
      <c r="K20" s="198"/>
    </row>
    <row r="21" spans="1:11" ht="15.75" customHeight="1">
      <c r="A21" s="300"/>
      <c r="B21" s="4"/>
      <c r="C21" s="4"/>
      <c r="D21" s="140"/>
      <c r="E21" s="183"/>
      <c r="F21" s="140"/>
      <c r="G21" s="140"/>
      <c r="H21" s="140"/>
      <c r="I21" s="140"/>
      <c r="J21" s="140"/>
      <c r="K21" s="141"/>
    </row>
    <row r="22" spans="1:11" ht="22.5" customHeight="1">
      <c r="A22" s="300"/>
      <c r="B22" s="4"/>
      <c r="C22" s="4"/>
      <c r="D22" s="140"/>
      <c r="E22" s="183"/>
      <c r="F22" s="140"/>
      <c r="G22" s="140"/>
      <c r="H22" s="140"/>
      <c r="I22" s="140"/>
      <c r="J22" s="140"/>
      <c r="K22" s="141"/>
    </row>
    <row r="23" spans="1:11" ht="27.75" customHeight="1">
      <c r="A23" s="300"/>
      <c r="B23" s="4"/>
      <c r="C23" s="4"/>
      <c r="D23" s="140"/>
      <c r="E23" s="183"/>
      <c r="F23" s="140"/>
      <c r="G23" s="140"/>
      <c r="H23" s="140"/>
      <c r="I23" s="140"/>
      <c r="J23" s="140"/>
      <c r="K23" s="141"/>
    </row>
    <row r="24" spans="1:13" ht="33" customHeight="1">
      <c r="A24" s="300"/>
      <c r="B24" s="648" t="s">
        <v>450</v>
      </c>
      <c r="C24" s="648"/>
      <c r="D24" s="331"/>
      <c r="E24" s="332"/>
      <c r="F24" s="333"/>
      <c r="G24" s="333"/>
      <c r="H24" s="333"/>
      <c r="I24" s="333"/>
      <c r="J24" s="333"/>
      <c r="K24" s="83" t="s">
        <v>578</v>
      </c>
      <c r="L24" s="142"/>
      <c r="M24" s="142"/>
    </row>
    <row r="25" spans="1:12" ht="18.75">
      <c r="A25" s="300"/>
      <c r="B25" s="228"/>
      <c r="C25" s="46"/>
      <c r="D25" s="303"/>
      <c r="E25" s="229"/>
      <c r="F25" s="230"/>
      <c r="G25" s="230"/>
      <c r="H25" s="230"/>
      <c r="I25" s="230"/>
      <c r="J25" s="230"/>
      <c r="K25" s="46"/>
      <c r="L25" s="1"/>
    </row>
    <row r="26" spans="1:12" ht="18.75">
      <c r="A26" s="300"/>
      <c r="B26" s="700" t="s">
        <v>582</v>
      </c>
      <c r="C26" s="700"/>
      <c r="D26" s="46"/>
      <c r="E26" s="184"/>
      <c r="F26" s="8"/>
      <c r="G26" s="8"/>
      <c r="H26" s="303"/>
      <c r="I26" s="303"/>
      <c r="J26" s="303"/>
      <c r="K26" s="231"/>
      <c r="L26" s="1"/>
    </row>
    <row r="27" spans="2:11" ht="15.75">
      <c r="B27" s="1"/>
      <c r="C27" s="41"/>
      <c r="D27" s="7"/>
      <c r="E27" s="185"/>
      <c r="F27" s="7"/>
      <c r="G27" s="7"/>
      <c r="H27" s="7"/>
      <c r="I27" s="7"/>
      <c r="J27" s="7"/>
      <c r="K27" s="1"/>
    </row>
    <row r="28" spans="2:11" ht="15.75">
      <c r="B28" s="1"/>
      <c r="C28" s="42"/>
      <c r="D28" s="7"/>
      <c r="E28" s="185"/>
      <c r="F28" s="7"/>
      <c r="G28" s="7"/>
      <c r="H28" s="7"/>
      <c r="I28" s="7"/>
      <c r="J28" s="7"/>
      <c r="K28" s="1"/>
    </row>
    <row r="29" spans="2:11" ht="15.75">
      <c r="B29" s="1"/>
      <c r="C29" s="1"/>
      <c r="D29" s="1"/>
      <c r="E29" s="182"/>
      <c r="F29" s="1"/>
      <c r="G29" s="1"/>
      <c r="H29" s="1"/>
      <c r="I29" s="1"/>
      <c r="J29" s="1"/>
      <c r="K29" s="1"/>
    </row>
    <row r="30" spans="2:11" ht="15.75">
      <c r="B30" s="1"/>
      <c r="C30" s="1"/>
      <c r="D30" s="1"/>
      <c r="E30" s="182"/>
      <c r="F30" s="1"/>
      <c r="G30" s="1"/>
      <c r="H30" s="1"/>
      <c r="I30" s="1"/>
      <c r="J30" s="1"/>
      <c r="K30" s="1"/>
    </row>
    <row r="31" spans="2:11" ht="15.75">
      <c r="B31" s="1"/>
      <c r="C31" s="1"/>
      <c r="D31" s="1"/>
      <c r="E31" s="182"/>
      <c r="F31" s="1"/>
      <c r="G31" s="1"/>
      <c r="H31" s="1"/>
      <c r="I31" s="1"/>
      <c r="J31" s="1"/>
      <c r="K31" s="1"/>
    </row>
    <row r="32" spans="2:11" ht="15.75">
      <c r="B32" s="1"/>
      <c r="C32" s="1"/>
      <c r="D32" s="1"/>
      <c r="E32" s="182"/>
      <c r="F32" s="1"/>
      <c r="G32" s="1"/>
      <c r="H32" s="1"/>
      <c r="I32" s="1"/>
      <c r="J32" s="1"/>
      <c r="K32" s="1"/>
    </row>
    <row r="33" spans="2:11" ht="15.75">
      <c r="B33" s="1"/>
      <c r="C33" s="1"/>
      <c r="D33" s="1"/>
      <c r="E33" s="182"/>
      <c r="F33" s="1"/>
      <c r="G33" s="1"/>
      <c r="H33" s="1"/>
      <c r="I33" s="1"/>
      <c r="J33" s="1"/>
      <c r="K33" s="1"/>
    </row>
    <row r="34" spans="2:11" ht="15.75">
      <c r="B34" s="1"/>
      <c r="C34" s="1"/>
      <c r="D34" s="1"/>
      <c r="E34" s="182"/>
      <c r="F34" s="1"/>
      <c r="G34" s="1"/>
      <c r="H34" s="1"/>
      <c r="I34" s="1"/>
      <c r="J34" s="1"/>
      <c r="K34" s="1"/>
    </row>
    <row r="35" spans="2:11" ht="15.75">
      <c r="B35" s="1"/>
      <c r="C35" s="1"/>
      <c r="D35" s="1"/>
      <c r="E35" s="182"/>
      <c r="F35" s="1"/>
      <c r="G35" s="1"/>
      <c r="H35" s="1"/>
      <c r="I35" s="1"/>
      <c r="J35" s="1"/>
      <c r="K35" s="1"/>
    </row>
    <row r="36" spans="2:11" ht="15.75">
      <c r="B36" s="1"/>
      <c r="C36" s="1"/>
      <c r="D36" s="1"/>
      <c r="E36" s="182"/>
      <c r="F36" s="1"/>
      <c r="G36" s="1"/>
      <c r="H36" s="1"/>
      <c r="I36" s="1"/>
      <c r="J36" s="1"/>
      <c r="K36" s="1"/>
    </row>
    <row r="37" spans="2:11" ht="15.75">
      <c r="B37" s="1"/>
      <c r="C37" s="1"/>
      <c r="D37" s="1"/>
      <c r="E37" s="182"/>
      <c r="F37" s="1"/>
      <c r="G37" s="1"/>
      <c r="H37" s="1"/>
      <c r="I37" s="1"/>
      <c r="J37" s="1"/>
      <c r="K37" s="1"/>
    </row>
    <row r="38" spans="2:11" ht="15.75">
      <c r="B38" s="1"/>
      <c r="C38" s="1"/>
      <c r="D38" s="1"/>
      <c r="E38" s="182"/>
      <c r="F38" s="1"/>
      <c r="G38" s="1"/>
      <c r="H38" s="1"/>
      <c r="I38" s="1"/>
      <c r="J38" s="1"/>
      <c r="K38" s="1"/>
    </row>
    <row r="39" spans="2:11" ht="15.75">
      <c r="B39" s="1"/>
      <c r="C39" s="1"/>
      <c r="D39" s="1"/>
      <c r="E39" s="182"/>
      <c r="F39" s="1"/>
      <c r="G39" s="1"/>
      <c r="H39" s="1"/>
      <c r="I39" s="1"/>
      <c r="J39" s="1"/>
      <c r="K39" s="1"/>
    </row>
    <row r="40" spans="2:11" ht="15.75">
      <c r="B40" s="1"/>
      <c r="C40" s="1"/>
      <c r="D40" s="1"/>
      <c r="E40" s="182"/>
      <c r="F40" s="1"/>
      <c r="G40" s="1"/>
      <c r="H40" s="1"/>
      <c r="I40" s="1"/>
      <c r="J40" s="1"/>
      <c r="K40" s="1"/>
    </row>
    <row r="41" spans="2:11" ht="15.75">
      <c r="B41" s="1"/>
      <c r="C41" s="1"/>
      <c r="D41" s="1"/>
      <c r="E41" s="182"/>
      <c r="F41" s="1"/>
      <c r="G41" s="1"/>
      <c r="H41" s="1"/>
      <c r="I41" s="1"/>
      <c r="J41" s="1"/>
      <c r="K41" s="1"/>
    </row>
    <row r="42" spans="2:11" ht="15.75">
      <c r="B42" s="1"/>
      <c r="C42" s="1"/>
      <c r="D42" s="1"/>
      <c r="E42" s="182"/>
      <c r="F42" s="1"/>
      <c r="G42" s="1"/>
      <c r="H42" s="1"/>
      <c r="I42" s="1"/>
      <c r="J42" s="1"/>
      <c r="K42" s="1"/>
    </row>
    <row r="43" spans="2:11" ht="15.75">
      <c r="B43" s="1"/>
      <c r="C43" s="1"/>
      <c r="D43" s="1"/>
      <c r="E43" s="182"/>
      <c r="F43" s="1"/>
      <c r="G43" s="1"/>
      <c r="H43" s="1"/>
      <c r="I43" s="1"/>
      <c r="J43" s="1"/>
      <c r="K43" s="1"/>
    </row>
    <row r="44" spans="2:11" ht="15.75">
      <c r="B44" s="1"/>
      <c r="C44" s="1"/>
      <c r="D44" s="1"/>
      <c r="E44" s="182"/>
      <c r="F44" s="1"/>
      <c r="G44" s="1"/>
      <c r="H44" s="1"/>
      <c r="I44" s="1"/>
      <c r="J44" s="1"/>
      <c r="K44" s="1"/>
    </row>
    <row r="45" spans="2:11" ht="15.75">
      <c r="B45" s="1"/>
      <c r="C45" s="1"/>
      <c r="D45" s="1"/>
      <c r="E45" s="182"/>
      <c r="F45" s="1"/>
      <c r="G45" s="1"/>
      <c r="H45" s="1"/>
      <c r="I45" s="1"/>
      <c r="J45" s="1"/>
      <c r="K45" s="1"/>
    </row>
    <row r="46" spans="2:11" ht="15.75">
      <c r="B46" s="1"/>
      <c r="C46" s="1"/>
      <c r="D46" s="1"/>
      <c r="E46" s="182"/>
      <c r="F46" s="1"/>
      <c r="G46" s="1"/>
      <c r="H46" s="1"/>
      <c r="I46" s="1"/>
      <c r="J46" s="1"/>
      <c r="K46" s="1"/>
    </row>
    <row r="47" spans="2:11" ht="15.75">
      <c r="B47" s="1"/>
      <c r="C47" s="1"/>
      <c r="D47" s="1"/>
      <c r="E47" s="182"/>
      <c r="F47" s="1"/>
      <c r="G47" s="1"/>
      <c r="H47" s="1"/>
      <c r="I47" s="1"/>
      <c r="J47" s="1"/>
      <c r="K47" s="1"/>
    </row>
    <row r="48" spans="2:11" ht="15.75">
      <c r="B48" s="1"/>
      <c r="C48" s="1"/>
      <c r="D48" s="1"/>
      <c r="E48" s="182"/>
      <c r="F48" s="1"/>
      <c r="G48" s="1"/>
      <c r="H48" s="1"/>
      <c r="I48" s="1"/>
      <c r="J48" s="1"/>
      <c r="K48" s="1"/>
    </row>
    <row r="49" spans="2:11" ht="15.75">
      <c r="B49" s="1"/>
      <c r="C49" s="1"/>
      <c r="D49" s="1"/>
      <c r="E49" s="182"/>
      <c r="F49" s="1"/>
      <c r="G49" s="1"/>
      <c r="H49" s="1"/>
      <c r="I49" s="1"/>
      <c r="J49" s="1"/>
      <c r="K49" s="1"/>
    </row>
    <row r="50" spans="2:11" ht="15.75">
      <c r="B50" s="1"/>
      <c r="C50" s="1"/>
      <c r="D50" s="1"/>
      <c r="E50" s="182"/>
      <c r="F50" s="1"/>
      <c r="G50" s="1"/>
      <c r="H50" s="1"/>
      <c r="I50" s="1"/>
      <c r="J50" s="1"/>
      <c r="K50" s="1"/>
    </row>
    <row r="51" spans="2:11" ht="15.75">
      <c r="B51" s="1"/>
      <c r="C51" s="1"/>
      <c r="D51" s="1"/>
      <c r="E51" s="182"/>
      <c r="F51" s="1"/>
      <c r="G51" s="1"/>
      <c r="H51" s="1"/>
      <c r="I51" s="1"/>
      <c r="J51" s="1"/>
      <c r="K51" s="1"/>
    </row>
    <row r="52" spans="2:11" ht="15.75">
      <c r="B52" s="1"/>
      <c r="C52" s="1"/>
      <c r="D52" s="1"/>
      <c r="E52" s="182"/>
      <c r="F52" s="1"/>
      <c r="G52" s="1"/>
      <c r="H52" s="1"/>
      <c r="I52" s="1"/>
      <c r="J52" s="1"/>
      <c r="K52" s="1"/>
    </row>
    <row r="53" spans="2:11" ht="15.75">
      <c r="B53" s="1"/>
      <c r="C53" s="1"/>
      <c r="D53" s="1"/>
      <c r="E53" s="182"/>
      <c r="F53" s="1"/>
      <c r="G53" s="1"/>
      <c r="H53" s="1"/>
      <c r="I53" s="1"/>
      <c r="J53" s="1"/>
      <c r="K53" s="1"/>
    </row>
    <row r="54" spans="2:11" ht="15.75">
      <c r="B54" s="1"/>
      <c r="C54" s="1"/>
      <c r="D54" s="1"/>
      <c r="E54" s="182"/>
      <c r="F54" s="1"/>
      <c r="G54" s="1"/>
      <c r="H54" s="1"/>
      <c r="I54" s="1"/>
      <c r="J54" s="1"/>
      <c r="K54" s="1"/>
    </row>
    <row r="55" spans="2:11" ht="15.75">
      <c r="B55" s="1"/>
      <c r="C55" s="1"/>
      <c r="D55" s="1"/>
      <c r="E55" s="182"/>
      <c r="F55" s="1"/>
      <c r="G55" s="1"/>
      <c r="H55" s="1"/>
      <c r="I55" s="1"/>
      <c r="J55" s="1"/>
      <c r="K55" s="1"/>
    </row>
    <row r="56" spans="2:11" ht="15.75">
      <c r="B56" s="1"/>
      <c r="C56" s="1"/>
      <c r="D56" s="1"/>
      <c r="E56" s="182"/>
      <c r="F56" s="1"/>
      <c r="G56" s="1"/>
      <c r="H56" s="1"/>
      <c r="I56" s="1"/>
      <c r="J56" s="1"/>
      <c r="K56" s="1"/>
    </row>
    <row r="57" spans="2:11" ht="15.75">
      <c r="B57" s="1"/>
      <c r="C57" s="1"/>
      <c r="D57" s="1"/>
      <c r="E57" s="182"/>
      <c r="F57" s="1"/>
      <c r="G57" s="1"/>
      <c r="H57" s="1"/>
      <c r="I57" s="1"/>
      <c r="J57" s="1"/>
      <c r="K57" s="1"/>
    </row>
    <row r="58" spans="2:11" ht="15.75">
      <c r="B58" s="1"/>
      <c r="C58" s="1"/>
      <c r="D58" s="1"/>
      <c r="E58" s="182"/>
      <c r="F58" s="1"/>
      <c r="G58" s="1"/>
      <c r="H58" s="1"/>
      <c r="I58" s="1"/>
      <c r="J58" s="1"/>
      <c r="K58" s="1"/>
    </row>
    <row r="59" spans="2:11" ht="15.75">
      <c r="B59" s="1"/>
      <c r="C59" s="1"/>
      <c r="D59" s="1"/>
      <c r="E59" s="182"/>
      <c r="F59" s="1"/>
      <c r="G59" s="1"/>
      <c r="H59" s="1"/>
      <c r="I59" s="1"/>
      <c r="J59" s="1"/>
      <c r="K59" s="1"/>
    </row>
    <row r="60" spans="2:11" ht="15.75">
      <c r="B60" s="1"/>
      <c r="C60" s="1"/>
      <c r="D60" s="1"/>
      <c r="E60" s="182"/>
      <c r="F60" s="1"/>
      <c r="G60" s="1"/>
      <c r="H60" s="1"/>
      <c r="I60" s="1"/>
      <c r="J60" s="1"/>
      <c r="K60" s="1"/>
    </row>
    <row r="61" spans="2:11" ht="15.75">
      <c r="B61" s="1"/>
      <c r="C61" s="1"/>
      <c r="D61" s="1"/>
      <c r="E61" s="182"/>
      <c r="F61" s="1"/>
      <c r="G61" s="1"/>
      <c r="H61" s="1"/>
      <c r="I61" s="1"/>
      <c r="J61" s="1"/>
      <c r="K61" s="1"/>
    </row>
    <row r="62" spans="2:11" ht="15.75">
      <c r="B62" s="1"/>
      <c r="C62" s="1"/>
      <c r="D62" s="1"/>
      <c r="E62" s="182"/>
      <c r="F62" s="1"/>
      <c r="G62" s="1"/>
      <c r="H62" s="1"/>
      <c r="I62" s="1"/>
      <c r="J62" s="1"/>
      <c r="K62" s="1"/>
    </row>
    <row r="63" spans="2:11" ht="15.75">
      <c r="B63" s="1"/>
      <c r="C63" s="1"/>
      <c r="D63" s="1"/>
      <c r="E63" s="182"/>
      <c r="F63" s="1"/>
      <c r="G63" s="1"/>
      <c r="H63" s="1"/>
      <c r="I63" s="1"/>
      <c r="J63" s="1"/>
      <c r="K63" s="1"/>
    </row>
    <row r="64" spans="2:11" ht="15.75">
      <c r="B64" s="1"/>
      <c r="C64" s="1"/>
      <c r="D64" s="1"/>
      <c r="E64" s="182"/>
      <c r="F64" s="1"/>
      <c r="G64" s="1"/>
      <c r="H64" s="1"/>
      <c r="I64" s="1"/>
      <c r="J64" s="1"/>
      <c r="K64" s="1"/>
    </row>
    <row r="65" spans="2:11" ht="15.75">
      <c r="B65" s="1"/>
      <c r="C65" s="1"/>
      <c r="D65" s="1"/>
      <c r="E65" s="182"/>
      <c r="F65" s="1"/>
      <c r="G65" s="1"/>
      <c r="H65" s="1"/>
      <c r="I65" s="1"/>
      <c r="J65" s="1"/>
      <c r="K65" s="1"/>
    </row>
    <row r="66" spans="2:11" ht="15.75">
      <c r="B66" s="1"/>
      <c r="C66" s="1"/>
      <c r="D66" s="1"/>
      <c r="E66" s="182"/>
      <c r="F66" s="1"/>
      <c r="G66" s="1"/>
      <c r="H66" s="1"/>
      <c r="I66" s="1"/>
      <c r="J66" s="1"/>
      <c r="K66" s="1"/>
    </row>
    <row r="67" spans="2:11" ht="15.75">
      <c r="B67" s="1"/>
      <c r="C67" s="1"/>
      <c r="D67" s="1"/>
      <c r="E67" s="182"/>
      <c r="F67" s="1"/>
      <c r="G67" s="1"/>
      <c r="H67" s="1"/>
      <c r="I67" s="1"/>
      <c r="J67" s="1"/>
      <c r="K67" s="1"/>
    </row>
    <row r="68" spans="2:11" ht="15.75">
      <c r="B68" s="1"/>
      <c r="C68" s="1"/>
      <c r="D68" s="1"/>
      <c r="E68" s="182"/>
      <c r="F68" s="1"/>
      <c r="G68" s="1"/>
      <c r="H68" s="1"/>
      <c r="I68" s="1"/>
      <c r="J68" s="1"/>
      <c r="K68" s="1"/>
    </row>
    <row r="69" spans="2:11" ht="15.75">
      <c r="B69" s="1"/>
      <c r="C69" s="1"/>
      <c r="D69" s="1"/>
      <c r="E69" s="182"/>
      <c r="F69" s="1"/>
      <c r="G69" s="1"/>
      <c r="H69" s="1"/>
      <c r="I69" s="1"/>
      <c r="J69" s="1"/>
      <c r="K69" s="1"/>
    </row>
    <row r="70" spans="2:11" ht="15.75">
      <c r="B70" s="1"/>
      <c r="C70" s="1"/>
      <c r="D70" s="1"/>
      <c r="E70" s="182"/>
      <c r="F70" s="1"/>
      <c r="G70" s="1"/>
      <c r="H70" s="1"/>
      <c r="I70" s="1"/>
      <c r="J70" s="1"/>
      <c r="K70" s="1"/>
    </row>
    <row r="71" spans="2:11" ht="15.75">
      <c r="B71" s="1"/>
      <c r="C71" s="1"/>
      <c r="D71" s="1"/>
      <c r="E71" s="182"/>
      <c r="F71" s="1"/>
      <c r="G71" s="1"/>
      <c r="H71" s="1"/>
      <c r="I71" s="1"/>
      <c r="J71" s="1"/>
      <c r="K71" s="1"/>
    </row>
    <row r="72" spans="2:11" ht="15.75">
      <c r="B72" s="1"/>
      <c r="C72" s="1"/>
      <c r="D72" s="1"/>
      <c r="E72" s="182"/>
      <c r="F72" s="1"/>
      <c r="G72" s="1"/>
      <c r="H72" s="1"/>
      <c r="I72" s="1"/>
      <c r="J72" s="1"/>
      <c r="K72" s="1"/>
    </row>
    <row r="73" spans="2:11" ht="15.75">
      <c r="B73" s="1"/>
      <c r="C73" s="1"/>
      <c r="D73" s="1"/>
      <c r="E73" s="182"/>
      <c r="F73" s="1"/>
      <c r="G73" s="1"/>
      <c r="H73" s="1"/>
      <c r="I73" s="1"/>
      <c r="J73" s="1"/>
      <c r="K73" s="1"/>
    </row>
    <row r="74" spans="2:11" ht="15.75">
      <c r="B74" s="1"/>
      <c r="C74" s="1"/>
      <c r="D74" s="1"/>
      <c r="E74" s="182"/>
      <c r="F74" s="1"/>
      <c r="G74" s="1"/>
      <c r="H74" s="1"/>
      <c r="I74" s="1"/>
      <c r="J74" s="1"/>
      <c r="K74" s="1"/>
    </row>
    <row r="75" spans="2:11" ht="15.75">
      <c r="B75" s="1"/>
      <c r="C75" s="1"/>
      <c r="D75" s="1"/>
      <c r="E75" s="182"/>
      <c r="F75" s="1"/>
      <c r="G75" s="1"/>
      <c r="H75" s="1"/>
      <c r="I75" s="1"/>
      <c r="J75" s="1"/>
      <c r="K75" s="1"/>
    </row>
    <row r="76" spans="2:11" ht="15.75">
      <c r="B76" s="1"/>
      <c r="C76" s="1"/>
      <c r="D76" s="1"/>
      <c r="E76" s="182"/>
      <c r="F76" s="1"/>
      <c r="G76" s="1"/>
      <c r="H76" s="1"/>
      <c r="I76" s="1"/>
      <c r="J76" s="1"/>
      <c r="K76" s="1"/>
    </row>
    <row r="77" spans="2:11" ht="15.75">
      <c r="B77" s="1"/>
      <c r="C77" s="1"/>
      <c r="D77" s="1"/>
      <c r="E77" s="182"/>
      <c r="F77" s="1"/>
      <c r="G77" s="1"/>
      <c r="H77" s="1"/>
      <c r="I77" s="1"/>
      <c r="J77" s="1"/>
      <c r="K77" s="1"/>
    </row>
    <row r="78" spans="2:11" ht="15.75">
      <c r="B78" s="1"/>
      <c r="C78" s="1"/>
      <c r="D78" s="1"/>
      <c r="E78" s="182"/>
      <c r="F78" s="1"/>
      <c r="G78" s="1"/>
      <c r="H78" s="1"/>
      <c r="I78" s="1"/>
      <c r="J78" s="1"/>
      <c r="K78" s="1"/>
    </row>
    <row r="79" spans="2:11" ht="15.75">
      <c r="B79" s="1"/>
      <c r="C79" s="1"/>
      <c r="D79" s="1"/>
      <c r="E79" s="182"/>
      <c r="F79" s="1"/>
      <c r="G79" s="1"/>
      <c r="H79" s="1"/>
      <c r="I79" s="1"/>
      <c r="J79" s="1"/>
      <c r="K79" s="1"/>
    </row>
    <row r="80" spans="2:11" ht="15.75">
      <c r="B80" s="1"/>
      <c r="C80" s="1"/>
      <c r="D80" s="1"/>
      <c r="E80" s="182"/>
      <c r="F80" s="1"/>
      <c r="G80" s="1"/>
      <c r="H80" s="1"/>
      <c r="I80" s="1"/>
      <c r="J80" s="1"/>
      <c r="K80" s="1"/>
    </row>
    <row r="81" spans="2:11" ht="15.75">
      <c r="B81" s="1"/>
      <c r="C81" s="1"/>
      <c r="D81" s="1"/>
      <c r="E81" s="182"/>
      <c r="F81" s="1"/>
      <c r="G81" s="1"/>
      <c r="H81" s="1"/>
      <c r="I81" s="1"/>
      <c r="J81" s="1"/>
      <c r="K81" s="1"/>
    </row>
    <row r="82" spans="2:11" ht="15.75">
      <c r="B82" s="1"/>
      <c r="C82" s="1"/>
      <c r="D82" s="1"/>
      <c r="E82" s="182"/>
      <c r="F82" s="1"/>
      <c r="G82" s="1"/>
      <c r="H82" s="1"/>
      <c r="I82" s="1"/>
      <c r="J82" s="1"/>
      <c r="K82" s="1"/>
    </row>
  </sheetData>
  <sheetProtection/>
  <mergeCells count="15">
    <mergeCell ref="B26:C26"/>
    <mergeCell ref="A15:A16"/>
    <mergeCell ref="B15:B16"/>
    <mergeCell ref="K15:K16"/>
    <mergeCell ref="A13:A14"/>
    <mergeCell ref="B24:C24"/>
    <mergeCell ref="K8:L8"/>
    <mergeCell ref="K6:P6"/>
    <mergeCell ref="K7:P7"/>
    <mergeCell ref="B11:K11"/>
    <mergeCell ref="B13:B14"/>
    <mergeCell ref="C13:C14"/>
    <mergeCell ref="D13:D14"/>
    <mergeCell ref="E13:J13"/>
    <mergeCell ref="K13:K1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7">
      <selection activeCell="F23" sqref="F23"/>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30" t="s">
        <v>581</v>
      </c>
      <c r="J1" s="730"/>
      <c r="K1" s="497"/>
      <c r="L1" s="12" t="s">
        <v>451</v>
      </c>
      <c r="M1" s="498"/>
      <c r="N1" s="498"/>
    </row>
    <row r="2" spans="2:14" ht="15.75">
      <c r="B2" s="15"/>
      <c r="C2" s="15"/>
      <c r="D2" s="15"/>
      <c r="E2" s="15"/>
      <c r="F2" s="15"/>
      <c r="G2" s="15"/>
      <c r="H2" s="15"/>
      <c r="I2" s="619" t="s">
        <v>444</v>
      </c>
      <c r="J2" s="619"/>
      <c r="K2" s="619"/>
      <c r="L2" s="12"/>
      <c r="M2" s="12"/>
      <c r="N2" s="12"/>
    </row>
    <row r="3" spans="2:14" ht="15.75">
      <c r="B3" s="15"/>
      <c r="C3" s="15"/>
      <c r="D3" s="15"/>
      <c r="E3" s="15"/>
      <c r="F3" s="15"/>
      <c r="G3" s="15"/>
      <c r="H3" s="15"/>
      <c r="I3" s="12" t="s">
        <v>594</v>
      </c>
      <c r="J3" s="12"/>
      <c r="K3" s="12"/>
      <c r="L3" s="12"/>
      <c r="M3" s="12"/>
      <c r="N3" s="12"/>
    </row>
    <row r="4" spans="2:14" ht="15.75">
      <c r="B4" s="15"/>
      <c r="C4" s="15"/>
      <c r="D4" s="15"/>
      <c r="E4" s="15"/>
      <c r="F4" s="15"/>
      <c r="G4" s="15"/>
      <c r="H4" s="15"/>
      <c r="I4" s="12" t="s">
        <v>158</v>
      </c>
      <c r="J4" s="12"/>
      <c r="K4" s="12"/>
      <c r="L4" s="12"/>
      <c r="M4" s="12"/>
      <c r="N4" s="12"/>
    </row>
    <row r="5" spans="2:14" ht="15.75">
      <c r="B5" s="15"/>
      <c r="C5" s="15"/>
      <c r="D5" s="15"/>
      <c r="E5" s="15"/>
      <c r="F5" s="15"/>
      <c r="G5" s="15"/>
      <c r="H5" s="15"/>
      <c r="I5" s="12" t="s">
        <v>355</v>
      </c>
      <c r="J5" s="12"/>
      <c r="K5" s="12"/>
      <c r="L5" s="12"/>
      <c r="M5" s="12"/>
      <c r="N5" s="12"/>
    </row>
    <row r="6" spans="2:14" ht="15.75" customHeight="1">
      <c r="B6" s="15"/>
      <c r="C6" s="15"/>
      <c r="D6" s="15"/>
      <c r="E6" s="15"/>
      <c r="F6" s="15"/>
      <c r="G6" s="15"/>
      <c r="H6" s="15"/>
      <c r="I6" s="620" t="s">
        <v>431</v>
      </c>
      <c r="J6" s="620"/>
      <c r="K6" s="620"/>
      <c r="L6" s="620"/>
      <c r="M6" s="620"/>
      <c r="N6" s="620"/>
    </row>
    <row r="7" spans="2:14" ht="15.75" customHeight="1">
      <c r="B7" s="15"/>
      <c r="C7" s="15"/>
      <c r="D7" s="15"/>
      <c r="E7" s="15"/>
      <c r="F7" s="15"/>
      <c r="G7" s="15"/>
      <c r="H7" s="15"/>
      <c r="I7" s="620" t="s">
        <v>595</v>
      </c>
      <c r="J7" s="620"/>
      <c r="K7" s="620"/>
      <c r="L7" s="620"/>
      <c r="M7" s="620"/>
      <c r="N7" s="620"/>
    </row>
    <row r="8" spans="2:14" ht="15.75" customHeight="1">
      <c r="B8" s="15"/>
      <c r="C8" s="15"/>
      <c r="D8" s="15"/>
      <c r="E8" s="15"/>
      <c r="F8" s="15"/>
      <c r="G8" s="15"/>
      <c r="H8" s="16"/>
      <c r="I8" s="620" t="s">
        <v>579</v>
      </c>
      <c r="J8" s="620"/>
      <c r="K8" s="620"/>
      <c r="L8" s="395"/>
      <c r="M8" s="395"/>
      <c r="N8" s="395"/>
    </row>
    <row r="9" spans="2:12" ht="15.75">
      <c r="B9" s="15"/>
      <c r="C9" s="15"/>
      <c r="D9" s="15"/>
      <c r="E9" s="15"/>
      <c r="F9" s="15"/>
      <c r="G9" s="15"/>
      <c r="H9" s="15"/>
      <c r="I9" s="15"/>
      <c r="J9" s="15"/>
      <c r="K9" s="15"/>
      <c r="L9" s="15"/>
    </row>
    <row r="10" spans="2:12" ht="21.75" customHeight="1">
      <c r="B10" s="621" t="s">
        <v>390</v>
      </c>
      <c r="C10" s="621"/>
      <c r="D10" s="621"/>
      <c r="E10" s="621"/>
      <c r="F10" s="621"/>
      <c r="G10" s="621"/>
      <c r="H10" s="621"/>
      <c r="I10" s="621"/>
      <c r="J10" s="621"/>
      <c r="K10" s="621"/>
      <c r="L10" s="15"/>
    </row>
    <row r="11" spans="2:12" ht="15.75">
      <c r="B11" s="15"/>
      <c r="C11" s="15"/>
      <c r="D11" s="626"/>
      <c r="E11" s="626"/>
      <c r="F11" s="626"/>
      <c r="G11" s="626"/>
      <c r="H11" s="626"/>
      <c r="I11" s="15"/>
      <c r="J11" s="15"/>
      <c r="K11" s="34" t="s">
        <v>113</v>
      </c>
      <c r="L11" s="15"/>
    </row>
    <row r="12" spans="1:12" ht="21" customHeight="1">
      <c r="A12" s="622" t="s">
        <v>461</v>
      </c>
      <c r="B12" s="622" t="s">
        <v>445</v>
      </c>
      <c r="C12" s="622" t="s">
        <v>446</v>
      </c>
      <c r="D12" s="622" t="s">
        <v>106</v>
      </c>
      <c r="E12" s="627" t="s">
        <v>442</v>
      </c>
      <c r="F12" s="627"/>
      <c r="G12" s="627"/>
      <c r="H12" s="627"/>
      <c r="I12" s="627"/>
      <c r="J12" s="657"/>
      <c r="K12" s="625" t="s">
        <v>448</v>
      </c>
      <c r="L12" s="15"/>
    </row>
    <row r="13" spans="1:12" ht="15.75" customHeight="1">
      <c r="A13" s="623"/>
      <c r="B13" s="623"/>
      <c r="C13" s="623"/>
      <c r="D13" s="623"/>
      <c r="E13" s="622">
        <v>2022</v>
      </c>
      <c r="F13" s="711">
        <v>2023</v>
      </c>
      <c r="G13" s="627"/>
      <c r="H13" s="627"/>
      <c r="I13" s="657"/>
      <c r="J13" s="625">
        <v>2024</v>
      </c>
      <c r="K13" s="625"/>
      <c r="L13" s="15"/>
    </row>
    <row r="14" spans="1:12" ht="15.75" customHeight="1">
      <c r="A14" s="624"/>
      <c r="B14" s="624"/>
      <c r="C14" s="624"/>
      <c r="D14" s="624"/>
      <c r="E14" s="624"/>
      <c r="F14" s="712"/>
      <c r="G14" s="713"/>
      <c r="H14" s="713"/>
      <c r="I14" s="714"/>
      <c r="J14" s="625"/>
      <c r="K14" s="625"/>
      <c r="L14" s="15"/>
    </row>
    <row r="15" spans="1:12" ht="26.25" customHeight="1">
      <c r="A15" s="735">
        <v>1</v>
      </c>
      <c r="B15" s="731" t="s">
        <v>365</v>
      </c>
      <c r="C15" s="615" t="s">
        <v>191</v>
      </c>
      <c r="D15" s="736">
        <f>E15+F15+J15</f>
        <v>3977.8</v>
      </c>
      <c r="E15" s="738">
        <f>1600.5-1100.5</f>
        <v>500</v>
      </c>
      <c r="F15" s="715">
        <v>1696.5</v>
      </c>
      <c r="G15" s="716"/>
      <c r="H15" s="716"/>
      <c r="I15" s="717"/>
      <c r="J15" s="733">
        <v>1781.3</v>
      </c>
      <c r="K15" s="615" t="s">
        <v>268</v>
      </c>
      <c r="L15" s="15"/>
    </row>
    <row r="16" spans="1:12" ht="55.5" customHeight="1">
      <c r="A16" s="735"/>
      <c r="B16" s="732"/>
      <c r="C16" s="617"/>
      <c r="D16" s="737"/>
      <c r="E16" s="739"/>
      <c r="F16" s="718"/>
      <c r="G16" s="719"/>
      <c r="H16" s="719"/>
      <c r="I16" s="720"/>
      <c r="J16" s="734"/>
      <c r="K16" s="616"/>
      <c r="L16" s="15"/>
    </row>
    <row r="17" spans="1:12" ht="56.25" customHeight="1">
      <c r="A17" s="615">
        <v>2</v>
      </c>
      <c r="B17" s="731" t="s">
        <v>426</v>
      </c>
      <c r="C17" s="615" t="s">
        <v>191</v>
      </c>
      <c r="D17" s="736">
        <f>E17+F17+J17</f>
        <v>5855</v>
      </c>
      <c r="E17" s="673">
        <f>2000-600</f>
        <v>1400</v>
      </c>
      <c r="F17" s="721">
        <f>2200-145</f>
        <v>2055</v>
      </c>
      <c r="G17" s="722"/>
      <c r="H17" s="722"/>
      <c r="I17" s="723"/>
      <c r="J17" s="673">
        <v>2400</v>
      </c>
      <c r="K17" s="616"/>
      <c r="L17" s="15"/>
    </row>
    <row r="18" spans="1:12" ht="54.75" customHeight="1">
      <c r="A18" s="617"/>
      <c r="B18" s="732"/>
      <c r="C18" s="617"/>
      <c r="D18" s="737"/>
      <c r="E18" s="674"/>
      <c r="F18" s="724"/>
      <c r="G18" s="725"/>
      <c r="H18" s="725"/>
      <c r="I18" s="726"/>
      <c r="J18" s="674"/>
      <c r="K18" s="616"/>
      <c r="L18" s="15"/>
    </row>
    <row r="19" spans="1:12" ht="93.75">
      <c r="A19" s="188">
        <v>3</v>
      </c>
      <c r="B19" s="338" t="s">
        <v>373</v>
      </c>
      <c r="C19" s="399" t="s">
        <v>191</v>
      </c>
      <c r="D19" s="365">
        <f>E19+F19+J19</f>
        <v>3145</v>
      </c>
      <c r="E19" s="396">
        <v>1000</v>
      </c>
      <c r="F19" s="727">
        <f>1000+145</f>
        <v>1145</v>
      </c>
      <c r="G19" s="728"/>
      <c r="H19" s="728"/>
      <c r="I19" s="729"/>
      <c r="J19" s="396">
        <v>1000</v>
      </c>
      <c r="K19" s="617"/>
      <c r="L19" s="15"/>
    </row>
    <row r="20" spans="1:12" ht="32.25" customHeight="1">
      <c r="A20" s="64"/>
      <c r="B20" s="55" t="s">
        <v>439</v>
      </c>
      <c r="C20" s="65"/>
      <c r="D20" s="90">
        <f>D15+D17+D19</f>
        <v>12977.8</v>
      </c>
      <c r="E20" s="90">
        <f aca="true" t="shared" si="0" ref="E20:J20">E15+E17+E19</f>
        <v>2900</v>
      </c>
      <c r="F20" s="708">
        <f t="shared" si="0"/>
        <v>4896.5</v>
      </c>
      <c r="G20" s="709"/>
      <c r="H20" s="709"/>
      <c r="I20" s="710"/>
      <c r="J20" s="90">
        <f t="shared" si="0"/>
        <v>5181.3</v>
      </c>
      <c r="K20" s="66"/>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8"/>
      <c r="C24" s="49"/>
      <c r="E24" s="19"/>
      <c r="F24" s="19"/>
      <c r="G24" s="19"/>
      <c r="H24" s="19"/>
      <c r="I24" s="19"/>
      <c r="J24" s="19"/>
      <c r="K24" s="49"/>
      <c r="L24" s="15"/>
    </row>
    <row r="25" spans="2:12" ht="18.75" customHeight="1">
      <c r="B25" s="694" t="s">
        <v>450</v>
      </c>
      <c r="C25" s="694"/>
      <c r="D25" s="221"/>
      <c r="E25" s="22"/>
      <c r="F25" s="22"/>
      <c r="G25" s="16"/>
      <c r="H25" s="16"/>
      <c r="I25" s="16"/>
      <c r="J25" s="23"/>
      <c r="K25" s="83" t="s">
        <v>578</v>
      </c>
      <c r="L25" s="23"/>
    </row>
    <row r="26" spans="2:12" ht="14.25" customHeight="1">
      <c r="B26" s="221"/>
      <c r="C26" s="221"/>
      <c r="D26" s="221"/>
      <c r="E26" s="22"/>
      <c r="F26" s="22"/>
      <c r="G26" s="16"/>
      <c r="H26" s="16"/>
      <c r="I26" s="16"/>
      <c r="J26" s="23"/>
      <c r="K26" s="23"/>
      <c r="L26" s="23"/>
    </row>
    <row r="27" spans="2:11" ht="18.75">
      <c r="B27" s="700" t="s">
        <v>582</v>
      </c>
      <c r="C27" s="700"/>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A15:A16"/>
    <mergeCell ref="B27:C27"/>
    <mergeCell ref="C15:C16"/>
    <mergeCell ref="D15:D16"/>
    <mergeCell ref="E15:E16"/>
    <mergeCell ref="B25:C25"/>
    <mergeCell ref="D17:D18"/>
    <mergeCell ref="E17:E18"/>
    <mergeCell ref="A12:A14"/>
    <mergeCell ref="B10:K10"/>
    <mergeCell ref="D11:H11"/>
    <mergeCell ref="A17:A18"/>
    <mergeCell ref="B15:B16"/>
    <mergeCell ref="B17:B18"/>
    <mergeCell ref="C17:C18"/>
    <mergeCell ref="B12:B14"/>
    <mergeCell ref="E12:J12"/>
    <mergeCell ref="J15:J16"/>
    <mergeCell ref="I1:J1"/>
    <mergeCell ref="I2:K2"/>
    <mergeCell ref="I6:N6"/>
    <mergeCell ref="K12:K14"/>
    <mergeCell ref="K15:K19"/>
    <mergeCell ref="C12:C14"/>
    <mergeCell ref="D12:D14"/>
    <mergeCell ref="J13:J14"/>
    <mergeCell ref="E13:E14"/>
    <mergeCell ref="J17:J18"/>
    <mergeCell ref="F20:I20"/>
    <mergeCell ref="I7:N7"/>
    <mergeCell ref="I8:K8"/>
    <mergeCell ref="F13:I14"/>
    <mergeCell ref="F15:I16"/>
    <mergeCell ref="F17:I18"/>
    <mergeCell ref="F19:I19"/>
  </mergeCells>
  <printOptions horizontalCentered="1"/>
  <pageMargins left="0" right="0" top="1.1811023622047245" bottom="0" header="0" footer="0"/>
  <pageSetup fitToHeight="1" fitToWidth="1" horizontalDpi="600" verticalDpi="600" orientation="landscape" paperSize="9" scale="79"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P160"/>
  <sheetViews>
    <sheetView view="pageBreakPreview" zoomScaleSheetLayoutView="100" zoomScalePageLayoutView="0" workbookViewId="0" topLeftCell="A133">
      <selection activeCell="B143" sqref="B143"/>
    </sheetView>
  </sheetViews>
  <sheetFormatPr defaultColWidth="9.140625" defaultRowHeight="12.75"/>
  <cols>
    <col min="1" max="1" width="5.28125" style="16" customWidth="1"/>
    <col min="2" max="2" width="84.00390625" style="105"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78"/>
      <c r="C1" s="15"/>
      <c r="D1" s="15"/>
      <c r="E1" s="15"/>
      <c r="F1" s="15"/>
      <c r="G1" s="15"/>
      <c r="H1" s="15"/>
      <c r="I1" s="1" t="s">
        <v>256</v>
      </c>
      <c r="J1"/>
      <c r="K1" s="13" t="s">
        <v>451</v>
      </c>
    </row>
    <row r="2" spans="2:15" ht="15.75">
      <c r="B2" s="78"/>
      <c r="C2" s="15"/>
      <c r="D2" s="15"/>
      <c r="E2" s="15"/>
      <c r="F2" s="15"/>
      <c r="G2" s="15"/>
      <c r="H2" s="15"/>
      <c r="I2" s="12" t="s">
        <v>444</v>
      </c>
      <c r="J2" s="12"/>
      <c r="K2" s="15"/>
      <c r="L2" s="12"/>
      <c r="M2" s="12"/>
      <c r="N2" s="12"/>
      <c r="O2" s="14"/>
    </row>
    <row r="3" spans="2:15" ht="15.75">
      <c r="B3" s="78"/>
      <c r="C3" s="15"/>
      <c r="D3" s="15"/>
      <c r="E3" s="15"/>
      <c r="F3" s="15"/>
      <c r="G3" s="15"/>
      <c r="H3" s="15"/>
      <c r="I3" s="12" t="s">
        <v>594</v>
      </c>
      <c r="J3" s="12"/>
      <c r="K3" s="15"/>
      <c r="L3" s="12"/>
      <c r="M3" s="12"/>
      <c r="N3" s="12"/>
      <c r="O3" s="14"/>
    </row>
    <row r="4" spans="2:15" ht="15.75">
      <c r="B4" s="78"/>
      <c r="C4" s="15"/>
      <c r="D4" s="15"/>
      <c r="E4" s="15"/>
      <c r="F4" s="15"/>
      <c r="G4" s="15"/>
      <c r="H4" s="15"/>
      <c r="I4" s="17" t="s">
        <v>158</v>
      </c>
      <c r="J4" s="17"/>
      <c r="K4" s="15"/>
      <c r="L4" s="12"/>
      <c r="M4" s="12"/>
      <c r="N4" s="12"/>
      <c r="O4" s="14"/>
    </row>
    <row r="5" spans="2:15" ht="15.75">
      <c r="B5" s="78"/>
      <c r="C5" s="15"/>
      <c r="D5" s="15"/>
      <c r="E5" s="15"/>
      <c r="F5" s="15"/>
      <c r="G5" s="15"/>
      <c r="H5" s="15"/>
      <c r="I5" s="17" t="s">
        <v>355</v>
      </c>
      <c r="J5" s="17"/>
      <c r="K5" s="15"/>
      <c r="L5" s="12"/>
      <c r="M5" s="12"/>
      <c r="N5" s="12"/>
      <c r="O5" s="14"/>
    </row>
    <row r="6" spans="2:15" ht="15.75" customHeight="1">
      <c r="B6" s="78"/>
      <c r="C6" s="15"/>
      <c r="D6" s="15"/>
      <c r="E6" s="15"/>
      <c r="F6" s="15"/>
      <c r="G6" s="15"/>
      <c r="H6" s="15"/>
      <c r="I6" s="17" t="s">
        <v>576</v>
      </c>
      <c r="J6" s="17"/>
      <c r="K6" s="207"/>
      <c r="L6" s="12"/>
      <c r="M6" s="12"/>
      <c r="N6" s="12"/>
      <c r="O6" s="14"/>
    </row>
    <row r="7" spans="2:15" ht="15.75" customHeight="1">
      <c r="B7" s="78"/>
      <c r="C7" s="15"/>
      <c r="D7" s="15"/>
      <c r="E7" s="15"/>
      <c r="F7" s="15"/>
      <c r="G7" s="15"/>
      <c r="H7" s="15"/>
      <c r="I7" s="620" t="s">
        <v>600</v>
      </c>
      <c r="J7" s="620"/>
      <c r="K7" s="620"/>
      <c r="L7" s="620"/>
      <c r="M7" s="620"/>
      <c r="N7" s="620"/>
      <c r="O7" s="14"/>
    </row>
    <row r="8" spans="2:15" ht="15.75" customHeight="1">
      <c r="B8" s="78"/>
      <c r="C8" s="15"/>
      <c r="D8" s="15"/>
      <c r="E8" s="15"/>
      <c r="F8" s="15"/>
      <c r="G8" s="15"/>
      <c r="I8" s="620" t="s">
        <v>609</v>
      </c>
      <c r="J8" s="620"/>
      <c r="K8" s="395"/>
      <c r="L8" s="395"/>
      <c r="M8" s="395"/>
      <c r="N8" s="395"/>
      <c r="O8" s="14"/>
    </row>
    <row r="9" spans="2:11" ht="15.75">
      <c r="B9" s="78"/>
      <c r="C9" s="15"/>
      <c r="D9" s="15"/>
      <c r="E9" s="15"/>
      <c r="F9" s="15"/>
      <c r="G9" s="15"/>
      <c r="H9" s="15"/>
      <c r="I9" s="15"/>
      <c r="J9" s="15"/>
      <c r="K9" s="15"/>
    </row>
    <row r="10" spans="1:11" ht="18.75" customHeight="1">
      <c r="A10" s="650" t="s">
        <v>393</v>
      </c>
      <c r="B10" s="650"/>
      <c r="C10" s="650"/>
      <c r="D10" s="650"/>
      <c r="E10" s="650"/>
      <c r="F10" s="650"/>
      <c r="G10" s="650"/>
      <c r="H10" s="650"/>
      <c r="I10" s="650"/>
      <c r="J10" s="650"/>
      <c r="K10" s="15"/>
    </row>
    <row r="11" spans="2:11" ht="15.75">
      <c r="B11" s="78"/>
      <c r="C11" s="15"/>
      <c r="D11" s="626"/>
      <c r="E11" s="626"/>
      <c r="F11" s="626"/>
      <c r="G11" s="626"/>
      <c r="H11" s="626"/>
      <c r="I11" s="15"/>
      <c r="J11" s="34" t="s">
        <v>101</v>
      </c>
      <c r="K11" s="15"/>
    </row>
    <row r="12" spans="1:11" ht="15.75" customHeight="1">
      <c r="A12" s="625" t="s">
        <v>440</v>
      </c>
      <c r="B12" s="586" t="s">
        <v>445</v>
      </c>
      <c r="C12" s="711" t="s">
        <v>446</v>
      </c>
      <c r="D12" s="622" t="s">
        <v>104</v>
      </c>
      <c r="E12" s="711" t="s">
        <v>442</v>
      </c>
      <c r="F12" s="627"/>
      <c r="G12" s="627"/>
      <c r="H12" s="627"/>
      <c r="I12" s="627"/>
      <c r="J12" s="625" t="s">
        <v>448</v>
      </c>
      <c r="K12" s="15"/>
    </row>
    <row r="13" spans="1:11" ht="15.75" customHeight="1">
      <c r="A13" s="625"/>
      <c r="B13" s="586"/>
      <c r="C13" s="746"/>
      <c r="D13" s="623"/>
      <c r="E13" s="622">
        <v>2022</v>
      </c>
      <c r="F13" s="711">
        <v>2023</v>
      </c>
      <c r="G13" s="627"/>
      <c r="H13" s="657"/>
      <c r="I13" s="622">
        <v>2024</v>
      </c>
      <c r="J13" s="625"/>
      <c r="K13" s="15"/>
    </row>
    <row r="14" spans="1:11" ht="23.25" customHeight="1">
      <c r="A14" s="625"/>
      <c r="B14" s="586"/>
      <c r="C14" s="712"/>
      <c r="D14" s="624"/>
      <c r="E14" s="624"/>
      <c r="F14" s="712"/>
      <c r="G14" s="713"/>
      <c r="H14" s="714"/>
      <c r="I14" s="624"/>
      <c r="J14" s="625"/>
      <c r="K14" s="15"/>
    </row>
    <row r="15" spans="1:13" ht="56.25" customHeight="1" hidden="1">
      <c r="A15" s="35">
        <v>1</v>
      </c>
      <c r="B15" s="100" t="s">
        <v>435</v>
      </c>
      <c r="C15" s="99" t="s">
        <v>507</v>
      </c>
      <c r="D15" s="62">
        <f aca="true" t="shared" si="0" ref="D15:D21">E15</f>
        <v>10230</v>
      </c>
      <c r="E15" s="77">
        <f>E16+E17+E18+E19+E20+E21</f>
        <v>10230</v>
      </c>
      <c r="F15" s="77">
        <f>F16+F17+F18+F19+F20+F21</f>
        <v>0</v>
      </c>
      <c r="G15" s="77">
        <f>G16+G17+G18+G19+G20+G21</f>
        <v>0</v>
      </c>
      <c r="H15" s="77">
        <f>H16+H17+H18+H19+H20+H21</f>
        <v>0</v>
      </c>
      <c r="I15" s="77">
        <f>I16+I17+I18+I19+I20+I21</f>
        <v>0</v>
      </c>
      <c r="J15" s="35" t="s">
        <v>466</v>
      </c>
      <c r="K15" s="15"/>
      <c r="M15" s="98"/>
    </row>
    <row r="16" spans="1:13" ht="42" customHeight="1" hidden="1">
      <c r="A16" s="35"/>
      <c r="B16" s="174" t="s">
        <v>10</v>
      </c>
      <c r="C16" s="99" t="s">
        <v>507</v>
      </c>
      <c r="D16" s="62">
        <f t="shared" si="0"/>
        <v>1980</v>
      </c>
      <c r="E16" s="175">
        <v>1980</v>
      </c>
      <c r="F16" s="68"/>
      <c r="G16" s="58"/>
      <c r="H16" s="58"/>
      <c r="I16" s="101"/>
      <c r="J16" s="35"/>
      <c r="K16" s="15"/>
      <c r="M16" s="98"/>
    </row>
    <row r="17" spans="1:13" ht="48" customHeight="1" hidden="1">
      <c r="A17" s="35"/>
      <c r="B17" s="174" t="s">
        <v>11</v>
      </c>
      <c r="C17" s="99" t="s">
        <v>507</v>
      </c>
      <c r="D17" s="62">
        <f t="shared" si="0"/>
        <v>3000</v>
      </c>
      <c r="E17" s="175">
        <v>3000</v>
      </c>
      <c r="F17" s="68"/>
      <c r="G17" s="58"/>
      <c r="H17" s="58"/>
      <c r="I17" s="101"/>
      <c r="J17" s="35"/>
      <c r="K17" s="15"/>
      <c r="M17" s="98"/>
    </row>
    <row r="18" spans="1:13" ht="63" customHeight="1" hidden="1">
      <c r="A18" s="35"/>
      <c r="B18" s="174" t="s">
        <v>105</v>
      </c>
      <c r="C18" s="99" t="s">
        <v>507</v>
      </c>
      <c r="D18" s="62">
        <f t="shared" si="0"/>
        <v>3700</v>
      </c>
      <c r="E18" s="157">
        <v>3700</v>
      </c>
      <c r="F18" s="68"/>
      <c r="G18" s="58"/>
      <c r="H18" s="58"/>
      <c r="I18" s="101"/>
      <c r="J18" s="35"/>
      <c r="K18" s="15"/>
      <c r="M18" s="98"/>
    </row>
    <row r="19" spans="1:13" ht="60.75" customHeight="1" hidden="1">
      <c r="A19" s="69"/>
      <c r="B19" s="174" t="s">
        <v>12</v>
      </c>
      <c r="C19" s="99" t="s">
        <v>507</v>
      </c>
      <c r="D19" s="62">
        <f t="shared" si="0"/>
        <v>350</v>
      </c>
      <c r="E19" s="157">
        <v>350</v>
      </c>
      <c r="F19" s="68"/>
      <c r="G19" s="58"/>
      <c r="H19" s="58"/>
      <c r="I19" s="101"/>
      <c r="J19" s="35"/>
      <c r="K19" s="15"/>
      <c r="M19" s="98"/>
    </row>
    <row r="20" spans="1:13" ht="56.25" customHeight="1" hidden="1">
      <c r="A20" s="35"/>
      <c r="B20" s="174" t="s">
        <v>13</v>
      </c>
      <c r="C20" s="99" t="s">
        <v>507</v>
      </c>
      <c r="D20" s="62">
        <f t="shared" si="0"/>
        <v>500</v>
      </c>
      <c r="E20" s="157">
        <v>500</v>
      </c>
      <c r="F20" s="68"/>
      <c r="G20" s="58"/>
      <c r="H20" s="58"/>
      <c r="I20" s="102"/>
      <c r="J20" s="35"/>
      <c r="K20" s="15"/>
      <c r="M20" s="98"/>
    </row>
    <row r="21" spans="1:13" ht="59.25" customHeight="1" hidden="1">
      <c r="A21" s="35"/>
      <c r="B21" s="174" t="s">
        <v>14</v>
      </c>
      <c r="C21" s="99" t="s">
        <v>507</v>
      </c>
      <c r="D21" s="62">
        <f t="shared" si="0"/>
        <v>700</v>
      </c>
      <c r="E21" s="157">
        <v>700</v>
      </c>
      <c r="F21" s="68"/>
      <c r="G21" s="58"/>
      <c r="H21" s="58"/>
      <c r="I21" s="102"/>
      <c r="J21" s="35"/>
      <c r="K21" s="15"/>
      <c r="M21" s="98"/>
    </row>
    <row r="22" spans="1:13" ht="57" customHeight="1" hidden="1">
      <c r="A22" s="35">
        <v>2</v>
      </c>
      <c r="B22" s="100" t="s">
        <v>436</v>
      </c>
      <c r="C22" s="99" t="s">
        <v>507</v>
      </c>
      <c r="D22" s="62">
        <f>E22+F22</f>
        <v>25400</v>
      </c>
      <c r="E22" s="77">
        <f>E23+E24+E25+E26</f>
        <v>10400</v>
      </c>
      <c r="F22" s="77">
        <f>F23+F24+F25+F26+F27+F28+F29</f>
        <v>15000</v>
      </c>
      <c r="G22" s="77">
        <f>G23+G24+G25+G26+G27+G28+G29</f>
        <v>0</v>
      </c>
      <c r="H22" s="77">
        <f>H23+H24+H25+H26+H27+H28+H29</f>
        <v>0</v>
      </c>
      <c r="I22" s="77">
        <f>I23+I24+I25+I26+I27+I28+I29</f>
        <v>0</v>
      </c>
      <c r="J22" s="35" t="s">
        <v>467</v>
      </c>
      <c r="K22" s="15"/>
      <c r="M22" s="98"/>
    </row>
    <row r="23" spans="1:13" ht="45" customHeight="1" hidden="1">
      <c r="A23" s="35"/>
      <c r="B23" s="174" t="s">
        <v>15</v>
      </c>
      <c r="C23" s="99" t="s">
        <v>507</v>
      </c>
      <c r="D23" s="62">
        <f aca="true" t="shared" si="1" ref="D23:D29">E23+F23</f>
        <v>4000</v>
      </c>
      <c r="E23" s="157">
        <v>4000</v>
      </c>
      <c r="F23" s="68"/>
      <c r="G23" s="58"/>
      <c r="H23" s="58"/>
      <c r="I23" s="101"/>
      <c r="J23" s="35"/>
      <c r="K23" s="15"/>
      <c r="M23" s="98"/>
    </row>
    <row r="24" spans="1:13" ht="48" customHeight="1" hidden="1">
      <c r="A24" s="35"/>
      <c r="B24" s="174" t="s">
        <v>16</v>
      </c>
      <c r="C24" s="99" t="s">
        <v>507</v>
      </c>
      <c r="D24" s="62">
        <f t="shared" si="1"/>
        <v>2500</v>
      </c>
      <c r="E24" s="157">
        <v>2500</v>
      </c>
      <c r="F24" s="68"/>
      <c r="G24" s="58"/>
      <c r="H24" s="58"/>
      <c r="I24" s="101"/>
      <c r="J24" s="35"/>
      <c r="K24" s="15"/>
      <c r="M24" s="98"/>
    </row>
    <row r="25" spans="1:13" ht="38.25" customHeight="1" hidden="1">
      <c r="A25" s="35"/>
      <c r="B25" s="174" t="s">
        <v>17</v>
      </c>
      <c r="C25" s="99" t="s">
        <v>507</v>
      </c>
      <c r="D25" s="62">
        <f t="shared" si="1"/>
        <v>3000</v>
      </c>
      <c r="E25" s="157">
        <v>3000</v>
      </c>
      <c r="F25" s="68"/>
      <c r="G25" s="58"/>
      <c r="H25" s="58"/>
      <c r="I25" s="101"/>
      <c r="J25" s="35"/>
      <c r="K25" s="15"/>
      <c r="M25" s="98"/>
    </row>
    <row r="26" spans="1:13" ht="45.75" customHeight="1" hidden="1">
      <c r="A26" s="35"/>
      <c r="B26" s="174" t="s">
        <v>18</v>
      </c>
      <c r="C26" s="99" t="s">
        <v>507</v>
      </c>
      <c r="D26" s="62">
        <f t="shared" si="1"/>
        <v>900</v>
      </c>
      <c r="E26" s="157">
        <v>900</v>
      </c>
      <c r="F26" s="68"/>
      <c r="G26" s="58"/>
      <c r="H26" s="58"/>
      <c r="I26" s="101"/>
      <c r="J26" s="35"/>
      <c r="K26" s="15"/>
      <c r="M26" s="98"/>
    </row>
    <row r="27" spans="1:13" ht="45.75" customHeight="1" hidden="1">
      <c r="A27" s="35"/>
      <c r="B27" s="174" t="s">
        <v>58</v>
      </c>
      <c r="C27" s="99" t="s">
        <v>507</v>
      </c>
      <c r="D27" s="62">
        <f t="shared" si="1"/>
        <v>5000</v>
      </c>
      <c r="E27" s="157"/>
      <c r="F27" s="68">
        <v>5000</v>
      </c>
      <c r="G27" s="58"/>
      <c r="H27" s="58"/>
      <c r="I27" s="101"/>
      <c r="J27" s="35"/>
      <c r="K27" s="15"/>
      <c r="M27" s="98"/>
    </row>
    <row r="28" spans="1:13" ht="45.75" customHeight="1" hidden="1">
      <c r="A28" s="35"/>
      <c r="B28" s="174" t="s">
        <v>59</v>
      </c>
      <c r="C28" s="99" t="s">
        <v>507</v>
      </c>
      <c r="D28" s="62">
        <f t="shared" si="1"/>
        <v>7000</v>
      </c>
      <c r="E28" s="157"/>
      <c r="F28" s="68">
        <v>7000</v>
      </c>
      <c r="G28" s="58"/>
      <c r="H28" s="58"/>
      <c r="I28" s="101"/>
      <c r="J28" s="35"/>
      <c r="K28" s="15"/>
      <c r="M28" s="98"/>
    </row>
    <row r="29" spans="1:13" ht="45.75" customHeight="1" hidden="1">
      <c r="A29" s="35"/>
      <c r="B29" s="174" t="s">
        <v>60</v>
      </c>
      <c r="C29" s="99" t="s">
        <v>507</v>
      </c>
      <c r="D29" s="62">
        <f t="shared" si="1"/>
        <v>3000</v>
      </c>
      <c r="E29" s="157"/>
      <c r="F29" s="68">
        <v>3000</v>
      </c>
      <c r="G29" s="58"/>
      <c r="H29" s="58"/>
      <c r="I29" s="101"/>
      <c r="J29" s="35"/>
      <c r="K29" s="15"/>
      <c r="M29" s="98"/>
    </row>
    <row r="30" spans="1:13" ht="41.25" customHeight="1">
      <c r="A30" s="35">
        <v>1</v>
      </c>
      <c r="B30" s="100" t="s">
        <v>469</v>
      </c>
      <c r="C30" s="99" t="s">
        <v>276</v>
      </c>
      <c r="D30" s="426">
        <f>E30+F30</f>
        <v>0</v>
      </c>
      <c r="E30" s="434">
        <f>E31</f>
        <v>0</v>
      </c>
      <c r="F30" s="90">
        <v>0</v>
      </c>
      <c r="G30" s="90">
        <f>G34+G35</f>
        <v>0</v>
      </c>
      <c r="H30" s="90">
        <f>H34+H35</f>
        <v>0</v>
      </c>
      <c r="I30" s="90">
        <f>I34+I35</f>
        <v>0</v>
      </c>
      <c r="J30" s="35" t="s">
        <v>271</v>
      </c>
      <c r="K30" s="15"/>
      <c r="M30" s="98"/>
    </row>
    <row r="31" spans="1:13" ht="42.75" customHeight="1">
      <c r="A31" s="35"/>
      <c r="B31" s="176" t="s">
        <v>394</v>
      </c>
      <c r="C31" s="99" t="s">
        <v>276</v>
      </c>
      <c r="D31" s="426">
        <f aca="true" t="shared" si="2" ref="D31:D44">E31</f>
        <v>0</v>
      </c>
      <c r="E31" s="435">
        <f>3800-3800</f>
        <v>0</v>
      </c>
      <c r="F31" s="388"/>
      <c r="G31" s="91"/>
      <c r="H31" s="91"/>
      <c r="I31" s="436"/>
      <c r="J31" s="35"/>
      <c r="K31" s="15"/>
      <c r="M31" s="98"/>
    </row>
    <row r="32" spans="1:13" ht="36.75" customHeight="1" hidden="1">
      <c r="A32" s="35"/>
      <c r="B32" s="176" t="s">
        <v>19</v>
      </c>
      <c r="C32" s="99" t="s">
        <v>221</v>
      </c>
      <c r="D32" s="426">
        <f t="shared" si="2"/>
        <v>0</v>
      </c>
      <c r="E32" s="435"/>
      <c r="F32" s="388"/>
      <c r="G32" s="91"/>
      <c r="H32" s="91"/>
      <c r="I32" s="436"/>
      <c r="J32" s="35"/>
      <c r="K32" s="15"/>
      <c r="M32" s="98"/>
    </row>
    <row r="33" spans="1:13" ht="51" customHeight="1" hidden="1">
      <c r="A33" s="35"/>
      <c r="B33" s="176" t="s">
        <v>20</v>
      </c>
      <c r="C33" s="99" t="s">
        <v>221</v>
      </c>
      <c r="D33" s="426">
        <f t="shared" si="2"/>
        <v>0</v>
      </c>
      <c r="E33" s="435"/>
      <c r="F33" s="388"/>
      <c r="G33" s="91"/>
      <c r="H33" s="91"/>
      <c r="I33" s="436"/>
      <c r="J33" s="35"/>
      <c r="K33" s="15"/>
      <c r="M33" s="98"/>
    </row>
    <row r="34" spans="1:13" ht="51" customHeight="1" hidden="1">
      <c r="A34" s="35"/>
      <c r="B34" s="176" t="s">
        <v>84</v>
      </c>
      <c r="C34" s="99" t="s">
        <v>221</v>
      </c>
      <c r="D34" s="426">
        <f>E34+F34</f>
        <v>0</v>
      </c>
      <c r="E34" s="435"/>
      <c r="F34" s="388"/>
      <c r="G34" s="91"/>
      <c r="H34" s="91"/>
      <c r="I34" s="436"/>
      <c r="J34" s="35"/>
      <c r="K34" s="15"/>
      <c r="M34" s="98"/>
    </row>
    <row r="35" spans="1:13" ht="51" customHeight="1" hidden="1">
      <c r="A35" s="35"/>
      <c r="B35" s="176" t="s">
        <v>85</v>
      </c>
      <c r="C35" s="99" t="s">
        <v>221</v>
      </c>
      <c r="D35" s="426">
        <f>E35+F35</f>
        <v>0</v>
      </c>
      <c r="E35" s="435"/>
      <c r="F35" s="388"/>
      <c r="G35" s="91"/>
      <c r="H35" s="91"/>
      <c r="I35" s="436"/>
      <c r="J35" s="35"/>
      <c r="K35" s="15"/>
      <c r="M35" s="98"/>
    </row>
    <row r="36" spans="1:13" ht="51" customHeight="1" hidden="1">
      <c r="A36" s="35"/>
      <c r="B36" s="176" t="s">
        <v>88</v>
      </c>
      <c r="C36" s="99" t="s">
        <v>221</v>
      </c>
      <c r="D36" s="426">
        <f>E36+F36</f>
        <v>0</v>
      </c>
      <c r="E36" s="435"/>
      <c r="F36" s="388"/>
      <c r="G36" s="91"/>
      <c r="H36" s="91"/>
      <c r="I36" s="436"/>
      <c r="J36" s="35"/>
      <c r="K36" s="15"/>
      <c r="M36" s="98"/>
    </row>
    <row r="37" spans="1:13" ht="51" customHeight="1" hidden="1">
      <c r="A37" s="35"/>
      <c r="B37" s="176" t="s">
        <v>89</v>
      </c>
      <c r="C37" s="99" t="s">
        <v>221</v>
      </c>
      <c r="D37" s="426">
        <f>E37+F37</f>
        <v>0</v>
      </c>
      <c r="E37" s="435"/>
      <c r="F37" s="388"/>
      <c r="G37" s="91"/>
      <c r="H37" s="91"/>
      <c r="I37" s="436"/>
      <c r="J37" s="35"/>
      <c r="K37" s="15"/>
      <c r="M37" s="98"/>
    </row>
    <row r="38" spans="1:13" ht="47.25" customHeight="1" hidden="1">
      <c r="A38" s="35">
        <v>2</v>
      </c>
      <c r="B38" s="100" t="s">
        <v>437</v>
      </c>
      <c r="C38" s="99" t="s">
        <v>276</v>
      </c>
      <c r="D38" s="426">
        <f>E38+F38+I38</f>
        <v>0</v>
      </c>
      <c r="E38" s="434">
        <f>E39</f>
        <v>0</v>
      </c>
      <c r="F38" s="434">
        <f>F39+F40+F41+F42</f>
        <v>0</v>
      </c>
      <c r="G38" s="434">
        <f>G39+G40+G41+G42</f>
        <v>0</v>
      </c>
      <c r="H38" s="434">
        <f>H39+H40+H41+H42</f>
        <v>0</v>
      </c>
      <c r="I38" s="434">
        <f>I39+I40+I41+I42</f>
        <v>0</v>
      </c>
      <c r="J38" s="35" t="s">
        <v>272</v>
      </c>
      <c r="K38" s="15"/>
      <c r="M38" s="98"/>
    </row>
    <row r="39" spans="1:13" ht="45" customHeight="1" hidden="1">
      <c r="A39" s="35"/>
      <c r="B39" s="174" t="s">
        <v>222</v>
      </c>
      <c r="C39" s="99" t="s">
        <v>276</v>
      </c>
      <c r="D39" s="426">
        <f t="shared" si="2"/>
        <v>0</v>
      </c>
      <c r="E39" s="437"/>
      <c r="F39" s="388"/>
      <c r="G39" s="91"/>
      <c r="H39" s="91"/>
      <c r="I39" s="438"/>
      <c r="J39" s="35"/>
      <c r="K39" s="15"/>
      <c r="M39" s="98"/>
    </row>
    <row r="40" spans="1:13" ht="67.5" customHeight="1" hidden="1">
      <c r="A40" s="35"/>
      <c r="B40" s="174" t="s">
        <v>21</v>
      </c>
      <c r="C40" s="99" t="s">
        <v>507</v>
      </c>
      <c r="D40" s="426">
        <f t="shared" si="2"/>
        <v>0</v>
      </c>
      <c r="E40" s="437"/>
      <c r="F40" s="388"/>
      <c r="G40" s="91"/>
      <c r="H40" s="91"/>
      <c r="I40" s="438"/>
      <c r="J40" s="35"/>
      <c r="K40" s="15"/>
      <c r="M40" s="98"/>
    </row>
    <row r="41" spans="1:13" ht="67.5" customHeight="1" hidden="1">
      <c r="A41" s="35"/>
      <c r="B41" s="174" t="s">
        <v>27</v>
      </c>
      <c r="C41" s="99" t="s">
        <v>507</v>
      </c>
      <c r="D41" s="426">
        <f t="shared" si="2"/>
        <v>0</v>
      </c>
      <c r="E41" s="437"/>
      <c r="F41" s="388"/>
      <c r="G41" s="91"/>
      <c r="H41" s="91"/>
      <c r="I41" s="438"/>
      <c r="J41" s="35"/>
      <c r="K41" s="15"/>
      <c r="M41" s="98"/>
    </row>
    <row r="42" spans="1:13" ht="63" customHeight="1" hidden="1">
      <c r="A42" s="35"/>
      <c r="B42" s="174" t="s">
        <v>22</v>
      </c>
      <c r="C42" s="99" t="s">
        <v>507</v>
      </c>
      <c r="D42" s="426">
        <f t="shared" si="2"/>
        <v>0</v>
      </c>
      <c r="E42" s="437"/>
      <c r="F42" s="388"/>
      <c r="G42" s="91"/>
      <c r="H42" s="91"/>
      <c r="I42" s="439"/>
      <c r="J42" s="35"/>
      <c r="K42" s="15"/>
      <c r="M42" s="98"/>
    </row>
    <row r="43" spans="1:13" ht="39.75" customHeight="1">
      <c r="A43" s="159">
        <v>2</v>
      </c>
      <c r="B43" s="412" t="s">
        <v>396</v>
      </c>
      <c r="C43" s="339"/>
      <c r="D43" s="397">
        <f>E43+F43+I43</f>
        <v>0</v>
      </c>
      <c r="E43" s="440">
        <f>E44</f>
        <v>0</v>
      </c>
      <c r="F43" s="440">
        <f>F44</f>
        <v>0</v>
      </c>
      <c r="G43" s="440">
        <f>G44</f>
        <v>0</v>
      </c>
      <c r="H43" s="440">
        <f>H44</f>
        <v>0</v>
      </c>
      <c r="I43" s="440">
        <f>I44</f>
        <v>0</v>
      </c>
      <c r="J43" s="159"/>
      <c r="K43" s="15"/>
      <c r="M43" s="98"/>
    </row>
    <row r="44" spans="1:13" ht="21" customHeight="1">
      <c r="A44" s="159"/>
      <c r="B44" s="413" t="s">
        <v>395</v>
      </c>
      <c r="C44" s="339" t="s">
        <v>276</v>
      </c>
      <c r="D44" s="397">
        <f t="shared" si="2"/>
        <v>0</v>
      </c>
      <c r="E44" s="441">
        <f>3000-3000</f>
        <v>0</v>
      </c>
      <c r="F44" s="337"/>
      <c r="G44" s="91"/>
      <c r="H44" s="91"/>
      <c r="I44" s="442"/>
      <c r="J44" s="159"/>
      <c r="K44" s="15"/>
      <c r="M44" s="98"/>
    </row>
    <row r="45" spans="1:13" ht="25.5" customHeight="1">
      <c r="A45" s="615">
        <v>3</v>
      </c>
      <c r="B45" s="740" t="s">
        <v>273</v>
      </c>
      <c r="C45" s="747" t="s">
        <v>276</v>
      </c>
      <c r="D45" s="675">
        <f>E45+F45+I45</f>
        <v>0</v>
      </c>
      <c r="E45" s="744">
        <f>E53+E47+E48+E49+E50+E51</f>
        <v>0</v>
      </c>
      <c r="F45" s="744">
        <f>F53</f>
        <v>0</v>
      </c>
      <c r="G45" s="434" t="e">
        <f>#REF!+#REF!+#REF!+#REF!+#REF!+#REF!+G47+G48+G49+G50+G51+G52+#REF!+#REF!+#REF!+#REF!+#REF!+#REF!</f>
        <v>#REF!</v>
      </c>
      <c r="H45" s="434" t="e">
        <f>#REF!+#REF!+#REF!+#REF!+#REF!+#REF!+H47+H48+H49+H50+H51+H52+#REF!+#REF!+#REF!+#REF!+#REF!+#REF!</f>
        <v>#REF!</v>
      </c>
      <c r="I45" s="744">
        <f>I53</f>
        <v>0</v>
      </c>
      <c r="J45" s="615" t="s">
        <v>274</v>
      </c>
      <c r="K45" s="15"/>
      <c r="M45" s="98"/>
    </row>
    <row r="46" spans="1:13" ht="19.5" customHeight="1">
      <c r="A46" s="617"/>
      <c r="B46" s="741"/>
      <c r="C46" s="748"/>
      <c r="D46" s="676"/>
      <c r="E46" s="745"/>
      <c r="F46" s="745"/>
      <c r="G46" s="340"/>
      <c r="H46" s="340"/>
      <c r="I46" s="745"/>
      <c r="J46" s="617"/>
      <c r="K46" s="15"/>
      <c r="M46" s="98"/>
    </row>
    <row r="47" spans="1:16" s="50" customFormat="1" ht="38.25" customHeight="1">
      <c r="A47" s="61"/>
      <c r="B47" s="174" t="s">
        <v>409</v>
      </c>
      <c r="C47" s="99" t="s">
        <v>276</v>
      </c>
      <c r="D47" s="426">
        <f>E47+F47</f>
        <v>0</v>
      </c>
      <c r="E47" s="173">
        <f>1600-1600</f>
        <v>0</v>
      </c>
      <c r="F47" s="166"/>
      <c r="G47" s="396"/>
      <c r="H47" s="396"/>
      <c r="I47" s="436"/>
      <c r="J47" s="61"/>
      <c r="K47" s="370"/>
      <c r="L47" s="98"/>
      <c r="M47" s="98"/>
      <c r="N47" s="98"/>
      <c r="O47" s="98"/>
      <c r="P47" s="98"/>
    </row>
    <row r="48" spans="1:13" ht="38.25" customHeight="1">
      <c r="A48" s="61"/>
      <c r="B48" s="174" t="s">
        <v>410</v>
      </c>
      <c r="C48" s="99" t="s">
        <v>276</v>
      </c>
      <c r="D48" s="426">
        <f>E48+F48</f>
        <v>0</v>
      </c>
      <c r="E48" s="173"/>
      <c r="F48" s="166"/>
      <c r="G48" s="396"/>
      <c r="H48" s="396"/>
      <c r="I48" s="436"/>
      <c r="J48" s="61"/>
      <c r="K48" s="15"/>
      <c r="M48" s="98"/>
    </row>
    <row r="49" spans="1:13" ht="25.5" customHeight="1">
      <c r="A49" s="61"/>
      <c r="B49" s="174" t="s">
        <v>411</v>
      </c>
      <c r="C49" s="99" t="s">
        <v>276</v>
      </c>
      <c r="D49" s="426">
        <f>E49+F49</f>
        <v>0</v>
      </c>
      <c r="E49" s="173">
        <f>1900-1900</f>
        <v>0</v>
      </c>
      <c r="F49" s="166"/>
      <c r="G49" s="396"/>
      <c r="H49" s="396"/>
      <c r="I49" s="436"/>
      <c r="J49" s="61"/>
      <c r="K49" s="15"/>
      <c r="M49" s="98"/>
    </row>
    <row r="50" spans="1:13" ht="44.25" customHeight="1" hidden="1">
      <c r="A50" s="61"/>
      <c r="B50" s="174" t="s">
        <v>126</v>
      </c>
      <c r="C50" s="99" t="s">
        <v>276</v>
      </c>
      <c r="D50" s="426">
        <f aca="true" t="shared" si="3" ref="D50:D58">E50</f>
        <v>0</v>
      </c>
      <c r="E50" s="173"/>
      <c r="F50" s="166"/>
      <c r="G50" s="396"/>
      <c r="H50" s="396"/>
      <c r="I50" s="436"/>
      <c r="J50" s="61"/>
      <c r="K50" s="15"/>
      <c r="M50" s="98"/>
    </row>
    <row r="51" spans="1:13" ht="36.75" customHeight="1">
      <c r="A51" s="61"/>
      <c r="B51" s="174" t="s">
        <v>412</v>
      </c>
      <c r="C51" s="99" t="s">
        <v>276</v>
      </c>
      <c r="D51" s="426">
        <f t="shared" si="3"/>
        <v>0</v>
      </c>
      <c r="E51" s="173"/>
      <c r="F51" s="166"/>
      <c r="G51" s="396"/>
      <c r="H51" s="396"/>
      <c r="I51" s="436"/>
      <c r="J51" s="61"/>
      <c r="K51" s="15"/>
      <c r="M51" s="98"/>
    </row>
    <row r="52" spans="1:13" ht="38.25" customHeight="1" hidden="1">
      <c r="A52" s="61"/>
      <c r="B52" s="174" t="s">
        <v>23</v>
      </c>
      <c r="C52" s="99" t="s">
        <v>507</v>
      </c>
      <c r="D52" s="426">
        <f t="shared" si="3"/>
        <v>0</v>
      </c>
      <c r="E52" s="173"/>
      <c r="F52" s="166"/>
      <c r="G52" s="396"/>
      <c r="H52" s="396"/>
      <c r="I52" s="436"/>
      <c r="J52" s="61"/>
      <c r="K52" s="15"/>
      <c r="M52" s="98"/>
    </row>
    <row r="53" spans="1:16" s="50" customFormat="1" ht="38.25" customHeight="1" hidden="1">
      <c r="A53" s="61"/>
      <c r="B53" s="174" t="s">
        <v>223</v>
      </c>
      <c r="C53" s="99" t="s">
        <v>276</v>
      </c>
      <c r="D53" s="426">
        <f>E53+F53+I53</f>
        <v>0</v>
      </c>
      <c r="E53" s="173"/>
      <c r="F53" s="166"/>
      <c r="G53" s="396"/>
      <c r="H53" s="396"/>
      <c r="I53" s="436"/>
      <c r="J53" s="61"/>
      <c r="K53" s="370"/>
      <c r="L53" s="98"/>
      <c r="M53" s="98"/>
      <c r="N53" s="98"/>
      <c r="O53" s="98"/>
      <c r="P53" s="98"/>
    </row>
    <row r="54" spans="1:13" ht="22.5" customHeight="1" hidden="1">
      <c r="A54" s="615">
        <v>6</v>
      </c>
      <c r="B54" s="740" t="s">
        <v>438</v>
      </c>
      <c r="C54" s="99" t="s">
        <v>507</v>
      </c>
      <c r="D54" s="426">
        <f>E54+F54+I54</f>
        <v>6506.2</v>
      </c>
      <c r="E54" s="434">
        <f>E56+E57+E58</f>
        <v>3006.2</v>
      </c>
      <c r="F54" s="434">
        <f>F56+F57+F58+F59</f>
        <v>3500</v>
      </c>
      <c r="G54" s="434">
        <f>G56+G57+G58+G59</f>
        <v>0</v>
      </c>
      <c r="H54" s="434">
        <f>H56+H57+H58+H59</f>
        <v>0</v>
      </c>
      <c r="I54" s="434"/>
      <c r="J54" s="615" t="s">
        <v>468</v>
      </c>
      <c r="K54" s="15"/>
      <c r="M54" s="98"/>
    </row>
    <row r="55" spans="1:13" ht="30" customHeight="1" hidden="1">
      <c r="A55" s="617"/>
      <c r="B55" s="741"/>
      <c r="C55" s="99" t="s">
        <v>155</v>
      </c>
      <c r="D55" s="426">
        <f>E55+F55+I55</f>
        <v>3500</v>
      </c>
      <c r="E55" s="434"/>
      <c r="F55" s="434"/>
      <c r="G55" s="340"/>
      <c r="H55" s="340"/>
      <c r="I55" s="434">
        <v>3500</v>
      </c>
      <c r="J55" s="617"/>
      <c r="K55" s="15"/>
      <c r="M55" s="98"/>
    </row>
    <row r="56" spans="1:13" ht="56.25" customHeight="1" hidden="1">
      <c r="A56" s="35"/>
      <c r="B56" s="177" t="s">
        <v>521</v>
      </c>
      <c r="C56" s="99" t="s">
        <v>507</v>
      </c>
      <c r="D56" s="426">
        <f t="shared" si="3"/>
        <v>1812</v>
      </c>
      <c r="E56" s="158">
        <v>1812</v>
      </c>
      <c r="F56" s="443"/>
      <c r="G56" s="91"/>
      <c r="H56" s="91"/>
      <c r="I56" s="444"/>
      <c r="J56" s="35"/>
      <c r="K56" s="15"/>
      <c r="M56" s="98"/>
    </row>
    <row r="57" spans="1:13" ht="53.25" customHeight="1" hidden="1">
      <c r="A57" s="35"/>
      <c r="B57" s="177" t="s">
        <v>522</v>
      </c>
      <c r="C57" s="99" t="s">
        <v>507</v>
      </c>
      <c r="D57" s="426">
        <f t="shared" si="3"/>
        <v>597.1</v>
      </c>
      <c r="E57" s="158">
        <v>597.1</v>
      </c>
      <c r="F57" s="443"/>
      <c r="G57" s="91"/>
      <c r="H57" s="91"/>
      <c r="I57" s="444"/>
      <c r="J57" s="35"/>
      <c r="K57" s="15"/>
      <c r="M57" s="98"/>
    </row>
    <row r="58" spans="1:13" ht="45" customHeight="1" hidden="1">
      <c r="A58" s="35"/>
      <c r="B58" s="177" t="s">
        <v>523</v>
      </c>
      <c r="C58" s="99" t="s">
        <v>507</v>
      </c>
      <c r="D58" s="426">
        <f t="shared" si="3"/>
        <v>597.1</v>
      </c>
      <c r="E58" s="158">
        <v>597.1</v>
      </c>
      <c r="F58" s="443"/>
      <c r="G58" s="91"/>
      <c r="H58" s="91"/>
      <c r="I58" s="444"/>
      <c r="J58" s="35"/>
      <c r="K58" s="15"/>
      <c r="M58" s="98"/>
    </row>
    <row r="59" spans="1:13" ht="19.5" customHeight="1" hidden="1">
      <c r="A59" s="615"/>
      <c r="B59" s="742" t="s">
        <v>83</v>
      </c>
      <c r="C59" s="99" t="s">
        <v>507</v>
      </c>
      <c r="D59" s="426">
        <f>E59+F59</f>
        <v>3500</v>
      </c>
      <c r="E59" s="158"/>
      <c r="F59" s="443">
        <v>3500</v>
      </c>
      <c r="G59" s="91"/>
      <c r="H59" s="91"/>
      <c r="I59" s="444"/>
      <c r="J59" s="615"/>
      <c r="K59" s="15"/>
      <c r="M59" s="98"/>
    </row>
    <row r="60" spans="1:13" ht="20.25" customHeight="1" hidden="1">
      <c r="A60" s="617"/>
      <c r="B60" s="743"/>
      <c r="C60" s="99" t="s">
        <v>155</v>
      </c>
      <c r="D60" s="426">
        <f>E60+F60+I60</f>
        <v>3500</v>
      </c>
      <c r="E60" s="158"/>
      <c r="F60" s="443"/>
      <c r="G60" s="91"/>
      <c r="H60" s="91"/>
      <c r="I60" s="444">
        <v>3500</v>
      </c>
      <c r="J60" s="617"/>
      <c r="K60" s="15"/>
      <c r="M60" s="98"/>
    </row>
    <row r="61" spans="1:13" ht="58.5" customHeight="1">
      <c r="A61" s="35">
        <v>4</v>
      </c>
      <c r="B61" s="100" t="s">
        <v>465</v>
      </c>
      <c r="C61" s="99" t="s">
        <v>276</v>
      </c>
      <c r="D61" s="426">
        <f>E61+F61+I61</f>
        <v>0</v>
      </c>
      <c r="E61" s="434">
        <f>SUM(E62:E64)</f>
        <v>0</v>
      </c>
      <c r="F61" s="434">
        <f>SUM(F62:F64)</f>
        <v>0</v>
      </c>
      <c r="G61" s="434">
        <f>SUM(G62:G64)</f>
        <v>0</v>
      </c>
      <c r="H61" s="434">
        <f>SUM(H62:H64)</f>
        <v>0</v>
      </c>
      <c r="I61" s="434">
        <f>SUM(I62:I64)</f>
        <v>0</v>
      </c>
      <c r="J61" s="35" t="s">
        <v>269</v>
      </c>
      <c r="K61" s="15"/>
      <c r="M61" s="98"/>
    </row>
    <row r="62" spans="1:13" ht="39" customHeight="1">
      <c r="A62" s="35"/>
      <c r="B62" s="414" t="s">
        <v>413</v>
      </c>
      <c r="C62" s="99" t="s">
        <v>276</v>
      </c>
      <c r="D62" s="426">
        <f>E62+F62+I62</f>
        <v>0</v>
      </c>
      <c r="E62" s="445">
        <f>4700-4700</f>
        <v>0</v>
      </c>
      <c r="F62" s="445"/>
      <c r="G62" s="446"/>
      <c r="H62" s="446"/>
      <c r="I62" s="445"/>
      <c r="J62" s="35"/>
      <c r="K62" s="15"/>
      <c r="M62" s="98"/>
    </row>
    <row r="63" spans="1:13" ht="58.5" customHeight="1">
      <c r="A63" s="35"/>
      <c r="B63" s="414" t="s">
        <v>414</v>
      </c>
      <c r="C63" s="99" t="s">
        <v>276</v>
      </c>
      <c r="D63" s="426">
        <f>E63+F63+I63</f>
        <v>0</v>
      </c>
      <c r="E63" s="445">
        <f>2600-2600</f>
        <v>0</v>
      </c>
      <c r="F63" s="445"/>
      <c r="G63" s="446"/>
      <c r="H63" s="446"/>
      <c r="I63" s="445"/>
      <c r="J63" s="35"/>
      <c r="K63" s="15"/>
      <c r="M63" s="98"/>
    </row>
    <row r="64" spans="1:13" ht="42.75" customHeight="1">
      <c r="A64" s="35"/>
      <c r="B64" s="415" t="s">
        <v>415</v>
      </c>
      <c r="C64" s="99" t="s">
        <v>276</v>
      </c>
      <c r="D64" s="426">
        <f>E64+F64+I64</f>
        <v>0</v>
      </c>
      <c r="E64" s="445">
        <f>2800-2800</f>
        <v>0</v>
      </c>
      <c r="F64" s="445"/>
      <c r="G64" s="446"/>
      <c r="H64" s="446"/>
      <c r="I64" s="445"/>
      <c r="J64" s="35"/>
      <c r="K64" s="15"/>
      <c r="M64" s="98"/>
    </row>
    <row r="65" spans="1:13" ht="58.5" customHeight="1" hidden="1">
      <c r="A65" s="35"/>
      <c r="B65" s="417" t="s">
        <v>401</v>
      </c>
      <c r="C65" s="99" t="s">
        <v>276</v>
      </c>
      <c r="D65" s="426">
        <f aca="true" t="shared" si="4" ref="D65:D128">E65+F65+I65</f>
        <v>650</v>
      </c>
      <c r="E65" s="158">
        <v>650</v>
      </c>
      <c r="F65" s="447"/>
      <c r="G65" s="91"/>
      <c r="H65" s="91"/>
      <c r="I65" s="448"/>
      <c r="J65" s="35"/>
      <c r="K65" s="15"/>
      <c r="M65" s="98"/>
    </row>
    <row r="66" spans="1:13" ht="38.25" customHeight="1" hidden="1">
      <c r="A66" s="35"/>
      <c r="B66" s="418" t="s">
        <v>402</v>
      </c>
      <c r="C66" s="99" t="s">
        <v>276</v>
      </c>
      <c r="D66" s="426">
        <f t="shared" si="4"/>
        <v>1100</v>
      </c>
      <c r="E66" s="158">
        <v>1100</v>
      </c>
      <c r="F66" s="447"/>
      <c r="G66" s="91"/>
      <c r="H66" s="91"/>
      <c r="I66" s="448"/>
      <c r="J66" s="35"/>
      <c r="K66" s="15"/>
      <c r="M66" s="98"/>
    </row>
    <row r="67" spans="1:13" ht="93" customHeight="1" hidden="1">
      <c r="A67" s="35"/>
      <c r="B67" s="418" t="s">
        <v>403</v>
      </c>
      <c r="C67" s="99" t="s">
        <v>276</v>
      </c>
      <c r="D67" s="426">
        <f t="shared" si="4"/>
        <v>30</v>
      </c>
      <c r="E67" s="449">
        <v>30</v>
      </c>
      <c r="F67" s="447"/>
      <c r="G67" s="91"/>
      <c r="H67" s="91"/>
      <c r="I67" s="448"/>
      <c r="J67" s="35"/>
      <c r="K67" s="15"/>
      <c r="M67" s="98"/>
    </row>
    <row r="68" spans="1:13" ht="58.5" customHeight="1" hidden="1">
      <c r="A68" s="35"/>
      <c r="B68" s="419" t="s">
        <v>404</v>
      </c>
      <c r="C68" s="99" t="s">
        <v>276</v>
      </c>
      <c r="D68" s="426">
        <f t="shared" si="4"/>
        <v>6500</v>
      </c>
      <c r="E68" s="173">
        <v>6500</v>
      </c>
      <c r="F68" s="447"/>
      <c r="G68" s="91"/>
      <c r="H68" s="91"/>
      <c r="I68" s="448"/>
      <c r="J68" s="35"/>
      <c r="K68" s="15"/>
      <c r="M68" s="98"/>
    </row>
    <row r="69" spans="1:13" ht="58.5" customHeight="1" hidden="1">
      <c r="A69" s="35"/>
      <c r="B69" s="418" t="s">
        <v>405</v>
      </c>
      <c r="C69" s="99" t="s">
        <v>276</v>
      </c>
      <c r="D69" s="426">
        <f t="shared" si="4"/>
        <v>1535</v>
      </c>
      <c r="E69" s="173">
        <v>1535</v>
      </c>
      <c r="F69" s="447"/>
      <c r="G69" s="91"/>
      <c r="H69" s="91"/>
      <c r="I69" s="448"/>
      <c r="J69" s="35"/>
      <c r="K69" s="15"/>
      <c r="M69" s="98"/>
    </row>
    <row r="70" spans="1:13" ht="58.5" customHeight="1" hidden="1">
      <c r="A70" s="35"/>
      <c r="B70" s="418" t="s">
        <v>406</v>
      </c>
      <c r="C70" s="99" t="s">
        <v>276</v>
      </c>
      <c r="D70" s="426">
        <f t="shared" si="4"/>
        <v>70</v>
      </c>
      <c r="E70" s="173">
        <v>70</v>
      </c>
      <c r="F70" s="447"/>
      <c r="G70" s="91"/>
      <c r="H70" s="91"/>
      <c r="I70" s="448"/>
      <c r="J70" s="35"/>
      <c r="K70" s="15"/>
      <c r="M70" s="98"/>
    </row>
    <row r="71" spans="1:13" ht="55.5" customHeight="1" hidden="1">
      <c r="A71" s="35"/>
      <c r="B71" s="418" t="s">
        <v>407</v>
      </c>
      <c r="C71" s="99" t="s">
        <v>276</v>
      </c>
      <c r="D71" s="426">
        <f t="shared" si="4"/>
        <v>850</v>
      </c>
      <c r="E71" s="173">
        <v>850</v>
      </c>
      <c r="F71" s="447"/>
      <c r="G71" s="91"/>
      <c r="H71" s="91"/>
      <c r="I71" s="448"/>
      <c r="J71" s="35"/>
      <c r="K71" s="15"/>
      <c r="M71" s="98"/>
    </row>
    <row r="72" spans="1:13" ht="77.25" customHeight="1" hidden="1">
      <c r="A72" s="35"/>
      <c r="B72" s="416" t="s">
        <v>408</v>
      </c>
      <c r="C72" s="99" t="s">
        <v>276</v>
      </c>
      <c r="D72" s="426">
        <f t="shared" si="4"/>
        <v>300</v>
      </c>
      <c r="E72" s="173">
        <v>300</v>
      </c>
      <c r="F72" s="447"/>
      <c r="G72" s="91"/>
      <c r="H72" s="91"/>
      <c r="I72" s="448"/>
      <c r="J72" s="35"/>
      <c r="K72" s="15"/>
      <c r="M72" s="98"/>
    </row>
    <row r="73" spans="1:13" ht="100.5" customHeight="1" hidden="1">
      <c r="A73" s="35"/>
      <c r="B73" s="178" t="s">
        <v>524</v>
      </c>
      <c r="C73" s="99" t="s">
        <v>276</v>
      </c>
      <c r="D73" s="426">
        <f t="shared" si="4"/>
        <v>280</v>
      </c>
      <c r="E73" s="173">
        <v>280</v>
      </c>
      <c r="F73" s="447"/>
      <c r="G73" s="91"/>
      <c r="H73" s="91"/>
      <c r="I73" s="448"/>
      <c r="J73" s="35"/>
      <c r="K73" s="15"/>
      <c r="M73" s="98"/>
    </row>
    <row r="74" spans="1:13" ht="79.5" customHeight="1" hidden="1">
      <c r="A74" s="35"/>
      <c r="B74" s="178" t="s">
        <v>525</v>
      </c>
      <c r="C74" s="99" t="s">
        <v>276</v>
      </c>
      <c r="D74" s="426">
        <f t="shared" si="4"/>
        <v>80</v>
      </c>
      <c r="E74" s="173">
        <v>80</v>
      </c>
      <c r="F74" s="447"/>
      <c r="G74" s="91"/>
      <c r="H74" s="91"/>
      <c r="I74" s="448"/>
      <c r="J74" s="35"/>
      <c r="K74" s="15"/>
      <c r="M74" s="98"/>
    </row>
    <row r="75" spans="1:13" ht="58.5" customHeight="1" hidden="1">
      <c r="A75" s="35"/>
      <c r="B75" s="178" t="s">
        <v>526</v>
      </c>
      <c r="C75" s="99" t="s">
        <v>276</v>
      </c>
      <c r="D75" s="426">
        <f t="shared" si="4"/>
        <v>350</v>
      </c>
      <c r="E75" s="173">
        <v>350</v>
      </c>
      <c r="F75" s="447"/>
      <c r="G75" s="91"/>
      <c r="H75" s="91"/>
      <c r="I75" s="448"/>
      <c r="J75" s="35"/>
      <c r="K75" s="15"/>
      <c r="M75" s="98"/>
    </row>
    <row r="76" spans="1:13" ht="84" customHeight="1" hidden="1">
      <c r="A76" s="35"/>
      <c r="B76" s="178" t="s">
        <v>527</v>
      </c>
      <c r="C76" s="99" t="s">
        <v>276</v>
      </c>
      <c r="D76" s="426">
        <f t="shared" si="4"/>
        <v>80</v>
      </c>
      <c r="E76" s="173">
        <v>80</v>
      </c>
      <c r="F76" s="447"/>
      <c r="G76" s="91"/>
      <c r="H76" s="91"/>
      <c r="I76" s="448"/>
      <c r="J76" s="35"/>
      <c r="K76" s="15"/>
      <c r="M76" s="98"/>
    </row>
    <row r="77" spans="1:13" ht="58.5" customHeight="1" hidden="1">
      <c r="A77" s="35"/>
      <c r="B77" s="178" t="s">
        <v>528</v>
      </c>
      <c r="C77" s="99" t="s">
        <v>276</v>
      </c>
      <c r="D77" s="426">
        <f t="shared" si="4"/>
        <v>550</v>
      </c>
      <c r="E77" s="173">
        <v>550</v>
      </c>
      <c r="F77" s="447"/>
      <c r="G77" s="91"/>
      <c r="H77" s="91"/>
      <c r="I77" s="448"/>
      <c r="J77" s="35"/>
      <c r="K77" s="15"/>
      <c r="M77" s="98"/>
    </row>
    <row r="78" spans="1:13" ht="97.5" customHeight="1" hidden="1">
      <c r="A78" s="35"/>
      <c r="B78" s="178" t="s">
        <v>529</v>
      </c>
      <c r="C78" s="99" t="s">
        <v>276</v>
      </c>
      <c r="D78" s="426">
        <f t="shared" si="4"/>
        <v>80</v>
      </c>
      <c r="E78" s="173">
        <v>80</v>
      </c>
      <c r="F78" s="447"/>
      <c r="G78" s="91"/>
      <c r="H78" s="91"/>
      <c r="I78" s="448"/>
      <c r="J78" s="35"/>
      <c r="K78" s="15"/>
      <c r="M78" s="98"/>
    </row>
    <row r="79" spans="1:13" ht="77.25" customHeight="1" hidden="1">
      <c r="A79" s="35"/>
      <c r="B79" s="178" t="s">
        <v>530</v>
      </c>
      <c r="C79" s="99" t="s">
        <v>276</v>
      </c>
      <c r="D79" s="426">
        <f t="shared" si="4"/>
        <v>320</v>
      </c>
      <c r="E79" s="173">
        <v>320</v>
      </c>
      <c r="F79" s="447"/>
      <c r="G79" s="91"/>
      <c r="H79" s="91"/>
      <c r="I79" s="448"/>
      <c r="J79" s="35"/>
      <c r="K79" s="15"/>
      <c r="M79" s="98"/>
    </row>
    <row r="80" spans="1:13" ht="72.75" customHeight="1" hidden="1">
      <c r="A80" s="35"/>
      <c r="B80" s="178" t="s">
        <v>531</v>
      </c>
      <c r="C80" s="99" t="s">
        <v>276</v>
      </c>
      <c r="D80" s="426">
        <f t="shared" si="4"/>
        <v>210</v>
      </c>
      <c r="E80" s="173">
        <v>210</v>
      </c>
      <c r="F80" s="447"/>
      <c r="G80" s="91"/>
      <c r="H80" s="91"/>
      <c r="I80" s="448"/>
      <c r="J80" s="35"/>
      <c r="K80" s="15"/>
      <c r="M80" s="98"/>
    </row>
    <row r="81" spans="1:13" ht="86.25" customHeight="1" hidden="1">
      <c r="A81" s="35"/>
      <c r="B81" s="178" t="s">
        <v>532</v>
      </c>
      <c r="C81" s="99" t="s">
        <v>276</v>
      </c>
      <c r="D81" s="426">
        <f t="shared" si="4"/>
        <v>215</v>
      </c>
      <c r="E81" s="173">
        <v>215</v>
      </c>
      <c r="F81" s="447"/>
      <c r="G81" s="91"/>
      <c r="H81" s="91"/>
      <c r="I81" s="448"/>
      <c r="J81" s="35"/>
      <c r="K81" s="15"/>
      <c r="M81" s="98"/>
    </row>
    <row r="82" spans="1:13" ht="81" customHeight="1" hidden="1">
      <c r="A82" s="35"/>
      <c r="B82" s="178" t="s">
        <v>533</v>
      </c>
      <c r="C82" s="99" t="s">
        <v>276</v>
      </c>
      <c r="D82" s="426">
        <f t="shared" si="4"/>
        <v>205.2</v>
      </c>
      <c r="E82" s="173">
        <v>205.2</v>
      </c>
      <c r="F82" s="447"/>
      <c r="G82" s="91"/>
      <c r="H82" s="91"/>
      <c r="I82" s="448"/>
      <c r="J82" s="35"/>
      <c r="K82" s="15"/>
      <c r="M82" s="98"/>
    </row>
    <row r="83" spans="1:13" ht="58.5" customHeight="1" hidden="1">
      <c r="A83" s="35"/>
      <c r="B83" s="178" t="s">
        <v>534</v>
      </c>
      <c r="C83" s="99" t="s">
        <v>276</v>
      </c>
      <c r="D83" s="426">
        <f t="shared" si="4"/>
        <v>8950</v>
      </c>
      <c r="E83" s="173">
        <v>8950</v>
      </c>
      <c r="F83" s="447"/>
      <c r="G83" s="91"/>
      <c r="H83" s="91"/>
      <c r="I83" s="448"/>
      <c r="J83" s="35"/>
      <c r="K83" s="15"/>
      <c r="M83" s="98"/>
    </row>
    <row r="84" spans="1:13" ht="58.5" customHeight="1" hidden="1">
      <c r="A84" s="35"/>
      <c r="B84" s="178" t="s">
        <v>535</v>
      </c>
      <c r="C84" s="99" t="s">
        <v>276</v>
      </c>
      <c r="D84" s="426">
        <f t="shared" si="4"/>
        <v>2100</v>
      </c>
      <c r="E84" s="173">
        <v>2100</v>
      </c>
      <c r="F84" s="447"/>
      <c r="G84" s="91"/>
      <c r="H84" s="91"/>
      <c r="I84" s="448"/>
      <c r="J84" s="35"/>
      <c r="K84" s="15"/>
      <c r="M84" s="98"/>
    </row>
    <row r="85" spans="1:13" ht="58.5" customHeight="1" hidden="1">
      <c r="A85" s="35"/>
      <c r="B85" s="179" t="s">
        <v>536</v>
      </c>
      <c r="C85" s="99" t="s">
        <v>276</v>
      </c>
      <c r="D85" s="426">
        <f t="shared" si="4"/>
        <v>3000</v>
      </c>
      <c r="E85" s="173">
        <v>3000</v>
      </c>
      <c r="F85" s="447"/>
      <c r="G85" s="91"/>
      <c r="H85" s="91"/>
      <c r="I85" s="448"/>
      <c r="J85" s="35"/>
      <c r="K85" s="15"/>
      <c r="M85" s="98"/>
    </row>
    <row r="86" spans="1:13" ht="43.5" customHeight="1" hidden="1">
      <c r="A86" s="35"/>
      <c r="B86" s="179" t="s">
        <v>537</v>
      </c>
      <c r="C86" s="99" t="s">
        <v>276</v>
      </c>
      <c r="D86" s="426">
        <f t="shared" si="4"/>
        <v>4475</v>
      </c>
      <c r="E86" s="173">
        <v>4475</v>
      </c>
      <c r="F86" s="447"/>
      <c r="G86" s="91"/>
      <c r="H86" s="91"/>
      <c r="I86" s="448"/>
      <c r="J86" s="35"/>
      <c r="K86" s="15"/>
      <c r="M86" s="98"/>
    </row>
    <row r="87" spans="1:13" ht="35.25" customHeight="1" hidden="1">
      <c r="A87" s="35"/>
      <c r="B87" s="179" t="s">
        <v>538</v>
      </c>
      <c r="C87" s="99" t="s">
        <v>276</v>
      </c>
      <c r="D87" s="426">
        <f t="shared" si="4"/>
        <v>2300</v>
      </c>
      <c r="E87" s="173">
        <v>2300</v>
      </c>
      <c r="F87" s="447"/>
      <c r="G87" s="91"/>
      <c r="H87" s="91"/>
      <c r="I87" s="448"/>
      <c r="J87" s="35"/>
      <c r="K87" s="15"/>
      <c r="M87" s="98"/>
    </row>
    <row r="88" spans="1:13" ht="37.5" customHeight="1" hidden="1">
      <c r="A88" s="35"/>
      <c r="B88" s="179" t="s">
        <v>539</v>
      </c>
      <c r="C88" s="99" t="s">
        <v>276</v>
      </c>
      <c r="D88" s="426">
        <f t="shared" si="4"/>
        <v>4806</v>
      </c>
      <c r="E88" s="173">
        <v>2403</v>
      </c>
      <c r="F88" s="447">
        <v>2403</v>
      </c>
      <c r="G88" s="91"/>
      <c r="H88" s="91"/>
      <c r="I88" s="450"/>
      <c r="J88" s="35"/>
      <c r="K88" s="15"/>
      <c r="M88" s="98"/>
    </row>
    <row r="89" spans="1:13" ht="36.75" customHeight="1" hidden="1">
      <c r="A89" s="35"/>
      <c r="B89" s="178" t="s">
        <v>540</v>
      </c>
      <c r="C89" s="99" t="s">
        <v>276</v>
      </c>
      <c r="D89" s="426">
        <f t="shared" si="4"/>
        <v>3429</v>
      </c>
      <c r="E89" s="173">
        <v>3429</v>
      </c>
      <c r="F89" s="447"/>
      <c r="G89" s="91"/>
      <c r="H89" s="91"/>
      <c r="I89" s="450"/>
      <c r="J89" s="35"/>
      <c r="K89" s="15"/>
      <c r="M89" s="98"/>
    </row>
    <row r="90" spans="1:13" ht="39" customHeight="1" hidden="1">
      <c r="A90" s="35"/>
      <c r="B90" s="178" t="s">
        <v>541</v>
      </c>
      <c r="C90" s="99" t="s">
        <v>276</v>
      </c>
      <c r="D90" s="426">
        <f t="shared" si="4"/>
        <v>1950</v>
      </c>
      <c r="E90" s="173">
        <v>1950</v>
      </c>
      <c r="F90" s="447"/>
      <c r="G90" s="91"/>
      <c r="H90" s="91"/>
      <c r="I90" s="450"/>
      <c r="J90" s="35"/>
      <c r="K90" s="15"/>
      <c r="M90" s="98"/>
    </row>
    <row r="91" spans="1:13" ht="40.5" customHeight="1" hidden="1">
      <c r="A91" s="35"/>
      <c r="B91" s="178" t="s">
        <v>542</v>
      </c>
      <c r="C91" s="99" t="s">
        <v>276</v>
      </c>
      <c r="D91" s="426">
        <f t="shared" si="4"/>
        <v>2100</v>
      </c>
      <c r="E91" s="173">
        <v>2100</v>
      </c>
      <c r="F91" s="451"/>
      <c r="G91" s="91"/>
      <c r="H91" s="91"/>
      <c r="I91" s="166"/>
      <c r="J91" s="35"/>
      <c r="K91" s="15"/>
      <c r="M91" s="98"/>
    </row>
    <row r="92" spans="1:13" ht="38.25" customHeight="1" hidden="1">
      <c r="A92" s="35"/>
      <c r="B92" s="178" t="s">
        <v>543</v>
      </c>
      <c r="C92" s="99" t="s">
        <v>276</v>
      </c>
      <c r="D92" s="426">
        <f t="shared" si="4"/>
        <v>2500</v>
      </c>
      <c r="E92" s="173">
        <v>2500</v>
      </c>
      <c r="F92" s="451"/>
      <c r="G92" s="452"/>
      <c r="H92" s="452"/>
      <c r="I92" s="166"/>
      <c r="J92" s="35"/>
      <c r="K92" s="15"/>
      <c r="M92" s="98"/>
    </row>
    <row r="93" spans="1:13" ht="65.25" customHeight="1" hidden="1">
      <c r="A93" s="35"/>
      <c r="B93" s="178" t="s">
        <v>0</v>
      </c>
      <c r="C93" s="99" t="s">
        <v>276</v>
      </c>
      <c r="D93" s="426">
        <f t="shared" si="4"/>
        <v>625</v>
      </c>
      <c r="E93" s="173">
        <v>625</v>
      </c>
      <c r="F93" s="451"/>
      <c r="G93" s="452"/>
      <c r="H93" s="452"/>
      <c r="I93" s="166"/>
      <c r="J93" s="35"/>
      <c r="K93" s="15"/>
      <c r="M93" s="98"/>
    </row>
    <row r="94" spans="1:13" ht="55.5" customHeight="1" hidden="1">
      <c r="A94" s="35"/>
      <c r="B94" s="178" t="s">
        <v>61</v>
      </c>
      <c r="C94" s="99" t="s">
        <v>276</v>
      </c>
      <c r="D94" s="426">
        <f t="shared" si="4"/>
        <v>4800</v>
      </c>
      <c r="E94" s="173"/>
      <c r="F94" s="451">
        <v>4800</v>
      </c>
      <c r="G94" s="452"/>
      <c r="H94" s="452"/>
      <c r="I94" s="166"/>
      <c r="J94" s="35"/>
      <c r="K94" s="15"/>
      <c r="M94" s="98"/>
    </row>
    <row r="95" spans="1:13" ht="34.5" customHeight="1" hidden="1">
      <c r="A95" s="35"/>
      <c r="B95" s="178" t="s">
        <v>62</v>
      </c>
      <c r="C95" s="99" t="s">
        <v>276</v>
      </c>
      <c r="D95" s="426">
        <f t="shared" si="4"/>
        <v>2600</v>
      </c>
      <c r="E95" s="173"/>
      <c r="F95" s="451">
        <v>2600</v>
      </c>
      <c r="G95" s="452"/>
      <c r="H95" s="452"/>
      <c r="I95" s="166"/>
      <c r="J95" s="35"/>
      <c r="K95" s="15"/>
      <c r="M95" s="98"/>
    </row>
    <row r="96" spans="1:13" ht="37.5" customHeight="1" hidden="1">
      <c r="A96" s="35"/>
      <c r="B96" s="178" t="s">
        <v>63</v>
      </c>
      <c r="C96" s="99" t="s">
        <v>276</v>
      </c>
      <c r="D96" s="426">
        <f t="shared" si="4"/>
        <v>2800</v>
      </c>
      <c r="E96" s="173"/>
      <c r="F96" s="451">
        <v>2800</v>
      </c>
      <c r="G96" s="452"/>
      <c r="H96" s="452"/>
      <c r="I96" s="166"/>
      <c r="J96" s="35"/>
      <c r="K96" s="15"/>
      <c r="M96" s="98"/>
    </row>
    <row r="97" spans="1:13" ht="36.75" customHeight="1" hidden="1">
      <c r="A97" s="35"/>
      <c r="B97" s="178" t="s">
        <v>64</v>
      </c>
      <c r="C97" s="99" t="s">
        <v>276</v>
      </c>
      <c r="D97" s="426">
        <f t="shared" si="4"/>
        <v>1755</v>
      </c>
      <c r="E97" s="173"/>
      <c r="F97" s="451">
        <v>1755</v>
      </c>
      <c r="G97" s="452"/>
      <c r="H97" s="452"/>
      <c r="I97" s="166"/>
      <c r="J97" s="35"/>
      <c r="K97" s="15"/>
      <c r="M97" s="98"/>
    </row>
    <row r="98" spans="1:13" ht="36" customHeight="1" hidden="1">
      <c r="A98" s="35"/>
      <c r="B98" s="178" t="s">
        <v>65</v>
      </c>
      <c r="C98" s="99" t="s">
        <v>276</v>
      </c>
      <c r="D98" s="426">
        <f t="shared" si="4"/>
        <v>3511</v>
      </c>
      <c r="E98" s="173"/>
      <c r="F98" s="451">
        <v>3511</v>
      </c>
      <c r="G98" s="452"/>
      <c r="H98" s="452"/>
      <c r="I98" s="166"/>
      <c r="J98" s="35"/>
      <c r="K98" s="15"/>
      <c r="M98" s="98"/>
    </row>
    <row r="99" spans="1:13" ht="52.5" customHeight="1" hidden="1">
      <c r="A99" s="35"/>
      <c r="B99" s="178" t="s">
        <v>66</v>
      </c>
      <c r="C99" s="99" t="s">
        <v>276</v>
      </c>
      <c r="D99" s="426">
        <f t="shared" si="4"/>
        <v>1260</v>
      </c>
      <c r="E99" s="173"/>
      <c r="F99" s="451">
        <v>1260</v>
      </c>
      <c r="G99" s="452"/>
      <c r="H99" s="452"/>
      <c r="I99" s="166"/>
      <c r="J99" s="35"/>
      <c r="K99" s="15"/>
      <c r="M99" s="98"/>
    </row>
    <row r="100" spans="1:13" ht="36.75" customHeight="1" hidden="1">
      <c r="A100" s="35"/>
      <c r="B100" s="178" t="s">
        <v>67</v>
      </c>
      <c r="C100" s="99" t="s">
        <v>276</v>
      </c>
      <c r="D100" s="426">
        <f t="shared" si="4"/>
        <v>667</v>
      </c>
      <c r="E100" s="173"/>
      <c r="F100" s="451">
        <v>667</v>
      </c>
      <c r="G100" s="452"/>
      <c r="H100" s="452"/>
      <c r="I100" s="166"/>
      <c r="J100" s="35"/>
      <c r="K100" s="15"/>
      <c r="M100" s="98"/>
    </row>
    <row r="101" spans="1:13" ht="35.25" customHeight="1" hidden="1">
      <c r="A101" s="35"/>
      <c r="B101" s="178" t="s">
        <v>68</v>
      </c>
      <c r="C101" s="99" t="s">
        <v>276</v>
      </c>
      <c r="D101" s="426">
        <f t="shared" si="4"/>
        <v>6.092</v>
      </c>
      <c r="E101" s="173"/>
      <c r="F101" s="451">
        <v>6.092</v>
      </c>
      <c r="G101" s="452"/>
      <c r="H101" s="452"/>
      <c r="I101" s="166"/>
      <c r="J101" s="35"/>
      <c r="K101" s="15"/>
      <c r="M101" s="98"/>
    </row>
    <row r="102" spans="1:13" ht="35.25" customHeight="1" hidden="1">
      <c r="A102" s="35"/>
      <c r="B102" s="178" t="s">
        <v>69</v>
      </c>
      <c r="C102" s="99" t="s">
        <v>276</v>
      </c>
      <c r="D102" s="426">
        <f t="shared" si="4"/>
        <v>7.38</v>
      </c>
      <c r="E102" s="173"/>
      <c r="F102" s="451">
        <v>7.38</v>
      </c>
      <c r="G102" s="452"/>
      <c r="H102" s="452"/>
      <c r="I102" s="166"/>
      <c r="J102" s="35"/>
      <c r="K102" s="15"/>
      <c r="M102" s="98"/>
    </row>
    <row r="103" spans="1:13" ht="35.25" customHeight="1" hidden="1">
      <c r="A103" s="35"/>
      <c r="B103" s="178" t="s">
        <v>70</v>
      </c>
      <c r="C103" s="99" t="s">
        <v>276</v>
      </c>
      <c r="D103" s="426">
        <f t="shared" si="4"/>
        <v>9.68</v>
      </c>
      <c r="E103" s="173"/>
      <c r="F103" s="451">
        <v>9.68</v>
      </c>
      <c r="G103" s="452"/>
      <c r="H103" s="452"/>
      <c r="I103" s="166"/>
      <c r="J103" s="35"/>
      <c r="K103" s="15"/>
      <c r="M103" s="98"/>
    </row>
    <row r="104" spans="1:13" ht="53.25" customHeight="1" hidden="1">
      <c r="A104" s="35"/>
      <c r="B104" s="178" t="s">
        <v>71</v>
      </c>
      <c r="C104" s="99" t="s">
        <v>276</v>
      </c>
      <c r="D104" s="426">
        <f t="shared" si="4"/>
        <v>257.38</v>
      </c>
      <c r="E104" s="173"/>
      <c r="F104" s="451">
        <v>257.38</v>
      </c>
      <c r="G104" s="452"/>
      <c r="H104" s="452"/>
      <c r="I104" s="166"/>
      <c r="J104" s="35"/>
      <c r="K104" s="15"/>
      <c r="M104" s="98"/>
    </row>
    <row r="105" spans="1:13" ht="53.25" customHeight="1" hidden="1">
      <c r="A105" s="35"/>
      <c r="B105" s="178" t="s">
        <v>72</v>
      </c>
      <c r="C105" s="99" t="s">
        <v>276</v>
      </c>
      <c r="D105" s="426">
        <f t="shared" si="4"/>
        <v>79.86</v>
      </c>
      <c r="E105" s="173"/>
      <c r="F105" s="451">
        <v>79.86</v>
      </c>
      <c r="G105" s="452"/>
      <c r="H105" s="452"/>
      <c r="I105" s="166"/>
      <c r="J105" s="35"/>
      <c r="K105" s="15"/>
      <c r="M105" s="98"/>
    </row>
    <row r="106" spans="1:13" ht="56.25" customHeight="1" hidden="1">
      <c r="A106" s="35"/>
      <c r="B106" s="178" t="s">
        <v>73</v>
      </c>
      <c r="C106" s="99" t="s">
        <v>276</v>
      </c>
      <c r="D106" s="426">
        <f t="shared" si="4"/>
        <v>746.83</v>
      </c>
      <c r="E106" s="173"/>
      <c r="F106" s="451">
        <v>746.83</v>
      </c>
      <c r="G106" s="452"/>
      <c r="H106" s="452"/>
      <c r="I106" s="166"/>
      <c r="J106" s="35"/>
      <c r="K106" s="15"/>
      <c r="M106" s="98"/>
    </row>
    <row r="107" spans="1:13" ht="37.5" customHeight="1" hidden="1">
      <c r="A107" s="35"/>
      <c r="B107" s="178" t="s">
        <v>74</v>
      </c>
      <c r="C107" s="99" t="s">
        <v>276</v>
      </c>
      <c r="D107" s="426">
        <f t="shared" si="4"/>
        <v>35.75</v>
      </c>
      <c r="E107" s="173"/>
      <c r="F107" s="451">
        <v>35.75</v>
      </c>
      <c r="G107" s="452"/>
      <c r="H107" s="452"/>
      <c r="I107" s="166"/>
      <c r="J107" s="35"/>
      <c r="K107" s="15"/>
      <c r="M107" s="98"/>
    </row>
    <row r="108" spans="1:13" ht="36" customHeight="1" hidden="1">
      <c r="A108" s="35"/>
      <c r="B108" s="178" t="s">
        <v>75</v>
      </c>
      <c r="C108" s="99" t="s">
        <v>276</v>
      </c>
      <c r="D108" s="426">
        <f t="shared" si="4"/>
        <v>15.4</v>
      </c>
      <c r="E108" s="173"/>
      <c r="F108" s="451">
        <v>15.4</v>
      </c>
      <c r="G108" s="452"/>
      <c r="H108" s="452"/>
      <c r="I108" s="166"/>
      <c r="J108" s="35"/>
      <c r="K108" s="15"/>
      <c r="M108" s="98"/>
    </row>
    <row r="109" spans="1:13" ht="36" customHeight="1" hidden="1">
      <c r="A109" s="35"/>
      <c r="B109" s="178" t="s">
        <v>76</v>
      </c>
      <c r="C109" s="99" t="s">
        <v>276</v>
      </c>
      <c r="D109" s="426">
        <f t="shared" si="4"/>
        <v>310</v>
      </c>
      <c r="E109" s="173"/>
      <c r="F109" s="451">
        <v>310</v>
      </c>
      <c r="G109" s="452"/>
      <c r="H109" s="452"/>
      <c r="I109" s="166"/>
      <c r="J109" s="35"/>
      <c r="K109" s="15"/>
      <c r="M109" s="98"/>
    </row>
    <row r="110" spans="1:13" ht="36" customHeight="1" hidden="1">
      <c r="A110" s="35"/>
      <c r="B110" s="178" t="s">
        <v>77</v>
      </c>
      <c r="C110" s="99" t="s">
        <v>276</v>
      </c>
      <c r="D110" s="426">
        <f t="shared" si="4"/>
        <v>92</v>
      </c>
      <c r="E110" s="173"/>
      <c r="F110" s="451">
        <v>92</v>
      </c>
      <c r="G110" s="452"/>
      <c r="H110" s="452"/>
      <c r="I110" s="166"/>
      <c r="J110" s="35"/>
      <c r="K110" s="15"/>
      <c r="M110" s="98"/>
    </row>
    <row r="111" spans="1:13" ht="36" customHeight="1" hidden="1">
      <c r="A111" s="35"/>
      <c r="B111" s="178" t="s">
        <v>78</v>
      </c>
      <c r="C111" s="99" t="s">
        <v>276</v>
      </c>
      <c r="D111" s="426">
        <f t="shared" si="4"/>
        <v>1715</v>
      </c>
      <c r="E111" s="173"/>
      <c r="F111" s="451">
        <v>1715</v>
      </c>
      <c r="G111" s="452"/>
      <c r="H111" s="452"/>
      <c r="I111" s="166"/>
      <c r="J111" s="35"/>
      <c r="K111" s="15"/>
      <c r="M111" s="98"/>
    </row>
    <row r="112" spans="1:13" ht="36" customHeight="1" hidden="1">
      <c r="A112" s="35"/>
      <c r="B112" s="178" t="s">
        <v>79</v>
      </c>
      <c r="C112" s="99" t="s">
        <v>276</v>
      </c>
      <c r="D112" s="426">
        <f t="shared" si="4"/>
        <v>2836.5</v>
      </c>
      <c r="E112" s="173"/>
      <c r="F112" s="451">
        <v>2836.5</v>
      </c>
      <c r="G112" s="452"/>
      <c r="H112" s="452"/>
      <c r="I112" s="166"/>
      <c r="J112" s="35"/>
      <c r="K112" s="15"/>
      <c r="M112" s="98"/>
    </row>
    <row r="113" spans="1:13" ht="41.25" customHeight="1" hidden="1">
      <c r="A113" s="35"/>
      <c r="B113" s="178" t="s">
        <v>80</v>
      </c>
      <c r="C113" s="99" t="s">
        <v>276</v>
      </c>
      <c r="D113" s="426">
        <f t="shared" si="4"/>
        <v>625</v>
      </c>
      <c r="E113" s="173"/>
      <c r="F113" s="451">
        <v>625</v>
      </c>
      <c r="G113" s="452"/>
      <c r="H113" s="452"/>
      <c r="I113" s="166"/>
      <c r="J113" s="35"/>
      <c r="K113" s="15"/>
      <c r="M113" s="98"/>
    </row>
    <row r="114" spans="1:13" ht="35.25" customHeight="1" hidden="1">
      <c r="A114" s="35"/>
      <c r="B114" s="216" t="s">
        <v>123</v>
      </c>
      <c r="C114" s="99" t="s">
        <v>276</v>
      </c>
      <c r="D114" s="426">
        <f t="shared" si="4"/>
        <v>0</v>
      </c>
      <c r="E114" s="173"/>
      <c r="F114" s="451">
        <f>1000-1000</f>
        <v>0</v>
      </c>
      <c r="G114" s="452"/>
      <c r="H114" s="452"/>
      <c r="I114" s="166"/>
      <c r="J114" s="35"/>
      <c r="K114" s="15"/>
      <c r="M114" s="98"/>
    </row>
    <row r="115" spans="1:13" ht="94.5" customHeight="1" hidden="1">
      <c r="A115" s="35"/>
      <c r="B115" s="216" t="s">
        <v>151</v>
      </c>
      <c r="C115" s="99" t="s">
        <v>276</v>
      </c>
      <c r="D115" s="426">
        <f t="shared" si="4"/>
        <v>100</v>
      </c>
      <c r="E115" s="173"/>
      <c r="F115" s="451">
        <v>100</v>
      </c>
      <c r="G115" s="452"/>
      <c r="H115" s="452"/>
      <c r="I115" s="166"/>
      <c r="J115" s="35"/>
      <c r="K115" s="15"/>
      <c r="M115" s="98"/>
    </row>
    <row r="116" spans="1:13" ht="56.25" hidden="1">
      <c r="A116" s="35">
        <v>8</v>
      </c>
      <c r="B116" s="106" t="s">
        <v>515</v>
      </c>
      <c r="C116" s="99" t="s">
        <v>276</v>
      </c>
      <c r="D116" s="426">
        <f t="shared" si="4"/>
        <v>2112.7</v>
      </c>
      <c r="E116" s="453">
        <f>E117+E118+E119+E120+E121</f>
        <v>2112.7</v>
      </c>
      <c r="F116" s="453">
        <f>F117+F118+F119+F120+F121</f>
        <v>0</v>
      </c>
      <c r="G116" s="453">
        <f>G117+G118+G119+G120+G121</f>
        <v>0</v>
      </c>
      <c r="H116" s="453">
        <f>H117+H118+H119+H120+H121</f>
        <v>0</v>
      </c>
      <c r="I116" s="453">
        <f>I117+I118+I119+I120+I121</f>
        <v>0</v>
      </c>
      <c r="J116" s="35" t="s">
        <v>516</v>
      </c>
      <c r="K116" s="15"/>
      <c r="M116" s="98"/>
    </row>
    <row r="117" spans="1:13" ht="75" hidden="1">
      <c r="A117" s="35"/>
      <c r="B117" s="177" t="s">
        <v>28</v>
      </c>
      <c r="C117" s="99" t="s">
        <v>276</v>
      </c>
      <c r="D117" s="426">
        <f t="shared" si="4"/>
        <v>1568.6</v>
      </c>
      <c r="E117" s="158">
        <v>1568.6</v>
      </c>
      <c r="F117" s="443"/>
      <c r="G117" s="396"/>
      <c r="H117" s="396"/>
      <c r="I117" s="426"/>
      <c r="J117" s="35"/>
      <c r="K117" s="15"/>
      <c r="M117" s="98"/>
    </row>
    <row r="118" spans="1:13" ht="37.5" hidden="1">
      <c r="A118" s="35"/>
      <c r="B118" s="177" t="s">
        <v>517</v>
      </c>
      <c r="C118" s="99" t="s">
        <v>276</v>
      </c>
      <c r="D118" s="426">
        <f t="shared" si="4"/>
        <v>171.5</v>
      </c>
      <c r="E118" s="158">
        <v>171.5</v>
      </c>
      <c r="F118" s="443"/>
      <c r="G118" s="396"/>
      <c r="H118" s="396"/>
      <c r="I118" s="426"/>
      <c r="J118" s="35"/>
      <c r="K118" s="15"/>
      <c r="M118" s="98"/>
    </row>
    <row r="119" spans="1:13" ht="56.25" hidden="1">
      <c r="A119" s="35"/>
      <c r="B119" s="177" t="s">
        <v>518</v>
      </c>
      <c r="C119" s="99" t="s">
        <v>276</v>
      </c>
      <c r="D119" s="426">
        <f t="shared" si="4"/>
        <v>107.7</v>
      </c>
      <c r="E119" s="158">
        <v>107.7</v>
      </c>
      <c r="F119" s="443"/>
      <c r="G119" s="396"/>
      <c r="H119" s="396"/>
      <c r="I119" s="426"/>
      <c r="J119" s="35"/>
      <c r="K119" s="15"/>
      <c r="M119" s="98"/>
    </row>
    <row r="120" spans="1:13" ht="56.25" hidden="1">
      <c r="A120" s="35"/>
      <c r="B120" s="177" t="s">
        <v>519</v>
      </c>
      <c r="C120" s="99" t="s">
        <v>276</v>
      </c>
      <c r="D120" s="426">
        <f t="shared" si="4"/>
        <v>182.8</v>
      </c>
      <c r="E120" s="158">
        <v>182.8</v>
      </c>
      <c r="F120" s="443"/>
      <c r="G120" s="396"/>
      <c r="H120" s="396"/>
      <c r="I120" s="426"/>
      <c r="J120" s="35"/>
      <c r="K120" s="15"/>
      <c r="M120" s="98"/>
    </row>
    <row r="121" spans="1:13" ht="56.25" hidden="1">
      <c r="A121" s="35"/>
      <c r="B121" s="177" t="s">
        <v>520</v>
      </c>
      <c r="C121" s="99" t="s">
        <v>276</v>
      </c>
      <c r="D121" s="426">
        <f t="shared" si="4"/>
        <v>82.1</v>
      </c>
      <c r="E121" s="158">
        <v>82.1</v>
      </c>
      <c r="F121" s="443"/>
      <c r="G121" s="396"/>
      <c r="H121" s="396"/>
      <c r="I121" s="426"/>
      <c r="J121" s="35"/>
      <c r="K121" s="15"/>
      <c r="M121" s="98"/>
    </row>
    <row r="122" spans="1:13" ht="55.5" customHeight="1" hidden="1">
      <c r="A122" s="35">
        <v>5</v>
      </c>
      <c r="B122" s="107" t="s">
        <v>473</v>
      </c>
      <c r="C122" s="99" t="s">
        <v>276</v>
      </c>
      <c r="D122" s="426">
        <f t="shared" si="4"/>
        <v>0</v>
      </c>
      <c r="E122" s="438">
        <f>E123+E124</f>
        <v>0</v>
      </c>
      <c r="F122" s="438">
        <f>F123+F124</f>
        <v>0</v>
      </c>
      <c r="G122" s="438">
        <f>G123+G124</f>
        <v>0</v>
      </c>
      <c r="H122" s="438">
        <f>H123+H124</f>
        <v>0</v>
      </c>
      <c r="I122" s="438">
        <f>I123+I124</f>
        <v>0</v>
      </c>
      <c r="J122" s="35" t="s">
        <v>275</v>
      </c>
      <c r="K122" s="15"/>
      <c r="M122" s="98"/>
    </row>
    <row r="123" spans="1:13" ht="45" customHeight="1" hidden="1">
      <c r="A123" s="35"/>
      <c r="B123" s="177" t="s">
        <v>224</v>
      </c>
      <c r="C123" s="99" t="s">
        <v>276</v>
      </c>
      <c r="D123" s="426">
        <f t="shared" si="4"/>
        <v>0</v>
      </c>
      <c r="E123" s="454"/>
      <c r="F123" s="443"/>
      <c r="G123" s="396"/>
      <c r="H123" s="396"/>
      <c r="I123" s="166"/>
      <c r="J123" s="35"/>
      <c r="K123" s="15"/>
      <c r="M123" s="98"/>
    </row>
    <row r="124" spans="1:13" ht="45" customHeight="1" hidden="1">
      <c r="A124" s="35"/>
      <c r="B124" s="177" t="s">
        <v>225</v>
      </c>
      <c r="C124" s="99" t="s">
        <v>276</v>
      </c>
      <c r="D124" s="426">
        <f t="shared" si="4"/>
        <v>0</v>
      </c>
      <c r="E124" s="454"/>
      <c r="F124" s="443"/>
      <c r="G124" s="396"/>
      <c r="H124" s="396"/>
      <c r="I124" s="166"/>
      <c r="J124" s="35"/>
      <c r="K124" s="15"/>
      <c r="M124" s="98"/>
    </row>
    <row r="125" spans="1:13" ht="45" customHeight="1" hidden="1">
      <c r="A125" s="35"/>
      <c r="B125" s="177" t="s">
        <v>38</v>
      </c>
      <c r="C125" s="99" t="s">
        <v>276</v>
      </c>
      <c r="D125" s="426">
        <f t="shared" si="4"/>
        <v>500</v>
      </c>
      <c r="E125" s="454">
        <v>500</v>
      </c>
      <c r="F125" s="443"/>
      <c r="G125" s="396"/>
      <c r="H125" s="396"/>
      <c r="I125" s="166"/>
      <c r="J125" s="35"/>
      <c r="K125" s="15"/>
      <c r="M125" s="98"/>
    </row>
    <row r="126" spans="1:13" ht="45" customHeight="1" hidden="1">
      <c r="A126" s="35"/>
      <c r="B126" s="177" t="s">
        <v>96</v>
      </c>
      <c r="C126" s="99" t="s">
        <v>276</v>
      </c>
      <c r="D126" s="426">
        <f t="shared" si="4"/>
        <v>20.8</v>
      </c>
      <c r="E126" s="454"/>
      <c r="F126" s="443">
        <v>20.8</v>
      </c>
      <c r="G126" s="396"/>
      <c r="H126" s="396"/>
      <c r="I126" s="166"/>
      <c r="J126" s="35"/>
      <c r="K126" s="15"/>
      <c r="M126" s="98"/>
    </row>
    <row r="127" spans="1:13" ht="45" customHeight="1" hidden="1">
      <c r="A127" s="35"/>
      <c r="B127" s="177" t="s">
        <v>97</v>
      </c>
      <c r="C127" s="99" t="s">
        <v>276</v>
      </c>
      <c r="D127" s="426">
        <f t="shared" si="4"/>
        <v>42.2</v>
      </c>
      <c r="E127" s="454"/>
      <c r="F127" s="443">
        <v>42.2</v>
      </c>
      <c r="G127" s="396"/>
      <c r="H127" s="396"/>
      <c r="I127" s="166"/>
      <c r="J127" s="35"/>
      <c r="K127" s="15"/>
      <c r="M127" s="98"/>
    </row>
    <row r="128" spans="1:13" ht="53.25" customHeight="1" hidden="1">
      <c r="A128" s="35">
        <v>10</v>
      </c>
      <c r="B128" s="107" t="s">
        <v>29</v>
      </c>
      <c r="C128" s="99" t="s">
        <v>276</v>
      </c>
      <c r="D128" s="426">
        <f t="shared" si="4"/>
        <v>30680</v>
      </c>
      <c r="E128" s="455">
        <f>E129+E130+E131+E132</f>
        <v>30680</v>
      </c>
      <c r="F128" s="455">
        <f>F129+F130+F131+F132</f>
        <v>0</v>
      </c>
      <c r="G128" s="455">
        <f>G129+G130+G131+G132</f>
        <v>0</v>
      </c>
      <c r="H128" s="455">
        <f>H129+H130+H131+H132</f>
        <v>0</v>
      </c>
      <c r="I128" s="455">
        <f>I129+I130+I131+I132</f>
        <v>0</v>
      </c>
      <c r="J128" s="35" t="s">
        <v>34</v>
      </c>
      <c r="K128" s="15"/>
      <c r="M128" s="98"/>
    </row>
    <row r="129" spans="1:13" ht="39.75" customHeight="1" hidden="1">
      <c r="A129" s="35"/>
      <c r="B129" s="187" t="s">
        <v>30</v>
      </c>
      <c r="C129" s="99" t="s">
        <v>276</v>
      </c>
      <c r="D129" s="426">
        <f aca="true" t="shared" si="5" ref="D129:D137">E129+F129+I129</f>
        <v>15500</v>
      </c>
      <c r="E129" s="456">
        <v>15500</v>
      </c>
      <c r="F129" s="443"/>
      <c r="G129" s="396"/>
      <c r="H129" s="396"/>
      <c r="I129" s="166"/>
      <c r="J129" s="35"/>
      <c r="K129" s="15"/>
      <c r="M129" s="98"/>
    </row>
    <row r="130" spans="1:13" ht="42" customHeight="1" hidden="1">
      <c r="A130" s="35"/>
      <c r="B130" s="187" t="s">
        <v>31</v>
      </c>
      <c r="C130" s="99" t="s">
        <v>276</v>
      </c>
      <c r="D130" s="426">
        <f t="shared" si="5"/>
        <v>4700</v>
      </c>
      <c r="E130" s="456">
        <v>4700</v>
      </c>
      <c r="F130" s="443"/>
      <c r="G130" s="396"/>
      <c r="H130" s="396"/>
      <c r="I130" s="166"/>
      <c r="J130" s="35"/>
      <c r="K130" s="15"/>
      <c r="M130" s="98"/>
    </row>
    <row r="131" spans="1:13" ht="40.5" customHeight="1" hidden="1">
      <c r="A131" s="35"/>
      <c r="B131" s="187" t="s">
        <v>32</v>
      </c>
      <c r="C131" s="99" t="s">
        <v>276</v>
      </c>
      <c r="D131" s="426">
        <f t="shared" si="5"/>
        <v>4780</v>
      </c>
      <c r="E131" s="454">
        <v>4780</v>
      </c>
      <c r="F131" s="443"/>
      <c r="G131" s="396"/>
      <c r="H131" s="396"/>
      <c r="I131" s="166"/>
      <c r="J131" s="35"/>
      <c r="K131" s="15"/>
      <c r="M131" s="98"/>
    </row>
    <row r="132" spans="1:13" ht="37.5" customHeight="1" hidden="1">
      <c r="A132" s="35"/>
      <c r="B132" s="187" t="s">
        <v>33</v>
      </c>
      <c r="C132" s="99" t="s">
        <v>276</v>
      </c>
      <c r="D132" s="426">
        <f t="shared" si="5"/>
        <v>5700</v>
      </c>
      <c r="E132" s="454">
        <v>5700</v>
      </c>
      <c r="F132" s="443"/>
      <c r="G132" s="396"/>
      <c r="H132" s="396"/>
      <c r="I132" s="166"/>
      <c r="J132" s="35"/>
      <c r="K132" s="15"/>
      <c r="M132" s="98"/>
    </row>
    <row r="133" spans="1:13" ht="37.5" customHeight="1">
      <c r="A133" s="35">
        <v>5</v>
      </c>
      <c r="B133" s="476" t="s">
        <v>560</v>
      </c>
      <c r="C133" s="99" t="s">
        <v>276</v>
      </c>
      <c r="D133" s="426">
        <f>E133+F133+I133</f>
        <v>6911.6</v>
      </c>
      <c r="E133" s="169">
        <f>E134+E136+E137+E135</f>
        <v>6911.6</v>
      </c>
      <c r="F133" s="474"/>
      <c r="G133" s="398"/>
      <c r="H133" s="398"/>
      <c r="I133" s="426"/>
      <c r="J133" s="35" t="s">
        <v>561</v>
      </c>
      <c r="K133" s="15"/>
      <c r="M133" s="98"/>
    </row>
    <row r="134" spans="1:13" ht="37.5" customHeight="1">
      <c r="A134" s="35"/>
      <c r="B134" s="477" t="s">
        <v>568</v>
      </c>
      <c r="C134" s="99" t="s">
        <v>276</v>
      </c>
      <c r="D134" s="426">
        <f t="shared" si="5"/>
        <v>0</v>
      </c>
      <c r="E134" s="158">
        <f>4288.4-4288.4</f>
        <v>0</v>
      </c>
      <c r="F134" s="443"/>
      <c r="G134" s="396"/>
      <c r="H134" s="396"/>
      <c r="I134" s="166"/>
      <c r="J134" s="35"/>
      <c r="K134" s="15"/>
      <c r="M134" s="98"/>
    </row>
    <row r="135" spans="1:13" ht="37.5" customHeight="1">
      <c r="A135" s="35"/>
      <c r="B135" s="477" t="s">
        <v>585</v>
      </c>
      <c r="C135" s="99" t="s">
        <v>276</v>
      </c>
      <c r="D135" s="426">
        <f t="shared" si="5"/>
        <v>6200</v>
      </c>
      <c r="E135" s="158">
        <v>6200</v>
      </c>
      <c r="F135" s="443"/>
      <c r="G135" s="396"/>
      <c r="H135" s="396"/>
      <c r="I135" s="166"/>
      <c r="J135" s="35"/>
      <c r="K135" s="15"/>
      <c r="M135" s="98"/>
    </row>
    <row r="136" spans="1:13" ht="37.5" customHeight="1">
      <c r="A136" s="35"/>
      <c r="B136" s="477" t="s">
        <v>570</v>
      </c>
      <c r="C136" s="99" t="s">
        <v>276</v>
      </c>
      <c r="D136" s="426">
        <f t="shared" si="5"/>
        <v>561.6</v>
      </c>
      <c r="E136" s="158">
        <v>561.6</v>
      </c>
      <c r="F136" s="443"/>
      <c r="G136" s="396"/>
      <c r="H136" s="396"/>
      <c r="I136" s="166"/>
      <c r="J136" s="35"/>
      <c r="K136" s="15"/>
      <c r="M136" s="98"/>
    </row>
    <row r="137" spans="1:13" ht="37.5" customHeight="1">
      <c r="A137" s="35"/>
      <c r="B137" s="477" t="s">
        <v>569</v>
      </c>
      <c r="C137" s="99" t="s">
        <v>276</v>
      </c>
      <c r="D137" s="426">
        <f t="shared" si="5"/>
        <v>150</v>
      </c>
      <c r="E137" s="158">
        <v>150</v>
      </c>
      <c r="F137" s="443"/>
      <c r="G137" s="396"/>
      <c r="H137" s="396"/>
      <c r="I137" s="166"/>
      <c r="J137" s="35"/>
      <c r="K137" s="15"/>
      <c r="M137" s="98"/>
    </row>
    <row r="138" spans="1:13" ht="37.5" customHeight="1">
      <c r="A138" s="35">
        <v>6</v>
      </c>
      <c r="B138" s="476" t="s">
        <v>572</v>
      </c>
      <c r="C138" s="99" t="s">
        <v>276</v>
      </c>
      <c r="D138" s="426">
        <f aca="true" t="shared" si="6" ref="D138:D147">E138+F138+I138</f>
        <v>8563.5</v>
      </c>
      <c r="E138" s="169">
        <f>E139+E140+E141+E142</f>
        <v>240</v>
      </c>
      <c r="F138" s="169">
        <f>F139+F140+F141+F142+F143</f>
        <v>8323.5</v>
      </c>
      <c r="G138" s="396"/>
      <c r="H138" s="396"/>
      <c r="I138" s="166"/>
      <c r="J138" s="35" t="s">
        <v>575</v>
      </c>
      <c r="K138" s="15"/>
      <c r="M138" s="98"/>
    </row>
    <row r="139" spans="1:13" ht="37.5" customHeight="1">
      <c r="A139" s="35"/>
      <c r="B139" s="477" t="s">
        <v>573</v>
      </c>
      <c r="C139" s="99" t="s">
        <v>276</v>
      </c>
      <c r="D139" s="426">
        <f t="shared" si="6"/>
        <v>90</v>
      </c>
      <c r="E139" s="158">
        <v>90</v>
      </c>
      <c r="F139" s="443"/>
      <c r="G139" s="396"/>
      <c r="H139" s="396"/>
      <c r="I139" s="166"/>
      <c r="J139" s="35"/>
      <c r="K139" s="15"/>
      <c r="M139" s="98"/>
    </row>
    <row r="140" spans="1:13" ht="37.5" customHeight="1">
      <c r="A140" s="35"/>
      <c r="B140" s="477" t="s">
        <v>574</v>
      </c>
      <c r="C140" s="99" t="s">
        <v>276</v>
      </c>
      <c r="D140" s="426">
        <f t="shared" si="6"/>
        <v>150</v>
      </c>
      <c r="E140" s="158">
        <v>150</v>
      </c>
      <c r="F140" s="443"/>
      <c r="G140" s="396"/>
      <c r="H140" s="396"/>
      <c r="I140" s="166"/>
      <c r="J140" s="35"/>
      <c r="K140" s="15"/>
      <c r="M140" s="98"/>
    </row>
    <row r="141" spans="1:13" ht="37.5" customHeight="1">
      <c r="A141" s="35"/>
      <c r="B141" s="477" t="s">
        <v>606</v>
      </c>
      <c r="C141" s="99" t="s">
        <v>276</v>
      </c>
      <c r="D141" s="426">
        <f t="shared" si="6"/>
        <v>0</v>
      </c>
      <c r="E141" s="158"/>
      <c r="F141" s="158">
        <f>280-280</f>
        <v>0</v>
      </c>
      <c r="G141" s="396"/>
      <c r="H141" s="396"/>
      <c r="I141" s="166"/>
      <c r="J141" s="35"/>
      <c r="K141" s="15"/>
      <c r="M141" s="98"/>
    </row>
    <row r="142" spans="1:13" ht="37.5" customHeight="1">
      <c r="A142" s="35"/>
      <c r="B142" s="477" t="s">
        <v>607</v>
      </c>
      <c r="C142" s="99" t="s">
        <v>276</v>
      </c>
      <c r="D142" s="426">
        <f t="shared" si="6"/>
        <v>0</v>
      </c>
      <c r="E142" s="158"/>
      <c r="F142" s="158">
        <f>1880-1880</f>
        <v>0</v>
      </c>
      <c r="G142" s="396"/>
      <c r="H142" s="396"/>
      <c r="I142" s="166"/>
      <c r="J142" s="35"/>
      <c r="K142" s="15"/>
      <c r="M142" s="98"/>
    </row>
    <row r="143" spans="1:13" ht="75">
      <c r="A143" s="35"/>
      <c r="B143" s="477" t="s">
        <v>624</v>
      </c>
      <c r="C143" s="555" t="s">
        <v>276</v>
      </c>
      <c r="D143" s="496">
        <f t="shared" si="6"/>
        <v>8323.5</v>
      </c>
      <c r="E143" s="556"/>
      <c r="F143" s="556">
        <f>0+8323.5</f>
        <v>8323.5</v>
      </c>
      <c r="G143" s="396"/>
      <c r="H143" s="396"/>
      <c r="I143" s="166"/>
      <c r="J143" s="35"/>
      <c r="K143" s="15"/>
      <c r="M143" s="98"/>
    </row>
    <row r="144" spans="1:13" ht="37.5" customHeight="1" hidden="1">
      <c r="A144" s="35"/>
      <c r="B144" s="551" t="s">
        <v>616</v>
      </c>
      <c r="C144" s="552" t="s">
        <v>276</v>
      </c>
      <c r="D144" s="553">
        <f t="shared" si="6"/>
        <v>0</v>
      </c>
      <c r="E144" s="554"/>
      <c r="F144" s="554"/>
      <c r="G144" s="396"/>
      <c r="H144" s="396"/>
      <c r="I144" s="166"/>
      <c r="J144" s="35"/>
      <c r="K144" s="15"/>
      <c r="M144" s="98"/>
    </row>
    <row r="145" spans="1:13" ht="37.5" customHeight="1" hidden="1">
      <c r="A145" s="35"/>
      <c r="B145" s="551" t="s">
        <v>617</v>
      </c>
      <c r="C145" s="552" t="s">
        <v>276</v>
      </c>
      <c r="D145" s="553">
        <f t="shared" si="6"/>
        <v>0</v>
      </c>
      <c r="E145" s="554"/>
      <c r="F145" s="554"/>
      <c r="G145" s="396"/>
      <c r="H145" s="396"/>
      <c r="I145" s="166"/>
      <c r="J145" s="35"/>
      <c r="K145" s="15"/>
      <c r="M145" s="98"/>
    </row>
    <row r="146" spans="1:13" ht="37.5" customHeight="1" hidden="1">
      <c r="A146" s="35"/>
      <c r="B146" s="551" t="s">
        <v>619</v>
      </c>
      <c r="C146" s="552" t="s">
        <v>276</v>
      </c>
      <c r="D146" s="553">
        <f t="shared" si="6"/>
        <v>0</v>
      </c>
      <c r="E146" s="554"/>
      <c r="F146" s="554"/>
      <c r="G146" s="396"/>
      <c r="H146" s="396"/>
      <c r="I146" s="166"/>
      <c r="J146" s="35"/>
      <c r="K146" s="15"/>
      <c r="M146" s="98"/>
    </row>
    <row r="147" spans="1:13" ht="37.5" customHeight="1" hidden="1">
      <c r="A147" s="35"/>
      <c r="B147" s="551" t="s">
        <v>618</v>
      </c>
      <c r="C147" s="552" t="s">
        <v>276</v>
      </c>
      <c r="D147" s="553">
        <f t="shared" si="6"/>
        <v>0</v>
      </c>
      <c r="E147" s="554"/>
      <c r="F147" s="554"/>
      <c r="G147" s="396"/>
      <c r="H147" s="396"/>
      <c r="I147" s="166"/>
      <c r="J147" s="35"/>
      <c r="K147" s="15"/>
      <c r="M147" s="98"/>
    </row>
    <row r="148" spans="1:11" ht="20.25">
      <c r="A148" s="64"/>
      <c r="B148" s="180" t="s">
        <v>439</v>
      </c>
      <c r="C148" s="99"/>
      <c r="D148" s="457">
        <f>D122+D61+D45+D38+D30+D43+D133+D138</f>
        <v>15475.1</v>
      </c>
      <c r="E148" s="457">
        <f>E30+E43+E45+E61+E133+E138</f>
        <v>7151.6</v>
      </c>
      <c r="F148" s="457">
        <f>F122+F61+F45+F38+F30+F43+F138+F133</f>
        <v>8323.5</v>
      </c>
      <c r="G148" s="457" t="e">
        <f>G122+G61+G45+G38+G30+G43</f>
        <v>#REF!</v>
      </c>
      <c r="H148" s="457" t="e">
        <f>H122+H61+H45+H38+H30+H43</f>
        <v>#REF!</v>
      </c>
      <c r="I148" s="457">
        <f>I122+I61+I45+I38+I30+I43</f>
        <v>0</v>
      </c>
      <c r="J148" s="66"/>
      <c r="K148" s="15"/>
    </row>
    <row r="149" spans="1:11" ht="15.75">
      <c r="A149" s="108"/>
      <c r="B149" s="109"/>
      <c r="C149" s="109"/>
      <c r="D149" s="110"/>
      <c r="E149" s="110"/>
      <c r="F149" s="110"/>
      <c r="G149" s="110"/>
      <c r="H149" s="110"/>
      <c r="I149" s="110"/>
      <c r="J149" s="20"/>
      <c r="K149" s="15"/>
    </row>
    <row r="150" spans="1:11" ht="15.75" hidden="1">
      <c r="A150" s="108"/>
      <c r="B150" s="109"/>
      <c r="C150" s="18"/>
      <c r="D150" s="19"/>
      <c r="E150" s="19"/>
      <c r="F150" s="19"/>
      <c r="G150" s="19"/>
      <c r="H150" s="19"/>
      <c r="I150" s="19"/>
      <c r="J150" s="20"/>
      <c r="K150" s="15"/>
    </row>
    <row r="151" spans="2:11" ht="15.75" hidden="1">
      <c r="B151" s="109"/>
      <c r="C151" s="18"/>
      <c r="D151" s="19"/>
      <c r="E151" s="19"/>
      <c r="F151" s="19"/>
      <c r="G151" s="19"/>
      <c r="H151" s="19"/>
      <c r="I151" s="19"/>
      <c r="J151" s="20"/>
      <c r="K151" s="15"/>
    </row>
    <row r="152" spans="2:11" ht="30.75" customHeight="1">
      <c r="B152" s="589" t="s">
        <v>450</v>
      </c>
      <c r="C152" s="589"/>
      <c r="D152" s="221"/>
      <c r="E152" s="221"/>
      <c r="F152" s="22"/>
      <c r="I152" s="23"/>
      <c r="J152" s="83" t="s">
        <v>578</v>
      </c>
      <c r="K152" s="23"/>
    </row>
    <row r="153" spans="2:11" ht="16.5" customHeight="1">
      <c r="B153" s="168"/>
      <c r="C153" s="221"/>
      <c r="D153" s="221"/>
      <c r="E153" s="221"/>
      <c r="F153" s="22"/>
      <c r="I153" s="23"/>
      <c r="J153" s="23"/>
      <c r="K153" s="23"/>
    </row>
    <row r="154" spans="2:11" ht="1.5" customHeight="1">
      <c r="B154" s="168"/>
      <c r="C154" s="221"/>
      <c r="D154" s="221"/>
      <c r="E154" s="221"/>
      <c r="F154" s="22"/>
      <c r="I154" s="23"/>
      <c r="J154" s="23"/>
      <c r="K154" s="23"/>
    </row>
    <row r="155" spans="2:10" ht="18.75">
      <c r="B155" s="700" t="s">
        <v>582</v>
      </c>
      <c r="C155" s="700"/>
      <c r="D155" s="25"/>
      <c r="E155" s="25"/>
      <c r="F155" s="26"/>
      <c r="G155" s="26"/>
      <c r="H155" s="26"/>
      <c r="I155" s="15"/>
      <c r="J155" s="15"/>
    </row>
    <row r="156" spans="2:12" ht="15.75" customHeight="1">
      <c r="B156" s="204"/>
      <c r="C156" s="17"/>
      <c r="D156" s="26"/>
      <c r="E156" s="26"/>
      <c r="F156" s="26"/>
      <c r="G156" s="26"/>
      <c r="H156" s="26"/>
      <c r="I156" s="15"/>
      <c r="J156" s="15"/>
      <c r="L156" s="12"/>
    </row>
    <row r="157" spans="3:9" ht="15.75">
      <c r="C157" s="30"/>
      <c r="D157" s="26"/>
      <c r="E157" s="26"/>
      <c r="F157" s="26"/>
      <c r="G157" s="26"/>
      <c r="H157" s="26"/>
      <c r="I157" s="26"/>
    </row>
    <row r="158" spans="3:9" ht="15.75">
      <c r="C158" s="31"/>
      <c r="D158" s="26"/>
      <c r="E158" s="26"/>
      <c r="F158" s="26"/>
      <c r="G158" s="26"/>
      <c r="H158" s="26"/>
      <c r="I158" s="26"/>
    </row>
    <row r="160" ht="12.75">
      <c r="H160" s="112"/>
    </row>
  </sheetData>
  <sheetProtection/>
  <mergeCells count="29">
    <mergeCell ref="I8:J8"/>
    <mergeCell ref="I7:N7"/>
    <mergeCell ref="A45:A46"/>
    <mergeCell ref="J12:J14"/>
    <mergeCell ref="J45:J46"/>
    <mergeCell ref="C45:C46"/>
    <mergeCell ref="D45:D46"/>
    <mergeCell ref="E45:E46"/>
    <mergeCell ref="D12:D14"/>
    <mergeCell ref="B12:B14"/>
    <mergeCell ref="A10:J10"/>
    <mergeCell ref="D11:H11"/>
    <mergeCell ref="A12:A14"/>
    <mergeCell ref="I45:I46"/>
    <mergeCell ref="E13:E14"/>
    <mergeCell ref="E12:I12"/>
    <mergeCell ref="F13:H14"/>
    <mergeCell ref="C12:C14"/>
    <mergeCell ref="I13:I14"/>
    <mergeCell ref="F45:F46"/>
    <mergeCell ref="B45:B46"/>
    <mergeCell ref="B155:C155"/>
    <mergeCell ref="A54:A55"/>
    <mergeCell ref="B54:B55"/>
    <mergeCell ref="J54:J55"/>
    <mergeCell ref="A59:A60"/>
    <mergeCell ref="J59:J60"/>
    <mergeCell ref="B152:C152"/>
    <mergeCell ref="B59:B60"/>
  </mergeCells>
  <printOptions horizontalCentered="1"/>
  <pageMargins left="0.5905511811023623" right="0.5905511811023623" top="1.1811023622047245" bottom="0.1968503937007874" header="0" footer="0"/>
  <pageSetup fitToHeight="1" fitToWidth="1" horizontalDpi="600" verticalDpi="600" orientation="landscape" paperSize="9" scale="38"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N30"/>
  <sheetViews>
    <sheetView view="pageBreakPreview" zoomScaleSheetLayoutView="100" zoomScalePageLayoutView="0" workbookViewId="0" topLeftCell="A1">
      <selection activeCell="F27" sqref="F27"/>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5.42187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451</v>
      </c>
      <c r="J1" s="1" t="s">
        <v>118</v>
      </c>
      <c r="K1"/>
      <c r="L1" s="13" t="s">
        <v>451</v>
      </c>
    </row>
    <row r="2" spans="2:14" ht="15.75">
      <c r="B2" s="15"/>
      <c r="C2" s="15"/>
      <c r="D2" s="15"/>
      <c r="E2" s="15"/>
      <c r="F2" s="15"/>
      <c r="G2" s="15"/>
      <c r="H2" s="15"/>
      <c r="I2" s="12" t="s">
        <v>444</v>
      </c>
      <c r="J2" s="12" t="s">
        <v>444</v>
      </c>
      <c r="K2" s="12"/>
      <c r="L2" s="15"/>
      <c r="M2" s="12"/>
      <c r="N2" s="12"/>
    </row>
    <row r="3" spans="2:14" ht="15.75">
      <c r="B3" s="15"/>
      <c r="C3" s="15"/>
      <c r="D3" s="15"/>
      <c r="E3" s="15"/>
      <c r="F3" s="15"/>
      <c r="G3" s="15"/>
      <c r="H3" s="15"/>
      <c r="I3" s="12"/>
      <c r="J3" s="12" t="s">
        <v>596</v>
      </c>
      <c r="K3" s="12"/>
      <c r="L3" s="15"/>
      <c r="M3" s="12"/>
      <c r="N3" s="12"/>
    </row>
    <row r="4" spans="2:14" ht="15.75">
      <c r="B4" s="15"/>
      <c r="C4" s="15"/>
      <c r="D4" s="15"/>
      <c r="E4" s="15"/>
      <c r="F4" s="15"/>
      <c r="G4" s="15"/>
      <c r="H4" s="15"/>
      <c r="I4" s="12" t="s">
        <v>452</v>
      </c>
      <c r="J4" s="17" t="s">
        <v>158</v>
      </c>
      <c r="K4" s="17"/>
      <c r="L4" s="15"/>
      <c r="M4" s="12"/>
      <c r="N4" s="12"/>
    </row>
    <row r="5" spans="2:14" ht="15.75">
      <c r="B5" s="15"/>
      <c r="C5" s="15"/>
      <c r="D5" s="15"/>
      <c r="E5" s="15"/>
      <c r="F5" s="15"/>
      <c r="G5" s="15"/>
      <c r="H5" s="15"/>
      <c r="I5" s="12" t="s">
        <v>453</v>
      </c>
      <c r="J5" s="17" t="s">
        <v>355</v>
      </c>
      <c r="K5" s="17"/>
      <c r="L5" s="15"/>
      <c r="M5" s="12"/>
      <c r="N5" s="12"/>
    </row>
    <row r="6" spans="2:14" ht="15.75">
      <c r="B6" s="15"/>
      <c r="C6" s="15"/>
      <c r="D6" s="15"/>
      <c r="E6" s="15"/>
      <c r="F6" s="15"/>
      <c r="G6" s="15"/>
      <c r="H6" s="15"/>
      <c r="I6" s="12"/>
      <c r="J6" s="17" t="s">
        <v>586</v>
      </c>
      <c r="K6" s="17"/>
      <c r="L6" s="207"/>
      <c r="M6" s="12"/>
      <c r="N6" s="12"/>
    </row>
    <row r="7" spans="2:14" ht="15.75">
      <c r="B7" s="15"/>
      <c r="C7" s="15"/>
      <c r="D7" s="15"/>
      <c r="E7" s="15"/>
      <c r="F7" s="15"/>
      <c r="G7" s="15"/>
      <c r="H7" s="15"/>
      <c r="I7" s="12"/>
      <c r="J7" s="620" t="s">
        <v>600</v>
      </c>
      <c r="K7" s="620"/>
      <c r="L7" s="620"/>
      <c r="M7" s="620"/>
      <c r="N7" s="620"/>
    </row>
    <row r="8" spans="2:14" ht="15.75" customHeight="1">
      <c r="B8" s="15"/>
      <c r="C8" s="15"/>
      <c r="D8" s="15"/>
      <c r="E8" s="15"/>
      <c r="F8" s="15"/>
      <c r="G8" s="15"/>
      <c r="H8" s="15"/>
      <c r="I8" s="12"/>
      <c r="J8" s="620" t="s">
        <v>609</v>
      </c>
      <c r="K8" s="620"/>
      <c r="L8" s="620" t="s">
        <v>609</v>
      </c>
      <c r="M8" s="620"/>
      <c r="N8" s="395" t="s">
        <v>609</v>
      </c>
    </row>
    <row r="9" spans="2:14" ht="11.25" customHeight="1">
      <c r="B9" s="15"/>
      <c r="C9" s="15"/>
      <c r="D9" s="15"/>
      <c r="E9" s="15"/>
      <c r="F9" s="15"/>
      <c r="G9" s="15"/>
      <c r="H9" s="15"/>
      <c r="I9" s="12"/>
      <c r="J9" s="620"/>
      <c r="K9" s="620"/>
      <c r="L9" s="395"/>
      <c r="M9" s="395"/>
      <c r="N9" s="395"/>
    </row>
    <row r="10" spans="2:12" ht="15.75">
      <c r="B10" s="15"/>
      <c r="C10" s="15"/>
      <c r="D10" s="15"/>
      <c r="E10" s="15"/>
      <c r="F10" s="15"/>
      <c r="G10" s="15"/>
      <c r="H10" s="15"/>
      <c r="I10" s="15"/>
      <c r="J10" s="15"/>
      <c r="K10" s="15"/>
      <c r="L10" s="15"/>
    </row>
    <row r="11" spans="1:12" ht="35.25" customHeight="1">
      <c r="A11" s="621" t="s">
        <v>397</v>
      </c>
      <c r="B11" s="621"/>
      <c r="C11" s="621"/>
      <c r="D11" s="621"/>
      <c r="E11" s="621"/>
      <c r="F11" s="621"/>
      <c r="G11" s="621"/>
      <c r="H11" s="621"/>
      <c r="I11" s="621"/>
      <c r="J11" s="621"/>
      <c r="K11" s="621"/>
      <c r="L11" s="15"/>
    </row>
    <row r="12" spans="2:12" ht="23.25" customHeight="1">
      <c r="B12" s="15"/>
      <c r="C12" s="15"/>
      <c r="D12" s="626"/>
      <c r="E12" s="626"/>
      <c r="F12" s="626"/>
      <c r="G12" s="626"/>
      <c r="H12" s="626"/>
      <c r="I12" s="15"/>
      <c r="J12" s="15"/>
      <c r="K12" s="34" t="s">
        <v>101</v>
      </c>
      <c r="L12" s="15"/>
    </row>
    <row r="13" spans="1:12" ht="15.75" customHeight="1">
      <c r="A13" s="622" t="s">
        <v>461</v>
      </c>
      <c r="B13" s="622" t="s">
        <v>445</v>
      </c>
      <c r="C13" s="622" t="s">
        <v>446</v>
      </c>
      <c r="D13" s="622" t="s">
        <v>106</v>
      </c>
      <c r="E13" s="627" t="s">
        <v>442</v>
      </c>
      <c r="F13" s="627"/>
      <c r="G13" s="627"/>
      <c r="H13" s="627"/>
      <c r="I13" s="627"/>
      <c r="J13" s="657"/>
      <c r="K13" s="625" t="s">
        <v>448</v>
      </c>
      <c r="L13" s="15"/>
    </row>
    <row r="14" spans="1:12" ht="15.75">
      <c r="A14" s="623"/>
      <c r="B14" s="623"/>
      <c r="C14" s="623"/>
      <c r="D14" s="623"/>
      <c r="E14" s="622">
        <v>2022</v>
      </c>
      <c r="F14" s="622">
        <v>2023</v>
      </c>
      <c r="G14" s="622" t="s">
        <v>457</v>
      </c>
      <c r="H14" s="622" t="s">
        <v>458</v>
      </c>
      <c r="I14" s="622" t="s">
        <v>459</v>
      </c>
      <c r="J14" s="625">
        <v>2024</v>
      </c>
      <c r="K14" s="625"/>
      <c r="L14" s="15"/>
    </row>
    <row r="15" spans="1:12" ht="15.75">
      <c r="A15" s="624"/>
      <c r="B15" s="624"/>
      <c r="C15" s="624"/>
      <c r="D15" s="624"/>
      <c r="E15" s="624"/>
      <c r="F15" s="624"/>
      <c r="G15" s="624"/>
      <c r="H15" s="624"/>
      <c r="I15" s="624"/>
      <c r="J15" s="625"/>
      <c r="K15" s="625"/>
      <c r="L15" s="15"/>
    </row>
    <row r="16" spans="1:12" ht="25.5" customHeight="1">
      <c r="A16" s="615">
        <v>1</v>
      </c>
      <c r="B16" s="731" t="s">
        <v>277</v>
      </c>
      <c r="C16" s="615" t="s">
        <v>191</v>
      </c>
      <c r="D16" s="736">
        <f>E16+F16+J16</f>
        <v>40823.53</v>
      </c>
      <c r="E16" s="733">
        <v>12000</v>
      </c>
      <c r="F16" s="749">
        <f>13000+823.53</f>
        <v>13823.53</v>
      </c>
      <c r="G16" s="91"/>
      <c r="H16" s="91"/>
      <c r="I16" s="91"/>
      <c r="J16" s="733">
        <v>15000</v>
      </c>
      <c r="K16" s="615" t="s">
        <v>278</v>
      </c>
      <c r="L16" s="15"/>
    </row>
    <row r="17" spans="1:14" ht="53.25" customHeight="1">
      <c r="A17" s="617"/>
      <c r="B17" s="732"/>
      <c r="C17" s="617"/>
      <c r="D17" s="737"/>
      <c r="E17" s="734"/>
      <c r="F17" s="750"/>
      <c r="G17" s="91"/>
      <c r="H17" s="91"/>
      <c r="I17" s="91"/>
      <c r="J17" s="734"/>
      <c r="K17" s="617"/>
      <c r="L17" s="15"/>
      <c r="N17" s="50">
        <v>441</v>
      </c>
    </row>
    <row r="18" spans="1:12" ht="32.25" customHeight="1">
      <c r="A18" s="64"/>
      <c r="B18" s="55" t="s">
        <v>439</v>
      </c>
      <c r="C18" s="65"/>
      <c r="D18" s="90">
        <f>E18+F18+J18</f>
        <v>40823.53</v>
      </c>
      <c r="E18" s="90">
        <f aca="true" t="shared" si="0" ref="E18:J18">E16</f>
        <v>12000</v>
      </c>
      <c r="F18" s="57">
        <f t="shared" si="0"/>
        <v>13823.53</v>
      </c>
      <c r="G18" s="90">
        <f t="shared" si="0"/>
        <v>0</v>
      </c>
      <c r="H18" s="90">
        <f t="shared" si="0"/>
        <v>0</v>
      </c>
      <c r="I18" s="90">
        <f t="shared" si="0"/>
        <v>0</v>
      </c>
      <c r="J18" s="90">
        <f t="shared" si="0"/>
        <v>15000</v>
      </c>
      <c r="K18" s="66"/>
      <c r="L18" s="15"/>
    </row>
    <row r="19" spans="2:12" ht="11.25" customHeight="1">
      <c r="B19" s="18"/>
      <c r="C19" s="18"/>
      <c r="D19" s="133"/>
      <c r="E19" s="133"/>
      <c r="F19" s="133"/>
      <c r="G19" s="133"/>
      <c r="H19" s="133"/>
      <c r="I19" s="133"/>
      <c r="J19" s="133"/>
      <c r="K19" s="20"/>
      <c r="L19" s="15"/>
    </row>
    <row r="20" spans="2:12" ht="11.25" customHeight="1">
      <c r="B20" s="18"/>
      <c r="C20" s="18"/>
      <c r="D20" s="19"/>
      <c r="E20" s="19"/>
      <c r="F20" s="19"/>
      <c r="G20" s="19"/>
      <c r="H20" s="19"/>
      <c r="I20" s="19"/>
      <c r="J20" s="19"/>
      <c r="K20" s="20"/>
      <c r="L20" s="15"/>
    </row>
    <row r="21" spans="2:12" ht="11.25" customHeight="1">
      <c r="B21" s="48"/>
      <c r="C21" s="49"/>
      <c r="E21" s="19"/>
      <c r="F21" s="19"/>
      <c r="G21" s="19"/>
      <c r="H21" s="19"/>
      <c r="I21" s="19"/>
      <c r="J21" s="19"/>
      <c r="K21" s="49"/>
      <c r="L21" s="15"/>
    </row>
    <row r="22" spans="1:12" ht="16.5" customHeight="1">
      <c r="A22" s="16"/>
      <c r="B22" s="694" t="s">
        <v>450</v>
      </c>
      <c r="C22" s="694"/>
      <c r="D22" s="221"/>
      <c r="E22" s="22"/>
      <c r="F22" s="22"/>
      <c r="G22" s="16"/>
      <c r="H22" s="16"/>
      <c r="I22" s="16"/>
      <c r="J22" s="23"/>
      <c r="K22" s="83" t="s">
        <v>578</v>
      </c>
      <c r="L22" s="23"/>
    </row>
    <row r="23" spans="1:12" ht="10.5" customHeight="1">
      <c r="A23" s="16"/>
      <c r="B23" s="221"/>
      <c r="C23" s="221"/>
      <c r="D23" s="221"/>
      <c r="E23" s="22"/>
      <c r="F23" s="22"/>
      <c r="G23" s="16"/>
      <c r="H23" s="16"/>
      <c r="I23" s="16"/>
      <c r="J23" s="23"/>
      <c r="K23" s="23"/>
      <c r="L23" s="23"/>
    </row>
    <row r="24" spans="1:11" ht="18.75">
      <c r="A24" s="16"/>
      <c r="B24" s="700" t="s">
        <v>582</v>
      </c>
      <c r="C24" s="700"/>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8">
    <mergeCell ref="A11:K11"/>
    <mergeCell ref="K13:K15"/>
    <mergeCell ref="E14:E15"/>
    <mergeCell ref="G14:G15"/>
    <mergeCell ref="I14:I15"/>
    <mergeCell ref="J14:J15"/>
    <mergeCell ref="A13:A15"/>
    <mergeCell ref="B13:B15"/>
    <mergeCell ref="C13:C15"/>
    <mergeCell ref="D13:D15"/>
    <mergeCell ref="D12:H12"/>
    <mergeCell ref="E13:J13"/>
    <mergeCell ref="A16:A17"/>
    <mergeCell ref="B16:B17"/>
    <mergeCell ref="K16:K17"/>
    <mergeCell ref="J16:J17"/>
    <mergeCell ref="F14:F15"/>
    <mergeCell ref="H14:H15"/>
    <mergeCell ref="J8:K8"/>
    <mergeCell ref="L8:M8"/>
    <mergeCell ref="J7:N7"/>
    <mergeCell ref="J9:K9"/>
    <mergeCell ref="B22:C22"/>
    <mergeCell ref="B24:C24"/>
    <mergeCell ref="C16:C17"/>
    <mergeCell ref="D16:D17"/>
    <mergeCell ref="E16:E17"/>
    <mergeCell ref="F16:F17"/>
  </mergeCells>
  <printOptions horizontalCentered="1"/>
  <pageMargins left="0.7874015748031497" right="0.5905511811023623" top="1.1811023622047245" bottom="0.7874015748031497" header="0" footer="0"/>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V86"/>
  <sheetViews>
    <sheetView view="pageBreakPreview" zoomScale="60" zoomScaleNormal="75" zoomScalePageLayoutView="0" workbookViewId="0" topLeftCell="A1">
      <pane ySplit="15" topLeftCell="A33" activePane="bottomLeft" state="frozen"/>
      <selection pane="topLeft" activeCell="A1" sqref="A1"/>
      <selection pane="bottomLeft" activeCell="F38" sqref="F38"/>
    </sheetView>
  </sheetViews>
  <sheetFormatPr defaultColWidth="9.140625" defaultRowHeight="12.75"/>
  <cols>
    <col min="1" max="1" width="5.00390625" style="205" customWidth="1"/>
    <col min="2" max="2" width="64.140625" style="205" customWidth="1"/>
    <col min="3" max="3" width="20.140625" style="205" customWidth="1"/>
    <col min="4" max="4" width="13.421875" style="205" hidden="1" customWidth="1"/>
    <col min="5" max="5" width="18.7109375" style="205" customWidth="1"/>
    <col min="6" max="6" width="15.00390625" style="205" customWidth="1"/>
    <col min="7" max="7" width="18.421875" style="205" customWidth="1"/>
    <col min="8" max="8" width="17.57421875" style="205" customWidth="1"/>
    <col min="9" max="9" width="16.57421875" style="205" bestFit="1" customWidth="1"/>
    <col min="10" max="10" width="16.140625" style="205" customWidth="1"/>
    <col min="11" max="11" width="16.00390625" style="205" customWidth="1"/>
    <col min="12" max="12" width="19.00390625" style="205" bestFit="1" customWidth="1"/>
    <col min="13" max="13" width="12.421875" style="205" hidden="1" customWidth="1"/>
    <col min="14" max="14" width="16.57421875" style="205" customWidth="1"/>
    <col min="15" max="15" width="15.28125" style="205" customWidth="1"/>
    <col min="16" max="16" width="21.00390625" style="205" customWidth="1"/>
    <col min="17" max="17" width="16.28125" style="205" customWidth="1"/>
    <col min="18" max="18" width="18.00390625" style="205" customWidth="1"/>
    <col min="19" max="19" width="16.8515625" style="205" customWidth="1"/>
    <col min="20" max="20" width="24.140625" style="205" customWidth="1"/>
    <col min="21" max="21" width="19.00390625" style="205" customWidth="1"/>
  </cols>
  <sheetData>
    <row r="1" spans="1:21" ht="3.75" customHeight="1">
      <c r="A1" s="78"/>
      <c r="B1" s="78"/>
      <c r="C1" s="78"/>
      <c r="D1" s="78"/>
      <c r="E1" s="78"/>
      <c r="F1" s="78"/>
      <c r="G1" s="78"/>
      <c r="H1" s="78"/>
      <c r="I1" s="240"/>
      <c r="J1" s="240"/>
      <c r="K1" s="240"/>
      <c r="L1" s="240"/>
      <c r="M1" s="240"/>
      <c r="N1" s="240"/>
      <c r="O1" s="78"/>
      <c r="P1" s="204"/>
      <c r="Q1" s="240"/>
      <c r="R1" s="240"/>
      <c r="S1" s="240"/>
      <c r="T1" s="240"/>
      <c r="U1" s="240"/>
    </row>
    <row r="2" spans="1:22" ht="20.25" customHeight="1">
      <c r="A2" s="528"/>
      <c r="B2" s="528"/>
      <c r="C2" s="528"/>
      <c r="D2" s="528"/>
      <c r="E2" s="528"/>
      <c r="F2" s="529"/>
      <c r="G2" s="517"/>
      <c r="H2" s="517"/>
      <c r="I2" s="517"/>
      <c r="J2" s="517"/>
      <c r="K2" s="517"/>
      <c r="L2" s="517"/>
      <c r="M2" s="517"/>
      <c r="N2" s="517"/>
      <c r="O2" s="530"/>
      <c r="P2" s="530"/>
      <c r="Q2" s="528" t="s">
        <v>475</v>
      </c>
      <c r="R2" s="529"/>
      <c r="S2" s="517"/>
      <c r="T2" s="517"/>
      <c r="U2" s="531"/>
      <c r="V2" s="326"/>
    </row>
    <row r="3" spans="1:22" ht="0.75" customHeight="1">
      <c r="A3" s="528"/>
      <c r="B3" s="528"/>
      <c r="C3" s="528"/>
      <c r="D3" s="528"/>
      <c r="E3" s="597"/>
      <c r="F3" s="597"/>
      <c r="G3" s="597"/>
      <c r="H3" s="597"/>
      <c r="I3" s="517"/>
      <c r="J3" s="517"/>
      <c r="K3" s="517"/>
      <c r="L3" s="517"/>
      <c r="M3" s="517"/>
      <c r="N3" s="517"/>
      <c r="O3" s="530"/>
      <c r="P3" s="530"/>
      <c r="Q3" s="597" t="s">
        <v>604</v>
      </c>
      <c r="R3" s="597"/>
      <c r="S3" s="597"/>
      <c r="T3" s="597"/>
      <c r="U3" s="597"/>
      <c r="V3" s="326"/>
    </row>
    <row r="4" spans="1:22" ht="6.75" customHeight="1" hidden="1">
      <c r="A4" s="528"/>
      <c r="B4" s="528"/>
      <c r="C4" s="528"/>
      <c r="D4" s="528"/>
      <c r="E4" s="597"/>
      <c r="F4" s="597"/>
      <c r="G4" s="597"/>
      <c r="H4" s="597"/>
      <c r="I4" s="517"/>
      <c r="J4" s="517"/>
      <c r="K4" s="517"/>
      <c r="L4" s="517"/>
      <c r="M4" s="517"/>
      <c r="N4" s="517"/>
      <c r="O4" s="530"/>
      <c r="P4" s="530"/>
      <c r="Q4" s="597"/>
      <c r="R4" s="597"/>
      <c r="S4" s="597"/>
      <c r="T4" s="597"/>
      <c r="U4" s="597"/>
      <c r="V4" s="326"/>
    </row>
    <row r="5" spans="1:22" ht="10.5" customHeight="1">
      <c r="A5" s="528"/>
      <c r="B5" s="528"/>
      <c r="C5" s="528"/>
      <c r="D5" s="528"/>
      <c r="E5" s="597"/>
      <c r="F5" s="597"/>
      <c r="G5" s="597"/>
      <c r="H5" s="597"/>
      <c r="I5" s="517"/>
      <c r="J5" s="517"/>
      <c r="K5" s="517"/>
      <c r="L5" s="517"/>
      <c r="M5" s="517"/>
      <c r="N5" s="517"/>
      <c r="O5" s="530"/>
      <c r="P5" s="530"/>
      <c r="Q5" s="597"/>
      <c r="R5" s="597"/>
      <c r="S5" s="597"/>
      <c r="T5" s="597"/>
      <c r="U5" s="597"/>
      <c r="V5" s="326"/>
    </row>
    <row r="6" spans="1:22" ht="20.25">
      <c r="A6" s="528"/>
      <c r="B6" s="528"/>
      <c r="C6" s="528"/>
      <c r="D6" s="528"/>
      <c r="E6" s="597"/>
      <c r="F6" s="597"/>
      <c r="G6" s="597"/>
      <c r="H6" s="597"/>
      <c r="I6" s="517"/>
      <c r="J6" s="517"/>
      <c r="K6" s="517"/>
      <c r="L6" s="517"/>
      <c r="M6" s="517"/>
      <c r="N6" s="517"/>
      <c r="O6" s="530"/>
      <c r="P6" s="530"/>
      <c r="Q6" s="597"/>
      <c r="R6" s="597"/>
      <c r="S6" s="597"/>
      <c r="T6" s="597"/>
      <c r="U6" s="597"/>
      <c r="V6" s="326"/>
    </row>
    <row r="7" spans="1:22" ht="20.25">
      <c r="A7" s="528"/>
      <c r="B7" s="528"/>
      <c r="C7" s="528"/>
      <c r="D7" s="528"/>
      <c r="E7" s="597"/>
      <c r="F7" s="597"/>
      <c r="G7" s="597"/>
      <c r="H7" s="597"/>
      <c r="I7" s="517"/>
      <c r="J7" s="517"/>
      <c r="K7" s="517"/>
      <c r="L7" s="517"/>
      <c r="M7" s="517"/>
      <c r="N7" s="517"/>
      <c r="O7" s="530"/>
      <c r="P7" s="530"/>
      <c r="Q7" s="597"/>
      <c r="R7" s="597"/>
      <c r="S7" s="597"/>
      <c r="T7" s="597"/>
      <c r="U7" s="597"/>
      <c r="V7" s="326"/>
    </row>
    <row r="8" spans="1:22" ht="30" customHeight="1">
      <c r="A8" s="528"/>
      <c r="B8" s="528"/>
      <c r="C8" s="528"/>
      <c r="D8" s="528"/>
      <c r="E8" s="597"/>
      <c r="F8" s="597"/>
      <c r="G8" s="597"/>
      <c r="H8" s="597"/>
      <c r="I8" s="517"/>
      <c r="J8" s="517"/>
      <c r="K8" s="517"/>
      <c r="L8" s="517"/>
      <c r="M8" s="517"/>
      <c r="N8" s="517"/>
      <c r="O8" s="530"/>
      <c r="P8" s="530"/>
      <c r="Q8" s="597"/>
      <c r="R8" s="597"/>
      <c r="S8" s="597"/>
      <c r="T8" s="597"/>
      <c r="U8" s="597"/>
      <c r="V8" s="326"/>
    </row>
    <row r="9" spans="1:22" ht="47.25" customHeight="1">
      <c r="A9" s="528"/>
      <c r="B9" s="528"/>
      <c r="C9" s="528"/>
      <c r="D9" s="528"/>
      <c r="E9" s="597"/>
      <c r="F9" s="597"/>
      <c r="G9" s="597"/>
      <c r="H9" s="597"/>
      <c r="I9" s="517"/>
      <c r="J9" s="517"/>
      <c r="K9" s="517"/>
      <c r="L9" s="517"/>
      <c r="M9" s="517"/>
      <c r="N9" s="517"/>
      <c r="O9" s="532"/>
      <c r="P9" s="531"/>
      <c r="Q9" s="597"/>
      <c r="R9" s="597"/>
      <c r="S9" s="597"/>
      <c r="T9" s="597"/>
      <c r="U9" s="597"/>
      <c r="V9" s="326"/>
    </row>
    <row r="10" spans="1:22" ht="22.5" customHeight="1">
      <c r="A10" s="528"/>
      <c r="B10" s="528"/>
      <c r="C10" s="528"/>
      <c r="D10" s="528"/>
      <c r="E10" s="531"/>
      <c r="F10" s="531"/>
      <c r="G10" s="531"/>
      <c r="H10" s="531"/>
      <c r="I10" s="517"/>
      <c r="J10" s="517"/>
      <c r="K10" s="517"/>
      <c r="L10" s="517"/>
      <c r="M10" s="517"/>
      <c r="N10" s="517"/>
      <c r="O10" s="532"/>
      <c r="P10" s="531"/>
      <c r="Q10" s="598" t="s">
        <v>630</v>
      </c>
      <c r="R10" s="598"/>
      <c r="S10" s="598"/>
      <c r="T10" s="598"/>
      <c r="U10" s="598"/>
      <c r="V10" s="598"/>
    </row>
    <row r="11" spans="1:22" ht="67.5" customHeight="1">
      <c r="A11" s="611" t="s">
        <v>400</v>
      </c>
      <c r="B11" s="611"/>
      <c r="C11" s="611"/>
      <c r="D11" s="611"/>
      <c r="E11" s="611"/>
      <c r="F11" s="611"/>
      <c r="G11" s="611"/>
      <c r="H11" s="611"/>
      <c r="I11" s="611"/>
      <c r="J11" s="611"/>
      <c r="K11" s="611"/>
      <c r="L11" s="611"/>
      <c r="M11" s="611"/>
      <c r="N11" s="611"/>
      <c r="O11" s="611"/>
      <c r="P11" s="611"/>
      <c r="Q11" s="611"/>
      <c r="R11" s="611"/>
      <c r="S11" s="611"/>
      <c r="T11" s="611"/>
      <c r="U11" s="324"/>
      <c r="V11" s="326"/>
    </row>
    <row r="12" spans="1:22" ht="20.25">
      <c r="A12" s="528"/>
      <c r="B12" s="528"/>
      <c r="C12" s="528"/>
      <c r="D12" s="528"/>
      <c r="E12" s="528"/>
      <c r="F12" s="528"/>
      <c r="G12" s="528"/>
      <c r="H12" s="528"/>
      <c r="I12" s="528"/>
      <c r="J12" s="528"/>
      <c r="K12" s="528"/>
      <c r="L12" s="528"/>
      <c r="M12" s="604"/>
      <c r="N12" s="604"/>
      <c r="O12" s="604"/>
      <c r="P12" s="604"/>
      <c r="Q12" s="604"/>
      <c r="R12" s="604"/>
      <c r="S12" s="604"/>
      <c r="T12" s="604"/>
      <c r="U12" s="324" t="s">
        <v>101</v>
      </c>
      <c r="V12" s="326"/>
    </row>
    <row r="13" spans="1:22" ht="15.75" customHeight="1">
      <c r="A13" s="599" t="s">
        <v>440</v>
      </c>
      <c r="B13" s="599" t="s">
        <v>504</v>
      </c>
      <c r="C13" s="599" t="s">
        <v>102</v>
      </c>
      <c r="D13" s="534"/>
      <c r="E13" s="601" t="s">
        <v>612</v>
      </c>
      <c r="F13" s="602"/>
      <c r="G13" s="602"/>
      <c r="H13" s="603"/>
      <c r="I13" s="601" t="s">
        <v>613</v>
      </c>
      <c r="J13" s="602"/>
      <c r="K13" s="602"/>
      <c r="L13" s="602"/>
      <c r="M13" s="602"/>
      <c r="N13" s="602"/>
      <c r="O13" s="602"/>
      <c r="P13" s="602"/>
      <c r="Q13" s="602"/>
      <c r="R13" s="602"/>
      <c r="S13" s="602"/>
      <c r="T13" s="602"/>
      <c r="U13" s="603"/>
      <c r="V13" s="326"/>
    </row>
    <row r="14" spans="1:22" ht="27.75" customHeight="1">
      <c r="A14" s="607"/>
      <c r="B14" s="607"/>
      <c r="C14" s="607"/>
      <c r="D14" s="533"/>
      <c r="E14" s="599" t="s">
        <v>505</v>
      </c>
      <c r="F14" s="599" t="s">
        <v>506</v>
      </c>
      <c r="G14" s="533"/>
      <c r="H14" s="599" t="s">
        <v>37</v>
      </c>
      <c r="I14" s="601">
        <v>2022</v>
      </c>
      <c r="J14" s="602"/>
      <c r="K14" s="602"/>
      <c r="L14" s="603"/>
      <c r="M14" s="599" t="s">
        <v>508</v>
      </c>
      <c r="N14" s="601">
        <v>2023</v>
      </c>
      <c r="O14" s="602"/>
      <c r="P14" s="602"/>
      <c r="Q14" s="603"/>
      <c r="R14" s="601">
        <v>2024</v>
      </c>
      <c r="S14" s="602"/>
      <c r="T14" s="602"/>
      <c r="U14" s="603"/>
      <c r="V14" s="326"/>
    </row>
    <row r="15" spans="1:22" ht="40.5">
      <c r="A15" s="600"/>
      <c r="B15" s="600"/>
      <c r="C15" s="600"/>
      <c r="D15" s="535"/>
      <c r="E15" s="600"/>
      <c r="F15" s="600"/>
      <c r="G15" s="536" t="s">
        <v>242</v>
      </c>
      <c r="H15" s="600"/>
      <c r="I15" s="180" t="s">
        <v>505</v>
      </c>
      <c r="J15" s="180" t="s">
        <v>506</v>
      </c>
      <c r="K15" s="536" t="s">
        <v>242</v>
      </c>
      <c r="L15" s="180" t="s">
        <v>37</v>
      </c>
      <c r="M15" s="600"/>
      <c r="N15" s="180" t="s">
        <v>505</v>
      </c>
      <c r="O15" s="180" t="s">
        <v>506</v>
      </c>
      <c r="P15" s="536" t="s">
        <v>242</v>
      </c>
      <c r="Q15" s="180" t="s">
        <v>37</v>
      </c>
      <c r="R15" s="180" t="s">
        <v>505</v>
      </c>
      <c r="S15" s="180" t="s">
        <v>506</v>
      </c>
      <c r="T15" s="536" t="s">
        <v>242</v>
      </c>
      <c r="U15" s="180" t="s">
        <v>37</v>
      </c>
      <c r="V15" s="326"/>
    </row>
    <row r="16" spans="1:22" ht="60.75">
      <c r="A16" s="537">
        <v>1</v>
      </c>
      <c r="B16" s="538" t="s">
        <v>367</v>
      </c>
      <c r="C16" s="320">
        <f>E16+F16+G16+H16</f>
        <v>1068873.5</v>
      </c>
      <c r="D16" s="320" t="e">
        <f>E16+F16+#REF!</f>
        <v>#REF!</v>
      </c>
      <c r="E16" s="320">
        <f>I16+N16+R16</f>
        <v>17709</v>
      </c>
      <c r="F16" s="320"/>
      <c r="G16" s="320">
        <f>K16+P16+T16</f>
        <v>1051164.5</v>
      </c>
      <c r="H16" s="320"/>
      <c r="I16" s="539"/>
      <c r="J16" s="539"/>
      <c r="K16" s="539">
        <f>'дод 3  Трансп.інфрастр. '!E47</f>
        <v>174237</v>
      </c>
      <c r="L16" s="540"/>
      <c r="M16" s="539"/>
      <c r="N16" s="539">
        <f>'дод 3  Трансп.інфрастр. '!F25</f>
        <v>17709</v>
      </c>
      <c r="O16" s="539"/>
      <c r="P16" s="539">
        <f>'дод 3  Трансп.інфрастр. '!F47-'дод 3  Трансп.інфрастр. '!F25</f>
        <v>390365.9</v>
      </c>
      <c r="Q16" s="539"/>
      <c r="R16" s="539"/>
      <c r="S16" s="539"/>
      <c r="T16" s="539">
        <f>'дод 3  Трансп.інфрастр. '!G47</f>
        <v>486561.6</v>
      </c>
      <c r="U16" s="541"/>
      <c r="V16" s="326"/>
    </row>
    <row r="17" spans="1:22" ht="60.75">
      <c r="A17" s="537">
        <f>A16+1</f>
        <v>2</v>
      </c>
      <c r="B17" s="538" t="s">
        <v>368</v>
      </c>
      <c r="C17" s="320">
        <f aca="true" t="shared" si="0" ref="C17:C35">E17+F17+G17+H17</f>
        <v>267063.69999999995</v>
      </c>
      <c r="D17" s="320" t="e">
        <f>E17+F17+#REF!</f>
        <v>#REF!</v>
      </c>
      <c r="E17" s="320"/>
      <c r="F17" s="320"/>
      <c r="G17" s="320">
        <f>K17+P17+T17</f>
        <v>267063.69999999995</v>
      </c>
      <c r="H17" s="320"/>
      <c r="I17" s="539"/>
      <c r="J17" s="539"/>
      <c r="K17" s="539">
        <f>'дод 4 Свет '!E31</f>
        <v>62954</v>
      </c>
      <c r="L17" s="541"/>
      <c r="M17" s="539"/>
      <c r="N17" s="539"/>
      <c r="O17" s="539"/>
      <c r="P17" s="539">
        <f>'дод 4 Свет '!F31</f>
        <v>99565.3</v>
      </c>
      <c r="Q17" s="539"/>
      <c r="R17" s="539"/>
      <c r="S17" s="539"/>
      <c r="T17" s="539">
        <f>'дод 4 Свет '!J31</f>
        <v>104544.4</v>
      </c>
      <c r="U17" s="541"/>
      <c r="V17" s="326"/>
    </row>
    <row r="18" spans="1:22" ht="81">
      <c r="A18" s="537">
        <f aca="true" t="shared" si="1" ref="A18:A24">A17+1</f>
        <v>3</v>
      </c>
      <c r="B18" s="538" t="s">
        <v>369</v>
      </c>
      <c r="C18" s="320">
        <f>E18+F18+G18+H18</f>
        <v>142922.69999999998</v>
      </c>
      <c r="D18" s="320" t="e">
        <f>E18+F18+#REF!</f>
        <v>#REF!</v>
      </c>
      <c r="E18" s="320"/>
      <c r="F18" s="320"/>
      <c r="G18" s="320">
        <f>K18+P18+T18</f>
        <v>142398.69999999998</v>
      </c>
      <c r="H18" s="320">
        <f>L18+Q18+U18</f>
        <v>524</v>
      </c>
      <c r="I18" s="539"/>
      <c r="J18" s="539"/>
      <c r="K18" s="542">
        <f>'дод 5 озеленення  (2)'!E85-'дод 5 озеленення  (2)'!E59</f>
        <v>29177.6</v>
      </c>
      <c r="L18" s="543">
        <f>'дод 5 озеленення  (2)'!E59</f>
        <v>124</v>
      </c>
      <c r="M18" s="539"/>
      <c r="N18" s="539"/>
      <c r="O18" s="539"/>
      <c r="P18" s="539">
        <f>'дод 5 озеленення  (2)'!F85-'дод 5 озеленення  (2)'!F59</f>
        <v>55667.09999999999</v>
      </c>
      <c r="Q18" s="539">
        <f>'дод 5 озеленення  (2)'!F59</f>
        <v>200</v>
      </c>
      <c r="R18" s="539"/>
      <c r="S18" s="539"/>
      <c r="T18" s="539">
        <f>'дод 5 озеленення  (2)'!G85-'дод 5 озеленення  (2)'!G59</f>
        <v>57554</v>
      </c>
      <c r="U18" s="543">
        <f>'дод 5 озеленення  (2)'!G59</f>
        <v>200</v>
      </c>
      <c r="V18" s="326"/>
    </row>
    <row r="19" spans="1:22" ht="31.5" customHeight="1">
      <c r="A19" s="537">
        <f t="shared" si="1"/>
        <v>4</v>
      </c>
      <c r="B19" s="538" t="s">
        <v>361</v>
      </c>
      <c r="C19" s="320">
        <f>E19+F19+G19+H19</f>
        <v>5711.2</v>
      </c>
      <c r="D19" s="320"/>
      <c r="E19" s="320"/>
      <c r="F19" s="320"/>
      <c r="G19" s="320">
        <f>K19+P19+T19</f>
        <v>5711.2</v>
      </c>
      <c r="H19" s="320">
        <f>L19+Q19+U19</f>
        <v>0</v>
      </c>
      <c r="I19" s="539"/>
      <c r="J19" s="539"/>
      <c r="K19" s="542">
        <f>'дод 16  цільовий фонд '!E20</f>
        <v>855.7</v>
      </c>
      <c r="L19" s="543"/>
      <c r="M19" s="539"/>
      <c r="N19" s="539"/>
      <c r="O19" s="539"/>
      <c r="P19" s="539">
        <f>'дод 16  цільовий фонд '!F20</f>
        <v>2368.5</v>
      </c>
      <c r="Q19" s="539"/>
      <c r="R19" s="539"/>
      <c r="S19" s="539"/>
      <c r="T19" s="539">
        <f>'дод 16  цільовий фонд '!G20</f>
        <v>2487</v>
      </c>
      <c r="U19" s="543"/>
      <c r="V19" s="326"/>
    </row>
    <row r="20" spans="1:22" ht="81">
      <c r="A20" s="537">
        <f t="shared" si="1"/>
        <v>5</v>
      </c>
      <c r="B20" s="538" t="s">
        <v>509</v>
      </c>
      <c r="C20" s="320">
        <f>E20+F20+G20+H20</f>
        <v>79248.99999999999</v>
      </c>
      <c r="D20" s="320" t="e">
        <f>E20+F20+#REF!</f>
        <v>#REF!</v>
      </c>
      <c r="E20" s="320"/>
      <c r="F20" s="320"/>
      <c r="G20" s="320">
        <f aca="true" t="shared" si="2" ref="G20:G35">K20+P20+T20</f>
        <v>79141.09999999999</v>
      </c>
      <c r="H20" s="320">
        <f>L20+Q20+U20</f>
        <v>107.9</v>
      </c>
      <c r="I20" s="539"/>
      <c r="J20" s="539"/>
      <c r="K20" s="542">
        <f>'дод 6  Кладовища  (2)'!E33-'дод 6  Кладовища  (2)'!E28</f>
        <v>17592.499999999996</v>
      </c>
      <c r="L20" s="543">
        <f>'дод 6  Кладовища  (2)'!E28</f>
        <v>0</v>
      </c>
      <c r="M20" s="539"/>
      <c r="N20" s="539"/>
      <c r="O20" s="539"/>
      <c r="P20" s="539">
        <f>'дод 6  Кладовища  (2)'!F33-'дод 6  Кладовища  (2)'!F28</f>
        <v>30023.399999999994</v>
      </c>
      <c r="Q20" s="539">
        <f>'дод 6  Кладовища  (2)'!F28</f>
        <v>52.6</v>
      </c>
      <c r="R20" s="539"/>
      <c r="S20" s="539"/>
      <c r="T20" s="539">
        <f>'дод 6  Кладовища  (2)'!G33-'дод 6  Кладовища  (2)'!G28</f>
        <v>31525.2</v>
      </c>
      <c r="U20" s="543">
        <f>'дод 6  Кладовища  (2)'!G28</f>
        <v>55.3</v>
      </c>
      <c r="V20" s="326"/>
    </row>
    <row r="21" spans="1:22" ht="40.5">
      <c r="A21" s="537">
        <f t="shared" si="1"/>
        <v>6</v>
      </c>
      <c r="B21" s="538" t="s">
        <v>370</v>
      </c>
      <c r="C21" s="320">
        <f t="shared" si="0"/>
        <v>29519.8</v>
      </c>
      <c r="D21" s="320" t="e">
        <f>E21+F21+#REF!</f>
        <v>#REF!</v>
      </c>
      <c r="E21" s="320"/>
      <c r="F21" s="320"/>
      <c r="G21" s="320">
        <f t="shared" si="2"/>
        <v>29519.8</v>
      </c>
      <c r="H21" s="320"/>
      <c r="I21" s="539"/>
      <c r="J21" s="539"/>
      <c r="K21" s="542">
        <f>'дод 7  сан очистка (2)'!E26</f>
        <v>7430</v>
      </c>
      <c r="L21" s="541"/>
      <c r="M21" s="539"/>
      <c r="N21" s="539"/>
      <c r="O21" s="539"/>
      <c r="P21" s="539">
        <f>'дод 7  сан очистка (2)'!F26</f>
        <v>11812.8</v>
      </c>
      <c r="Q21" s="539"/>
      <c r="R21" s="539"/>
      <c r="S21" s="539"/>
      <c r="T21" s="539">
        <f>'дод 7  сан очистка (2)'!J26</f>
        <v>10277</v>
      </c>
      <c r="U21" s="541"/>
      <c r="V21" s="326"/>
    </row>
    <row r="22" spans="1:22" ht="45.75" customHeight="1">
      <c r="A22" s="537">
        <f t="shared" si="1"/>
        <v>7</v>
      </c>
      <c r="B22" s="538" t="s">
        <v>510</v>
      </c>
      <c r="C22" s="320">
        <f t="shared" si="0"/>
        <v>35116.399999999994</v>
      </c>
      <c r="D22" s="320" t="e">
        <f>E22+F22+#REF!</f>
        <v>#REF!</v>
      </c>
      <c r="E22" s="320"/>
      <c r="F22" s="320"/>
      <c r="G22" s="320">
        <f t="shared" si="2"/>
        <v>35116.399999999994</v>
      </c>
      <c r="H22" s="320"/>
      <c r="I22" s="539"/>
      <c r="J22" s="539"/>
      <c r="K22" s="542">
        <f>'дод 8 Пот Благуострій'!E28</f>
        <v>10417.199999999999</v>
      </c>
      <c r="L22" s="541"/>
      <c r="M22" s="539"/>
      <c r="N22" s="539"/>
      <c r="O22" s="539"/>
      <c r="P22" s="539">
        <f>'дод 8 Пот Благуострій'!G28</f>
        <v>12167.599999999999</v>
      </c>
      <c r="Q22" s="539"/>
      <c r="R22" s="539"/>
      <c r="S22" s="539"/>
      <c r="T22" s="539">
        <f>'дод 8 Пот Благуострій'!H28</f>
        <v>12531.6</v>
      </c>
      <c r="U22" s="541"/>
      <c r="V22" s="326"/>
    </row>
    <row r="23" spans="1:22" ht="49.5" customHeight="1">
      <c r="A23" s="537">
        <f t="shared" si="1"/>
        <v>8</v>
      </c>
      <c r="B23" s="538" t="s">
        <v>511</v>
      </c>
      <c r="C23" s="320">
        <f t="shared" si="0"/>
        <v>4484.4</v>
      </c>
      <c r="D23" s="320" t="e">
        <f>E23+F23+#REF!</f>
        <v>#REF!</v>
      </c>
      <c r="E23" s="320"/>
      <c r="F23" s="320"/>
      <c r="G23" s="320">
        <f t="shared" si="2"/>
        <v>4484.4</v>
      </c>
      <c r="H23" s="320"/>
      <c r="I23" s="539"/>
      <c r="J23" s="539"/>
      <c r="K23" s="542">
        <f>'дод 9  Тварини'!E15</f>
        <v>1168.1999999999998</v>
      </c>
      <c r="L23" s="541"/>
      <c r="M23" s="539"/>
      <c r="N23" s="539"/>
      <c r="O23" s="539"/>
      <c r="P23" s="539">
        <f>'дод 9  Тварини'!F15</f>
        <v>1607.9</v>
      </c>
      <c r="Q23" s="539"/>
      <c r="R23" s="539"/>
      <c r="S23" s="539"/>
      <c r="T23" s="539">
        <f>'дод 9  Тварини'!J15</f>
        <v>1708.3000000000002</v>
      </c>
      <c r="U23" s="541"/>
      <c r="V23" s="326"/>
    </row>
    <row r="24" spans="1:22" ht="40.5">
      <c r="A24" s="537">
        <f t="shared" si="1"/>
        <v>9</v>
      </c>
      <c r="B24" s="538" t="s">
        <v>286</v>
      </c>
      <c r="C24" s="320">
        <f t="shared" si="0"/>
        <v>40977.1</v>
      </c>
      <c r="D24" s="320" t="e">
        <f>E24+F24+#REF!</f>
        <v>#REF!</v>
      </c>
      <c r="E24" s="320">
        <f>I24</f>
        <v>0</v>
      </c>
      <c r="F24" s="320"/>
      <c r="G24" s="320">
        <f t="shared" si="2"/>
        <v>40977.1</v>
      </c>
      <c r="H24" s="320"/>
      <c r="I24" s="539"/>
      <c r="J24" s="539"/>
      <c r="K24" s="542">
        <f>'дод 10  Кап Благоустрою інші'!E16</f>
        <v>7100.000000000002</v>
      </c>
      <c r="L24" s="541"/>
      <c r="M24" s="539"/>
      <c r="N24" s="539"/>
      <c r="O24" s="539"/>
      <c r="P24" s="539">
        <f>'дод 10  Кап Благоустрою інші'!F16</f>
        <v>16379.099999999999</v>
      </c>
      <c r="Q24" s="539"/>
      <c r="R24" s="539"/>
      <c r="S24" s="539"/>
      <c r="T24" s="539">
        <f>'дод 10  Кап Благоустрою інші'!J16</f>
        <v>17498</v>
      </c>
      <c r="U24" s="541"/>
      <c r="V24" s="326"/>
    </row>
    <row r="25" spans="1:22" ht="47.25" customHeight="1">
      <c r="A25" s="537">
        <v>10</v>
      </c>
      <c r="B25" s="538" t="s">
        <v>287</v>
      </c>
      <c r="C25" s="320">
        <f t="shared" si="0"/>
        <v>44803.899999999994</v>
      </c>
      <c r="D25" s="320" t="e">
        <f>E25+F25+#REF!</f>
        <v>#REF!</v>
      </c>
      <c r="E25" s="320"/>
      <c r="F25" s="320"/>
      <c r="G25" s="320">
        <f t="shared" si="2"/>
        <v>44803.899999999994</v>
      </c>
      <c r="H25" s="320"/>
      <c r="I25" s="539"/>
      <c r="J25" s="539"/>
      <c r="K25" s="542">
        <f>'дод 11   кап ремонт житло. '!E31</f>
        <v>2060</v>
      </c>
      <c r="L25" s="541"/>
      <c r="M25" s="539"/>
      <c r="N25" s="539"/>
      <c r="O25" s="539"/>
      <c r="P25" s="539">
        <f>'дод 11   кап ремонт житло. '!F31</f>
        <v>20850.6</v>
      </c>
      <c r="Q25" s="539"/>
      <c r="R25" s="539"/>
      <c r="S25" s="539"/>
      <c r="T25" s="539">
        <f>'дод 11   кап ремонт житло. '!J31</f>
        <v>21893.3</v>
      </c>
      <c r="U25" s="541"/>
      <c r="V25" s="326"/>
    </row>
    <row r="26" spans="1:22" ht="60" customHeight="1">
      <c r="A26" s="537">
        <v>11</v>
      </c>
      <c r="B26" s="538" t="s">
        <v>512</v>
      </c>
      <c r="C26" s="320">
        <f t="shared" si="0"/>
        <v>13508.8</v>
      </c>
      <c r="D26" s="544" t="e">
        <f>E26+F26+#REF!</f>
        <v>#REF!</v>
      </c>
      <c r="E26" s="544"/>
      <c r="F26" s="544"/>
      <c r="G26" s="320">
        <f t="shared" si="2"/>
        <v>13508.8</v>
      </c>
      <c r="H26" s="544"/>
      <c r="I26" s="545"/>
      <c r="J26" s="545"/>
      <c r="K26" s="542">
        <f>'дод 12 Святкові   '!E54</f>
        <v>2964</v>
      </c>
      <c r="L26" s="546"/>
      <c r="M26" s="545"/>
      <c r="N26" s="545"/>
      <c r="O26" s="545"/>
      <c r="P26" s="539">
        <f>'дод 12 Святкові   '!F54</f>
        <v>5167.7</v>
      </c>
      <c r="Q26" s="545"/>
      <c r="R26" s="545"/>
      <c r="S26" s="545"/>
      <c r="T26" s="539">
        <f>'дод 12 Святкові   '!J54</f>
        <v>5377.1</v>
      </c>
      <c r="U26" s="541"/>
      <c r="V26" s="326"/>
    </row>
    <row r="27" spans="1:22" ht="60.75">
      <c r="A27" s="537">
        <v>12</v>
      </c>
      <c r="B27" s="538" t="s">
        <v>371</v>
      </c>
      <c r="C27" s="320">
        <f>E27+F27+G27+H27</f>
        <v>41972.784999999996</v>
      </c>
      <c r="D27" s="544"/>
      <c r="E27" s="544"/>
      <c r="F27" s="544"/>
      <c r="G27" s="320">
        <f t="shared" si="2"/>
        <v>41972.784999999996</v>
      </c>
      <c r="H27" s="320">
        <f aca="true" t="shared" si="3" ref="H27:H38">L27+Q27+U27</f>
        <v>0</v>
      </c>
      <c r="I27" s="545"/>
      <c r="J27" s="545"/>
      <c r="K27" s="542">
        <f>'дод 13 інша діяльність 6090'!E74</f>
        <v>6241.515</v>
      </c>
      <c r="L27" s="547"/>
      <c r="M27" s="545"/>
      <c r="N27" s="545"/>
      <c r="O27" s="545"/>
      <c r="P27" s="539">
        <f>'дод 13 інша діяльність 6090'!F74</f>
        <v>32186.67</v>
      </c>
      <c r="Q27" s="539"/>
      <c r="R27" s="545"/>
      <c r="S27" s="545"/>
      <c r="T27" s="539">
        <f>'дод 13 інша діяльність 6090'!J74</f>
        <v>3544.6000000000004</v>
      </c>
      <c r="U27" s="547"/>
      <c r="V27" s="326"/>
    </row>
    <row r="28" spans="1:22" ht="60.75">
      <c r="A28" s="537">
        <v>13</v>
      </c>
      <c r="B28" s="538" t="s">
        <v>372</v>
      </c>
      <c r="C28" s="320">
        <f t="shared" si="0"/>
        <v>73744.59999999999</v>
      </c>
      <c r="D28" s="320" t="e">
        <f>E28+F28+#REF!</f>
        <v>#REF!</v>
      </c>
      <c r="E28" s="320"/>
      <c r="F28" s="320"/>
      <c r="G28" s="320">
        <f t="shared" si="2"/>
        <v>73744.59999999999</v>
      </c>
      <c r="H28" s="320">
        <f t="shared" si="3"/>
        <v>0</v>
      </c>
      <c r="I28" s="539"/>
      <c r="J28" s="539"/>
      <c r="K28" s="542">
        <f>'дод 14   Вода  '!E28</f>
        <v>6071.4</v>
      </c>
      <c r="L28" s="541"/>
      <c r="M28" s="539"/>
      <c r="N28" s="539"/>
      <c r="O28" s="539"/>
      <c r="P28" s="539">
        <f>'дод 14   Вода  '!F28</f>
        <v>66439</v>
      </c>
      <c r="Q28" s="539"/>
      <c r="R28" s="539"/>
      <c r="S28" s="539"/>
      <c r="T28" s="539">
        <f>'дод 14   Вода  '!J28</f>
        <v>1234.2</v>
      </c>
      <c r="U28" s="541"/>
      <c r="V28" s="326"/>
    </row>
    <row r="29" spans="1:22" ht="52.5" customHeight="1">
      <c r="A29" s="537">
        <v>14</v>
      </c>
      <c r="B29" s="538" t="s">
        <v>288</v>
      </c>
      <c r="C29" s="320">
        <f t="shared" si="0"/>
        <v>1403</v>
      </c>
      <c r="D29" s="320" t="e">
        <f>E29+F29+#REF!</f>
        <v>#REF!</v>
      </c>
      <c r="E29" s="320"/>
      <c r="F29" s="320"/>
      <c r="G29" s="320">
        <f t="shared" si="2"/>
        <v>1403</v>
      </c>
      <c r="H29" s="320">
        <f t="shared" si="3"/>
        <v>0</v>
      </c>
      <c r="I29" s="539"/>
      <c r="J29" s="539"/>
      <c r="K29" s="542">
        <f>'дод 15  финпидтримка  '!E34</f>
        <v>350</v>
      </c>
      <c r="L29" s="541"/>
      <c r="M29" s="539"/>
      <c r="N29" s="539"/>
      <c r="O29" s="539"/>
      <c r="P29" s="539">
        <f>'дод 15  финпидтримка  '!F34</f>
        <v>603</v>
      </c>
      <c r="Q29" s="539"/>
      <c r="R29" s="539"/>
      <c r="S29" s="539"/>
      <c r="T29" s="539">
        <f>'дод 15  финпидтримка  '!J34</f>
        <v>450</v>
      </c>
      <c r="U29" s="541"/>
      <c r="V29" s="326"/>
    </row>
    <row r="30" spans="1:22" ht="20.25">
      <c r="A30" s="537">
        <v>15</v>
      </c>
      <c r="B30" s="538" t="s">
        <v>513</v>
      </c>
      <c r="C30" s="320">
        <f t="shared" si="0"/>
        <v>12977.8</v>
      </c>
      <c r="D30" s="320"/>
      <c r="E30" s="320"/>
      <c r="F30" s="320"/>
      <c r="G30" s="320">
        <f t="shared" si="2"/>
        <v>12977.8</v>
      </c>
      <c r="H30" s="320">
        <f t="shared" si="3"/>
        <v>0</v>
      </c>
      <c r="I30" s="539"/>
      <c r="J30" s="539"/>
      <c r="K30" s="542">
        <f>'дод 17  Енргозбер. заходи'!E20</f>
        <v>2900</v>
      </c>
      <c r="L30" s="541"/>
      <c r="M30" s="539"/>
      <c r="N30" s="539"/>
      <c r="O30" s="539"/>
      <c r="P30" s="539">
        <f>'дод 17  Енргозбер. заходи'!F20</f>
        <v>4896.5</v>
      </c>
      <c r="Q30" s="539"/>
      <c r="R30" s="539"/>
      <c r="S30" s="539"/>
      <c r="T30" s="539">
        <f>'дод 17  Енргозбер. заходи'!J20</f>
        <v>5181.3</v>
      </c>
      <c r="U30" s="541"/>
      <c r="V30" s="326"/>
    </row>
    <row r="31" spans="1:22" ht="60.75">
      <c r="A31" s="537">
        <v>16</v>
      </c>
      <c r="B31" s="538" t="s">
        <v>289</v>
      </c>
      <c r="C31" s="320">
        <f t="shared" si="0"/>
        <v>15475.1</v>
      </c>
      <c r="D31" s="320"/>
      <c r="E31" s="320"/>
      <c r="F31" s="320"/>
      <c r="G31" s="320">
        <f t="shared" si="2"/>
        <v>15475.1</v>
      </c>
      <c r="H31" s="320">
        <f t="shared" si="3"/>
        <v>0</v>
      </c>
      <c r="I31" s="539"/>
      <c r="J31" s="539"/>
      <c r="K31" s="542">
        <f>'дод 18 статут зміцн.мат.тех.'!E148</f>
        <v>7151.6</v>
      </c>
      <c r="L31" s="541"/>
      <c r="M31" s="539"/>
      <c r="N31" s="539"/>
      <c r="O31" s="539"/>
      <c r="P31" s="539">
        <f>'дод 18 статут зміцн.мат.тех.'!F148</f>
        <v>8323.5</v>
      </c>
      <c r="Q31" s="539"/>
      <c r="R31" s="539"/>
      <c r="S31" s="539"/>
      <c r="T31" s="539">
        <f>'дод 18 статут зміцн.мат.тех.'!I148</f>
        <v>0</v>
      </c>
      <c r="U31" s="541"/>
      <c r="V31" s="326"/>
    </row>
    <row r="32" spans="1:22" ht="60.75">
      <c r="A32" s="537">
        <v>17</v>
      </c>
      <c r="B32" s="538" t="s">
        <v>476</v>
      </c>
      <c r="C32" s="320">
        <f t="shared" si="0"/>
        <v>40823.53</v>
      </c>
      <c r="D32" s="320"/>
      <c r="E32" s="320"/>
      <c r="F32" s="320"/>
      <c r="G32" s="320">
        <f t="shared" si="2"/>
        <v>40823.53</v>
      </c>
      <c r="H32" s="320">
        <f t="shared" si="3"/>
        <v>0</v>
      </c>
      <c r="I32" s="539"/>
      <c r="J32" s="539"/>
      <c r="K32" s="542">
        <f>'дод 19  Субв. Сироватк (Крас '!E18</f>
        <v>12000</v>
      </c>
      <c r="L32" s="541"/>
      <c r="M32" s="539"/>
      <c r="N32" s="539"/>
      <c r="O32" s="539"/>
      <c r="P32" s="539">
        <f>'дод 19  Субв. Сироватк (Крас '!F18</f>
        <v>13823.53</v>
      </c>
      <c r="Q32" s="539"/>
      <c r="R32" s="539"/>
      <c r="S32" s="539"/>
      <c r="T32" s="539">
        <f>'дод 19  Субв. Сироватк (Крас '!J18</f>
        <v>15000</v>
      </c>
      <c r="U32" s="541"/>
      <c r="V32" s="326"/>
    </row>
    <row r="33" spans="1:22" ht="62.25" customHeight="1">
      <c r="A33" s="537">
        <v>18</v>
      </c>
      <c r="B33" s="538" t="s">
        <v>290</v>
      </c>
      <c r="C33" s="320">
        <f t="shared" si="0"/>
        <v>1255</v>
      </c>
      <c r="D33" s="320"/>
      <c r="E33" s="320"/>
      <c r="F33" s="320"/>
      <c r="G33" s="320">
        <f t="shared" si="2"/>
        <v>1255</v>
      </c>
      <c r="H33" s="320">
        <f t="shared" si="3"/>
        <v>0</v>
      </c>
      <c r="I33" s="539"/>
      <c r="J33" s="539"/>
      <c r="K33" s="542">
        <f>'дод 20  паспорт дом  '!E21</f>
        <v>110</v>
      </c>
      <c r="L33" s="541"/>
      <c r="M33" s="539"/>
      <c r="N33" s="539"/>
      <c r="O33" s="539"/>
      <c r="P33" s="539">
        <f>'дод 20  паспорт дом  '!F21</f>
        <v>805</v>
      </c>
      <c r="Q33" s="539"/>
      <c r="R33" s="539"/>
      <c r="S33" s="539"/>
      <c r="T33" s="539">
        <f>'дод 20  паспорт дом  '!J21</f>
        <v>340</v>
      </c>
      <c r="U33" s="548"/>
      <c r="V33" s="326"/>
    </row>
    <row r="34" spans="1:22" ht="40.5">
      <c r="A34" s="537">
        <v>19</v>
      </c>
      <c r="B34" s="538" t="s">
        <v>50</v>
      </c>
      <c r="C34" s="320">
        <f t="shared" si="0"/>
        <v>566554.2799999999</v>
      </c>
      <c r="D34" s="320"/>
      <c r="E34" s="320">
        <f>I34+N34+R34</f>
        <v>215622.98</v>
      </c>
      <c r="F34" s="320"/>
      <c r="G34" s="320">
        <f t="shared" si="2"/>
        <v>297431.29999999993</v>
      </c>
      <c r="H34" s="320">
        <f t="shared" si="3"/>
        <v>53500</v>
      </c>
      <c r="I34" s="539"/>
      <c r="J34" s="539"/>
      <c r="K34" s="539">
        <f>'дод.21 Буд.реставр. та реконстр'!E57-'дод.21 Буд.реставр. та реконстр'!E51</f>
        <v>17761.3</v>
      </c>
      <c r="L34" s="549">
        <f>'дод.21 Буд.реставр. та реконстр'!E51</f>
        <v>0</v>
      </c>
      <c r="M34" s="539"/>
      <c r="N34" s="539">
        <f>'дод.21 Буд.реставр. та реконстр'!F30</f>
        <v>215622.98</v>
      </c>
      <c r="O34" s="539"/>
      <c r="P34" s="539">
        <f>'дод.21 Буд.реставр. та реконстр'!F57-'дод.21 Буд.реставр. та реконстр'!F32-'дод.21 Буд.реставр. та реконстр'!F30</f>
        <v>142799.99999999997</v>
      </c>
      <c r="Q34" s="539">
        <f>'дод.21 Буд.реставр. та реконстр'!F32</f>
        <v>53500</v>
      </c>
      <c r="R34" s="539"/>
      <c r="S34" s="539"/>
      <c r="T34" s="539">
        <f>'дод.21 Буд.реставр. та реконстр'!G57</f>
        <v>136870</v>
      </c>
      <c r="U34" s="550"/>
      <c r="V34" s="326"/>
    </row>
    <row r="35" spans="1:22" ht="40.5">
      <c r="A35" s="537">
        <v>20</v>
      </c>
      <c r="B35" s="538" t="s">
        <v>421</v>
      </c>
      <c r="C35" s="320">
        <f t="shared" si="0"/>
        <v>-16313.18</v>
      </c>
      <c r="D35" s="320"/>
      <c r="E35" s="320"/>
      <c r="F35" s="320"/>
      <c r="G35" s="320">
        <f t="shared" si="2"/>
        <v>-16313.18</v>
      </c>
      <c r="H35" s="320">
        <f t="shared" si="3"/>
        <v>0</v>
      </c>
      <c r="I35" s="539"/>
      <c r="J35" s="539"/>
      <c r="K35" s="539">
        <f>'дод 22 Поверн  бюдж позичок'!E19</f>
        <v>-8179.09</v>
      </c>
      <c r="L35" s="541"/>
      <c r="M35" s="539"/>
      <c r="N35" s="539"/>
      <c r="O35" s="539"/>
      <c r="P35" s="539">
        <f>'дод 22 Поверн  бюдж позичок'!F19</f>
        <v>-8134.09</v>
      </c>
      <c r="Q35" s="539"/>
      <c r="R35" s="539"/>
      <c r="S35" s="539"/>
      <c r="T35" s="539">
        <f>'дод 22 Поверн  бюдж позичок'!J19</f>
        <v>0</v>
      </c>
      <c r="U35" s="541"/>
      <c r="V35" s="326"/>
    </row>
    <row r="36" spans="1:22" ht="162">
      <c r="A36" s="537">
        <v>21</v>
      </c>
      <c r="B36" s="538" t="s">
        <v>590</v>
      </c>
      <c r="C36" s="320">
        <f>E36+F36+G36+H36</f>
        <v>263876.7</v>
      </c>
      <c r="D36" s="320"/>
      <c r="E36" s="320">
        <f>I36</f>
        <v>263876.7</v>
      </c>
      <c r="F36" s="320"/>
      <c r="G36" s="320">
        <f>K36+P36+T36</f>
        <v>0</v>
      </c>
      <c r="H36" s="320">
        <f>L36+Q36+U36</f>
        <v>0</v>
      </c>
      <c r="I36" s="539">
        <f>'дод 25  Заборг в тариф '!E17</f>
        <v>263876.7</v>
      </c>
      <c r="J36" s="539"/>
      <c r="K36" s="539"/>
      <c r="L36" s="541"/>
      <c r="M36" s="539"/>
      <c r="N36" s="539"/>
      <c r="O36" s="539"/>
      <c r="P36" s="539"/>
      <c r="Q36" s="539"/>
      <c r="R36" s="539"/>
      <c r="S36" s="539"/>
      <c r="T36" s="539"/>
      <c r="U36" s="541"/>
      <c r="V36" s="326"/>
    </row>
    <row r="37" spans="1:22" ht="101.25">
      <c r="A37" s="537">
        <v>22</v>
      </c>
      <c r="B37" s="538" t="s">
        <v>605</v>
      </c>
      <c r="C37" s="320">
        <f>E37+F37+G37+H37</f>
        <v>60000</v>
      </c>
      <c r="D37" s="320"/>
      <c r="E37" s="320">
        <f>I37</f>
        <v>0</v>
      </c>
      <c r="F37" s="320"/>
      <c r="G37" s="320">
        <f>K37+P37+T37</f>
        <v>60000</v>
      </c>
      <c r="H37" s="320">
        <f>L37+Q37+U37</f>
        <v>0</v>
      </c>
      <c r="I37" s="539"/>
      <c r="J37" s="539"/>
      <c r="K37" s="539"/>
      <c r="L37" s="541"/>
      <c r="M37" s="539"/>
      <c r="N37" s="539"/>
      <c r="O37" s="539"/>
      <c r="P37" s="539">
        <f>'дод 27 кап+пот ремонт пошкжитло'!F30</f>
        <v>60000</v>
      </c>
      <c r="Q37" s="539"/>
      <c r="R37" s="539"/>
      <c r="S37" s="539"/>
      <c r="T37" s="539">
        <f>'дод 27 кап+пот ремонт пошкжитло'!J30</f>
        <v>0</v>
      </c>
      <c r="U37" s="541"/>
      <c r="V37" s="326"/>
    </row>
    <row r="38" spans="1:22" ht="35.25" customHeight="1">
      <c r="A38" s="606" t="s">
        <v>439</v>
      </c>
      <c r="B38" s="606"/>
      <c r="C38" s="320">
        <f>E38+F38+G38+H38</f>
        <v>2794000.115</v>
      </c>
      <c r="D38" s="320" t="e">
        <f>D16+D17+D18+D20+D21+D22+D23+D24+D25+D26+D28+D29+D30+D31+D32+D33+D34+D35</f>
        <v>#REF!</v>
      </c>
      <c r="E38" s="320">
        <f>I38+N38+R38</f>
        <v>497208.68000000005</v>
      </c>
      <c r="F38" s="320">
        <f>J38+O38+S38</f>
        <v>0</v>
      </c>
      <c r="G38" s="320">
        <f>K38+P38+T38</f>
        <v>2242659.535</v>
      </c>
      <c r="H38" s="320">
        <f t="shared" si="3"/>
        <v>54131.9</v>
      </c>
      <c r="I38" s="320">
        <f>SUM(I16:I37)</f>
        <v>263876.7</v>
      </c>
      <c r="J38" s="320">
        <f>SUM(J16:J37)</f>
        <v>0</v>
      </c>
      <c r="K38" s="320">
        <f>SUM(K16:K37)</f>
        <v>360362.925</v>
      </c>
      <c r="L38" s="320">
        <f>SUM(L16:L37)</f>
        <v>124</v>
      </c>
      <c r="M38" s="320">
        <f>SUM(M16:M35)</f>
        <v>0</v>
      </c>
      <c r="N38" s="320">
        <f aca="true" t="shared" si="4" ref="N38:U38">SUM(N16:N37)</f>
        <v>233331.98</v>
      </c>
      <c r="O38" s="320">
        <f t="shared" si="4"/>
        <v>0</v>
      </c>
      <c r="P38" s="320">
        <f t="shared" si="4"/>
        <v>967719.0100000001</v>
      </c>
      <c r="Q38" s="320">
        <f t="shared" si="4"/>
        <v>53752.6</v>
      </c>
      <c r="R38" s="320">
        <f t="shared" si="4"/>
        <v>0</v>
      </c>
      <c r="S38" s="320">
        <f t="shared" si="4"/>
        <v>0</v>
      </c>
      <c r="T38" s="320">
        <f t="shared" si="4"/>
        <v>914577.6</v>
      </c>
      <c r="U38" s="320">
        <f t="shared" si="4"/>
        <v>255.3</v>
      </c>
      <c r="V38" s="326"/>
    </row>
    <row r="39" spans="1:20" ht="15" customHeight="1">
      <c r="A39" s="109"/>
      <c r="B39" s="109"/>
      <c r="C39" s="199"/>
      <c r="D39" s="199"/>
      <c r="E39" s="199"/>
      <c r="F39" s="199"/>
      <c r="G39" s="199"/>
      <c r="H39" s="199"/>
      <c r="I39" s="199"/>
      <c r="J39" s="199"/>
      <c r="K39" s="199"/>
      <c r="L39" s="199"/>
      <c r="M39" s="199"/>
      <c r="N39" s="199"/>
      <c r="O39" s="199"/>
      <c r="P39" s="199"/>
      <c r="Q39" s="199"/>
      <c r="R39" s="199"/>
      <c r="S39" s="199"/>
      <c r="T39" s="199"/>
    </row>
    <row r="40" spans="1:20" ht="10.5" customHeight="1" hidden="1">
      <c r="A40" s="109"/>
      <c r="B40" s="109"/>
      <c r="C40" s="199"/>
      <c r="D40" s="199"/>
      <c r="E40" s="199"/>
      <c r="F40" s="199"/>
      <c r="G40" s="199"/>
      <c r="H40" s="199"/>
      <c r="I40" s="199"/>
      <c r="J40" s="199"/>
      <c r="K40" s="199"/>
      <c r="L40" s="199"/>
      <c r="M40" s="199"/>
      <c r="N40" s="199"/>
      <c r="O40" s="199"/>
      <c r="P40" s="199"/>
      <c r="Q40" s="199"/>
      <c r="R40" s="199"/>
      <c r="S40" s="199"/>
      <c r="T40" s="199"/>
    </row>
    <row r="41" spans="1:20" ht="15.75" hidden="1">
      <c r="A41" s="109"/>
      <c r="B41" s="109"/>
      <c r="C41" s="199"/>
      <c r="D41" s="199"/>
      <c r="E41" s="199"/>
      <c r="F41" s="199"/>
      <c r="G41" s="199"/>
      <c r="H41" s="199"/>
      <c r="I41" s="199"/>
      <c r="J41" s="199"/>
      <c r="K41" s="199"/>
      <c r="L41" s="199"/>
      <c r="M41" s="199"/>
      <c r="N41" s="199"/>
      <c r="O41" s="199"/>
      <c r="P41" s="199"/>
      <c r="Q41" s="199"/>
      <c r="R41" s="199"/>
      <c r="S41" s="199"/>
      <c r="T41" s="199"/>
    </row>
    <row r="42" spans="1:20" ht="15.75">
      <c r="A42" s="109"/>
      <c r="B42" s="109"/>
      <c r="C42" s="110"/>
      <c r="D42" s="110"/>
      <c r="E42" s="110"/>
      <c r="F42" s="110"/>
      <c r="G42" s="110"/>
      <c r="H42" s="110"/>
      <c r="I42" s="110"/>
      <c r="J42" s="110"/>
      <c r="K42" s="110"/>
      <c r="L42" s="110"/>
      <c r="M42" s="110"/>
      <c r="N42" s="110"/>
      <c r="O42" s="110"/>
      <c r="P42" s="199"/>
      <c r="Q42" s="200"/>
      <c r="R42" s="201"/>
      <c r="T42" s="202"/>
    </row>
    <row r="43" spans="1:21" s="326" customFormat="1" ht="23.25" customHeight="1">
      <c r="A43" s="605" t="s">
        <v>450</v>
      </c>
      <c r="B43" s="605"/>
      <c r="C43" s="561"/>
      <c r="D43" s="562"/>
      <c r="E43" s="563"/>
      <c r="F43" s="564"/>
      <c r="G43" s="565"/>
      <c r="H43" s="562"/>
      <c r="I43" s="566"/>
      <c r="J43" s="566"/>
      <c r="K43" s="566"/>
      <c r="L43" s="566"/>
      <c r="M43" s="564"/>
      <c r="N43" s="564"/>
      <c r="O43" s="564"/>
      <c r="P43" s="567"/>
      <c r="Q43" s="567"/>
      <c r="R43" s="608" t="s">
        <v>578</v>
      </c>
      <c r="S43" s="608"/>
      <c r="T43" s="608"/>
      <c r="U43" s="325"/>
    </row>
    <row r="44" spans="1:21" ht="15.75">
      <c r="A44" s="568"/>
      <c r="B44" s="568"/>
      <c r="C44" s="569"/>
      <c r="D44" s="570"/>
      <c r="E44" s="501"/>
      <c r="F44" s="570"/>
      <c r="G44" s="570"/>
      <c r="H44" s="570"/>
      <c r="I44" s="571"/>
      <c r="J44" s="571"/>
      <c r="K44" s="571"/>
      <c r="L44" s="571"/>
      <c r="M44" s="501"/>
      <c r="N44" s="501"/>
      <c r="O44" s="501"/>
      <c r="P44" s="572"/>
      <c r="Q44" s="501"/>
      <c r="R44" s="573"/>
      <c r="S44" s="573"/>
      <c r="T44" s="574"/>
      <c r="U44" s="203"/>
    </row>
    <row r="45" spans="1:21" ht="15.75" customHeight="1">
      <c r="A45" s="609" t="s">
        <v>629</v>
      </c>
      <c r="B45" s="609"/>
      <c r="C45" s="575"/>
      <c r="D45" s="570"/>
      <c r="E45" s="570"/>
      <c r="F45" s="508"/>
      <c r="G45" s="508"/>
      <c r="H45" s="508"/>
      <c r="I45" s="610"/>
      <c r="J45" s="610"/>
      <c r="K45" s="610"/>
      <c r="L45" s="610"/>
      <c r="M45" s="610"/>
      <c r="N45" s="610"/>
      <c r="O45" s="610"/>
      <c r="P45" s="610"/>
      <c r="Q45" s="576"/>
      <c r="R45" s="576"/>
      <c r="S45" s="501"/>
      <c r="T45" s="501"/>
      <c r="U45" s="241"/>
    </row>
    <row r="46" spans="1:20" ht="15.75">
      <c r="A46" s="204"/>
      <c r="B46" s="204"/>
      <c r="C46" s="208"/>
      <c r="D46" s="208"/>
      <c r="E46" s="208"/>
      <c r="F46" s="208"/>
      <c r="G46" s="208"/>
      <c r="H46" s="208"/>
      <c r="T46" s="209"/>
    </row>
    <row r="47" spans="1:18" ht="15.75">
      <c r="A47" s="210"/>
      <c r="B47" s="211"/>
      <c r="Q47" s="208"/>
      <c r="R47" s="208"/>
    </row>
    <row r="48" spans="1:2" ht="15">
      <c r="A48" s="210"/>
      <c r="B48" s="210"/>
    </row>
    <row r="49" spans="1:20" ht="15">
      <c r="A49" s="210"/>
      <c r="B49" s="210"/>
      <c r="E49" s="212"/>
      <c r="F49" s="212"/>
      <c r="G49" s="212"/>
      <c r="H49" s="212"/>
      <c r="I49" s="212"/>
      <c r="J49" s="212"/>
      <c r="K49" s="212"/>
      <c r="L49" s="212"/>
      <c r="M49" s="212"/>
      <c r="N49" s="212"/>
      <c r="O49" s="212"/>
      <c r="P49" s="212"/>
      <c r="Q49" s="212"/>
      <c r="R49" s="212"/>
      <c r="S49" s="212"/>
      <c r="T49" s="212"/>
    </row>
    <row r="50" spans="1:2" ht="15">
      <c r="A50" s="210"/>
      <c r="B50" s="210"/>
    </row>
    <row r="51" spans="1:2" ht="15">
      <c r="A51" s="210"/>
      <c r="B51" s="210"/>
    </row>
    <row r="52" spans="1:18" ht="15">
      <c r="A52" s="210"/>
      <c r="B52" s="210"/>
      <c r="Q52" s="208"/>
      <c r="R52" s="208"/>
    </row>
    <row r="53" spans="1:18" ht="15">
      <c r="A53" s="210"/>
      <c r="B53" s="210"/>
      <c r="C53" s="208"/>
      <c r="D53" s="208"/>
      <c r="E53" s="208"/>
      <c r="F53" s="208"/>
      <c r="G53" s="208"/>
      <c r="H53" s="208"/>
      <c r="I53" s="208"/>
      <c r="J53" s="208"/>
      <c r="K53" s="208"/>
      <c r="L53" s="208"/>
      <c r="M53" s="208"/>
      <c r="N53" s="208"/>
      <c r="O53" s="208"/>
      <c r="P53" s="208"/>
      <c r="Q53" s="208"/>
      <c r="R53" s="208"/>
    </row>
    <row r="54" spans="1:18" ht="15">
      <c r="A54" s="210"/>
      <c r="B54" s="210"/>
      <c r="C54" s="208"/>
      <c r="D54" s="208"/>
      <c r="E54" s="208"/>
      <c r="F54" s="208"/>
      <c r="G54" s="208"/>
      <c r="H54" s="208"/>
      <c r="Q54" s="208"/>
      <c r="R54" s="208"/>
    </row>
    <row r="55" spans="1:2" ht="15">
      <c r="A55" s="210"/>
      <c r="B55" s="210"/>
    </row>
    <row r="56" spans="1:2" ht="15">
      <c r="A56" s="210"/>
      <c r="B56" s="210"/>
    </row>
    <row r="57" spans="1:18" ht="15">
      <c r="A57" s="210"/>
      <c r="B57" s="210"/>
      <c r="Q57" s="208"/>
      <c r="R57" s="208"/>
    </row>
    <row r="58" spans="1:2" ht="15">
      <c r="A58" s="210"/>
      <c r="B58" s="210"/>
    </row>
    <row r="59" spans="1:18" ht="15">
      <c r="A59" s="210"/>
      <c r="B59" s="210"/>
      <c r="Q59" s="208"/>
      <c r="R59" s="208"/>
    </row>
    <row r="60" spans="1:2" ht="15">
      <c r="A60" s="210"/>
      <c r="B60" s="210"/>
    </row>
    <row r="61" spans="1:2" ht="15">
      <c r="A61" s="210"/>
      <c r="B61" s="210"/>
    </row>
    <row r="62" spans="1:2" ht="15">
      <c r="A62" s="210"/>
      <c r="B62" s="210"/>
    </row>
    <row r="63" spans="1:2" ht="15">
      <c r="A63" s="210"/>
      <c r="B63" s="210"/>
    </row>
    <row r="64" spans="1:2" ht="15">
      <c r="A64" s="210"/>
      <c r="B64" s="210"/>
    </row>
    <row r="65" spans="1:2" ht="15">
      <c r="A65" s="210"/>
      <c r="B65" s="210"/>
    </row>
    <row r="66" spans="1:2" ht="15">
      <c r="A66" s="210"/>
      <c r="B66" s="210"/>
    </row>
    <row r="67" spans="1:2" ht="15">
      <c r="A67" s="210"/>
      <c r="B67" s="210"/>
    </row>
    <row r="68" spans="1:2" ht="15">
      <c r="A68" s="210"/>
      <c r="B68" s="210"/>
    </row>
    <row r="69" spans="1:2" ht="15">
      <c r="A69" s="210"/>
      <c r="B69" s="210"/>
    </row>
    <row r="70" spans="1:2" ht="15">
      <c r="A70" s="210"/>
      <c r="B70" s="210"/>
    </row>
    <row r="71" spans="1:2" ht="15">
      <c r="A71" s="210"/>
      <c r="B71" s="210"/>
    </row>
    <row r="72" spans="1:2" ht="15">
      <c r="A72" s="210"/>
      <c r="B72" s="210"/>
    </row>
    <row r="73" spans="1:2" ht="15">
      <c r="A73" s="210"/>
      <c r="B73" s="210"/>
    </row>
    <row r="74" spans="1:2" ht="15">
      <c r="A74" s="210"/>
      <c r="B74" s="210"/>
    </row>
    <row r="75" spans="1:2" ht="15">
      <c r="A75" s="210"/>
      <c r="B75" s="210"/>
    </row>
    <row r="76" spans="1:2" ht="15">
      <c r="A76" s="210"/>
      <c r="B76" s="210"/>
    </row>
    <row r="77" spans="1:2" ht="15">
      <c r="A77" s="210"/>
      <c r="B77" s="210"/>
    </row>
    <row r="78" spans="1:2" ht="15">
      <c r="A78" s="210"/>
      <c r="B78" s="210"/>
    </row>
    <row r="79" spans="1:2" ht="15">
      <c r="A79" s="210"/>
      <c r="B79" s="210"/>
    </row>
    <row r="80" spans="1:2" ht="15">
      <c r="A80" s="210"/>
      <c r="B80" s="210"/>
    </row>
    <row r="81" spans="1:2" ht="15">
      <c r="A81" s="210"/>
      <c r="B81" s="210"/>
    </row>
    <row r="82" spans="1:2" ht="15">
      <c r="A82" s="210"/>
      <c r="B82" s="210"/>
    </row>
    <row r="83" spans="1:2" ht="15">
      <c r="A83" s="210"/>
      <c r="B83" s="210"/>
    </row>
    <row r="84" spans="1:2" ht="15">
      <c r="A84" s="210"/>
      <c r="B84" s="210"/>
    </row>
    <row r="85" spans="1:2" ht="15">
      <c r="A85" s="210"/>
      <c r="B85" s="210"/>
    </row>
    <row r="86" ht="15">
      <c r="A86" s="210"/>
    </row>
  </sheetData>
  <sheetProtection/>
  <mergeCells count="22">
    <mergeCell ref="A11:T11"/>
    <mergeCell ref="C13:C15"/>
    <mergeCell ref="A43:B43"/>
    <mergeCell ref="A38:B38"/>
    <mergeCell ref="A13:A15"/>
    <mergeCell ref="R43:T43"/>
    <mergeCell ref="E13:H13"/>
    <mergeCell ref="A45:B45"/>
    <mergeCell ref="I45:P45"/>
    <mergeCell ref="H14:H15"/>
    <mergeCell ref="I14:L14"/>
    <mergeCell ref="B13:B15"/>
    <mergeCell ref="Q3:U9"/>
    <mergeCell ref="Q10:V10"/>
    <mergeCell ref="F14:F15"/>
    <mergeCell ref="I13:U13"/>
    <mergeCell ref="N14:Q14"/>
    <mergeCell ref="E3:H9"/>
    <mergeCell ref="R14:U14"/>
    <mergeCell ref="E14:E15"/>
    <mergeCell ref="M14:M15"/>
    <mergeCell ref="M12:T12"/>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39" r:id="rId1"/>
  <rowBreaks count="1" manualBreakCount="1">
    <brk id="46" max="255" man="1"/>
  </rowBreaks>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7">
      <selection activeCell="J8" sqref="J8:O8"/>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451</v>
      </c>
      <c r="J1" s="499" t="s">
        <v>557</v>
      </c>
      <c r="K1"/>
      <c r="L1" s="13" t="s">
        <v>451</v>
      </c>
    </row>
    <row r="2" spans="2:15" ht="15.75">
      <c r="B2" s="15"/>
      <c r="C2" s="15"/>
      <c r="D2" s="15"/>
      <c r="E2" s="15"/>
      <c r="F2" s="15"/>
      <c r="G2" s="15"/>
      <c r="H2" s="15"/>
      <c r="I2" s="12" t="s">
        <v>444</v>
      </c>
      <c r="J2" s="12" t="s">
        <v>444</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17" t="s">
        <v>586</v>
      </c>
      <c r="K6" s="17"/>
      <c r="L6" s="207"/>
      <c r="M6" s="12"/>
      <c r="N6" s="12"/>
      <c r="O6" s="12"/>
    </row>
    <row r="7" spans="2:15" ht="15.75" customHeight="1">
      <c r="B7" s="15"/>
      <c r="C7" s="15"/>
      <c r="D7" s="15"/>
      <c r="E7" s="15"/>
      <c r="F7" s="15"/>
      <c r="G7" s="15"/>
      <c r="H7" s="16"/>
      <c r="I7" s="12" t="s">
        <v>454</v>
      </c>
      <c r="J7" s="620" t="s">
        <v>601</v>
      </c>
      <c r="K7" s="620"/>
      <c r="L7" s="620"/>
      <c r="M7" s="620"/>
      <c r="N7" s="620"/>
      <c r="O7" s="620"/>
    </row>
    <row r="8" spans="2:15" ht="15.75" customHeight="1">
      <c r="B8" s="15"/>
      <c r="C8" s="15"/>
      <c r="D8" s="15"/>
      <c r="E8" s="15"/>
      <c r="F8" s="15"/>
      <c r="G8" s="15"/>
      <c r="H8" s="16"/>
      <c r="I8" s="12"/>
      <c r="J8" s="620" t="s">
        <v>627</v>
      </c>
      <c r="K8" s="620"/>
      <c r="L8" s="620"/>
      <c r="M8" s="620"/>
      <c r="N8" s="620"/>
      <c r="O8" s="620"/>
    </row>
    <row r="9" spans="2:12" ht="15.75">
      <c r="B9" s="15"/>
      <c r="C9" s="15"/>
      <c r="D9" s="15"/>
      <c r="E9" s="15"/>
      <c r="F9" s="15"/>
      <c r="G9" s="15"/>
      <c r="H9" s="15"/>
      <c r="I9" s="15"/>
      <c r="J9" s="15"/>
      <c r="K9" s="15"/>
      <c r="L9" s="15"/>
    </row>
    <row r="10" spans="2:12" ht="38.25" customHeight="1">
      <c r="B10" s="621" t="s">
        <v>398</v>
      </c>
      <c r="C10" s="621"/>
      <c r="D10" s="621"/>
      <c r="E10" s="621"/>
      <c r="F10" s="621"/>
      <c r="G10" s="621"/>
      <c r="H10" s="621"/>
      <c r="I10" s="621"/>
      <c r="J10" s="621"/>
      <c r="K10" s="621"/>
      <c r="L10" s="15"/>
    </row>
    <row r="11" spans="2:12" ht="15.75">
      <c r="B11" s="15"/>
      <c r="C11" s="15"/>
      <c r="D11" s="626"/>
      <c r="E11" s="626"/>
      <c r="F11" s="626"/>
      <c r="G11" s="626"/>
      <c r="H11" s="626"/>
      <c r="I11" s="15"/>
      <c r="J11" s="15"/>
      <c r="K11" s="34" t="s">
        <v>113</v>
      </c>
      <c r="L11" s="15"/>
    </row>
    <row r="12" spans="1:12" ht="15.75" customHeight="1">
      <c r="A12" s="622" t="s">
        <v>461</v>
      </c>
      <c r="B12" s="622" t="s">
        <v>445</v>
      </c>
      <c r="C12" s="622" t="s">
        <v>446</v>
      </c>
      <c r="D12" s="622" t="s">
        <v>103</v>
      </c>
      <c r="E12" s="627" t="s">
        <v>442</v>
      </c>
      <c r="F12" s="627"/>
      <c r="G12" s="627"/>
      <c r="H12" s="627"/>
      <c r="I12" s="627"/>
      <c r="J12" s="657"/>
      <c r="K12" s="625" t="s">
        <v>448</v>
      </c>
      <c r="L12" s="15"/>
    </row>
    <row r="13" spans="1:12" ht="15.75">
      <c r="A13" s="623"/>
      <c r="B13" s="623"/>
      <c r="C13" s="623"/>
      <c r="D13" s="623"/>
      <c r="E13" s="622">
        <v>2022</v>
      </c>
      <c r="F13" s="622">
        <v>2023</v>
      </c>
      <c r="G13" s="622" t="s">
        <v>457</v>
      </c>
      <c r="H13" s="622" t="s">
        <v>458</v>
      </c>
      <c r="I13" s="622" t="s">
        <v>459</v>
      </c>
      <c r="J13" s="625">
        <v>2024</v>
      </c>
      <c r="K13" s="625"/>
      <c r="L13" s="15"/>
    </row>
    <row r="14" spans="1:12" ht="15.75">
      <c r="A14" s="624"/>
      <c r="B14" s="624"/>
      <c r="C14" s="624"/>
      <c r="D14" s="624"/>
      <c r="E14" s="624"/>
      <c r="F14" s="624"/>
      <c r="G14" s="624"/>
      <c r="H14" s="624"/>
      <c r="I14" s="624"/>
      <c r="J14" s="625"/>
      <c r="K14" s="625"/>
      <c r="L14" s="15"/>
    </row>
    <row r="15" spans="1:12" ht="28.5" customHeight="1">
      <c r="A15" s="615">
        <v>1</v>
      </c>
      <c r="B15" s="615" t="s">
        <v>503</v>
      </c>
      <c r="C15" s="615" t="s">
        <v>191</v>
      </c>
      <c r="D15" s="736">
        <f>E15+F15+J15</f>
        <v>670</v>
      </c>
      <c r="E15" s="733">
        <f>300-190</f>
        <v>110</v>
      </c>
      <c r="F15" s="738">
        <f>320-100</f>
        <v>220</v>
      </c>
      <c r="G15" s="91"/>
      <c r="H15" s="91"/>
      <c r="I15" s="91"/>
      <c r="J15" s="733">
        <v>340</v>
      </c>
      <c r="K15" s="615" t="s">
        <v>40</v>
      </c>
      <c r="L15" s="15"/>
    </row>
    <row r="16" spans="1:14" ht="21" customHeight="1">
      <c r="A16" s="617"/>
      <c r="B16" s="617"/>
      <c r="C16" s="617"/>
      <c r="D16" s="737"/>
      <c r="E16" s="734"/>
      <c r="F16" s="739"/>
      <c r="G16" s="91"/>
      <c r="H16" s="91"/>
      <c r="I16" s="91"/>
      <c r="J16" s="734"/>
      <c r="K16" s="617"/>
      <c r="L16" s="15"/>
      <c r="N16" s="50">
        <v>441</v>
      </c>
    </row>
    <row r="17" spans="1:14" ht="44.25" customHeight="1" hidden="1">
      <c r="A17" s="188">
        <v>2</v>
      </c>
      <c r="B17" s="60" t="s">
        <v>164</v>
      </c>
      <c r="C17" s="35" t="s">
        <v>155</v>
      </c>
      <c r="D17" s="90">
        <f>SUM(E17:J17)</f>
        <v>2000</v>
      </c>
      <c r="E17" s="92"/>
      <c r="F17" s="91"/>
      <c r="G17" s="91"/>
      <c r="H17" s="91"/>
      <c r="I17" s="91"/>
      <c r="J17" s="91">
        <v>2000</v>
      </c>
      <c r="K17" s="188" t="s">
        <v>460</v>
      </c>
      <c r="L17" s="15"/>
      <c r="N17" s="50"/>
    </row>
    <row r="18" spans="1:14" ht="44.25" customHeight="1" hidden="1">
      <c r="A18" s="188">
        <v>3</v>
      </c>
      <c r="B18" s="60" t="s">
        <v>165</v>
      </c>
      <c r="C18" s="35" t="s">
        <v>155</v>
      </c>
      <c r="D18" s="90">
        <f>SUM(E18:J18)</f>
        <v>6000</v>
      </c>
      <c r="E18" s="92"/>
      <c r="F18" s="91"/>
      <c r="G18" s="91"/>
      <c r="H18" s="91"/>
      <c r="I18" s="91"/>
      <c r="J18" s="91">
        <v>6000</v>
      </c>
      <c r="K18" s="188" t="s">
        <v>460</v>
      </c>
      <c r="L18" s="15"/>
      <c r="N18" s="50"/>
    </row>
    <row r="19" spans="1:14" ht="150">
      <c r="A19" s="188">
        <v>2</v>
      </c>
      <c r="B19" s="60" t="s">
        <v>608</v>
      </c>
      <c r="C19" s="35" t="s">
        <v>191</v>
      </c>
      <c r="D19" s="90">
        <f>SUM(E19:J19)</f>
        <v>435</v>
      </c>
      <c r="E19" s="92"/>
      <c r="F19" s="91">
        <f>100+235+100</f>
        <v>435</v>
      </c>
      <c r="G19" s="91"/>
      <c r="H19" s="91"/>
      <c r="I19" s="91"/>
      <c r="J19" s="91"/>
      <c r="K19" s="188" t="s">
        <v>460</v>
      </c>
      <c r="L19" s="15"/>
      <c r="N19" s="50"/>
    </row>
    <row r="20" spans="1:14" ht="131.25">
      <c r="A20" s="188">
        <v>3</v>
      </c>
      <c r="B20" s="60" t="s">
        <v>623</v>
      </c>
      <c r="C20" s="35" t="s">
        <v>191</v>
      </c>
      <c r="D20" s="90">
        <f>SUM(E20:J20)</f>
        <v>150</v>
      </c>
      <c r="E20" s="92"/>
      <c r="F20" s="91">
        <v>150</v>
      </c>
      <c r="G20" s="91"/>
      <c r="H20" s="91"/>
      <c r="I20" s="91"/>
      <c r="J20" s="91"/>
      <c r="K20" s="188" t="s">
        <v>460</v>
      </c>
      <c r="L20" s="15"/>
      <c r="N20" s="50"/>
    </row>
    <row r="21" spans="1:12" ht="23.25" customHeight="1">
      <c r="A21" s="64"/>
      <c r="B21" s="55" t="s">
        <v>439</v>
      </c>
      <c r="C21" s="65"/>
      <c r="D21" s="90">
        <f>D15+D19+D20</f>
        <v>1255</v>
      </c>
      <c r="E21" s="90">
        <f aca="true" t="shared" si="0" ref="E21:J21">E15+E19+E20</f>
        <v>110</v>
      </c>
      <c r="F21" s="90">
        <f t="shared" si="0"/>
        <v>805</v>
      </c>
      <c r="G21" s="90">
        <f t="shared" si="0"/>
        <v>0</v>
      </c>
      <c r="H21" s="90">
        <f t="shared" si="0"/>
        <v>0</v>
      </c>
      <c r="I21" s="90">
        <f t="shared" si="0"/>
        <v>0</v>
      </c>
      <c r="J21" s="90">
        <f t="shared" si="0"/>
        <v>340</v>
      </c>
      <c r="K21" s="66"/>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48"/>
      <c r="C26" s="49"/>
      <c r="E26" s="19"/>
      <c r="F26" s="19"/>
      <c r="G26" s="19"/>
      <c r="H26" s="19"/>
      <c r="I26" s="19"/>
      <c r="J26" s="19"/>
      <c r="K26" s="49"/>
      <c r="L26" s="15"/>
    </row>
    <row r="27" spans="2:12" ht="21" customHeight="1">
      <c r="B27" s="694" t="s">
        <v>450</v>
      </c>
      <c r="C27" s="694"/>
      <c r="D27" s="221"/>
      <c r="E27" s="22"/>
      <c r="F27" s="22"/>
      <c r="G27" s="16"/>
      <c r="H27" s="16"/>
      <c r="I27" s="16"/>
      <c r="J27" s="23"/>
      <c r="K27" s="83" t="s">
        <v>578</v>
      </c>
      <c r="L27" s="23"/>
    </row>
    <row r="28" spans="2:12" ht="13.5" customHeight="1">
      <c r="B28" s="221"/>
      <c r="C28" s="221"/>
      <c r="D28" s="221"/>
      <c r="E28" s="22"/>
      <c r="F28" s="22"/>
      <c r="G28" s="16"/>
      <c r="H28" s="16"/>
      <c r="I28" s="16"/>
      <c r="J28" s="23"/>
      <c r="K28" s="23"/>
      <c r="L28" s="23"/>
    </row>
    <row r="29" spans="2:11" ht="18.75">
      <c r="B29" s="700" t="s">
        <v>582</v>
      </c>
      <c r="C29" s="700"/>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J8:O8"/>
    <mergeCell ref="I13:I14"/>
    <mergeCell ref="J13:J14"/>
    <mergeCell ref="A12:A14"/>
    <mergeCell ref="B12:B14"/>
    <mergeCell ref="C12:C14"/>
    <mergeCell ref="D12:D14"/>
    <mergeCell ref="D11:H11"/>
    <mergeCell ref="E12:J12"/>
    <mergeCell ref="H13:H14"/>
    <mergeCell ref="A15:A16"/>
    <mergeCell ref="B15:B16"/>
    <mergeCell ref="J7:O7"/>
    <mergeCell ref="K15:K16"/>
    <mergeCell ref="J15:J16"/>
    <mergeCell ref="F13:F14"/>
    <mergeCell ref="B10:K10"/>
    <mergeCell ref="K12:K14"/>
    <mergeCell ref="E13:E14"/>
    <mergeCell ref="G13:G14"/>
    <mergeCell ref="B27:C27"/>
    <mergeCell ref="B29:C29"/>
    <mergeCell ref="C15:C16"/>
    <mergeCell ref="D15:D16"/>
    <mergeCell ref="E15:E16"/>
    <mergeCell ref="F15:F16"/>
  </mergeCells>
  <printOptions horizontalCentered="1"/>
  <pageMargins left="0" right="0" top="1.1811023622047245" bottom="0" header="0" footer="0"/>
  <pageSetup fitToHeight="1" fitToWidth="1" horizontalDpi="600" verticalDpi="600" orientation="landscape" paperSize="9" scale="71" r:id="rId1"/>
</worksheet>
</file>

<file path=xl/worksheets/sheet21.xml><?xml version="1.0" encoding="utf-8"?>
<worksheet xmlns="http://schemas.openxmlformats.org/spreadsheetml/2006/main" xmlns:r="http://schemas.openxmlformats.org/officeDocument/2006/relationships">
  <sheetPr>
    <tabColor theme="6" tint="0.5999900102615356"/>
    <pageSetUpPr fitToPage="1"/>
  </sheetPr>
  <dimension ref="A1:L67"/>
  <sheetViews>
    <sheetView tabSelected="1" view="pageBreakPreview" zoomScale="90" zoomScaleSheetLayoutView="90" zoomScalePageLayoutView="0" workbookViewId="0" topLeftCell="A1">
      <selection activeCell="E16" sqref="E16"/>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00" t="s">
        <v>374</v>
      </c>
    </row>
    <row r="2" spans="2:12" ht="15.75">
      <c r="B2" s="15"/>
      <c r="C2" s="15"/>
      <c r="D2" s="15"/>
      <c r="E2" s="15"/>
      <c r="F2" s="15"/>
      <c r="G2" s="12" t="s">
        <v>444</v>
      </c>
      <c r="H2" s="12"/>
      <c r="I2" s="15"/>
      <c r="J2" s="12"/>
      <c r="K2" s="12"/>
      <c r="L2" s="12"/>
    </row>
    <row r="3" spans="2:12" ht="15.75">
      <c r="B3" s="15"/>
      <c r="C3" s="15"/>
      <c r="D3" s="15"/>
      <c r="E3" s="15"/>
      <c r="F3" s="15"/>
      <c r="G3" s="12" t="s">
        <v>594</v>
      </c>
      <c r="H3" s="12"/>
      <c r="I3" s="15"/>
      <c r="J3" s="12"/>
      <c r="K3" s="12"/>
      <c r="L3" s="12"/>
    </row>
    <row r="4" spans="2:12" ht="15.75">
      <c r="B4" s="15"/>
      <c r="C4" s="15"/>
      <c r="D4" s="15"/>
      <c r="E4" s="15"/>
      <c r="F4" s="15"/>
      <c r="G4" s="17" t="s">
        <v>158</v>
      </c>
      <c r="H4" s="17"/>
      <c r="I4" s="15"/>
      <c r="J4" s="12"/>
      <c r="K4" s="12"/>
      <c r="L4" s="12"/>
    </row>
    <row r="5" spans="2:12" ht="15.75">
      <c r="B5" s="15"/>
      <c r="C5" s="15"/>
      <c r="D5" s="15"/>
      <c r="E5" s="15"/>
      <c r="F5" s="15"/>
      <c r="G5" s="17" t="s">
        <v>355</v>
      </c>
      <c r="H5" s="17"/>
      <c r="I5" s="15"/>
      <c r="J5" s="12"/>
      <c r="K5" s="12"/>
      <c r="L5" s="12"/>
    </row>
    <row r="6" spans="2:12" ht="15.75">
      <c r="B6" s="15"/>
      <c r="C6" s="15"/>
      <c r="D6" s="15"/>
      <c r="E6" s="15"/>
      <c r="F6" s="15"/>
      <c r="G6" s="17" t="s">
        <v>586</v>
      </c>
      <c r="H6" s="17"/>
      <c r="I6" s="207"/>
      <c r="J6" s="12"/>
      <c r="K6" s="12"/>
      <c r="L6" s="12"/>
    </row>
    <row r="7" spans="2:12" ht="15.75" customHeight="1">
      <c r="B7" s="15"/>
      <c r="C7" s="15"/>
      <c r="D7" s="15"/>
      <c r="E7" s="15"/>
      <c r="F7" s="15"/>
      <c r="G7" s="620" t="s">
        <v>601</v>
      </c>
      <c r="H7" s="620"/>
      <c r="I7" s="620"/>
      <c r="J7" s="620"/>
      <c r="K7" s="620"/>
      <c r="L7" s="620"/>
    </row>
    <row r="8" spans="2:12" ht="26.25" customHeight="1">
      <c r="B8" s="15"/>
      <c r="C8" s="15"/>
      <c r="D8" s="15"/>
      <c r="E8" s="15"/>
      <c r="F8" s="15"/>
      <c r="G8" s="620" t="s">
        <v>628</v>
      </c>
      <c r="H8" s="620"/>
      <c r="I8" s="620"/>
      <c r="J8" s="620"/>
      <c r="K8" s="620"/>
      <c r="L8" s="620"/>
    </row>
    <row r="9" spans="2:8" ht="11.25" customHeight="1">
      <c r="B9" s="15"/>
      <c r="C9" s="15"/>
      <c r="D9" s="15"/>
      <c r="E9" s="15"/>
      <c r="F9" s="15"/>
      <c r="H9" s="15"/>
    </row>
    <row r="10" spans="2:8" ht="16.5" customHeight="1">
      <c r="B10" s="650" t="s">
        <v>399</v>
      </c>
      <c r="C10" s="650"/>
      <c r="D10" s="650"/>
      <c r="E10" s="650"/>
      <c r="F10" s="650"/>
      <c r="G10" s="650"/>
      <c r="H10" s="650"/>
    </row>
    <row r="11" spans="2:8" ht="4.5" customHeight="1">
      <c r="B11" s="15"/>
      <c r="C11" s="15"/>
      <c r="D11" s="626"/>
      <c r="E11" s="626"/>
      <c r="F11" s="626"/>
      <c r="G11" s="15"/>
      <c r="H11" s="15"/>
    </row>
    <row r="12" spans="1:8" ht="20.25" customHeight="1">
      <c r="A12" s="625" t="s">
        <v>461</v>
      </c>
      <c r="B12" s="657" t="s">
        <v>445</v>
      </c>
      <c r="C12" s="622" t="s">
        <v>446</v>
      </c>
      <c r="D12" s="622" t="s">
        <v>447</v>
      </c>
      <c r="E12" s="627" t="s">
        <v>442</v>
      </c>
      <c r="F12" s="627"/>
      <c r="G12" s="657"/>
      <c r="H12" s="625" t="s">
        <v>448</v>
      </c>
    </row>
    <row r="13" spans="1:8" ht="45" customHeight="1">
      <c r="A13" s="625"/>
      <c r="B13" s="755"/>
      <c r="C13" s="623"/>
      <c r="D13" s="623"/>
      <c r="E13" s="651">
        <v>2022</v>
      </c>
      <c r="F13" s="651">
        <v>2023</v>
      </c>
      <c r="G13" s="651">
        <v>2024</v>
      </c>
      <c r="H13" s="625"/>
    </row>
    <row r="14" spans="1:8" ht="1.5" customHeight="1">
      <c r="A14" s="625"/>
      <c r="B14" s="714"/>
      <c r="C14" s="624"/>
      <c r="D14" s="624"/>
      <c r="E14" s="652"/>
      <c r="F14" s="652"/>
      <c r="G14" s="652"/>
      <c r="H14" s="625"/>
    </row>
    <row r="15" spans="1:8" s="260" customFormat="1" ht="39.75" customHeight="1">
      <c r="A15" s="316"/>
      <c r="B15" s="307" t="s">
        <v>193</v>
      </c>
      <c r="C15" s="305"/>
      <c r="D15" s="518">
        <f>E15+F15+G15</f>
        <v>435576.27999999997</v>
      </c>
      <c r="E15" s="519">
        <f>E16+E23+E29+E31+E30</f>
        <v>12983.3</v>
      </c>
      <c r="F15" s="519">
        <f>F16+F23+F29+F31+F30+F32</f>
        <v>345022.98</v>
      </c>
      <c r="G15" s="519">
        <f>G16+G23+G29+G31+G30+G32</f>
        <v>77570</v>
      </c>
      <c r="H15" s="277"/>
    </row>
    <row r="16" spans="1:8" ht="33" customHeight="1">
      <c r="A16" s="317" t="s">
        <v>279</v>
      </c>
      <c r="B16" s="342" t="s">
        <v>197</v>
      </c>
      <c r="C16" s="35" t="s">
        <v>191</v>
      </c>
      <c r="D16" s="523">
        <f aca="true" t="shared" si="0" ref="D16:D28">E16+F16+G16</f>
        <v>38236.100000000006</v>
      </c>
      <c r="E16" s="522">
        <f>21400-10000-8423.8-240.1-600</f>
        <v>2136.100000000001</v>
      </c>
      <c r="F16" s="522">
        <f>22500-5000</f>
        <v>17500</v>
      </c>
      <c r="G16" s="522">
        <f>23600-5000</f>
        <v>18600</v>
      </c>
      <c r="H16" s="615" t="s">
        <v>40</v>
      </c>
    </row>
    <row r="17" spans="1:8" s="258" customFormat="1" ht="81.75" customHeight="1" hidden="1">
      <c r="A17" s="317" t="s">
        <v>41</v>
      </c>
      <c r="B17" s="308" t="s">
        <v>200</v>
      </c>
      <c r="C17" s="35" t="str">
        <f aca="true" t="shared" si="1" ref="C17:C22">$C$16</f>
        <v>Бюджет ТГ</v>
      </c>
      <c r="D17" s="523">
        <f t="shared" si="0"/>
        <v>0</v>
      </c>
      <c r="E17" s="522"/>
      <c r="F17" s="522"/>
      <c r="G17" s="525"/>
      <c r="H17" s="616"/>
    </row>
    <row r="18" spans="1:8" s="258" customFormat="1" ht="99" customHeight="1" hidden="1">
      <c r="A18" s="317" t="s">
        <v>45</v>
      </c>
      <c r="B18" s="309" t="s">
        <v>201</v>
      </c>
      <c r="C18" s="35" t="str">
        <f t="shared" si="1"/>
        <v>Бюджет ТГ</v>
      </c>
      <c r="D18" s="523">
        <f t="shared" si="0"/>
        <v>0</v>
      </c>
      <c r="E18" s="522"/>
      <c r="F18" s="522"/>
      <c r="G18" s="525"/>
      <c r="H18" s="616"/>
    </row>
    <row r="19" spans="1:8" s="258" customFormat="1" ht="57" customHeight="1" hidden="1">
      <c r="A19" s="317" t="s">
        <v>46</v>
      </c>
      <c r="B19" s="306" t="s">
        <v>202</v>
      </c>
      <c r="C19" s="61" t="str">
        <f t="shared" si="1"/>
        <v>Бюджет ТГ</v>
      </c>
      <c r="D19" s="523">
        <f t="shared" si="0"/>
        <v>0</v>
      </c>
      <c r="E19" s="522"/>
      <c r="F19" s="522"/>
      <c r="G19" s="526"/>
      <c r="H19" s="616"/>
    </row>
    <row r="20" spans="1:8" s="258" customFormat="1" ht="57" customHeight="1" hidden="1">
      <c r="A20" s="317" t="s">
        <v>47</v>
      </c>
      <c r="B20" s="308" t="s">
        <v>203</v>
      </c>
      <c r="C20" s="61" t="str">
        <f t="shared" si="1"/>
        <v>Бюджет ТГ</v>
      </c>
      <c r="D20" s="523">
        <f t="shared" si="0"/>
        <v>0</v>
      </c>
      <c r="E20" s="521"/>
      <c r="F20" s="521"/>
      <c r="G20" s="523"/>
      <c r="H20" s="616"/>
    </row>
    <row r="21" spans="1:8" s="258" customFormat="1" ht="66.75" customHeight="1" hidden="1">
      <c r="A21" s="317" t="s">
        <v>48</v>
      </c>
      <c r="B21" s="311" t="s">
        <v>204</v>
      </c>
      <c r="C21" s="196" t="str">
        <f t="shared" si="1"/>
        <v>Бюджет ТГ</v>
      </c>
      <c r="D21" s="523">
        <f t="shared" si="0"/>
        <v>0</v>
      </c>
      <c r="E21" s="522"/>
      <c r="F21" s="522"/>
      <c r="G21" s="525"/>
      <c r="H21" s="616"/>
    </row>
    <row r="22" spans="1:8" s="258" customFormat="1" ht="57.75" customHeight="1" hidden="1">
      <c r="A22" s="317" t="s">
        <v>49</v>
      </c>
      <c r="B22" s="311" t="s">
        <v>250</v>
      </c>
      <c r="C22" s="196" t="str">
        <f t="shared" si="1"/>
        <v>Бюджет ТГ</v>
      </c>
      <c r="D22" s="523">
        <f t="shared" si="0"/>
        <v>0</v>
      </c>
      <c r="E22" s="522"/>
      <c r="F22" s="522"/>
      <c r="G22" s="525"/>
      <c r="H22" s="616"/>
    </row>
    <row r="23" spans="1:8" ht="27.75" customHeight="1">
      <c r="A23" s="317" t="s">
        <v>169</v>
      </c>
      <c r="B23" s="343" t="s">
        <v>194</v>
      </c>
      <c r="C23" s="195" t="s">
        <v>191</v>
      </c>
      <c r="D23" s="523">
        <f t="shared" si="0"/>
        <v>2870</v>
      </c>
      <c r="E23" s="522">
        <f>1333.8-1333.8</f>
        <v>0</v>
      </c>
      <c r="F23" s="522">
        <v>1400</v>
      </c>
      <c r="G23" s="525">
        <v>1470</v>
      </c>
      <c r="H23" s="616"/>
    </row>
    <row r="24" spans="1:8" ht="56.25" customHeight="1" hidden="1">
      <c r="A24" s="317" t="s">
        <v>81</v>
      </c>
      <c r="B24" s="310" t="s">
        <v>205</v>
      </c>
      <c r="C24" s="195" t="s">
        <v>191</v>
      </c>
      <c r="D24" s="523">
        <f t="shared" si="0"/>
        <v>250</v>
      </c>
      <c r="E24" s="522">
        <v>250</v>
      </c>
      <c r="F24" s="522"/>
      <c r="G24" s="525"/>
      <c r="H24" s="616"/>
    </row>
    <row r="25" spans="1:8" ht="57" customHeight="1" hidden="1">
      <c r="A25" s="317" t="s">
        <v>100</v>
      </c>
      <c r="B25" s="310" t="s">
        <v>206</v>
      </c>
      <c r="C25" s="195" t="s">
        <v>191</v>
      </c>
      <c r="D25" s="523">
        <f t="shared" si="0"/>
        <v>250</v>
      </c>
      <c r="E25" s="522">
        <v>250</v>
      </c>
      <c r="F25" s="522"/>
      <c r="G25" s="525"/>
      <c r="H25" s="616"/>
    </row>
    <row r="26" spans="1:8" ht="56.25" customHeight="1" hidden="1">
      <c r="A26" s="317" t="s">
        <v>108</v>
      </c>
      <c r="B26" s="310" t="s">
        <v>207</v>
      </c>
      <c r="C26" s="195" t="s">
        <v>191</v>
      </c>
      <c r="D26" s="523">
        <f t="shared" si="0"/>
        <v>250</v>
      </c>
      <c r="E26" s="522">
        <v>250</v>
      </c>
      <c r="F26" s="522"/>
      <c r="G26" s="525"/>
      <c r="H26" s="616"/>
    </row>
    <row r="27" spans="1:8" ht="57.75" customHeight="1" hidden="1">
      <c r="A27" s="317" t="s">
        <v>109</v>
      </c>
      <c r="B27" s="310" t="s">
        <v>208</v>
      </c>
      <c r="C27" s="195" t="s">
        <v>191</v>
      </c>
      <c r="D27" s="523">
        <f t="shared" si="0"/>
        <v>250</v>
      </c>
      <c r="E27" s="522">
        <v>250</v>
      </c>
      <c r="F27" s="522"/>
      <c r="G27" s="525"/>
      <c r="H27" s="616"/>
    </row>
    <row r="28" spans="1:8" ht="55.5" customHeight="1" hidden="1">
      <c r="A28" s="317" t="s">
        <v>110</v>
      </c>
      <c r="B28" s="310" t="s">
        <v>209</v>
      </c>
      <c r="C28" s="195" t="s">
        <v>191</v>
      </c>
      <c r="D28" s="523">
        <f t="shared" si="0"/>
        <v>250</v>
      </c>
      <c r="E28" s="522">
        <v>250</v>
      </c>
      <c r="F28" s="522"/>
      <c r="G28" s="525"/>
      <c r="H28" s="616"/>
    </row>
    <row r="29" spans="1:8" ht="29.25" customHeight="1">
      <c r="A29" s="751" t="s">
        <v>157</v>
      </c>
      <c r="B29" s="753" t="s">
        <v>195</v>
      </c>
      <c r="C29" s="195" t="s">
        <v>191</v>
      </c>
      <c r="D29" s="523">
        <f>E29+F29+G29</f>
        <v>110755.1</v>
      </c>
      <c r="E29" s="522">
        <f>15000+35000-39744.9</f>
        <v>10255.099999999999</v>
      </c>
      <c r="F29" s="522">
        <f>10000+40000</f>
        <v>50000</v>
      </c>
      <c r="G29" s="525">
        <f>10500+40000</f>
        <v>50500</v>
      </c>
      <c r="H29" s="616"/>
    </row>
    <row r="30" spans="1:8" ht="38.25" customHeight="1">
      <c r="A30" s="752"/>
      <c r="B30" s="754"/>
      <c r="C30" s="195" t="s">
        <v>470</v>
      </c>
      <c r="D30" s="523">
        <f aca="true" t="shared" si="2" ref="D30:D56">E30+F30+G30</f>
        <v>215622.98</v>
      </c>
      <c r="E30" s="522">
        <v>0</v>
      </c>
      <c r="F30" s="522">
        <f>200000+15622.98</f>
        <v>215622.98</v>
      </c>
      <c r="G30" s="525"/>
      <c r="H30" s="616"/>
    </row>
    <row r="31" spans="1:8" ht="40.5" customHeight="1">
      <c r="A31" s="317" t="s">
        <v>339</v>
      </c>
      <c r="B31" s="310" t="s">
        <v>340</v>
      </c>
      <c r="C31" s="195" t="s">
        <v>191</v>
      </c>
      <c r="D31" s="523">
        <f t="shared" si="2"/>
        <v>14592.1</v>
      </c>
      <c r="E31" s="522">
        <f>7500-6907.9</f>
        <v>592.1000000000004</v>
      </c>
      <c r="F31" s="522">
        <v>7000</v>
      </c>
      <c r="G31" s="525">
        <v>7000</v>
      </c>
      <c r="H31" s="617"/>
    </row>
    <row r="32" spans="1:8" ht="56.25">
      <c r="A32" s="317" t="s">
        <v>183</v>
      </c>
      <c r="B32" s="310" t="s">
        <v>376</v>
      </c>
      <c r="C32" s="195" t="s">
        <v>35</v>
      </c>
      <c r="D32" s="523">
        <f t="shared" si="2"/>
        <v>53500</v>
      </c>
      <c r="E32" s="522"/>
      <c r="F32" s="522">
        <f>0+53500</f>
        <v>53500</v>
      </c>
      <c r="G32" s="525"/>
      <c r="H32" s="188"/>
    </row>
    <row r="33" spans="1:10" s="260" customFormat="1" ht="48.75" customHeight="1">
      <c r="A33" s="319"/>
      <c r="B33" s="312" t="s">
        <v>196</v>
      </c>
      <c r="C33" s="273"/>
      <c r="D33" s="518">
        <f>E33+F33+G33</f>
        <v>110978</v>
      </c>
      <c r="E33" s="519">
        <f>E34+E42+E49+E51</f>
        <v>4778</v>
      </c>
      <c r="F33" s="519">
        <f>F34+F42+F49+F51</f>
        <v>56900</v>
      </c>
      <c r="G33" s="519">
        <f>G34+G42+G49+G51</f>
        <v>49300</v>
      </c>
      <c r="H33" s="305"/>
      <c r="J33" s="335"/>
    </row>
    <row r="34" spans="1:8" ht="37.5" customHeight="1">
      <c r="A34" s="317" t="s">
        <v>184</v>
      </c>
      <c r="B34" s="344" t="s">
        <v>197</v>
      </c>
      <c r="C34" s="195" t="s">
        <v>191</v>
      </c>
      <c r="D34" s="523">
        <f t="shared" si="2"/>
        <v>18791</v>
      </c>
      <c r="E34" s="524">
        <f>7000-5709</f>
        <v>1291</v>
      </c>
      <c r="F34" s="524">
        <f>7500+2000</f>
        <v>9500</v>
      </c>
      <c r="G34" s="525">
        <v>8000</v>
      </c>
      <c r="H34" s="615" t="s">
        <v>40</v>
      </c>
    </row>
    <row r="35" spans="1:8" ht="60" customHeight="1" hidden="1">
      <c r="A35" s="317" t="s">
        <v>127</v>
      </c>
      <c r="B35" s="313" t="s">
        <v>172</v>
      </c>
      <c r="C35" s="195" t="s">
        <v>191</v>
      </c>
      <c r="D35" s="523">
        <f t="shared" si="2"/>
        <v>1499.9</v>
      </c>
      <c r="E35" s="522">
        <v>1499.9</v>
      </c>
      <c r="F35" s="524"/>
      <c r="G35" s="525"/>
      <c r="H35" s="616"/>
    </row>
    <row r="36" spans="1:8" ht="51" customHeight="1" hidden="1">
      <c r="A36" s="317" t="s">
        <v>180</v>
      </c>
      <c r="B36" s="314" t="s">
        <v>210</v>
      </c>
      <c r="C36" s="195" t="s">
        <v>191</v>
      </c>
      <c r="D36" s="523">
        <f t="shared" si="2"/>
        <v>2000</v>
      </c>
      <c r="E36" s="522">
        <v>2000</v>
      </c>
      <c r="F36" s="524"/>
      <c r="G36" s="525"/>
      <c r="H36" s="616"/>
    </row>
    <row r="37" spans="1:8" ht="60.75" customHeight="1" hidden="1">
      <c r="A37" s="317" t="s">
        <v>181</v>
      </c>
      <c r="B37" s="315" t="s">
        <v>251</v>
      </c>
      <c r="C37" s="195" t="s">
        <v>191</v>
      </c>
      <c r="D37" s="523">
        <f t="shared" si="2"/>
        <v>1800</v>
      </c>
      <c r="E37" s="522">
        <v>1800</v>
      </c>
      <c r="F37" s="524"/>
      <c r="G37" s="525"/>
      <c r="H37" s="616"/>
    </row>
    <row r="38" spans="1:8" ht="60.75" customHeight="1" hidden="1">
      <c r="A38" s="317" t="s">
        <v>182</v>
      </c>
      <c r="B38" s="315" t="s">
        <v>252</v>
      </c>
      <c r="C38" s="195" t="s">
        <v>191</v>
      </c>
      <c r="D38" s="523">
        <f t="shared" si="2"/>
        <v>600</v>
      </c>
      <c r="E38" s="522">
        <v>600</v>
      </c>
      <c r="F38" s="524"/>
      <c r="G38" s="525"/>
      <c r="H38" s="616"/>
    </row>
    <row r="39" spans="1:8" ht="51" customHeight="1" hidden="1">
      <c r="A39" s="317" t="s">
        <v>283</v>
      </c>
      <c r="B39" s="315" t="s">
        <v>253</v>
      </c>
      <c r="C39" s="195" t="s">
        <v>191</v>
      </c>
      <c r="D39" s="523">
        <f t="shared" si="2"/>
        <v>304.6</v>
      </c>
      <c r="E39" s="522">
        <v>304.6</v>
      </c>
      <c r="F39" s="524"/>
      <c r="G39" s="525"/>
      <c r="H39" s="616"/>
    </row>
    <row r="40" spans="1:8" ht="58.5" customHeight="1" hidden="1">
      <c r="A40" s="317" t="s">
        <v>284</v>
      </c>
      <c r="B40" s="315" t="s">
        <v>254</v>
      </c>
      <c r="C40" s="195" t="s">
        <v>191</v>
      </c>
      <c r="D40" s="523">
        <f t="shared" si="2"/>
        <v>388.7</v>
      </c>
      <c r="E40" s="522">
        <v>388.7</v>
      </c>
      <c r="F40" s="524"/>
      <c r="G40" s="525"/>
      <c r="H40" s="616"/>
    </row>
    <row r="41" spans="1:8" ht="17.25" customHeight="1" hidden="1">
      <c r="A41" s="317" t="s">
        <v>285</v>
      </c>
      <c r="B41" s="315" t="s">
        <v>255</v>
      </c>
      <c r="C41" s="195" t="s">
        <v>191</v>
      </c>
      <c r="D41" s="523">
        <f t="shared" si="2"/>
        <v>35</v>
      </c>
      <c r="E41" s="522">
        <v>35</v>
      </c>
      <c r="F41" s="524"/>
      <c r="G41" s="525"/>
      <c r="H41" s="616"/>
    </row>
    <row r="42" spans="1:8" ht="39" customHeight="1">
      <c r="A42" s="317" t="s">
        <v>185</v>
      </c>
      <c r="B42" s="345" t="s">
        <v>198</v>
      </c>
      <c r="C42" s="195" t="s">
        <v>191</v>
      </c>
      <c r="D42" s="523">
        <f t="shared" si="2"/>
        <v>84302</v>
      </c>
      <c r="E42" s="522">
        <f>32000-28698</f>
        <v>3302</v>
      </c>
      <c r="F42" s="524">
        <f>33000+7000</f>
        <v>40000</v>
      </c>
      <c r="G42" s="525">
        <f>34000+7000</f>
        <v>41000</v>
      </c>
      <c r="H42" s="616"/>
    </row>
    <row r="43" spans="1:8" ht="114.75" customHeight="1" hidden="1">
      <c r="A43" s="317" t="s">
        <v>121</v>
      </c>
      <c r="B43" s="310" t="s">
        <v>173</v>
      </c>
      <c r="C43" s="195" t="s">
        <v>191</v>
      </c>
      <c r="D43" s="523">
        <f t="shared" si="2"/>
        <v>3500</v>
      </c>
      <c r="E43" s="522">
        <v>3500</v>
      </c>
      <c r="F43" s="524"/>
      <c r="G43" s="525"/>
      <c r="H43" s="616"/>
    </row>
    <row r="44" spans="1:8" ht="56.25" customHeight="1" hidden="1">
      <c r="A44" s="317" t="s">
        <v>137</v>
      </c>
      <c r="B44" s="308" t="s">
        <v>211</v>
      </c>
      <c r="C44" s="195" t="s">
        <v>191</v>
      </c>
      <c r="D44" s="523">
        <f t="shared" si="2"/>
        <v>21000</v>
      </c>
      <c r="E44" s="522">
        <v>21000</v>
      </c>
      <c r="F44" s="524"/>
      <c r="G44" s="525"/>
      <c r="H44" s="616"/>
    </row>
    <row r="45" spans="1:8" ht="57.75" customHeight="1" hidden="1">
      <c r="A45" s="317" t="s">
        <v>145</v>
      </c>
      <c r="B45" s="308" t="s">
        <v>212</v>
      </c>
      <c r="C45" s="195" t="s">
        <v>191</v>
      </c>
      <c r="D45" s="523">
        <f t="shared" si="2"/>
        <v>2000</v>
      </c>
      <c r="E45" s="522">
        <v>2000</v>
      </c>
      <c r="F45" s="524"/>
      <c r="G45" s="525"/>
      <c r="H45" s="616"/>
    </row>
    <row r="46" spans="1:8" ht="59.25" customHeight="1" hidden="1">
      <c r="A46" s="317" t="s">
        <v>280</v>
      </c>
      <c r="B46" s="308" t="s">
        <v>213</v>
      </c>
      <c r="C46" s="195" t="s">
        <v>191</v>
      </c>
      <c r="D46" s="523">
        <f t="shared" si="2"/>
        <v>1750</v>
      </c>
      <c r="E46" s="522">
        <v>1750</v>
      </c>
      <c r="F46" s="524"/>
      <c r="G46" s="525"/>
      <c r="H46" s="616"/>
    </row>
    <row r="47" spans="1:8" ht="58.5" customHeight="1" hidden="1">
      <c r="A47" s="317" t="s">
        <v>281</v>
      </c>
      <c r="B47" s="308" t="s">
        <v>214</v>
      </c>
      <c r="C47" s="195" t="s">
        <v>191</v>
      </c>
      <c r="D47" s="523">
        <f t="shared" si="2"/>
        <v>1750</v>
      </c>
      <c r="E47" s="522">
        <v>1750</v>
      </c>
      <c r="F47" s="524"/>
      <c r="G47" s="525"/>
      <c r="H47" s="616"/>
    </row>
    <row r="48" spans="1:8" ht="57" customHeight="1" hidden="1">
      <c r="A48" s="317" t="s">
        <v>282</v>
      </c>
      <c r="B48" s="308" t="s">
        <v>215</v>
      </c>
      <c r="C48" s="195" t="s">
        <v>191</v>
      </c>
      <c r="D48" s="523">
        <f t="shared" si="2"/>
        <v>250</v>
      </c>
      <c r="E48" s="522">
        <v>250</v>
      </c>
      <c r="F48" s="524"/>
      <c r="G48" s="525"/>
      <c r="H48" s="616"/>
    </row>
    <row r="49" spans="1:8" s="261" customFormat="1" ht="33" customHeight="1">
      <c r="A49" s="317" t="s">
        <v>190</v>
      </c>
      <c r="B49" s="310" t="s">
        <v>219</v>
      </c>
      <c r="C49" s="195" t="s">
        <v>191</v>
      </c>
      <c r="D49" s="523">
        <f t="shared" si="2"/>
        <v>7885</v>
      </c>
      <c r="E49" s="524">
        <f>650-465</f>
        <v>185</v>
      </c>
      <c r="F49" s="524">
        <f>400+7000</f>
        <v>7400</v>
      </c>
      <c r="G49" s="524">
        <v>300</v>
      </c>
      <c r="H49" s="617"/>
    </row>
    <row r="50" spans="1:8" ht="3.75" customHeight="1" hidden="1">
      <c r="A50" s="317" t="s">
        <v>124</v>
      </c>
      <c r="B50" s="310" t="s">
        <v>220</v>
      </c>
      <c r="C50" s="195" t="s">
        <v>191</v>
      </c>
      <c r="D50" s="523">
        <f t="shared" si="2"/>
        <v>650</v>
      </c>
      <c r="E50" s="522">
        <v>650</v>
      </c>
      <c r="F50" s="524"/>
      <c r="G50" s="525"/>
      <c r="H50" s="188" t="s">
        <v>40</v>
      </c>
    </row>
    <row r="51" spans="1:8" ht="57.75" customHeight="1">
      <c r="A51" s="317" t="s">
        <v>620</v>
      </c>
      <c r="B51" s="310" t="s">
        <v>376</v>
      </c>
      <c r="C51" s="195" t="s">
        <v>35</v>
      </c>
      <c r="D51" s="523">
        <f t="shared" si="2"/>
        <v>0</v>
      </c>
      <c r="E51" s="522">
        <f>25000-25000</f>
        <v>0</v>
      </c>
      <c r="F51" s="524">
        <f>53500-53500</f>
        <v>0</v>
      </c>
      <c r="G51" s="525"/>
      <c r="H51" s="188"/>
    </row>
    <row r="52" spans="1:8" s="260" customFormat="1" ht="42.75" customHeight="1">
      <c r="A52" s="318"/>
      <c r="B52" s="312" t="s">
        <v>199</v>
      </c>
      <c r="C52" s="273"/>
      <c r="D52" s="518">
        <f t="shared" si="2"/>
        <v>20000</v>
      </c>
      <c r="E52" s="519">
        <f>E54</f>
        <v>0</v>
      </c>
      <c r="F52" s="519">
        <f>F54</f>
        <v>10000</v>
      </c>
      <c r="G52" s="519">
        <f>G54</f>
        <v>10000</v>
      </c>
      <c r="H52" s="305"/>
    </row>
    <row r="53" spans="1:8" s="422" customFormat="1" ht="60" customHeight="1" hidden="1">
      <c r="A53" s="484" t="s">
        <v>146</v>
      </c>
      <c r="B53" s="485" t="s">
        <v>216</v>
      </c>
      <c r="C53" s="473" t="s">
        <v>191</v>
      </c>
      <c r="D53" s="486">
        <f t="shared" si="2"/>
        <v>0</v>
      </c>
      <c r="E53" s="487"/>
      <c r="F53" s="487"/>
      <c r="G53" s="487"/>
      <c r="H53" s="613"/>
    </row>
    <row r="54" spans="1:8" s="422" customFormat="1" ht="30.75" customHeight="1">
      <c r="A54" s="484" t="s">
        <v>375</v>
      </c>
      <c r="B54" s="483" t="s">
        <v>341</v>
      </c>
      <c r="C54" s="473"/>
      <c r="D54" s="521">
        <f t="shared" si="2"/>
        <v>20000</v>
      </c>
      <c r="E54" s="522">
        <f>10000-10000</f>
        <v>0</v>
      </c>
      <c r="F54" s="522">
        <v>10000</v>
      </c>
      <c r="G54" s="522">
        <v>10000</v>
      </c>
      <c r="H54" s="614"/>
    </row>
    <row r="55" spans="1:8" ht="58.5" customHeight="1" hidden="1">
      <c r="A55" s="317" t="s">
        <v>147</v>
      </c>
      <c r="B55" s="310" t="s">
        <v>217</v>
      </c>
      <c r="C55" s="195" t="s">
        <v>191</v>
      </c>
      <c r="D55" s="346">
        <f t="shared" si="2"/>
        <v>9880.2</v>
      </c>
      <c r="E55" s="347">
        <v>9880.2</v>
      </c>
      <c r="F55" s="347"/>
      <c r="G55" s="348"/>
      <c r="H55" s="188" t="s">
        <v>40</v>
      </c>
    </row>
    <row r="56" spans="1:8" ht="54.75" customHeight="1" hidden="1">
      <c r="A56" s="317" t="s">
        <v>148</v>
      </c>
      <c r="B56" s="310" t="s">
        <v>218</v>
      </c>
      <c r="C56" s="195" t="s">
        <v>191</v>
      </c>
      <c r="D56" s="346">
        <f t="shared" si="2"/>
        <v>5250</v>
      </c>
      <c r="E56" s="347">
        <v>250</v>
      </c>
      <c r="F56" s="347">
        <v>5000</v>
      </c>
      <c r="G56" s="348"/>
      <c r="H56" s="188" t="s">
        <v>40</v>
      </c>
    </row>
    <row r="57" spans="1:8" ht="18.75">
      <c r="A57" s="301"/>
      <c r="B57" s="65" t="s">
        <v>439</v>
      </c>
      <c r="C57" s="65"/>
      <c r="D57" s="520">
        <f>E57+F57+G57</f>
        <v>566554.28</v>
      </c>
      <c r="E57" s="520">
        <f>E52+E33+E15</f>
        <v>17761.3</v>
      </c>
      <c r="F57" s="520">
        <f>F52+F33+F15</f>
        <v>411922.98</v>
      </c>
      <c r="G57" s="520">
        <f>G52+G33+G15</f>
        <v>136870</v>
      </c>
      <c r="H57" s="97"/>
    </row>
    <row r="58" spans="2:8" ht="16.5">
      <c r="B58" s="18"/>
      <c r="C58" s="18"/>
      <c r="D58" s="79"/>
      <c r="E58" s="19"/>
      <c r="F58" s="19"/>
      <c r="G58" s="19"/>
      <c r="H58" s="232"/>
    </row>
    <row r="59" spans="2:8" ht="5.25" customHeight="1">
      <c r="B59" s="48"/>
      <c r="C59" s="49"/>
      <c r="D59" s="14"/>
      <c r="E59" s="19"/>
      <c r="F59" s="19"/>
      <c r="G59" s="19"/>
      <c r="H59" s="233"/>
    </row>
    <row r="60" spans="2:8" s="236" customFormat="1" ht="18.75">
      <c r="B60" s="577" t="s">
        <v>149</v>
      </c>
      <c r="C60" s="577"/>
      <c r="D60" s="577"/>
      <c r="E60" s="578"/>
      <c r="F60" s="578"/>
      <c r="G60" s="579"/>
      <c r="H60" s="579" t="s">
        <v>578</v>
      </c>
    </row>
    <row r="61" spans="2:8" ht="10.5" customHeight="1">
      <c r="B61" s="580"/>
      <c r="C61" s="580"/>
      <c r="D61" s="580"/>
      <c r="E61" s="578"/>
      <c r="F61" s="578"/>
      <c r="G61" s="579"/>
      <c r="H61" s="581"/>
    </row>
    <row r="62" spans="2:8" ht="18.75">
      <c r="B62" s="609" t="s">
        <v>629</v>
      </c>
      <c r="C62" s="609"/>
      <c r="D62" s="582"/>
      <c r="E62" s="570"/>
      <c r="F62" s="570"/>
      <c r="G62" s="508"/>
      <c r="H62" s="508"/>
    </row>
    <row r="63" spans="2:8" ht="15.75">
      <c r="B63" s="17"/>
      <c r="C63" s="17"/>
      <c r="D63" s="26"/>
      <c r="E63" s="26"/>
      <c r="F63" s="26"/>
      <c r="G63" s="15"/>
      <c r="H63" s="15"/>
    </row>
    <row r="64" spans="2:8" ht="15.75">
      <c r="B64" s="28"/>
      <c r="C64" s="29"/>
      <c r="D64" s="30"/>
      <c r="E64" s="26"/>
      <c r="F64" s="26"/>
      <c r="G64" s="15"/>
      <c r="H64" s="15"/>
    </row>
    <row r="65" spans="2:8" ht="15.75">
      <c r="B65" s="14"/>
      <c r="C65" s="30"/>
      <c r="D65" s="26"/>
      <c r="E65" s="26"/>
      <c r="F65" s="26"/>
      <c r="G65" s="26"/>
      <c r="H65" s="14"/>
    </row>
    <row r="66" spans="2:8" ht="15.75">
      <c r="B66" s="14"/>
      <c r="C66" s="31"/>
      <c r="D66" s="26"/>
      <c r="E66" s="26"/>
      <c r="F66" s="26"/>
      <c r="G66" s="26"/>
      <c r="H66" s="14"/>
    </row>
    <row r="67" spans="2:8" ht="12.75">
      <c r="B67" s="14"/>
      <c r="C67" s="14"/>
      <c r="D67" s="14"/>
      <c r="E67" s="14"/>
      <c r="F67" s="14"/>
      <c r="G67" s="14"/>
      <c r="H67" s="14"/>
    </row>
  </sheetData>
  <sheetProtection/>
  <mergeCells count="19">
    <mergeCell ref="G8:L8"/>
    <mergeCell ref="G7:L7"/>
    <mergeCell ref="F13:F14"/>
    <mergeCell ref="B10:H10"/>
    <mergeCell ref="D11:F11"/>
    <mergeCell ref="B12:B14"/>
    <mergeCell ref="C12:C14"/>
    <mergeCell ref="G13:G14"/>
    <mergeCell ref="D12:D14"/>
    <mergeCell ref="E12:G12"/>
    <mergeCell ref="A12:A14"/>
    <mergeCell ref="B62:C62"/>
    <mergeCell ref="H34:H49"/>
    <mergeCell ref="H53:H54"/>
    <mergeCell ref="H16:H31"/>
    <mergeCell ref="H12:H14"/>
    <mergeCell ref="E13:E14"/>
    <mergeCell ref="A29:A30"/>
    <mergeCell ref="B29:B30"/>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6"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B24" sqref="B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50.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451</v>
      </c>
      <c r="J1" s="757" t="s">
        <v>119</v>
      </c>
      <c r="K1" s="757"/>
    </row>
    <row r="2" spans="2:15" ht="15.75">
      <c r="B2" s="1"/>
      <c r="C2" s="1"/>
      <c r="D2" s="1"/>
      <c r="E2" s="1"/>
      <c r="F2" s="1"/>
      <c r="G2" s="1"/>
      <c r="H2" s="1"/>
      <c r="I2" s="3" t="s">
        <v>444</v>
      </c>
      <c r="J2" s="12" t="s">
        <v>444</v>
      </c>
      <c r="K2" s="12"/>
      <c r="L2" s="15"/>
      <c r="M2" s="12"/>
      <c r="N2" s="12"/>
      <c r="O2" s="12"/>
    </row>
    <row r="3" spans="2:15" ht="15.75">
      <c r="B3" s="1"/>
      <c r="C3" s="1"/>
      <c r="D3" s="1"/>
      <c r="E3" s="1"/>
      <c r="F3" s="1"/>
      <c r="G3" s="1"/>
      <c r="H3" s="1"/>
      <c r="I3" s="3"/>
      <c r="J3" s="12" t="s">
        <v>594</v>
      </c>
      <c r="K3" s="12"/>
      <c r="L3" s="15"/>
      <c r="M3" s="12"/>
      <c r="N3" s="12"/>
      <c r="O3" s="12"/>
    </row>
    <row r="4" spans="2:15" ht="15.75">
      <c r="B4" s="1"/>
      <c r="C4" s="1"/>
      <c r="D4" s="1"/>
      <c r="E4" s="1"/>
      <c r="F4" s="1"/>
      <c r="G4" s="1"/>
      <c r="H4" s="1"/>
      <c r="I4" s="3" t="s">
        <v>452</v>
      </c>
      <c r="J4" s="17" t="s">
        <v>158</v>
      </c>
      <c r="K4" s="17"/>
      <c r="L4" s="15"/>
      <c r="M4" s="12"/>
      <c r="N4" s="12"/>
      <c r="O4" s="12"/>
    </row>
    <row r="5" spans="2:15" ht="15.75">
      <c r="B5" s="1"/>
      <c r="C5" s="1"/>
      <c r="D5" s="1"/>
      <c r="E5" s="1"/>
      <c r="F5" s="1"/>
      <c r="G5" s="1"/>
      <c r="H5" s="1"/>
      <c r="I5" s="3" t="s">
        <v>453</v>
      </c>
      <c r="J5" s="17" t="s">
        <v>355</v>
      </c>
      <c r="K5" s="17"/>
      <c r="L5" s="15"/>
      <c r="M5" s="12"/>
      <c r="N5" s="12"/>
      <c r="O5" s="12"/>
    </row>
    <row r="6" spans="2:15" ht="15.75" customHeight="1">
      <c r="B6" s="1"/>
      <c r="C6" s="1"/>
      <c r="D6" s="1"/>
      <c r="E6" s="1"/>
      <c r="F6" s="1"/>
      <c r="G6" s="1"/>
      <c r="H6" s="9"/>
      <c r="I6" s="3" t="s">
        <v>454</v>
      </c>
      <c r="J6" s="17" t="s">
        <v>586</v>
      </c>
      <c r="K6" s="17"/>
      <c r="L6" s="207"/>
      <c r="M6" s="12"/>
      <c r="N6" s="12"/>
      <c r="O6" s="12"/>
    </row>
    <row r="7" spans="2:15" ht="15.75" customHeight="1">
      <c r="B7" s="1"/>
      <c r="C7" s="1"/>
      <c r="D7" s="1"/>
      <c r="E7" s="1"/>
      <c r="F7" s="1"/>
      <c r="G7" s="1"/>
      <c r="H7" s="9"/>
      <c r="I7" s="3"/>
      <c r="J7" s="620" t="s">
        <v>601</v>
      </c>
      <c r="K7" s="620"/>
      <c r="L7" s="620"/>
      <c r="M7" s="620"/>
      <c r="N7" s="620"/>
      <c r="O7" s="620"/>
    </row>
    <row r="8" spans="2:15" ht="15.75" customHeight="1">
      <c r="B8" s="1"/>
      <c r="C8" s="1"/>
      <c r="D8" s="1"/>
      <c r="E8" s="1"/>
      <c r="F8" s="1"/>
      <c r="G8" s="1"/>
      <c r="H8" s="9"/>
      <c r="I8" s="3"/>
      <c r="J8" s="620" t="s">
        <v>609</v>
      </c>
      <c r="K8" s="620"/>
      <c r="L8" s="395"/>
      <c r="M8" s="395"/>
      <c r="N8" s="395"/>
      <c r="O8" s="395"/>
    </row>
    <row r="9" spans="2:15" ht="15.75">
      <c r="B9" s="1"/>
      <c r="C9" s="1"/>
      <c r="D9" s="1"/>
      <c r="E9" s="1"/>
      <c r="F9" s="1"/>
      <c r="G9" s="1"/>
      <c r="H9" s="9"/>
      <c r="I9" s="3"/>
      <c r="J9" s="620"/>
      <c r="K9" s="620"/>
      <c r="L9" s="395"/>
      <c r="M9" s="395"/>
      <c r="N9" s="395"/>
      <c r="O9" s="395"/>
    </row>
    <row r="10" spans="2:9" ht="15.75" customHeight="1">
      <c r="B10" s="1"/>
      <c r="C10" s="1"/>
      <c r="D10" s="1"/>
      <c r="E10" s="1"/>
      <c r="F10" s="1"/>
      <c r="G10" s="1"/>
      <c r="H10" s="9"/>
      <c r="I10" s="3" t="s">
        <v>455</v>
      </c>
    </row>
    <row r="11" spans="2:11" ht="15.75">
      <c r="B11" s="1"/>
      <c r="C11" s="1"/>
      <c r="D11" s="1"/>
      <c r="E11" s="1"/>
      <c r="F11" s="1"/>
      <c r="G11" s="1"/>
      <c r="H11" s="1"/>
      <c r="I11" s="1"/>
      <c r="J11" s="1"/>
      <c r="K11" s="1"/>
    </row>
    <row r="12" spans="2:11" ht="18.75">
      <c r="B12" s="758" t="s">
        <v>419</v>
      </c>
      <c r="C12" s="758"/>
      <c r="D12" s="758"/>
      <c r="E12" s="758"/>
      <c r="F12" s="758"/>
      <c r="G12" s="758"/>
      <c r="H12" s="758"/>
      <c r="I12" s="758"/>
      <c r="J12" s="758"/>
      <c r="K12" s="758"/>
    </row>
    <row r="13" spans="2:11" ht="15.75">
      <c r="B13" s="1"/>
      <c r="C13" s="1"/>
      <c r="D13" s="656"/>
      <c r="E13" s="656"/>
      <c r="F13" s="656"/>
      <c r="G13" s="656"/>
      <c r="H13" s="656"/>
      <c r="I13" s="1"/>
      <c r="J13" s="1"/>
      <c r="K13" s="43" t="s">
        <v>113</v>
      </c>
    </row>
    <row r="14" spans="1:11" ht="18.75">
      <c r="A14" s="643" t="s">
        <v>440</v>
      </c>
      <c r="B14" s="651" t="s">
        <v>445</v>
      </c>
      <c r="C14" s="651" t="s">
        <v>446</v>
      </c>
      <c r="D14" s="651" t="s">
        <v>116</v>
      </c>
      <c r="E14" s="654" t="s">
        <v>442</v>
      </c>
      <c r="F14" s="654"/>
      <c r="G14" s="654"/>
      <c r="H14" s="654"/>
      <c r="I14" s="654"/>
      <c r="J14" s="655"/>
      <c r="K14" s="633" t="s">
        <v>448</v>
      </c>
    </row>
    <row r="15" spans="1:11" ht="17.25" customHeight="1">
      <c r="A15" s="759"/>
      <c r="B15" s="653"/>
      <c r="C15" s="653"/>
      <c r="D15" s="653"/>
      <c r="E15" s="651">
        <v>2022</v>
      </c>
      <c r="F15" s="651">
        <v>2023</v>
      </c>
      <c r="G15" s="651" t="s">
        <v>457</v>
      </c>
      <c r="H15" s="651" t="s">
        <v>458</v>
      </c>
      <c r="I15" s="651" t="s">
        <v>459</v>
      </c>
      <c r="J15" s="633">
        <v>2024</v>
      </c>
      <c r="K15" s="633"/>
    </row>
    <row r="16" spans="1:11" ht="12.75">
      <c r="A16" s="644"/>
      <c r="B16" s="652"/>
      <c r="C16" s="652"/>
      <c r="D16" s="652"/>
      <c r="E16" s="652"/>
      <c r="F16" s="652"/>
      <c r="G16" s="652"/>
      <c r="H16" s="652"/>
      <c r="I16" s="652"/>
      <c r="J16" s="633"/>
      <c r="K16" s="633"/>
    </row>
    <row r="17" spans="1:11" ht="75.75" customHeight="1">
      <c r="A17" s="251">
        <v>1</v>
      </c>
      <c r="B17" s="292" t="s">
        <v>514</v>
      </c>
      <c r="C17" s="44" t="s">
        <v>191</v>
      </c>
      <c r="D17" s="117">
        <f>E17+F17+J17</f>
        <v>-15308.18</v>
      </c>
      <c r="E17" s="71">
        <f>-2054.09-5700+100</f>
        <v>-7654.09</v>
      </c>
      <c r="F17" s="71">
        <f>-2054.09-5700+100</f>
        <v>-7654.09</v>
      </c>
      <c r="G17" s="71"/>
      <c r="H17" s="71"/>
      <c r="I17" s="71"/>
      <c r="J17" s="71">
        <v>0</v>
      </c>
      <c r="K17" s="251" t="s">
        <v>555</v>
      </c>
    </row>
    <row r="18" spans="1:11" ht="48" customHeight="1">
      <c r="A18" s="251">
        <v>2</v>
      </c>
      <c r="B18" s="292" t="s">
        <v>514</v>
      </c>
      <c r="C18" s="44" t="s">
        <v>192</v>
      </c>
      <c r="D18" s="117">
        <f>E18+F18+J18</f>
        <v>-1005</v>
      </c>
      <c r="E18" s="71">
        <f>-740+215</f>
        <v>-525</v>
      </c>
      <c r="F18" s="71">
        <f>-740+215+45</f>
        <v>-480</v>
      </c>
      <c r="G18" s="71"/>
      <c r="H18" s="71"/>
      <c r="I18" s="71"/>
      <c r="J18" s="71">
        <v>0</v>
      </c>
      <c r="K18" s="251" t="s">
        <v>556</v>
      </c>
    </row>
    <row r="19" spans="1:11" ht="18.75">
      <c r="A19" s="118"/>
      <c r="B19" s="52" t="s">
        <v>439</v>
      </c>
      <c r="C19" s="53"/>
      <c r="D19" s="72">
        <f>D17+D18</f>
        <v>-16313.18</v>
      </c>
      <c r="E19" s="72">
        <f aca="true" t="shared" si="0" ref="E19:J19">E17+E18</f>
        <v>-8179.09</v>
      </c>
      <c r="F19" s="72">
        <f t="shared" si="0"/>
        <v>-8134.09</v>
      </c>
      <c r="G19" s="72">
        <f t="shared" si="0"/>
        <v>0</v>
      </c>
      <c r="H19" s="72">
        <f t="shared" si="0"/>
        <v>0</v>
      </c>
      <c r="I19" s="72">
        <f t="shared" si="0"/>
        <v>0</v>
      </c>
      <c r="J19" s="72">
        <f t="shared" si="0"/>
        <v>0</v>
      </c>
      <c r="K19" s="73"/>
    </row>
    <row r="20" spans="2:11" ht="18.75">
      <c r="B20" s="119"/>
      <c r="C20" s="4"/>
      <c r="D20" s="6"/>
      <c r="E20" s="6"/>
      <c r="F20" s="6"/>
      <c r="G20" s="6"/>
      <c r="H20" s="6"/>
      <c r="I20" s="6"/>
      <c r="J20" s="6"/>
      <c r="K20" s="39"/>
    </row>
    <row r="21" spans="2:11" ht="3" customHeight="1">
      <c r="B21" s="4"/>
      <c r="C21" s="4"/>
      <c r="D21" s="6"/>
      <c r="E21" s="6"/>
      <c r="F21" s="6"/>
      <c r="G21" s="6"/>
      <c r="H21" s="6"/>
      <c r="I21" s="6"/>
      <c r="J21" s="6"/>
      <c r="K21" s="39"/>
    </row>
    <row r="22" spans="2:11" ht="15.75" hidden="1">
      <c r="B22" s="4"/>
      <c r="C22" s="4"/>
      <c r="D22" s="6"/>
      <c r="E22" s="6"/>
      <c r="F22" s="6"/>
      <c r="G22" s="6"/>
      <c r="H22" s="6"/>
      <c r="I22" s="6"/>
      <c r="J22" s="6"/>
      <c r="K22" s="39"/>
    </row>
    <row r="23" spans="2:11" ht="18.75">
      <c r="B23" s="120"/>
      <c r="C23" s="121"/>
      <c r="E23" s="6"/>
      <c r="F23" s="6"/>
      <c r="G23" s="6"/>
      <c r="H23" s="6"/>
      <c r="I23" s="6"/>
      <c r="J23" s="6"/>
      <c r="K23" s="121"/>
    </row>
    <row r="24" spans="1:11" ht="18.75">
      <c r="A24" s="122"/>
      <c r="B24" s="234" t="s">
        <v>450</v>
      </c>
      <c r="C24" s="234"/>
      <c r="D24" s="122"/>
      <c r="E24" s="234"/>
      <c r="F24" s="756" t="s">
        <v>578</v>
      </c>
      <c r="G24" s="756"/>
      <c r="H24" s="756"/>
      <c r="I24" s="756"/>
      <c r="J24" s="756"/>
      <c r="K24" s="124"/>
    </row>
    <row r="25" spans="1:11" ht="30.75" customHeight="1">
      <c r="A25" s="122"/>
      <c r="B25" s="234"/>
      <c r="C25" s="234"/>
      <c r="D25" s="122"/>
      <c r="E25" s="234"/>
      <c r="F25" s="151"/>
      <c r="G25" s="151"/>
      <c r="H25" s="151"/>
      <c r="I25" s="151"/>
      <c r="J25" s="151"/>
      <c r="K25" s="124"/>
    </row>
    <row r="26" spans="1:11" ht="18.75">
      <c r="A26" s="122"/>
      <c r="B26" s="700" t="s">
        <v>582</v>
      </c>
      <c r="C26" s="700"/>
      <c r="D26" s="122"/>
      <c r="E26" s="125"/>
      <c r="F26" s="126"/>
      <c r="G26" s="126"/>
      <c r="H26" s="126"/>
      <c r="I26" s="126"/>
      <c r="J26" s="126"/>
      <c r="K26" s="127"/>
    </row>
    <row r="27" spans="1:11" ht="30.75" customHeight="1">
      <c r="A27" s="122"/>
      <c r="B27" s="128"/>
      <c r="C27" s="122"/>
      <c r="D27" s="128"/>
      <c r="E27" s="126"/>
      <c r="F27" s="126"/>
      <c r="G27" s="126"/>
      <c r="H27" s="126"/>
      <c r="I27" s="126"/>
      <c r="J27" s="126"/>
      <c r="K27" s="127"/>
    </row>
    <row r="28" spans="2:11" ht="15.75">
      <c r="B28" s="40"/>
      <c r="C28" s="10"/>
      <c r="D28" s="41"/>
      <c r="E28" s="7"/>
      <c r="F28" s="7"/>
      <c r="G28" s="7"/>
      <c r="H28" s="7"/>
      <c r="I28" s="7"/>
      <c r="J28" s="1"/>
      <c r="K28" s="1"/>
    </row>
    <row r="29" spans="3:10" ht="15.75">
      <c r="C29" s="41"/>
      <c r="D29" s="7"/>
      <c r="E29" s="7"/>
      <c r="F29" s="7"/>
      <c r="G29" s="7"/>
      <c r="H29" s="7"/>
      <c r="I29" s="7"/>
      <c r="J29" s="7"/>
    </row>
    <row r="30" spans="3:10" ht="15.75">
      <c r="C30" s="42"/>
      <c r="D30" s="7"/>
      <c r="E30" s="7"/>
      <c r="F30" s="7"/>
      <c r="G30" s="7"/>
      <c r="H30" s="7"/>
      <c r="I30" s="7"/>
      <c r="J30" s="7"/>
    </row>
    <row r="32" ht="12.75">
      <c r="H32" s="5"/>
    </row>
  </sheetData>
  <sheetProtection/>
  <mergeCells count="20">
    <mergeCell ref="B26:C26"/>
    <mergeCell ref="J1:K1"/>
    <mergeCell ref="B12:K12"/>
    <mergeCell ref="D13:H13"/>
    <mergeCell ref="A14:A16"/>
    <mergeCell ref="B14:B16"/>
    <mergeCell ref="C14:C16"/>
    <mergeCell ref="D14:D16"/>
    <mergeCell ref="E14:J14"/>
    <mergeCell ref="J9:K9"/>
    <mergeCell ref="J7:O7"/>
    <mergeCell ref="J8:K8"/>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76"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N122"/>
  <sheetViews>
    <sheetView view="pageBreakPreview" zoomScale="80" zoomScaleSheetLayoutView="80" zoomScalePageLayoutView="0" workbookViewId="0" topLeftCell="A1">
      <selection activeCell="S18" sqref="S1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60" t="s">
        <v>374</v>
      </c>
      <c r="I1" s="760"/>
      <c r="J1" s="760"/>
      <c r="K1" s="760"/>
      <c r="L1" s="760"/>
      <c r="M1" s="506"/>
    </row>
    <row r="2" spans="8:13" ht="12.75" customHeight="1">
      <c r="H2" s="507" t="s">
        <v>444</v>
      </c>
      <c r="I2" s="507"/>
      <c r="J2" s="508"/>
      <c r="K2" s="507"/>
      <c r="L2" s="507"/>
      <c r="M2" s="507"/>
    </row>
    <row r="3" spans="8:13" ht="15" customHeight="1">
      <c r="H3" s="507" t="s">
        <v>594</v>
      </c>
      <c r="I3" s="507"/>
      <c r="J3" s="508"/>
      <c r="K3" s="507"/>
      <c r="L3" s="507"/>
      <c r="M3" s="507"/>
    </row>
    <row r="4" spans="8:13" ht="15" customHeight="1">
      <c r="H4" s="506" t="s">
        <v>158</v>
      </c>
      <c r="I4" s="506"/>
      <c r="J4" s="508"/>
      <c r="K4" s="507"/>
      <c r="L4" s="507"/>
      <c r="M4" s="507"/>
    </row>
    <row r="5" spans="8:13" ht="15" customHeight="1">
      <c r="H5" s="506" t="s">
        <v>355</v>
      </c>
      <c r="I5" s="506"/>
      <c r="J5" s="508"/>
      <c r="K5" s="507"/>
      <c r="L5" s="507"/>
      <c r="M5" s="507"/>
    </row>
    <row r="6" spans="8:13" ht="15" customHeight="1">
      <c r="H6" s="506" t="s">
        <v>586</v>
      </c>
      <c r="I6" s="506"/>
      <c r="J6" s="501"/>
      <c r="K6" s="507"/>
      <c r="L6" s="507"/>
      <c r="M6" s="507"/>
    </row>
    <row r="7" spans="2:13" ht="15" customHeight="1">
      <c r="B7" s="15"/>
      <c r="C7" s="15"/>
      <c r="D7" s="15"/>
      <c r="H7" s="761" t="s">
        <v>602</v>
      </c>
      <c r="I7" s="761"/>
      <c r="J7" s="761"/>
      <c r="K7" s="761"/>
      <c r="L7" s="761"/>
      <c r="M7" s="761"/>
    </row>
    <row r="8" spans="2:13" ht="18.75">
      <c r="B8" s="15"/>
      <c r="C8" s="15"/>
      <c r="D8" s="15"/>
      <c r="H8" s="507" t="s">
        <v>609</v>
      </c>
      <c r="I8" s="509"/>
      <c r="J8" s="507"/>
      <c r="K8" s="507"/>
      <c r="L8" s="465"/>
      <c r="M8" s="465"/>
    </row>
    <row r="9" spans="2:13" ht="15.75" customHeight="1">
      <c r="B9" s="15"/>
      <c r="C9" s="15"/>
      <c r="D9" s="15"/>
      <c r="H9" s="216"/>
      <c r="I9" s="51"/>
      <c r="J9" s="17"/>
      <c r="K9" s="17"/>
      <c r="L9" s="17"/>
      <c r="M9" s="17"/>
    </row>
    <row r="10" spans="2:9" ht="12" customHeight="1">
      <c r="B10" s="15"/>
      <c r="C10" s="15"/>
      <c r="D10" s="15"/>
      <c r="E10" s="15"/>
      <c r="F10" s="15"/>
      <c r="G10" s="15"/>
      <c r="H10" s="12" t="s">
        <v>129</v>
      </c>
      <c r="I10" s="12"/>
    </row>
    <row r="11" spans="1:9" ht="54.75" customHeight="1">
      <c r="A11" s="621" t="s">
        <v>587</v>
      </c>
      <c r="B11" s="621"/>
      <c r="C11" s="621"/>
      <c r="D11" s="621"/>
      <c r="E11" s="621"/>
      <c r="F11" s="621"/>
      <c r="G11" s="621"/>
      <c r="H11" s="621"/>
      <c r="I11" s="15"/>
    </row>
    <row r="12" spans="1:9" ht="13.5" customHeight="1">
      <c r="A12" s="213"/>
      <c r="B12" s="33"/>
      <c r="C12" s="33"/>
      <c r="D12" s="33"/>
      <c r="E12" s="33"/>
      <c r="F12" s="33"/>
      <c r="G12" s="33"/>
      <c r="H12" s="243" t="s">
        <v>101</v>
      </c>
      <c r="I12" s="15"/>
    </row>
    <row r="13" spans="1:9" ht="19.5" customHeight="1">
      <c r="A13" s="622" t="s">
        <v>461</v>
      </c>
      <c r="B13" s="622" t="s">
        <v>445</v>
      </c>
      <c r="C13" s="622" t="s">
        <v>446</v>
      </c>
      <c r="D13" s="622" t="s">
        <v>103</v>
      </c>
      <c r="E13" s="625" t="s">
        <v>442</v>
      </c>
      <c r="F13" s="625"/>
      <c r="G13" s="625"/>
      <c r="H13" s="625" t="s">
        <v>448</v>
      </c>
      <c r="I13" s="15"/>
    </row>
    <row r="14" spans="1:9" ht="15.75" customHeight="1">
      <c r="A14" s="623"/>
      <c r="B14" s="623"/>
      <c r="C14" s="623"/>
      <c r="D14" s="623"/>
      <c r="E14" s="622">
        <v>2022</v>
      </c>
      <c r="F14" s="622">
        <v>2023</v>
      </c>
      <c r="G14" s="622">
        <v>2024</v>
      </c>
      <c r="H14" s="625"/>
      <c r="I14" s="15"/>
    </row>
    <row r="15" spans="1:9" ht="21" customHeight="1">
      <c r="A15" s="624"/>
      <c r="B15" s="624"/>
      <c r="C15" s="624"/>
      <c r="D15" s="624"/>
      <c r="E15" s="624"/>
      <c r="F15" s="624"/>
      <c r="G15" s="624"/>
      <c r="H15" s="625"/>
      <c r="I15" s="15"/>
    </row>
    <row r="16" spans="1:9" ht="33.75" customHeight="1" hidden="1">
      <c r="A16" s="61">
        <v>1</v>
      </c>
      <c r="B16" s="56" t="s">
        <v>462</v>
      </c>
      <c r="C16" s="35" t="s">
        <v>449</v>
      </c>
      <c r="D16" s="67" t="e">
        <f>#REF!+E16+F16+G16</f>
        <v>#REF!</v>
      </c>
      <c r="E16" s="67"/>
      <c r="F16" s="67"/>
      <c r="G16" s="67"/>
      <c r="H16" s="35" t="s">
        <v>463</v>
      </c>
      <c r="I16" s="15"/>
    </row>
    <row r="17" spans="1:14" ht="152.25" customHeight="1">
      <c r="A17" s="504">
        <v>1</v>
      </c>
      <c r="B17" s="60" t="s">
        <v>590</v>
      </c>
      <c r="C17" s="505" t="s">
        <v>470</v>
      </c>
      <c r="D17" s="510">
        <f>E17+F17+G17</f>
        <v>263876.7</v>
      </c>
      <c r="E17" s="511">
        <v>263876.7</v>
      </c>
      <c r="F17" s="482">
        <v>0</v>
      </c>
      <c r="G17" s="482">
        <v>0</v>
      </c>
      <c r="H17" s="159" t="s">
        <v>588</v>
      </c>
      <c r="I17" s="15"/>
      <c r="N17" s="14" t="s">
        <v>292</v>
      </c>
    </row>
    <row r="18" spans="1:9" ht="28.5" customHeight="1">
      <c r="A18" s="299"/>
      <c r="B18" s="70" t="s">
        <v>439</v>
      </c>
      <c r="C18" s="70"/>
      <c r="D18" s="57">
        <f>E17</f>
        <v>263876.7</v>
      </c>
      <c r="E18" s="57">
        <f>E17</f>
        <v>263876.7</v>
      </c>
      <c r="F18" s="57">
        <f>F17</f>
        <v>0</v>
      </c>
      <c r="G18" s="57">
        <f>G17</f>
        <v>0</v>
      </c>
      <c r="H18" s="66"/>
      <c r="I18" s="15"/>
    </row>
    <row r="19" spans="1:9" ht="15.75">
      <c r="A19" s="38"/>
      <c r="B19" s="135"/>
      <c r="C19" s="135"/>
      <c r="D19" s="19"/>
      <c r="E19" s="19"/>
      <c r="F19" s="19"/>
      <c r="G19" s="19"/>
      <c r="H19" s="20"/>
      <c r="I19" s="15"/>
    </row>
    <row r="20" spans="1:9" ht="6" customHeight="1">
      <c r="A20" s="38"/>
      <c r="B20" s="512"/>
      <c r="C20" s="135"/>
      <c r="D20" s="19"/>
      <c r="E20" s="19"/>
      <c r="F20" s="19"/>
      <c r="G20" s="19"/>
      <c r="H20" s="20"/>
      <c r="I20" s="15"/>
    </row>
    <row r="21" spans="1:9" ht="15.75" hidden="1">
      <c r="A21" s="38"/>
      <c r="B21" s="135"/>
      <c r="C21" s="135"/>
      <c r="D21" s="19"/>
      <c r="E21" s="19"/>
      <c r="F21" s="19"/>
      <c r="G21" s="19"/>
      <c r="H21" s="20"/>
      <c r="I21" s="15"/>
    </row>
    <row r="22" spans="2:9" ht="15.75">
      <c r="B22" s="15"/>
      <c r="C22" s="15"/>
      <c r="D22" s="15"/>
      <c r="E22" s="15"/>
      <c r="F22" s="15"/>
      <c r="G22" s="15"/>
      <c r="H22" s="15"/>
      <c r="I22" s="15"/>
    </row>
    <row r="23" spans="2:11" s="327" customFormat="1" ht="20.25" customHeight="1">
      <c r="B23" s="649" t="s">
        <v>450</v>
      </c>
      <c r="C23" s="649"/>
      <c r="D23" s="321"/>
      <c r="E23" s="322"/>
      <c r="F23" s="323"/>
      <c r="H23" s="162" t="s">
        <v>578</v>
      </c>
      <c r="J23" s="329"/>
      <c r="K23" s="330"/>
    </row>
    <row r="24" spans="2:11" s="213" customFormat="1" ht="18.75">
      <c r="B24" s="221"/>
      <c r="C24" s="221"/>
      <c r="D24" s="221"/>
      <c r="E24" s="22"/>
      <c r="F24" s="136"/>
      <c r="H24" s="162"/>
      <c r="J24" s="23"/>
      <c r="K24" s="24"/>
    </row>
    <row r="25" spans="2:9" s="213" customFormat="1" ht="18.75">
      <c r="B25" s="589" t="s">
        <v>582</v>
      </c>
      <c r="C25" s="589"/>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D13:D15"/>
    <mergeCell ref="E13:G13"/>
    <mergeCell ref="H13:H15"/>
    <mergeCell ref="E14:E15"/>
    <mergeCell ref="F14:F15"/>
    <mergeCell ref="G14:G15"/>
    <mergeCell ref="B23:C23"/>
    <mergeCell ref="B25:C25"/>
    <mergeCell ref="H1:L1"/>
    <mergeCell ref="H7:M7"/>
    <mergeCell ref="A11:H11"/>
    <mergeCell ref="A13:A15"/>
    <mergeCell ref="B13:B15"/>
    <mergeCell ref="C13:C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O43"/>
  <sheetViews>
    <sheetView view="pageBreakPreview" zoomScale="82" zoomScaleSheetLayoutView="82" zoomScalePageLayoutView="0" workbookViewId="0" topLeftCell="A1">
      <selection activeCell="F35" sqref="F35:J35"/>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451</v>
      </c>
      <c r="J1" s="1" t="s">
        <v>475</v>
      </c>
      <c r="K1" s="271"/>
    </row>
    <row r="2" spans="2:15" ht="15.75">
      <c r="B2" s="15"/>
      <c r="C2" s="15"/>
      <c r="D2" s="15"/>
      <c r="E2" s="15"/>
      <c r="F2" s="15"/>
      <c r="G2" s="15"/>
      <c r="H2" s="15"/>
      <c r="I2" s="12" t="s">
        <v>444</v>
      </c>
      <c r="J2" s="12" t="s">
        <v>583</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20" t="s">
        <v>431</v>
      </c>
      <c r="K6" s="620"/>
      <c r="L6" s="620"/>
      <c r="M6" s="620"/>
      <c r="N6" s="620"/>
      <c r="O6" s="620"/>
    </row>
    <row r="7" spans="2:15" ht="15.75" customHeight="1">
      <c r="B7" s="15"/>
      <c r="C7" s="15"/>
      <c r="D7" s="15"/>
      <c r="E7" s="15"/>
      <c r="F7" s="15"/>
      <c r="G7" s="15"/>
      <c r="H7" s="16"/>
      <c r="I7" s="12" t="s">
        <v>454</v>
      </c>
      <c r="J7" s="620" t="s">
        <v>597</v>
      </c>
      <c r="K7" s="620"/>
      <c r="L7" s="620"/>
      <c r="M7" s="620"/>
      <c r="N7" s="620"/>
      <c r="O7" s="620"/>
    </row>
    <row r="8" spans="2:15" ht="15.75">
      <c r="B8" s="15"/>
      <c r="C8" s="15"/>
      <c r="D8" s="15"/>
      <c r="E8" s="15"/>
      <c r="F8" s="15"/>
      <c r="G8" s="15"/>
      <c r="H8" s="15"/>
      <c r="I8" s="15"/>
      <c r="J8" s="620" t="s">
        <v>579</v>
      </c>
      <c r="K8" s="620"/>
      <c r="L8" s="395"/>
      <c r="M8" s="395"/>
      <c r="N8" s="395"/>
      <c r="O8" s="395"/>
    </row>
    <row r="9" spans="2:15" ht="15.75">
      <c r="B9" s="15"/>
      <c r="C9" s="15"/>
      <c r="D9" s="15"/>
      <c r="E9" s="15"/>
      <c r="F9" s="15"/>
      <c r="G9" s="15"/>
      <c r="H9" s="15"/>
      <c r="I9" s="15"/>
      <c r="J9" s="395"/>
      <c r="K9" s="395"/>
      <c r="L9" s="395"/>
      <c r="M9" s="395"/>
      <c r="N9" s="395"/>
      <c r="O9" s="395"/>
    </row>
    <row r="10" spans="2:11" ht="41.25" customHeight="1">
      <c r="B10" s="621" t="s">
        <v>605</v>
      </c>
      <c r="C10" s="621"/>
      <c r="D10" s="621"/>
      <c r="E10" s="621"/>
      <c r="F10" s="621"/>
      <c r="G10" s="621"/>
      <c r="H10" s="621"/>
      <c r="I10" s="621"/>
      <c r="J10" s="621"/>
      <c r="K10" s="621"/>
    </row>
    <row r="11" spans="2:11" ht="18.75">
      <c r="B11" s="15"/>
      <c r="C11" s="15"/>
      <c r="D11" s="626"/>
      <c r="E11" s="626"/>
      <c r="F11" s="626"/>
      <c r="G11" s="626"/>
      <c r="H11" s="626"/>
      <c r="I11" s="15"/>
      <c r="J11" s="15"/>
      <c r="K11" s="250" t="s">
        <v>113</v>
      </c>
    </row>
    <row r="12" spans="1:11" ht="18.75">
      <c r="A12" s="667" t="s">
        <v>440</v>
      </c>
      <c r="B12" s="622" t="s">
        <v>445</v>
      </c>
      <c r="C12" s="622" t="s">
        <v>446</v>
      </c>
      <c r="D12" s="622" t="s">
        <v>115</v>
      </c>
      <c r="E12" s="627" t="s">
        <v>442</v>
      </c>
      <c r="F12" s="627"/>
      <c r="G12" s="627"/>
      <c r="H12" s="627"/>
      <c r="I12" s="627"/>
      <c r="J12" s="657"/>
      <c r="K12" s="625" t="s">
        <v>448</v>
      </c>
    </row>
    <row r="13" spans="1:11" ht="17.25" customHeight="1">
      <c r="A13" s="668"/>
      <c r="B13" s="623"/>
      <c r="C13" s="623"/>
      <c r="D13" s="623"/>
      <c r="E13" s="622">
        <v>2022</v>
      </c>
      <c r="F13" s="622">
        <v>2023</v>
      </c>
      <c r="G13" s="622" t="s">
        <v>457</v>
      </c>
      <c r="H13" s="622" t="s">
        <v>458</v>
      </c>
      <c r="I13" s="622" t="s">
        <v>459</v>
      </c>
      <c r="J13" s="625">
        <v>2024</v>
      </c>
      <c r="K13" s="625"/>
    </row>
    <row r="14" spans="1:11" ht="27" customHeight="1">
      <c r="A14" s="669"/>
      <c r="B14" s="624"/>
      <c r="C14" s="624"/>
      <c r="D14" s="624"/>
      <c r="E14" s="624"/>
      <c r="F14" s="624"/>
      <c r="G14" s="624"/>
      <c r="H14" s="624"/>
      <c r="I14" s="624"/>
      <c r="J14" s="625"/>
      <c r="K14" s="625"/>
    </row>
    <row r="15" spans="1:11" ht="93.75">
      <c r="A15" s="516">
        <v>1</v>
      </c>
      <c r="B15" s="515" t="s">
        <v>611</v>
      </c>
      <c r="C15" s="61" t="s">
        <v>191</v>
      </c>
      <c r="D15" s="91">
        <f>E15+F15+J15</f>
        <v>60000</v>
      </c>
      <c r="E15" s="35">
        <v>0</v>
      </c>
      <c r="F15" s="514">
        <f>18000+12000+30000</f>
        <v>60000</v>
      </c>
      <c r="G15" s="67" t="e">
        <f>#REF!+#REF!</f>
        <v>#REF!</v>
      </c>
      <c r="H15" s="67" t="e">
        <f>#REF!+#REF!</f>
        <v>#REF!</v>
      </c>
      <c r="I15" s="67" t="e">
        <f>#REF!+#REF!</f>
        <v>#REF!</v>
      </c>
      <c r="J15" s="67">
        <f>0</f>
        <v>0</v>
      </c>
      <c r="K15" s="267" t="s">
        <v>40</v>
      </c>
    </row>
    <row r="16" spans="1:11" ht="75" hidden="1">
      <c r="A16" s="217" t="s">
        <v>45</v>
      </c>
      <c r="B16" s="194" t="s">
        <v>51</v>
      </c>
      <c r="C16" s="61" t="s">
        <v>470</v>
      </c>
      <c r="D16" s="398">
        <f aca="true" t="shared" si="0" ref="D16:D28">E16+F16+J16</f>
        <v>160</v>
      </c>
      <c r="E16" s="396">
        <f>160</f>
        <v>160</v>
      </c>
      <c r="F16" s="396">
        <v>0</v>
      </c>
      <c r="G16" s="396"/>
      <c r="H16" s="396"/>
      <c r="I16" s="396"/>
      <c r="J16" s="396">
        <v>0</v>
      </c>
      <c r="K16" s="193" t="s">
        <v>464</v>
      </c>
    </row>
    <row r="17" spans="1:11" ht="51.75" customHeight="1" hidden="1">
      <c r="A17" s="658" t="s">
        <v>46</v>
      </c>
      <c r="B17" s="665" t="s">
        <v>52</v>
      </c>
      <c r="C17" s="61" t="s">
        <v>470</v>
      </c>
      <c r="D17" s="398">
        <f t="shared" si="0"/>
        <v>548</v>
      </c>
      <c r="E17" s="396">
        <v>548</v>
      </c>
      <c r="F17" s="396">
        <v>0</v>
      </c>
      <c r="G17" s="396"/>
      <c r="H17" s="396"/>
      <c r="I17" s="396"/>
      <c r="J17" s="396">
        <v>0</v>
      </c>
      <c r="K17" s="612" t="s">
        <v>464</v>
      </c>
    </row>
    <row r="18" spans="1:11" ht="24" customHeight="1" hidden="1">
      <c r="A18" s="659"/>
      <c r="B18" s="666"/>
      <c r="C18" s="61" t="s">
        <v>449</v>
      </c>
      <c r="D18" s="398">
        <f t="shared" si="0"/>
        <v>16.5</v>
      </c>
      <c r="E18" s="396">
        <v>16.5</v>
      </c>
      <c r="F18" s="396">
        <v>0</v>
      </c>
      <c r="G18" s="396"/>
      <c r="H18" s="396"/>
      <c r="I18" s="396"/>
      <c r="J18" s="396">
        <v>0</v>
      </c>
      <c r="K18" s="614"/>
    </row>
    <row r="19" spans="1:11" ht="34.5" customHeight="1" hidden="1">
      <c r="A19" s="658" t="s">
        <v>47</v>
      </c>
      <c r="B19" s="663" t="s">
        <v>54</v>
      </c>
      <c r="C19" s="61" t="s">
        <v>470</v>
      </c>
      <c r="D19" s="398">
        <f t="shared" si="0"/>
        <v>389.2</v>
      </c>
      <c r="E19" s="396">
        <v>344</v>
      </c>
      <c r="F19" s="396">
        <v>45.2</v>
      </c>
      <c r="G19" s="396"/>
      <c r="H19" s="396"/>
      <c r="I19" s="396"/>
      <c r="J19" s="396">
        <v>0</v>
      </c>
      <c r="K19" s="612" t="s">
        <v>464</v>
      </c>
    </row>
    <row r="20" spans="1:11" ht="20.25" customHeight="1" hidden="1">
      <c r="A20" s="659"/>
      <c r="B20" s="664"/>
      <c r="C20" s="61" t="s">
        <v>449</v>
      </c>
      <c r="D20" s="398">
        <f t="shared" si="0"/>
        <v>233.9</v>
      </c>
      <c r="E20" s="396">
        <v>210.3</v>
      </c>
      <c r="F20" s="396">
        <v>23.6</v>
      </c>
      <c r="G20" s="396"/>
      <c r="H20" s="396"/>
      <c r="I20" s="396"/>
      <c r="J20" s="396">
        <v>0</v>
      </c>
      <c r="K20" s="614"/>
    </row>
    <row r="21" spans="1:11" ht="47.25" customHeight="1" hidden="1">
      <c r="A21" s="658" t="s">
        <v>48</v>
      </c>
      <c r="B21" s="663" t="s">
        <v>53</v>
      </c>
      <c r="C21" s="61" t="s">
        <v>470</v>
      </c>
      <c r="D21" s="398">
        <f t="shared" si="0"/>
        <v>1251.1</v>
      </c>
      <c r="E21" s="396">
        <v>630</v>
      </c>
      <c r="F21" s="396">
        <v>621.1</v>
      </c>
      <c r="G21" s="396"/>
      <c r="H21" s="396"/>
      <c r="I21" s="396"/>
      <c r="J21" s="396">
        <v>0</v>
      </c>
      <c r="K21" s="612" t="s">
        <v>464</v>
      </c>
    </row>
    <row r="22" spans="1:11" ht="24.75" customHeight="1" hidden="1">
      <c r="A22" s="659"/>
      <c r="B22" s="664"/>
      <c r="C22" s="61" t="s">
        <v>449</v>
      </c>
      <c r="D22" s="398">
        <f t="shared" si="0"/>
        <v>37.5</v>
      </c>
      <c r="E22" s="396">
        <v>18.9</v>
      </c>
      <c r="F22" s="396">
        <v>18.6</v>
      </c>
      <c r="G22" s="396"/>
      <c r="H22" s="396"/>
      <c r="I22" s="396"/>
      <c r="J22" s="396">
        <v>0</v>
      </c>
      <c r="K22" s="614"/>
    </row>
    <row r="23" spans="1:11" ht="44.25" customHeight="1" hidden="1">
      <c r="A23" s="658" t="s">
        <v>49</v>
      </c>
      <c r="B23" s="663" t="s">
        <v>87</v>
      </c>
      <c r="C23" s="61" t="s">
        <v>470</v>
      </c>
      <c r="D23" s="398">
        <f>E23+F23+J23</f>
        <v>23614.899999999998</v>
      </c>
      <c r="E23" s="396">
        <f>0+8354</f>
        <v>8354</v>
      </c>
      <c r="F23" s="396">
        <f>4673+4663.3+4487+990+295</f>
        <v>15108.3</v>
      </c>
      <c r="G23" s="396"/>
      <c r="H23" s="396"/>
      <c r="I23" s="396"/>
      <c r="J23" s="396">
        <v>152.6</v>
      </c>
      <c r="K23" s="612" t="s">
        <v>464</v>
      </c>
    </row>
    <row r="24" spans="1:11" ht="33" customHeight="1" hidden="1">
      <c r="A24" s="659"/>
      <c r="B24" s="664"/>
      <c r="C24" s="61" t="s">
        <v>449</v>
      </c>
      <c r="D24" s="398">
        <f t="shared" si="0"/>
        <v>826.4</v>
      </c>
      <c r="E24" s="396">
        <f>0+675.6</f>
        <v>675.6</v>
      </c>
      <c r="F24" s="396">
        <v>150</v>
      </c>
      <c r="G24" s="396"/>
      <c r="H24" s="396"/>
      <c r="I24" s="396"/>
      <c r="J24" s="396">
        <v>0.8</v>
      </c>
      <c r="K24" s="614"/>
    </row>
    <row r="25" spans="1:11" ht="31.5" customHeight="1" hidden="1">
      <c r="A25" s="658">
        <v>2</v>
      </c>
      <c r="B25" s="612" t="s">
        <v>42</v>
      </c>
      <c r="C25" s="61" t="s">
        <v>449</v>
      </c>
      <c r="D25" s="398">
        <f t="shared" si="0"/>
        <v>29000</v>
      </c>
      <c r="E25" s="396">
        <v>15000</v>
      </c>
      <c r="F25" s="396">
        <v>14000</v>
      </c>
      <c r="G25" s="396"/>
      <c r="H25" s="396"/>
      <c r="I25" s="396"/>
      <c r="J25" s="396"/>
      <c r="K25" s="612" t="s">
        <v>464</v>
      </c>
    </row>
    <row r="26" spans="1:11" ht="18.75" hidden="1">
      <c r="A26" s="659"/>
      <c r="B26" s="614"/>
      <c r="C26" s="61" t="s">
        <v>155</v>
      </c>
      <c r="D26" s="398">
        <f t="shared" si="0"/>
        <v>13000</v>
      </c>
      <c r="E26" s="396"/>
      <c r="F26" s="396"/>
      <c r="G26" s="396"/>
      <c r="H26" s="396"/>
      <c r="I26" s="396"/>
      <c r="J26" s="396">
        <v>13000</v>
      </c>
      <c r="K26" s="614"/>
    </row>
    <row r="27" spans="1:11" ht="24.75" customHeight="1" hidden="1">
      <c r="A27" s="658">
        <v>3</v>
      </c>
      <c r="B27" s="660" t="s">
        <v>189</v>
      </c>
      <c r="C27" s="61" t="s">
        <v>449</v>
      </c>
      <c r="D27" s="398">
        <f t="shared" si="0"/>
        <v>11000</v>
      </c>
      <c r="E27" s="396">
        <v>5000</v>
      </c>
      <c r="F27" s="396">
        <v>6000</v>
      </c>
      <c r="G27" s="396"/>
      <c r="H27" s="396"/>
      <c r="I27" s="396"/>
      <c r="J27" s="396"/>
      <c r="K27" s="612" t="s">
        <v>474</v>
      </c>
    </row>
    <row r="28" spans="1:11" ht="18.75" hidden="1">
      <c r="A28" s="659"/>
      <c r="B28" s="661"/>
      <c r="C28" s="61" t="s">
        <v>155</v>
      </c>
      <c r="D28" s="398">
        <f t="shared" si="0"/>
        <v>7000</v>
      </c>
      <c r="E28" s="396"/>
      <c r="F28" s="396"/>
      <c r="G28" s="396"/>
      <c r="H28" s="396"/>
      <c r="I28" s="396"/>
      <c r="J28" s="396">
        <v>7000</v>
      </c>
      <c r="K28" s="614"/>
    </row>
    <row r="29" spans="1:11" ht="5.25" customHeight="1" hidden="1">
      <c r="A29" s="270"/>
      <c r="B29" s="256"/>
      <c r="C29" s="61"/>
      <c r="D29" s="398"/>
      <c r="E29" s="396"/>
      <c r="F29" s="396"/>
      <c r="G29" s="396"/>
      <c r="H29" s="396"/>
      <c r="I29" s="396"/>
      <c r="J29" s="396"/>
      <c r="K29" s="167"/>
    </row>
    <row r="30" spans="1:11" ht="18.75">
      <c r="A30" s="69"/>
      <c r="B30" s="55" t="s">
        <v>439</v>
      </c>
      <c r="C30" s="55"/>
      <c r="D30" s="90">
        <f aca="true" t="shared" si="1" ref="D30:J30">D15</f>
        <v>60000</v>
      </c>
      <c r="E30" s="90">
        <f t="shared" si="1"/>
        <v>0</v>
      </c>
      <c r="F30" s="90">
        <f t="shared" si="1"/>
        <v>60000</v>
      </c>
      <c r="G30" s="90" t="e">
        <f t="shared" si="1"/>
        <v>#REF!</v>
      </c>
      <c r="H30" s="90" t="e">
        <f t="shared" si="1"/>
        <v>#REF!</v>
      </c>
      <c r="I30" s="90" t="e">
        <f t="shared" si="1"/>
        <v>#REF!</v>
      </c>
      <c r="J30" s="90">
        <f t="shared" si="1"/>
        <v>0</v>
      </c>
      <c r="K30" s="167"/>
    </row>
    <row r="31" spans="1:11" ht="18.75">
      <c r="A31" s="80"/>
      <c r="B31" s="114"/>
      <c r="C31" s="18"/>
      <c r="D31" s="19"/>
      <c r="E31" s="19"/>
      <c r="F31" s="19"/>
      <c r="G31" s="19"/>
      <c r="H31" s="19"/>
      <c r="I31" s="19"/>
      <c r="J31" s="19"/>
      <c r="K31" s="83"/>
    </row>
    <row r="32" spans="1:11" ht="0.75" customHeight="1">
      <c r="A32" s="80"/>
      <c r="B32" s="18"/>
      <c r="C32" s="18"/>
      <c r="D32" s="19"/>
      <c r="E32" s="19"/>
      <c r="F32" s="19"/>
      <c r="G32" s="19"/>
      <c r="H32" s="19"/>
      <c r="I32" s="19"/>
      <c r="J32" s="19"/>
      <c r="K32" s="87"/>
    </row>
    <row r="33" spans="1:11" ht="3" customHeight="1">
      <c r="A33" s="80"/>
      <c r="B33" s="18"/>
      <c r="C33" s="18"/>
      <c r="D33" s="19"/>
      <c r="E33" s="19"/>
      <c r="F33" s="19"/>
      <c r="G33" s="19"/>
      <c r="H33" s="19"/>
      <c r="I33" s="19"/>
      <c r="J33" s="19"/>
      <c r="K33" s="87"/>
    </row>
    <row r="34" spans="2:11" ht="18.75">
      <c r="B34" s="48"/>
      <c r="C34" s="49"/>
      <c r="E34" s="19"/>
      <c r="F34" s="19"/>
      <c r="G34" s="19"/>
      <c r="H34" s="19"/>
      <c r="I34" s="19"/>
      <c r="J34" s="19"/>
      <c r="K34" s="15"/>
    </row>
    <row r="35" spans="2:10" ht="35.25" customHeight="1">
      <c r="B35" s="225" t="s">
        <v>450</v>
      </c>
      <c r="C35" s="225"/>
      <c r="D35" s="80"/>
      <c r="E35" s="225"/>
      <c r="F35" s="662" t="s">
        <v>578</v>
      </c>
      <c r="G35" s="662"/>
      <c r="H35" s="662"/>
      <c r="I35" s="662"/>
      <c r="J35" s="662"/>
    </row>
    <row r="36" spans="2:10" ht="18.75">
      <c r="B36" s="225"/>
      <c r="C36" s="225"/>
      <c r="D36" s="80"/>
      <c r="E36" s="225"/>
      <c r="F36" s="226"/>
      <c r="G36" s="226"/>
      <c r="H36" s="226"/>
      <c r="I36" s="226"/>
      <c r="J36" s="226"/>
    </row>
    <row r="37" spans="2:10" ht="18.75">
      <c r="B37" s="590" t="s">
        <v>582</v>
      </c>
      <c r="C37" s="590"/>
      <c r="D37" s="80"/>
      <c r="E37" s="85"/>
      <c r="F37" s="86"/>
      <c r="G37" s="86"/>
      <c r="H37" s="86"/>
      <c r="I37" s="86"/>
      <c r="J37" s="86"/>
    </row>
    <row r="38" spans="2:10" ht="15.75">
      <c r="B38" s="88"/>
      <c r="C38" s="80"/>
      <c r="D38" s="88"/>
      <c r="E38" s="86"/>
      <c r="F38" s="86"/>
      <c r="G38" s="86"/>
      <c r="H38" s="86"/>
      <c r="I38" s="86"/>
      <c r="J38" s="86"/>
    </row>
    <row r="39" spans="2:10" ht="15.75">
      <c r="B39" s="28"/>
      <c r="C39" s="29"/>
      <c r="D39" s="30"/>
      <c r="E39" s="26"/>
      <c r="F39" s="26"/>
      <c r="G39" s="26"/>
      <c r="H39" s="26"/>
      <c r="I39" s="26"/>
      <c r="J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37">
    <mergeCell ref="J6:O6"/>
    <mergeCell ref="J7:O7"/>
    <mergeCell ref="J8:K8"/>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A17:A18"/>
    <mergeCell ref="B17:B18"/>
    <mergeCell ref="K17:K18"/>
    <mergeCell ref="A19:A20"/>
    <mergeCell ref="B19:B20"/>
    <mergeCell ref="K19:K20"/>
    <mergeCell ref="A21:A22"/>
    <mergeCell ref="B21:B22"/>
    <mergeCell ref="K21:K22"/>
    <mergeCell ref="A23:A24"/>
    <mergeCell ref="B23:B24"/>
    <mergeCell ref="K23:K24"/>
    <mergeCell ref="F35:J35"/>
    <mergeCell ref="B37:C37"/>
    <mergeCell ref="A25:A26"/>
    <mergeCell ref="B25:B26"/>
    <mergeCell ref="K25:K26"/>
    <mergeCell ref="A27:A28"/>
    <mergeCell ref="B27:B28"/>
    <mergeCell ref="K27:K28"/>
  </mergeCells>
  <printOptions horizontalCentered="1"/>
  <pageMargins left="0" right="0" top="1.1811023622047245" bottom="0"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theme="2" tint="-0.24997000396251678"/>
    <pageSetUpPr fitToPage="1"/>
  </sheetPr>
  <dimension ref="A1:O151"/>
  <sheetViews>
    <sheetView view="pageBreakPreview" zoomScale="80" zoomScaleSheetLayoutView="80" zoomScalePageLayoutView="0" workbookViewId="0" topLeftCell="A1">
      <selection activeCell="H8" sqref="H8:M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19" t="s">
        <v>374</v>
      </c>
      <c r="I1" s="619"/>
      <c r="J1" s="619"/>
      <c r="K1" s="619"/>
      <c r="L1" s="619"/>
      <c r="M1" s="17"/>
    </row>
    <row r="2" spans="8:13" ht="12.75" customHeight="1">
      <c r="H2" s="12" t="s">
        <v>444</v>
      </c>
      <c r="I2" s="12"/>
      <c r="J2" s="15"/>
      <c r="K2" s="12"/>
      <c r="L2" s="12"/>
      <c r="M2" s="12"/>
    </row>
    <row r="3" spans="8:13" ht="15" customHeight="1">
      <c r="H3" s="12" t="s">
        <v>594</v>
      </c>
      <c r="I3" s="12"/>
      <c r="J3" s="15"/>
      <c r="K3" s="12"/>
      <c r="L3" s="12"/>
      <c r="M3" s="12"/>
    </row>
    <row r="4" spans="8:13" ht="15" customHeight="1">
      <c r="H4" s="17" t="s">
        <v>158</v>
      </c>
      <c r="I4" s="17"/>
      <c r="J4" s="15"/>
      <c r="K4" s="12"/>
      <c r="L4" s="12"/>
      <c r="M4" s="12"/>
    </row>
    <row r="5" spans="8:13" ht="15" customHeight="1">
      <c r="H5" s="17" t="s">
        <v>355</v>
      </c>
      <c r="I5" s="17"/>
      <c r="J5" s="15"/>
      <c r="K5" s="12"/>
      <c r="L5" s="12"/>
      <c r="M5" s="12"/>
    </row>
    <row r="6" spans="8:13" ht="15" customHeight="1">
      <c r="H6" s="17" t="s">
        <v>554</v>
      </c>
      <c r="I6" s="17"/>
      <c r="J6" s="207"/>
      <c r="K6" s="12"/>
      <c r="L6" s="12"/>
      <c r="M6" s="12"/>
    </row>
    <row r="7" spans="8:13" ht="15" customHeight="1">
      <c r="H7" s="17" t="s">
        <v>593</v>
      </c>
      <c r="I7" s="17"/>
      <c r="J7" s="207"/>
      <c r="K7" s="12"/>
      <c r="L7" s="12"/>
      <c r="M7" s="12"/>
    </row>
    <row r="8" spans="2:13" ht="15" customHeight="1">
      <c r="B8" s="15"/>
      <c r="C8" s="15"/>
      <c r="D8" s="15"/>
      <c r="H8" s="620" t="s">
        <v>627</v>
      </c>
      <c r="I8" s="620"/>
      <c r="J8" s="620"/>
      <c r="K8" s="620"/>
      <c r="L8" s="620"/>
      <c r="M8" s="620"/>
    </row>
    <row r="9" spans="2:11" ht="18.75">
      <c r="B9" s="15"/>
      <c r="C9" s="15"/>
      <c r="D9" s="15"/>
      <c r="H9" s="12"/>
      <c r="I9" s="54"/>
      <c r="J9" s="12"/>
      <c r="K9" s="12"/>
    </row>
    <row r="10" spans="2:13" ht="15.75" customHeight="1">
      <c r="B10" s="15"/>
      <c r="C10" s="15"/>
      <c r="D10" s="15"/>
      <c r="H10" s="216"/>
      <c r="I10" s="51"/>
      <c r="J10" s="17"/>
      <c r="K10" s="17"/>
      <c r="L10" s="17"/>
      <c r="M10" s="17"/>
    </row>
    <row r="11" spans="2:9" ht="12" customHeight="1">
      <c r="B11" s="15"/>
      <c r="C11" s="15"/>
      <c r="D11" s="15"/>
      <c r="E11" s="15"/>
      <c r="F11" s="15"/>
      <c r="G11" s="15"/>
      <c r="H11" s="12" t="s">
        <v>129</v>
      </c>
      <c r="I11" s="12"/>
    </row>
    <row r="12" spans="1:9" ht="17.25" customHeight="1">
      <c r="A12" s="621" t="s">
        <v>377</v>
      </c>
      <c r="B12" s="621"/>
      <c r="C12" s="621"/>
      <c r="D12" s="621"/>
      <c r="E12" s="621"/>
      <c r="F12" s="621"/>
      <c r="G12" s="621"/>
      <c r="H12" s="621"/>
      <c r="I12" s="15"/>
    </row>
    <row r="13" spans="1:9" ht="13.5" customHeight="1">
      <c r="A13" s="213"/>
      <c r="B13" s="33"/>
      <c r="C13" s="33"/>
      <c r="D13" s="33"/>
      <c r="E13" s="33"/>
      <c r="F13" s="33"/>
      <c r="G13" s="33"/>
      <c r="H13" s="243" t="s">
        <v>101</v>
      </c>
      <c r="I13" s="15"/>
    </row>
    <row r="14" spans="1:9" ht="19.5" customHeight="1">
      <c r="A14" s="622" t="s">
        <v>461</v>
      </c>
      <c r="B14" s="622" t="s">
        <v>445</v>
      </c>
      <c r="C14" s="622" t="s">
        <v>446</v>
      </c>
      <c r="D14" s="622" t="s">
        <v>103</v>
      </c>
      <c r="E14" s="625" t="s">
        <v>442</v>
      </c>
      <c r="F14" s="625"/>
      <c r="G14" s="625"/>
      <c r="H14" s="625" t="s">
        <v>448</v>
      </c>
      <c r="I14" s="15"/>
    </row>
    <row r="15" spans="1:9" ht="15.75" customHeight="1">
      <c r="A15" s="623"/>
      <c r="B15" s="623"/>
      <c r="C15" s="623"/>
      <c r="D15" s="623"/>
      <c r="E15" s="622">
        <v>2022</v>
      </c>
      <c r="F15" s="622">
        <v>2023</v>
      </c>
      <c r="G15" s="622">
        <v>2024</v>
      </c>
      <c r="H15" s="625"/>
      <c r="I15" s="15"/>
    </row>
    <row r="16" spans="1:9" ht="21" customHeight="1">
      <c r="A16" s="624"/>
      <c r="B16" s="624"/>
      <c r="C16" s="624"/>
      <c r="D16" s="624"/>
      <c r="E16" s="624"/>
      <c r="F16" s="624"/>
      <c r="G16" s="624"/>
      <c r="H16" s="625"/>
      <c r="I16" s="15"/>
    </row>
    <row r="17" spans="1:9" ht="33.75" customHeight="1" hidden="1">
      <c r="A17" s="61">
        <v>1</v>
      </c>
      <c r="B17" s="56" t="s">
        <v>462</v>
      </c>
      <c r="C17" s="35" t="s">
        <v>449</v>
      </c>
      <c r="D17" s="67" t="e">
        <f>#REF!+E17+F17+G17</f>
        <v>#REF!</v>
      </c>
      <c r="E17" s="67"/>
      <c r="F17" s="67"/>
      <c r="G17" s="67"/>
      <c r="H17" s="35" t="s">
        <v>463</v>
      </c>
      <c r="I17" s="15"/>
    </row>
    <row r="18" spans="1:14" ht="72" customHeight="1">
      <c r="A18" s="267">
        <v>1</v>
      </c>
      <c r="B18" s="257" t="s">
        <v>291</v>
      </c>
      <c r="C18" s="35" t="s">
        <v>191</v>
      </c>
      <c r="D18" s="68">
        <f aca="true" t="shared" si="0" ref="D18:D46">E18+F18+G18</f>
        <v>266623.8</v>
      </c>
      <c r="E18" s="482">
        <f>(60430-4630)+(35600-33450)</f>
        <v>57950</v>
      </c>
      <c r="F18" s="103">
        <v>101791.8</v>
      </c>
      <c r="G18" s="103">
        <v>106882</v>
      </c>
      <c r="H18" s="159" t="s">
        <v>416</v>
      </c>
      <c r="I18" s="15"/>
      <c r="N18" s="14" t="s">
        <v>292</v>
      </c>
    </row>
    <row r="19" spans="1:14" ht="52.5" customHeight="1">
      <c r="A19" s="612">
        <v>2</v>
      </c>
      <c r="B19" s="615" t="s">
        <v>477</v>
      </c>
      <c r="C19" s="35" t="s">
        <v>191</v>
      </c>
      <c r="D19" s="68">
        <f>E19+F19+G19</f>
        <v>297775</v>
      </c>
      <c r="E19" s="482">
        <f>165000-50000-112300</f>
        <v>2700</v>
      </c>
      <c r="F19" s="103">
        <f>181500-80000+3000</f>
        <v>104500</v>
      </c>
      <c r="G19" s="103">
        <v>190575</v>
      </c>
      <c r="H19" s="615" t="s">
        <v>263</v>
      </c>
      <c r="I19" s="15"/>
      <c r="N19" s="368" t="s">
        <v>317</v>
      </c>
    </row>
    <row r="20" spans="1:14" s="218" customFormat="1" ht="36" customHeight="1" hidden="1">
      <c r="A20" s="613"/>
      <c r="B20" s="616"/>
      <c r="C20" s="255" t="s">
        <v>191</v>
      </c>
      <c r="D20" s="68">
        <f t="shared" si="0"/>
        <v>49455.5</v>
      </c>
      <c r="E20" s="206">
        <v>24007.5</v>
      </c>
      <c r="F20" s="206">
        <v>25448</v>
      </c>
      <c r="G20" s="206"/>
      <c r="H20" s="616"/>
      <c r="I20" s="78"/>
      <c r="N20" s="378"/>
    </row>
    <row r="21" spans="1:14" s="218" customFormat="1" ht="33.75" customHeight="1" hidden="1">
      <c r="A21" s="613"/>
      <c r="B21" s="616"/>
      <c r="C21" s="255" t="s">
        <v>191</v>
      </c>
      <c r="D21" s="68">
        <f t="shared" si="0"/>
        <v>5275.200000000001</v>
      </c>
      <c r="E21" s="206">
        <v>2560.8</v>
      </c>
      <c r="F21" s="206">
        <v>2714.4</v>
      </c>
      <c r="G21" s="206"/>
      <c r="H21" s="616"/>
      <c r="I21" s="78"/>
      <c r="N21" s="378"/>
    </row>
    <row r="22" spans="1:14" s="218" customFormat="1" ht="35.25" customHeight="1" hidden="1">
      <c r="A22" s="613"/>
      <c r="B22" s="616"/>
      <c r="C22" s="255" t="s">
        <v>191</v>
      </c>
      <c r="D22" s="68">
        <f t="shared" si="0"/>
        <v>1099</v>
      </c>
      <c r="E22" s="206">
        <v>533.5</v>
      </c>
      <c r="F22" s="206">
        <v>565.5</v>
      </c>
      <c r="G22" s="206"/>
      <c r="H22" s="616"/>
      <c r="I22" s="78"/>
      <c r="N22" s="378"/>
    </row>
    <row r="23" spans="1:14" s="218" customFormat="1" ht="32.25" customHeight="1" hidden="1">
      <c r="A23" s="613"/>
      <c r="B23" s="616"/>
      <c r="C23" s="255" t="s">
        <v>191</v>
      </c>
      <c r="D23" s="68">
        <f t="shared" si="0"/>
        <v>2198</v>
      </c>
      <c r="E23" s="206">
        <v>1067</v>
      </c>
      <c r="F23" s="206">
        <v>1131</v>
      </c>
      <c r="G23" s="206"/>
      <c r="H23" s="616"/>
      <c r="I23" s="78"/>
      <c r="N23" s="378"/>
    </row>
    <row r="24" spans="1:14" s="218" customFormat="1" ht="0.75" customHeight="1" hidden="1">
      <c r="A24" s="613"/>
      <c r="B24" s="616"/>
      <c r="C24" s="61" t="s">
        <v>470</v>
      </c>
      <c r="D24" s="68">
        <f t="shared" si="0"/>
        <v>0</v>
      </c>
      <c r="E24" s="103"/>
      <c r="F24" s="206"/>
      <c r="G24" s="206"/>
      <c r="H24" s="616"/>
      <c r="I24" s="78"/>
      <c r="N24" s="378"/>
    </row>
    <row r="25" spans="1:14" s="218" customFormat="1" ht="35.25" customHeight="1">
      <c r="A25" s="614"/>
      <c r="B25" s="617"/>
      <c r="C25" s="61" t="s">
        <v>470</v>
      </c>
      <c r="D25" s="68">
        <f t="shared" si="0"/>
        <v>17709</v>
      </c>
      <c r="E25" s="103"/>
      <c r="F25" s="103">
        <v>17709</v>
      </c>
      <c r="G25" s="206"/>
      <c r="H25" s="617"/>
      <c r="I25" s="78"/>
      <c r="N25" s="378"/>
    </row>
    <row r="26" spans="1:14" ht="75" customHeight="1">
      <c r="A26" s="61">
        <v>4</v>
      </c>
      <c r="B26" s="257" t="s">
        <v>297</v>
      </c>
      <c r="C26" s="35" t="s">
        <v>191</v>
      </c>
      <c r="D26" s="68">
        <f t="shared" si="0"/>
        <v>266868.5</v>
      </c>
      <c r="E26" s="482">
        <f>90950.6-24950.6-4225.2</f>
        <v>61774.8</v>
      </c>
      <c r="F26" s="103">
        <v>100045.7</v>
      </c>
      <c r="G26" s="103">
        <v>105048</v>
      </c>
      <c r="H26" s="615" t="s">
        <v>263</v>
      </c>
      <c r="I26" s="15"/>
      <c r="N26" s="368" t="s">
        <v>328</v>
      </c>
    </row>
    <row r="27" spans="1:14" s="218" customFormat="1" ht="36" customHeight="1" hidden="1">
      <c r="A27" s="379" t="s">
        <v>120</v>
      </c>
      <c r="B27" s="297" t="s">
        <v>334</v>
      </c>
      <c r="C27" s="255" t="s">
        <v>191</v>
      </c>
      <c r="D27" s="206">
        <f t="shared" si="0"/>
        <v>880</v>
      </c>
      <c r="E27" s="206">
        <v>427</v>
      </c>
      <c r="F27" s="206">
        <v>453</v>
      </c>
      <c r="G27" s="206"/>
      <c r="H27" s="616"/>
      <c r="I27" s="78"/>
      <c r="N27" s="378"/>
    </row>
    <row r="28" spans="1:14" s="218" customFormat="1" ht="42" customHeight="1" hidden="1">
      <c r="A28" s="379" t="s">
        <v>144</v>
      </c>
      <c r="B28" s="297" t="s">
        <v>335</v>
      </c>
      <c r="C28" s="255" t="s">
        <v>191</v>
      </c>
      <c r="D28" s="206">
        <f t="shared" si="0"/>
        <v>659.4000000000001</v>
      </c>
      <c r="E28" s="206">
        <v>320.1</v>
      </c>
      <c r="F28" s="206">
        <v>339.3</v>
      </c>
      <c r="G28" s="206"/>
      <c r="H28" s="616"/>
      <c r="I28" s="78"/>
      <c r="N28" s="378"/>
    </row>
    <row r="29" spans="1:14" s="218" customFormat="1" ht="41.25" customHeight="1" hidden="1">
      <c r="A29" s="379" t="s">
        <v>178</v>
      </c>
      <c r="B29" s="297" t="s">
        <v>336</v>
      </c>
      <c r="C29" s="255" t="s">
        <v>191</v>
      </c>
      <c r="D29" s="206">
        <f t="shared" si="0"/>
        <v>1099</v>
      </c>
      <c r="E29" s="206">
        <v>533.5</v>
      </c>
      <c r="F29" s="206">
        <v>565.5</v>
      </c>
      <c r="G29" s="206"/>
      <c r="H29" s="616"/>
      <c r="I29" s="78"/>
      <c r="N29" s="378"/>
    </row>
    <row r="30" spans="1:14" s="218" customFormat="1" ht="38.25" customHeight="1" hidden="1">
      <c r="A30" s="379" t="s">
        <v>179</v>
      </c>
      <c r="B30" s="297" t="s">
        <v>337</v>
      </c>
      <c r="C30" s="255" t="s">
        <v>191</v>
      </c>
      <c r="D30" s="206">
        <f t="shared" si="0"/>
        <v>1099</v>
      </c>
      <c r="E30" s="206">
        <v>533.5</v>
      </c>
      <c r="F30" s="206">
        <v>565.5</v>
      </c>
      <c r="G30" s="206"/>
      <c r="H30" s="617"/>
      <c r="I30" s="78"/>
      <c r="N30" s="378"/>
    </row>
    <row r="31" spans="1:14" ht="37.5">
      <c r="A31" s="61">
        <v>5</v>
      </c>
      <c r="B31" s="60" t="s">
        <v>344</v>
      </c>
      <c r="C31" s="35" t="s">
        <v>191</v>
      </c>
      <c r="D31" s="68">
        <f t="shared" si="0"/>
        <v>3504.2</v>
      </c>
      <c r="E31" s="103">
        <f>1500-1295.8</f>
        <v>204.20000000000005</v>
      </c>
      <c r="F31" s="103">
        <v>1600</v>
      </c>
      <c r="G31" s="103">
        <v>1700</v>
      </c>
      <c r="H31" s="35" t="s">
        <v>263</v>
      </c>
      <c r="I31" s="15"/>
      <c r="N31" s="14" t="s">
        <v>293</v>
      </c>
    </row>
    <row r="32" spans="1:9" ht="37.5">
      <c r="A32" s="294">
        <v>6</v>
      </c>
      <c r="B32" s="298" t="s">
        <v>262</v>
      </c>
      <c r="C32" s="35" t="s">
        <v>191</v>
      </c>
      <c r="D32" s="68">
        <f t="shared" si="0"/>
        <v>5330.5</v>
      </c>
      <c r="E32" s="103">
        <f>1595.2-740.2</f>
        <v>855</v>
      </c>
      <c r="F32" s="103">
        <f>1690.9+1009.1</f>
        <v>2700</v>
      </c>
      <c r="G32" s="103">
        <v>1775.5</v>
      </c>
      <c r="H32" s="35" t="s">
        <v>263</v>
      </c>
      <c r="I32" s="15"/>
    </row>
    <row r="33" spans="1:9" ht="50.25" customHeight="1">
      <c r="A33" s="159">
        <v>7</v>
      </c>
      <c r="B33" s="268" t="s">
        <v>362</v>
      </c>
      <c r="C33" s="35" t="s">
        <v>191</v>
      </c>
      <c r="D33" s="103">
        <f t="shared" si="0"/>
        <v>26131.9</v>
      </c>
      <c r="E33" s="103">
        <f>7469+4000-9767.1</f>
        <v>1701.8999999999996</v>
      </c>
      <c r="F33" s="103">
        <f>7917+4000</f>
        <v>11917</v>
      </c>
      <c r="G33" s="103">
        <v>12513</v>
      </c>
      <c r="H33" s="35" t="s">
        <v>263</v>
      </c>
      <c r="I33" s="15"/>
    </row>
    <row r="34" spans="1:14" ht="56.25">
      <c r="A34" s="159">
        <v>8</v>
      </c>
      <c r="B34" s="268" t="s">
        <v>427</v>
      </c>
      <c r="C34" s="61" t="s">
        <v>191</v>
      </c>
      <c r="D34" s="103">
        <f t="shared" si="0"/>
        <v>983.1</v>
      </c>
      <c r="E34" s="103">
        <f>894.6-894.6</f>
        <v>0</v>
      </c>
      <c r="F34" s="103">
        <f>936.3-936.3</f>
        <v>0</v>
      </c>
      <c r="G34" s="103">
        <v>983.1</v>
      </c>
      <c r="H34" s="35" t="s">
        <v>263</v>
      </c>
      <c r="I34" s="15"/>
      <c r="N34" s="14" t="s">
        <v>345</v>
      </c>
    </row>
    <row r="35" spans="1:9" ht="56.25">
      <c r="A35" s="35">
        <v>9</v>
      </c>
      <c r="B35" s="268" t="s">
        <v>294</v>
      </c>
      <c r="C35" s="61" t="s">
        <v>191</v>
      </c>
      <c r="D35" s="103">
        <f t="shared" si="0"/>
        <v>5130.799999999999</v>
      </c>
      <c r="E35" s="103">
        <f>2191.7-1824</f>
        <v>367.6999999999998</v>
      </c>
      <c r="F35" s="103">
        <v>2323.1</v>
      </c>
      <c r="G35" s="103">
        <v>2440</v>
      </c>
      <c r="H35" s="35" t="s">
        <v>263</v>
      </c>
      <c r="I35" s="15"/>
    </row>
    <row r="36" spans="1:14" ht="56.25">
      <c r="A36" s="294">
        <v>10</v>
      </c>
      <c r="B36" s="268" t="s">
        <v>428</v>
      </c>
      <c r="C36" s="61" t="s">
        <v>191</v>
      </c>
      <c r="D36" s="103">
        <f t="shared" si="0"/>
        <v>10427.9</v>
      </c>
      <c r="E36" s="482">
        <f>1100+340+2667.5-2667.5-245</f>
        <v>1195</v>
      </c>
      <c r="F36" s="103">
        <f>1200+2827.6+936.3</f>
        <v>4963.9</v>
      </c>
      <c r="G36" s="103">
        <f>1300+2969</f>
        <v>4269</v>
      </c>
      <c r="H36" s="35" t="s">
        <v>263</v>
      </c>
      <c r="I36" s="15"/>
      <c r="N36" s="14" t="s">
        <v>346</v>
      </c>
    </row>
    <row r="37" spans="1:14" ht="50.25" customHeight="1" hidden="1">
      <c r="A37" s="159">
        <v>11</v>
      </c>
      <c r="B37" s="268" t="s">
        <v>347</v>
      </c>
      <c r="C37" s="61" t="s">
        <v>191</v>
      </c>
      <c r="D37" s="103">
        <f t="shared" si="0"/>
        <v>0</v>
      </c>
      <c r="E37" s="482">
        <v>0</v>
      </c>
      <c r="F37" s="103">
        <v>0</v>
      </c>
      <c r="G37" s="103">
        <v>0</v>
      </c>
      <c r="H37" s="159" t="s">
        <v>40</v>
      </c>
      <c r="I37" s="15"/>
      <c r="N37" s="14" t="s">
        <v>357</v>
      </c>
    </row>
    <row r="38" spans="1:9" ht="59.25" customHeight="1">
      <c r="A38" s="159">
        <v>12</v>
      </c>
      <c r="B38" s="60" t="s">
        <v>295</v>
      </c>
      <c r="C38" s="61" t="s">
        <v>191</v>
      </c>
      <c r="D38" s="103">
        <f t="shared" si="0"/>
        <v>49171</v>
      </c>
      <c r="E38" s="482">
        <f>21340-18540</f>
        <v>2800</v>
      </c>
      <c r="F38" s="103">
        <v>22620</v>
      </c>
      <c r="G38" s="103">
        <v>23751</v>
      </c>
      <c r="H38" s="159" t="s">
        <v>40</v>
      </c>
      <c r="I38" s="15"/>
    </row>
    <row r="39" spans="1:9" ht="37.5">
      <c r="A39" s="35">
        <v>13</v>
      </c>
      <c r="B39" s="298" t="s">
        <v>264</v>
      </c>
      <c r="C39" s="61" t="s">
        <v>191</v>
      </c>
      <c r="D39" s="103">
        <f t="shared" si="0"/>
        <v>17989.4</v>
      </c>
      <c r="E39" s="482">
        <f>7818.3-6818.3</f>
        <v>1000</v>
      </c>
      <c r="F39" s="103">
        <v>8287.4</v>
      </c>
      <c r="G39" s="103">
        <v>8702</v>
      </c>
      <c r="H39" s="159" t="s">
        <v>40</v>
      </c>
      <c r="I39" s="15"/>
    </row>
    <row r="40" spans="1:9" s="50" customFormat="1" ht="56.25">
      <c r="A40" s="294">
        <v>14</v>
      </c>
      <c r="B40" s="60" t="s">
        <v>265</v>
      </c>
      <c r="C40" s="61" t="s">
        <v>191</v>
      </c>
      <c r="D40" s="103">
        <f t="shared" si="0"/>
        <v>44628.4</v>
      </c>
      <c r="E40" s="482">
        <f>15204.8+5000-15204.8-1500-1911.6</f>
        <v>1588.4</v>
      </c>
      <c r="F40" s="103">
        <f>16117+5000</f>
        <v>21117</v>
      </c>
      <c r="G40" s="103">
        <f>16923+5000</f>
        <v>21923</v>
      </c>
      <c r="H40" s="267" t="s">
        <v>40</v>
      </c>
      <c r="I40" s="370"/>
    </row>
    <row r="41" spans="1:15" s="50" customFormat="1" ht="37.5">
      <c r="A41" s="267">
        <v>15</v>
      </c>
      <c r="B41" s="60" t="s">
        <v>296</v>
      </c>
      <c r="C41" s="61" t="s">
        <v>191</v>
      </c>
      <c r="D41" s="103">
        <f t="shared" si="0"/>
        <v>0</v>
      </c>
      <c r="E41" s="482">
        <f>2000-1500-500</f>
        <v>0</v>
      </c>
      <c r="F41" s="103"/>
      <c r="G41" s="103"/>
      <c r="H41" s="267" t="s">
        <v>40</v>
      </c>
      <c r="I41" s="370"/>
      <c r="O41" s="50" t="s">
        <v>417</v>
      </c>
    </row>
    <row r="42" spans="1:14" ht="45.75" customHeight="1">
      <c r="A42" s="159">
        <v>16</v>
      </c>
      <c r="B42" s="60" t="s">
        <v>319</v>
      </c>
      <c r="C42" s="35" t="s">
        <v>191</v>
      </c>
      <c r="D42" s="103">
        <f t="shared" si="0"/>
        <v>0</v>
      </c>
      <c r="E42" s="482">
        <f>5000-5000</f>
        <v>0</v>
      </c>
      <c r="F42" s="103"/>
      <c r="G42" s="103"/>
      <c r="H42" s="159" t="s">
        <v>40</v>
      </c>
      <c r="I42" s="15"/>
      <c r="N42" s="14" t="s">
        <v>298</v>
      </c>
    </row>
    <row r="43" spans="1:9" ht="37.5">
      <c r="A43" s="159">
        <v>17</v>
      </c>
      <c r="B43" s="60" t="s">
        <v>320</v>
      </c>
      <c r="C43" s="35" t="s">
        <v>191</v>
      </c>
      <c r="D43" s="103">
        <f t="shared" si="0"/>
        <v>0</v>
      </c>
      <c r="E43" s="482">
        <f>5000-4000-1000</f>
        <v>0</v>
      </c>
      <c r="F43" s="103"/>
      <c r="G43" s="103"/>
      <c r="H43" s="159" t="s">
        <v>40</v>
      </c>
      <c r="I43" s="15"/>
    </row>
    <row r="44" spans="1:9" s="50" customFormat="1" ht="23.25" customHeight="1" hidden="1">
      <c r="A44" s="421">
        <v>18</v>
      </c>
      <c r="B44" s="460" t="s">
        <v>318</v>
      </c>
      <c r="C44" s="461" t="s">
        <v>191</v>
      </c>
      <c r="D44" s="459">
        <f t="shared" si="0"/>
        <v>0</v>
      </c>
      <c r="E44" s="459">
        <f>1000-1000+50-50</f>
        <v>0</v>
      </c>
      <c r="F44" s="420"/>
      <c r="G44" s="420"/>
      <c r="H44" s="421" t="s">
        <v>40</v>
      </c>
      <c r="I44" s="370"/>
    </row>
    <row r="45" spans="1:9" ht="50.25" customHeight="1">
      <c r="A45" s="159">
        <v>18</v>
      </c>
      <c r="B45" s="60" t="s">
        <v>429</v>
      </c>
      <c r="C45" s="35" t="s">
        <v>191</v>
      </c>
      <c r="D45" s="103">
        <f t="shared" si="0"/>
        <v>13500</v>
      </c>
      <c r="E45" s="103">
        <f>7000-7000</f>
        <v>0</v>
      </c>
      <c r="F45" s="103">
        <v>7500</v>
      </c>
      <c r="G45" s="103">
        <v>6000</v>
      </c>
      <c r="H45" s="159" t="s">
        <v>40</v>
      </c>
      <c r="I45" s="15"/>
    </row>
    <row r="46" spans="1:9" ht="56.25">
      <c r="A46" s="159">
        <v>19</v>
      </c>
      <c r="B46" s="268" t="s">
        <v>553</v>
      </c>
      <c r="C46" s="35" t="s">
        <v>191</v>
      </c>
      <c r="D46" s="103">
        <f t="shared" si="0"/>
        <v>43100</v>
      </c>
      <c r="E46" s="103">
        <f>50000-7900</f>
        <v>42100</v>
      </c>
      <c r="F46" s="103">
        <f>0+80000-79000</f>
        <v>1000</v>
      </c>
      <c r="G46" s="103"/>
      <c r="H46" s="159" t="s">
        <v>40</v>
      </c>
      <c r="I46" s="15"/>
    </row>
    <row r="47" spans="1:9" ht="28.5" customHeight="1">
      <c r="A47" s="299"/>
      <c r="B47" s="70" t="s">
        <v>439</v>
      </c>
      <c r="C47" s="70"/>
      <c r="D47" s="57">
        <f>E47+F47+G47</f>
        <v>1068873.5</v>
      </c>
      <c r="E47" s="57">
        <f>E18+E19+E26+E31+E32+E33+E34+E35+E36+E37+E38+E39+E40+E41+E42+E43+E44+E45+E46+E24</f>
        <v>174237</v>
      </c>
      <c r="F47" s="57">
        <f>F18+F19+F25+F26+F31+F32+F33+F34+F35+F36+F37+F38+F39+F40+F41+F42+F43+F44+F45+F46+F24</f>
        <v>408074.9</v>
      </c>
      <c r="G47" s="57">
        <f>G18+G19+G26+G31+G32+G33+G34+G35+G36+G37+G38+G39+G40+G41+G42+G43+G44+G45+G46+G24</f>
        <v>486561.6</v>
      </c>
      <c r="H47" s="66"/>
      <c r="I47" s="15"/>
    </row>
    <row r="48" spans="1:9" ht="15.75">
      <c r="A48" s="38"/>
      <c r="B48" s="135"/>
      <c r="C48" s="135"/>
      <c r="D48" s="19"/>
      <c r="E48" s="19"/>
      <c r="F48" s="19"/>
      <c r="G48" s="19"/>
      <c r="H48" s="20"/>
      <c r="I48" s="15"/>
    </row>
    <row r="49" spans="1:9" ht="6" customHeight="1">
      <c r="A49" s="38"/>
      <c r="B49" s="186"/>
      <c r="C49" s="135"/>
      <c r="D49" s="19"/>
      <c r="E49" s="19"/>
      <c r="F49" s="19"/>
      <c r="G49" s="19"/>
      <c r="H49" s="20"/>
      <c r="I49" s="15"/>
    </row>
    <row r="50" spans="1:9" ht="15.75" hidden="1">
      <c r="A50" s="38"/>
      <c r="B50" s="135"/>
      <c r="C50" s="135"/>
      <c r="D50" s="19"/>
      <c r="E50" s="19"/>
      <c r="F50" s="19"/>
      <c r="G50" s="19"/>
      <c r="H50" s="20"/>
      <c r="I50" s="15"/>
    </row>
    <row r="51" spans="2:9" ht="15.75">
      <c r="B51" s="15"/>
      <c r="C51" s="15"/>
      <c r="D51" s="15"/>
      <c r="E51" s="15"/>
      <c r="F51" s="15"/>
      <c r="G51" s="15"/>
      <c r="H51" s="15"/>
      <c r="I51" s="15"/>
    </row>
    <row r="52" spans="2:11" s="327" customFormat="1" ht="20.25" customHeight="1">
      <c r="B52" s="618" t="s">
        <v>149</v>
      </c>
      <c r="C52" s="618"/>
      <c r="D52" s="321"/>
      <c r="E52" s="322"/>
      <c r="F52" s="323"/>
      <c r="H52" s="328" t="s">
        <v>578</v>
      </c>
      <c r="J52" s="329"/>
      <c r="K52" s="330"/>
    </row>
    <row r="53" spans="2:11" s="213" customFormat="1" ht="18.75">
      <c r="B53" s="221"/>
      <c r="C53" s="221"/>
      <c r="D53" s="221"/>
      <c r="E53" s="22"/>
      <c r="F53" s="136"/>
      <c r="H53" s="162"/>
      <c r="J53" s="23"/>
      <c r="K53" s="24"/>
    </row>
    <row r="54" spans="2:9" s="213" customFormat="1" ht="18.75">
      <c r="B54" s="590" t="s">
        <v>582</v>
      </c>
      <c r="C54" s="590"/>
      <c r="D54" s="25"/>
      <c r="E54" s="22"/>
      <c r="F54" s="22"/>
      <c r="G54" s="22"/>
      <c r="H54" s="22"/>
      <c r="I54" s="22"/>
    </row>
    <row r="55" spans="2:11" ht="13.5" customHeight="1">
      <c r="B55" s="27"/>
      <c r="C55" s="27"/>
      <c r="D55" s="26"/>
      <c r="E55" s="26"/>
      <c r="F55" s="26"/>
      <c r="G55" s="26"/>
      <c r="H55" s="26"/>
      <c r="I55" s="26"/>
      <c r="J55" s="15"/>
      <c r="K55" s="15"/>
    </row>
    <row r="56" spans="2:9" ht="15.75" hidden="1">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sheetData>
  <sheetProtection/>
  <mergeCells count="18">
    <mergeCell ref="H26:H30"/>
    <mergeCell ref="C14:C16"/>
    <mergeCell ref="D14:D16"/>
    <mergeCell ref="E14:G14"/>
    <mergeCell ref="H14:H16"/>
    <mergeCell ref="E15:E16"/>
    <mergeCell ref="F15:F16"/>
    <mergeCell ref="G15:G16"/>
    <mergeCell ref="A19:A25"/>
    <mergeCell ref="B19:B25"/>
    <mergeCell ref="H19:H25"/>
    <mergeCell ref="B52:C52"/>
    <mergeCell ref="B54:C54"/>
    <mergeCell ref="H1:L1"/>
    <mergeCell ref="H8:M8"/>
    <mergeCell ref="A12:H12"/>
    <mergeCell ref="A14:A16"/>
    <mergeCell ref="B14:B16"/>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9" max="7"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J26" sqref="J26"/>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19" t="s">
        <v>581</v>
      </c>
      <c r="G1" s="619"/>
      <c r="H1" s="619"/>
      <c r="I1" s="619"/>
      <c r="J1" s="619"/>
      <c r="K1" s="17"/>
    </row>
    <row r="2" spans="2:11" ht="15" customHeight="1">
      <c r="B2" s="15"/>
      <c r="C2" s="15"/>
      <c r="D2" s="15"/>
      <c r="E2" s="15"/>
      <c r="F2" s="12" t="s">
        <v>583</v>
      </c>
      <c r="G2" s="12"/>
      <c r="H2" s="15"/>
      <c r="I2" s="12"/>
      <c r="J2" s="12"/>
      <c r="K2" s="12"/>
    </row>
    <row r="3" spans="2:11" ht="15" customHeight="1">
      <c r="B3" s="15"/>
      <c r="C3" s="15"/>
      <c r="D3" s="15"/>
      <c r="E3" s="15"/>
      <c r="F3" s="12" t="s">
        <v>432</v>
      </c>
      <c r="G3" s="12"/>
      <c r="H3" s="15"/>
      <c r="I3" s="12"/>
      <c r="J3" s="12"/>
      <c r="K3" s="12"/>
    </row>
    <row r="4" spans="2:11" ht="16.5" customHeight="1">
      <c r="B4" s="15"/>
      <c r="C4" s="15"/>
      <c r="D4" s="15"/>
      <c r="E4" s="15"/>
      <c r="F4" s="17" t="s">
        <v>158</v>
      </c>
      <c r="G4" s="17"/>
      <c r="H4" s="15"/>
      <c r="I4" s="12"/>
      <c r="J4" s="12"/>
      <c r="K4" s="12"/>
    </row>
    <row r="5" spans="2:11" ht="15" customHeight="1">
      <c r="B5" s="15"/>
      <c r="C5" s="15"/>
      <c r="D5" s="15"/>
      <c r="E5" s="15"/>
      <c r="F5" s="17" t="s">
        <v>355</v>
      </c>
      <c r="G5" s="17"/>
      <c r="H5" s="15"/>
      <c r="I5" s="12"/>
      <c r="J5" s="12"/>
      <c r="K5" s="12"/>
    </row>
    <row r="6" spans="2:11" ht="16.5" customHeight="1">
      <c r="B6" s="15"/>
      <c r="C6" s="15"/>
      <c r="D6" s="15"/>
      <c r="E6" s="15"/>
      <c r="F6" s="620" t="s">
        <v>431</v>
      </c>
      <c r="G6" s="620"/>
      <c r="H6" s="620"/>
      <c r="I6" s="620"/>
      <c r="J6" s="620"/>
      <c r="K6" s="620"/>
    </row>
    <row r="7" spans="2:11" ht="16.5" customHeight="1">
      <c r="B7" s="15"/>
      <c r="C7" s="15"/>
      <c r="D7" s="15"/>
      <c r="E7" s="15"/>
      <c r="F7" s="620" t="s">
        <v>595</v>
      </c>
      <c r="G7" s="620"/>
      <c r="H7" s="620"/>
      <c r="I7" s="620"/>
      <c r="J7" s="620"/>
      <c r="K7" s="620"/>
    </row>
    <row r="8" spans="2:11" ht="16.5" customHeight="1">
      <c r="B8" s="15"/>
      <c r="C8" s="15"/>
      <c r="D8" s="15"/>
      <c r="E8" s="15"/>
      <c r="F8" s="620" t="s">
        <v>627</v>
      </c>
      <c r="G8" s="620"/>
      <c r="H8" s="620"/>
      <c r="I8" s="620"/>
      <c r="J8" s="620"/>
      <c r="K8" s="620"/>
    </row>
    <row r="9" spans="2:11" ht="9.75" customHeight="1">
      <c r="B9" s="15"/>
      <c r="C9" s="15"/>
      <c r="D9" s="15"/>
      <c r="E9" s="15"/>
      <c r="F9" s="620"/>
      <c r="G9" s="620"/>
      <c r="H9" s="620"/>
      <c r="I9" s="620"/>
      <c r="J9" s="620"/>
      <c r="K9" s="620"/>
    </row>
    <row r="10" spans="2:11" ht="9" customHeight="1">
      <c r="B10" s="15"/>
      <c r="C10" s="15"/>
      <c r="D10" s="15"/>
      <c r="E10" s="15"/>
      <c r="F10" s="15"/>
      <c r="G10" s="15"/>
      <c r="H10" s="15"/>
      <c r="I10" s="15"/>
      <c r="J10" s="15"/>
      <c r="K10" s="15"/>
    </row>
    <row r="11" spans="2:11" ht="37.5" customHeight="1">
      <c r="B11" s="621" t="s">
        <v>378</v>
      </c>
      <c r="C11" s="621"/>
      <c r="D11" s="621"/>
      <c r="E11" s="621"/>
      <c r="F11" s="621"/>
      <c r="G11" s="621"/>
      <c r="H11" s="621"/>
      <c r="I11" s="621"/>
      <c r="J11" s="621"/>
      <c r="K11" s="621"/>
    </row>
    <row r="12" spans="2:11" ht="15.75">
      <c r="B12" s="15"/>
      <c r="C12" s="15"/>
      <c r="D12" s="626"/>
      <c r="E12" s="626"/>
      <c r="F12" s="626"/>
      <c r="G12" s="626"/>
      <c r="H12" s="626"/>
      <c r="I12" s="15"/>
      <c r="J12" s="15"/>
      <c r="K12" s="34" t="s">
        <v>456</v>
      </c>
    </row>
    <row r="13" spans="1:11" ht="15.75" customHeight="1">
      <c r="A13" s="622" t="s">
        <v>440</v>
      </c>
      <c r="B13" s="622" t="s">
        <v>445</v>
      </c>
      <c r="C13" s="622" t="s">
        <v>446</v>
      </c>
      <c r="D13" s="622" t="s">
        <v>103</v>
      </c>
      <c r="E13" s="627" t="s">
        <v>442</v>
      </c>
      <c r="F13" s="627"/>
      <c r="G13" s="627"/>
      <c r="H13" s="627"/>
      <c r="I13" s="627"/>
      <c r="J13" s="627"/>
      <c r="K13" s="625" t="s">
        <v>448</v>
      </c>
    </row>
    <row r="14" spans="1:11" ht="15.75" customHeight="1">
      <c r="A14" s="623"/>
      <c r="B14" s="623"/>
      <c r="C14" s="623"/>
      <c r="D14" s="623"/>
      <c r="E14" s="622">
        <v>2022</v>
      </c>
      <c r="F14" s="622">
        <v>2023</v>
      </c>
      <c r="G14" s="622" t="s">
        <v>457</v>
      </c>
      <c r="H14" s="622" t="s">
        <v>458</v>
      </c>
      <c r="I14" s="622" t="s">
        <v>459</v>
      </c>
      <c r="J14" s="625">
        <v>2024</v>
      </c>
      <c r="K14" s="625"/>
    </row>
    <row r="15" spans="1:11" ht="18" customHeight="1">
      <c r="A15" s="624"/>
      <c r="B15" s="624"/>
      <c r="C15" s="624"/>
      <c r="D15" s="624"/>
      <c r="E15" s="624"/>
      <c r="F15" s="624"/>
      <c r="G15" s="624"/>
      <c r="H15" s="624"/>
      <c r="I15" s="624"/>
      <c r="J15" s="625"/>
      <c r="K15" s="625"/>
    </row>
    <row r="16" spans="1:11" s="266" customFormat="1" ht="69" customHeight="1">
      <c r="A16" s="159">
        <v>1</v>
      </c>
      <c r="B16" s="257" t="s">
        <v>348</v>
      </c>
      <c r="C16" s="159" t="s">
        <v>191</v>
      </c>
      <c r="D16" s="337">
        <f aca="true" t="shared" si="0" ref="D16:D25">SUM(E16:J16)</f>
        <v>96041.70000000001</v>
      </c>
      <c r="E16" s="388">
        <f>38738-1000-50-460.6-20000-2100-1263.4</f>
        <v>13864.000000000002</v>
      </c>
      <c r="F16" s="389">
        <f>41062.3-1000</f>
        <v>40062.3</v>
      </c>
      <c r="G16" s="388"/>
      <c r="H16" s="388"/>
      <c r="I16" s="388"/>
      <c r="J16" s="388">
        <f>43115.4-1000</f>
        <v>42115.4</v>
      </c>
      <c r="K16" s="615" t="s">
        <v>40</v>
      </c>
    </row>
    <row r="17" spans="1:11" ht="30" customHeight="1" hidden="1">
      <c r="A17" s="380" t="s">
        <v>41</v>
      </c>
      <c r="B17" s="297" t="s">
        <v>334</v>
      </c>
      <c r="C17" s="628" t="s">
        <v>191</v>
      </c>
      <c r="D17" s="390">
        <f t="shared" si="0"/>
        <v>826.8</v>
      </c>
      <c r="E17" s="95">
        <v>400</v>
      </c>
      <c r="F17" s="96">
        <v>426.8</v>
      </c>
      <c r="G17" s="95"/>
      <c r="H17" s="95"/>
      <c r="I17" s="95"/>
      <c r="J17" s="95"/>
      <c r="K17" s="616"/>
    </row>
    <row r="18" spans="1:11" ht="32.25" customHeight="1" hidden="1">
      <c r="A18" s="380" t="s">
        <v>45</v>
      </c>
      <c r="B18" s="297" t="s">
        <v>335</v>
      </c>
      <c r="C18" s="629"/>
      <c r="D18" s="390">
        <f t="shared" si="0"/>
        <v>310.1</v>
      </c>
      <c r="E18" s="95">
        <v>150</v>
      </c>
      <c r="F18" s="96">
        <v>160.1</v>
      </c>
      <c r="G18" s="95"/>
      <c r="H18" s="95"/>
      <c r="I18" s="95"/>
      <c r="J18" s="95"/>
      <c r="K18" s="616"/>
    </row>
    <row r="19" spans="1:11" ht="33.75" customHeight="1" hidden="1">
      <c r="A19" s="380" t="s">
        <v>46</v>
      </c>
      <c r="B19" s="297" t="s">
        <v>336</v>
      </c>
      <c r="C19" s="629"/>
      <c r="D19" s="390">
        <f t="shared" si="0"/>
        <v>310.1</v>
      </c>
      <c r="E19" s="95">
        <v>150</v>
      </c>
      <c r="F19" s="96">
        <v>160.1</v>
      </c>
      <c r="G19" s="95"/>
      <c r="H19" s="95"/>
      <c r="I19" s="95"/>
      <c r="J19" s="95"/>
      <c r="K19" s="616"/>
    </row>
    <row r="20" spans="1:11" ht="30" customHeight="1" hidden="1">
      <c r="A20" s="380" t="s">
        <v>47</v>
      </c>
      <c r="B20" s="297" t="s">
        <v>337</v>
      </c>
      <c r="C20" s="630"/>
      <c r="D20" s="390">
        <f t="shared" si="0"/>
        <v>310.1</v>
      </c>
      <c r="E20" s="95">
        <v>150</v>
      </c>
      <c r="F20" s="96">
        <v>160.1</v>
      </c>
      <c r="G20" s="95"/>
      <c r="H20" s="95"/>
      <c r="I20" s="95"/>
      <c r="J20" s="95"/>
      <c r="K20" s="617"/>
    </row>
    <row r="21" spans="1:11" s="266" customFormat="1" ht="60.75" customHeight="1">
      <c r="A21" s="159">
        <v>2</v>
      </c>
      <c r="B21" s="257" t="s">
        <v>349</v>
      </c>
      <c r="C21" s="159" t="s">
        <v>191</v>
      </c>
      <c r="D21" s="388">
        <f t="shared" si="0"/>
        <v>44985</v>
      </c>
      <c r="E21" s="92">
        <f>18267-5602.3-27.7-7287-60</f>
        <v>5290</v>
      </c>
      <c r="F21" s="91">
        <v>19363</v>
      </c>
      <c r="G21" s="91"/>
      <c r="H21" s="91"/>
      <c r="I21" s="91"/>
      <c r="J21" s="91">
        <v>20332</v>
      </c>
      <c r="K21" s="615" t="s">
        <v>40</v>
      </c>
    </row>
    <row r="22" spans="1:11" ht="33.75" customHeight="1" hidden="1">
      <c r="A22" s="380" t="s">
        <v>81</v>
      </c>
      <c r="B22" s="297" t="s">
        <v>334</v>
      </c>
      <c r="C22" s="628" t="s">
        <v>191</v>
      </c>
      <c r="D22" s="391">
        <f t="shared" si="0"/>
        <v>310.1</v>
      </c>
      <c r="E22" s="96">
        <v>150</v>
      </c>
      <c r="F22" s="96">
        <v>160.1</v>
      </c>
      <c r="G22" s="95"/>
      <c r="H22" s="95"/>
      <c r="I22" s="95"/>
      <c r="J22" s="95"/>
      <c r="K22" s="616"/>
    </row>
    <row r="23" spans="1:11" ht="31.5" customHeight="1" hidden="1">
      <c r="A23" s="380" t="s">
        <v>100</v>
      </c>
      <c r="B23" s="297" t="s">
        <v>335</v>
      </c>
      <c r="C23" s="629"/>
      <c r="D23" s="391">
        <f t="shared" si="0"/>
        <v>660.1</v>
      </c>
      <c r="E23" s="96">
        <v>500</v>
      </c>
      <c r="F23" s="96">
        <v>160.1</v>
      </c>
      <c r="G23" s="95"/>
      <c r="H23" s="95"/>
      <c r="I23" s="95"/>
      <c r="J23" s="95"/>
      <c r="K23" s="616"/>
    </row>
    <row r="24" spans="1:11" ht="29.25" customHeight="1" hidden="1">
      <c r="A24" s="380" t="s">
        <v>108</v>
      </c>
      <c r="B24" s="297" t="s">
        <v>336</v>
      </c>
      <c r="C24" s="629"/>
      <c r="D24" s="391">
        <f t="shared" si="0"/>
        <v>310.1</v>
      </c>
      <c r="E24" s="96">
        <v>150</v>
      </c>
      <c r="F24" s="96">
        <v>160.1</v>
      </c>
      <c r="G24" s="95"/>
      <c r="H24" s="95"/>
      <c r="I24" s="95"/>
      <c r="J24" s="95"/>
      <c r="K24" s="616"/>
    </row>
    <row r="25" spans="1:11" ht="31.5" customHeight="1" hidden="1">
      <c r="A25" s="380" t="s">
        <v>109</v>
      </c>
      <c r="B25" s="297" t="s">
        <v>337</v>
      </c>
      <c r="C25" s="630"/>
      <c r="D25" s="391">
        <f t="shared" si="0"/>
        <v>1034</v>
      </c>
      <c r="E25" s="96">
        <v>500</v>
      </c>
      <c r="F25" s="96">
        <v>534</v>
      </c>
      <c r="G25" s="95"/>
      <c r="H25" s="95"/>
      <c r="I25" s="95"/>
      <c r="J25" s="95"/>
      <c r="K25" s="617"/>
    </row>
    <row r="26" spans="1:11" s="266" customFormat="1" ht="62.25" customHeight="1">
      <c r="A26" s="159">
        <v>3</v>
      </c>
      <c r="B26" s="257" t="s">
        <v>626</v>
      </c>
      <c r="C26" s="159" t="s">
        <v>191</v>
      </c>
      <c r="D26" s="388">
        <f>E26+F26+J26</f>
        <v>126037</v>
      </c>
      <c r="E26" s="92">
        <f>37170+1000+5602.3+27.7</f>
        <v>43800</v>
      </c>
      <c r="F26" s="91">
        <f>39140+1000</f>
        <v>40140</v>
      </c>
      <c r="G26" s="91"/>
      <c r="H26" s="91"/>
      <c r="I26" s="91"/>
      <c r="J26" s="91">
        <f>41097+1000</f>
        <v>42097</v>
      </c>
      <c r="K26" s="615" t="s">
        <v>40</v>
      </c>
    </row>
    <row r="27" spans="1:11" ht="27" customHeight="1" hidden="1">
      <c r="A27" s="380" t="s">
        <v>120</v>
      </c>
      <c r="B27" s="297" t="s">
        <v>334</v>
      </c>
      <c r="C27" s="628" t="s">
        <v>191</v>
      </c>
      <c r="D27" s="94">
        <f>E27+F27+J27</f>
        <v>1600</v>
      </c>
      <c r="E27" s="96">
        <v>500</v>
      </c>
      <c r="F27" s="96">
        <v>534</v>
      </c>
      <c r="G27" s="95"/>
      <c r="H27" s="95"/>
      <c r="I27" s="95"/>
      <c r="J27" s="95">
        <v>566</v>
      </c>
      <c r="K27" s="616"/>
    </row>
    <row r="28" spans="1:11" ht="27" customHeight="1" hidden="1">
      <c r="A28" s="380" t="s">
        <v>144</v>
      </c>
      <c r="B28" s="297" t="s">
        <v>335</v>
      </c>
      <c r="C28" s="629"/>
      <c r="D28" s="94">
        <f>E28+F28+J28</f>
        <v>319.7</v>
      </c>
      <c r="E28" s="96">
        <v>100</v>
      </c>
      <c r="F28" s="95">
        <v>106.7</v>
      </c>
      <c r="G28" s="95"/>
      <c r="H28" s="95"/>
      <c r="I28" s="95"/>
      <c r="J28" s="95">
        <v>113</v>
      </c>
      <c r="K28" s="616"/>
    </row>
    <row r="29" spans="1:11" ht="29.25" customHeight="1" hidden="1">
      <c r="A29" s="380" t="s">
        <v>144</v>
      </c>
      <c r="B29" s="297" t="s">
        <v>336</v>
      </c>
      <c r="C29" s="629"/>
      <c r="D29" s="94">
        <f>E29+F29+J29</f>
        <v>959.4000000000001</v>
      </c>
      <c r="E29" s="96">
        <v>300</v>
      </c>
      <c r="F29" s="95">
        <v>320.1</v>
      </c>
      <c r="G29" s="95"/>
      <c r="H29" s="95"/>
      <c r="I29" s="95"/>
      <c r="J29" s="95">
        <v>339.3</v>
      </c>
      <c r="K29" s="616"/>
    </row>
    <row r="30" spans="1:11" ht="30.75" customHeight="1" hidden="1">
      <c r="A30" s="380" t="s">
        <v>178</v>
      </c>
      <c r="B30" s="297" t="s">
        <v>337</v>
      </c>
      <c r="C30" s="630"/>
      <c r="D30" s="94">
        <f>E30+F30+J30</f>
        <v>1600</v>
      </c>
      <c r="E30" s="96">
        <v>500</v>
      </c>
      <c r="F30" s="96">
        <v>534</v>
      </c>
      <c r="G30" s="95"/>
      <c r="H30" s="95"/>
      <c r="I30" s="95"/>
      <c r="J30" s="95">
        <v>566</v>
      </c>
      <c r="K30" s="617"/>
    </row>
    <row r="31" spans="1:11" ht="32.25" customHeight="1">
      <c r="A31" s="64"/>
      <c r="B31" s="55" t="s">
        <v>439</v>
      </c>
      <c r="C31" s="65"/>
      <c r="D31" s="90">
        <f>D26+D21+D16</f>
        <v>267063.7</v>
      </c>
      <c r="E31" s="115">
        <f aca="true" t="shared" si="1" ref="E31:J31">E16+E21+E26</f>
        <v>62954</v>
      </c>
      <c r="F31" s="115">
        <f t="shared" si="1"/>
        <v>99565.3</v>
      </c>
      <c r="G31" s="115">
        <f t="shared" si="1"/>
        <v>0</v>
      </c>
      <c r="H31" s="115">
        <f t="shared" si="1"/>
        <v>0</v>
      </c>
      <c r="I31" s="115">
        <f t="shared" si="1"/>
        <v>0</v>
      </c>
      <c r="J31" s="115">
        <f t="shared" si="1"/>
        <v>104544.4</v>
      </c>
      <c r="K31" s="66"/>
    </row>
    <row r="32" spans="1:11" ht="15.75" customHeight="1">
      <c r="A32" s="36"/>
      <c r="B32" s="18"/>
      <c r="C32" s="18"/>
      <c r="D32" s="19"/>
      <c r="E32" s="111"/>
      <c r="F32" s="111"/>
      <c r="G32" s="111"/>
      <c r="H32" s="111"/>
      <c r="I32" s="111"/>
      <c r="J32" s="111"/>
      <c r="K32" s="20"/>
    </row>
    <row r="33" spans="1:11" ht="15" customHeight="1">
      <c r="A33" s="36"/>
      <c r="B33" s="18"/>
      <c r="C33" s="18"/>
      <c r="D33" s="19"/>
      <c r="E33" s="111"/>
      <c r="F33" s="111"/>
      <c r="G33" s="111"/>
      <c r="H33" s="111"/>
      <c r="I33" s="111"/>
      <c r="J33" s="111"/>
      <c r="K33" s="20"/>
    </row>
    <row r="34" spans="1:11" ht="15.75" customHeight="1">
      <c r="A34" s="36"/>
      <c r="B34" s="18"/>
      <c r="C34" s="18"/>
      <c r="D34" s="19"/>
      <c r="E34" s="111"/>
      <c r="F34" s="111"/>
      <c r="G34" s="111"/>
      <c r="H34" s="111"/>
      <c r="I34" s="111"/>
      <c r="J34" s="111"/>
      <c r="K34" s="20"/>
    </row>
    <row r="35" spans="2:11" ht="15.75">
      <c r="B35" s="18"/>
      <c r="C35" s="18"/>
      <c r="D35" s="19"/>
      <c r="E35" s="19"/>
      <c r="F35" s="19"/>
      <c r="G35" s="19"/>
      <c r="H35" s="19"/>
      <c r="I35" s="19"/>
      <c r="J35" s="19"/>
      <c r="K35" s="20"/>
    </row>
    <row r="36" spans="2:11" ht="18.75" customHeight="1">
      <c r="B36" s="589" t="s">
        <v>149</v>
      </c>
      <c r="C36" s="589"/>
      <c r="D36" s="221"/>
      <c r="E36" s="22"/>
      <c r="F36" s="22"/>
      <c r="G36" s="16"/>
      <c r="H36" s="16"/>
      <c r="I36" s="16"/>
      <c r="J36" s="16"/>
      <c r="K36" s="328" t="s">
        <v>578</v>
      </c>
    </row>
    <row r="37" spans="2:11" ht="15.75" customHeight="1">
      <c r="B37" s="221"/>
      <c r="C37" s="221"/>
      <c r="D37" s="221"/>
      <c r="E37" s="22"/>
      <c r="F37" s="22"/>
      <c r="G37" s="16"/>
      <c r="H37" s="16"/>
      <c r="I37" s="16"/>
      <c r="J37" s="16"/>
      <c r="K37" s="23"/>
    </row>
    <row r="38" spans="2:11" ht="18.75">
      <c r="B38" s="590" t="s">
        <v>582</v>
      </c>
      <c r="C38" s="590"/>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C27:C30"/>
    <mergeCell ref="K26:K30"/>
    <mergeCell ref="I14:I15"/>
    <mergeCell ref="J14:J15"/>
    <mergeCell ref="K16:K20"/>
    <mergeCell ref="C17:C20"/>
    <mergeCell ref="C22:C25"/>
    <mergeCell ref="K21:K25"/>
    <mergeCell ref="G14:G15"/>
    <mergeCell ref="H14:H15"/>
    <mergeCell ref="B11:K11"/>
    <mergeCell ref="D12:H12"/>
    <mergeCell ref="A13:A15"/>
    <mergeCell ref="B13:B15"/>
    <mergeCell ref="C13:C15"/>
    <mergeCell ref="D13:D15"/>
    <mergeCell ref="E13:J13"/>
    <mergeCell ref="F6:K6"/>
    <mergeCell ref="F7:K7"/>
    <mergeCell ref="F8:K8"/>
    <mergeCell ref="B38:C38"/>
    <mergeCell ref="B36:C36"/>
    <mergeCell ref="F1:J1"/>
    <mergeCell ref="F9:K9"/>
    <mergeCell ref="K13:K15"/>
    <mergeCell ref="E14:E15"/>
    <mergeCell ref="F14:F15"/>
  </mergeCells>
  <printOptions horizontalCentered="1"/>
  <pageMargins left="0" right="0" top="1.1811023622047245" bottom="0" header="0" footer="0"/>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54">
      <selection activeCell="G83" sqref="G83"/>
    </sheetView>
  </sheetViews>
  <sheetFormatPr defaultColWidth="9.140625" defaultRowHeight="12.75" outlineLevelCol="1"/>
  <cols>
    <col min="1" max="1" width="8.421875" style="137" bestFit="1" customWidth="1"/>
    <col min="2" max="2" width="73.7109375" style="0" customWidth="1"/>
    <col min="3" max="3" width="17.7109375" style="0" customWidth="1"/>
    <col min="4" max="4" width="16.28125" style="0" customWidth="1"/>
    <col min="5" max="5" width="16.140625" style="181"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241</v>
      </c>
      <c r="L1" s="271"/>
      <c r="M1" s="2"/>
    </row>
    <row r="2" spans="11:16" ht="15.75">
      <c r="K2" s="12" t="s">
        <v>583</v>
      </c>
      <c r="L2" s="12"/>
      <c r="M2" s="15"/>
      <c r="N2" s="12"/>
      <c r="O2" s="12"/>
      <c r="P2" s="12"/>
    </row>
    <row r="3" spans="11:16" ht="15.75">
      <c r="K3" s="12" t="s">
        <v>594</v>
      </c>
      <c r="L3" s="12"/>
      <c r="M3" s="15"/>
      <c r="N3" s="12"/>
      <c r="O3" s="12"/>
      <c r="P3" s="12"/>
    </row>
    <row r="4" spans="11:16" ht="15.75">
      <c r="K4" s="17" t="s">
        <v>158</v>
      </c>
      <c r="L4" s="17"/>
      <c r="M4" s="15"/>
      <c r="N4" s="12"/>
      <c r="O4" s="12"/>
      <c r="P4" s="12"/>
    </row>
    <row r="5" spans="2:16" ht="15.75">
      <c r="B5" s="1"/>
      <c r="C5" s="1"/>
      <c r="D5" s="1"/>
      <c r="E5" s="182"/>
      <c r="F5" s="1"/>
      <c r="G5" s="1"/>
      <c r="H5" s="1"/>
      <c r="I5" s="1"/>
      <c r="J5" s="2" t="s">
        <v>475</v>
      </c>
      <c r="K5" s="17" t="s">
        <v>355</v>
      </c>
      <c r="L5" s="17"/>
      <c r="M5" s="15"/>
      <c r="N5" s="12"/>
      <c r="O5" s="12"/>
      <c r="P5" s="12"/>
    </row>
    <row r="6" spans="2:16" ht="15.75" customHeight="1">
      <c r="B6" s="1"/>
      <c r="C6" s="1"/>
      <c r="D6" s="1"/>
      <c r="E6" s="182"/>
      <c r="F6" s="1"/>
      <c r="G6" s="1"/>
      <c r="H6" s="1"/>
      <c r="I6" s="1"/>
      <c r="J6" s="2"/>
      <c r="K6" s="620" t="s">
        <v>431</v>
      </c>
      <c r="L6" s="620"/>
      <c r="M6" s="620"/>
      <c r="N6" s="620"/>
      <c r="O6" s="620"/>
      <c r="P6" s="620"/>
    </row>
    <row r="7" spans="2:16" ht="15.75">
      <c r="B7" s="1"/>
      <c r="C7" s="1"/>
      <c r="D7" s="1"/>
      <c r="E7" s="182"/>
      <c r="F7" s="1"/>
      <c r="G7" s="1"/>
      <c r="H7" s="1"/>
      <c r="I7" s="9"/>
      <c r="J7" s="3" t="s">
        <v>478</v>
      </c>
      <c r="K7" s="620" t="s">
        <v>597</v>
      </c>
      <c r="L7" s="620"/>
      <c r="M7" s="620"/>
      <c r="N7" s="620"/>
      <c r="O7" s="620"/>
      <c r="P7" s="620"/>
    </row>
    <row r="8" spans="2:16" ht="15.75">
      <c r="B8" s="1"/>
      <c r="C8" s="1"/>
      <c r="D8" s="1"/>
      <c r="E8" s="182"/>
      <c r="F8" s="1"/>
      <c r="G8" s="1"/>
      <c r="H8" s="1"/>
      <c r="I8" s="9"/>
      <c r="J8" s="3"/>
      <c r="K8" s="620" t="s">
        <v>609</v>
      </c>
      <c r="L8" s="620"/>
      <c r="M8" s="620" t="s">
        <v>609</v>
      </c>
      <c r="N8" s="620"/>
      <c r="O8" s="620" t="s">
        <v>609</v>
      </c>
      <c r="P8" s="620"/>
    </row>
    <row r="9" spans="2:14" ht="18.75">
      <c r="B9" s="1"/>
      <c r="C9" s="1"/>
      <c r="D9" s="1"/>
      <c r="E9" s="182"/>
      <c r="F9" s="1"/>
      <c r="G9" s="1"/>
      <c r="H9" s="1"/>
      <c r="I9" s="9"/>
      <c r="J9" s="3"/>
      <c r="K9" s="216"/>
      <c r="L9" s="51"/>
      <c r="M9" s="3"/>
      <c r="N9" s="3"/>
    </row>
    <row r="10" spans="2:11" ht="15.75">
      <c r="B10" s="1"/>
      <c r="C10" s="1"/>
      <c r="D10" s="1"/>
      <c r="E10" s="182"/>
      <c r="F10" s="1"/>
      <c r="G10" s="1"/>
      <c r="H10" s="1"/>
      <c r="I10" s="1"/>
      <c r="J10" s="1"/>
      <c r="K10" s="1"/>
    </row>
    <row r="11" spans="1:11" ht="40.5" customHeight="1">
      <c r="A11" s="300"/>
      <c r="B11" s="632" t="s">
        <v>379</v>
      </c>
      <c r="C11" s="632"/>
      <c r="D11" s="632"/>
      <c r="E11" s="632"/>
      <c r="F11" s="632"/>
      <c r="G11" s="632"/>
      <c r="H11" s="632"/>
      <c r="I11" s="632"/>
      <c r="J11" s="632"/>
      <c r="K11" s="632"/>
    </row>
    <row r="12" spans="1:11" ht="15.75">
      <c r="A12" s="300"/>
      <c r="B12" s="1"/>
      <c r="C12" s="1"/>
      <c r="D12" s="1"/>
      <c r="E12" s="182"/>
      <c r="F12" s="1"/>
      <c r="G12" s="1"/>
      <c r="H12" s="1"/>
      <c r="I12" s="1"/>
      <c r="J12" s="1"/>
      <c r="K12" s="43" t="s">
        <v>113</v>
      </c>
    </row>
    <row r="13" spans="1:11" ht="18.75">
      <c r="A13" s="643" t="s">
        <v>479</v>
      </c>
      <c r="B13" s="633" t="s">
        <v>445</v>
      </c>
      <c r="C13" s="633" t="s">
        <v>446</v>
      </c>
      <c r="D13" s="633" t="s">
        <v>103</v>
      </c>
      <c r="E13" s="641" t="s">
        <v>442</v>
      </c>
      <c r="F13" s="641"/>
      <c r="G13" s="641"/>
      <c r="H13" s="641"/>
      <c r="I13" s="641"/>
      <c r="J13" s="641"/>
      <c r="K13" s="633" t="s">
        <v>448</v>
      </c>
    </row>
    <row r="14" spans="1:11" ht="40.5" customHeight="1">
      <c r="A14" s="644"/>
      <c r="B14" s="633"/>
      <c r="C14" s="633"/>
      <c r="D14" s="633"/>
      <c r="E14" s="171">
        <v>2022</v>
      </c>
      <c r="F14" s="52">
        <v>2023</v>
      </c>
      <c r="G14" s="52">
        <v>2024</v>
      </c>
      <c r="H14" s="138" t="s">
        <v>457</v>
      </c>
      <c r="I14" s="138" t="s">
        <v>458</v>
      </c>
      <c r="J14" s="138" t="s">
        <v>459</v>
      </c>
      <c r="K14" s="633"/>
    </row>
    <row r="15" spans="1:13" s="424" customFormat="1" ht="124.5" customHeight="1">
      <c r="A15" s="631">
        <v>1</v>
      </c>
      <c r="B15" s="160" t="s">
        <v>359</v>
      </c>
      <c r="C15" s="631" t="s">
        <v>242</v>
      </c>
      <c r="D15" s="173">
        <f>E15+F15+G15</f>
        <v>16186</v>
      </c>
      <c r="E15" s="480">
        <f>3500.5+2000-1055.5</f>
        <v>4445</v>
      </c>
      <c r="F15" s="480">
        <f>3776+2000</f>
        <v>5776</v>
      </c>
      <c r="G15" s="173">
        <f>3965+2000</f>
        <v>5965</v>
      </c>
      <c r="H15" s="423">
        <f>H16+H17</f>
        <v>0</v>
      </c>
      <c r="I15" s="423">
        <f>I16+I17</f>
        <v>0</v>
      </c>
      <c r="J15" s="423">
        <f>J16+J17</f>
        <v>0</v>
      </c>
      <c r="K15" s="634" t="s">
        <v>40</v>
      </c>
      <c r="M15" s="424" t="s">
        <v>299</v>
      </c>
    </row>
    <row r="16" spans="1:12" s="353" customFormat="1" ht="32.25" customHeight="1" hidden="1">
      <c r="A16" s="631"/>
      <c r="B16" s="355" t="s">
        <v>141</v>
      </c>
      <c r="C16" s="631"/>
      <c r="D16" s="173">
        <f aca="true" t="shared" si="0" ref="D16:D25">E16+F16+G16</f>
        <v>3846.6</v>
      </c>
      <c r="E16" s="480">
        <v>1867.3</v>
      </c>
      <c r="F16" s="480">
        <v>1979.3</v>
      </c>
      <c r="G16" s="173"/>
      <c r="H16" s="356"/>
      <c r="I16" s="356"/>
      <c r="J16" s="356"/>
      <c r="K16" s="635"/>
      <c r="L16" s="352"/>
    </row>
    <row r="17" spans="1:11" s="353" customFormat="1" ht="41.25" customHeight="1" hidden="1">
      <c r="A17" s="631"/>
      <c r="B17" s="355" t="s">
        <v>5</v>
      </c>
      <c r="C17" s="631"/>
      <c r="D17" s="173">
        <f t="shared" si="0"/>
        <v>2778.7</v>
      </c>
      <c r="E17" s="480">
        <f>1210+113.2</f>
        <v>1323.2</v>
      </c>
      <c r="F17" s="480">
        <f>124.5+1331</f>
        <v>1455.5</v>
      </c>
      <c r="G17" s="173"/>
      <c r="H17" s="356"/>
      <c r="I17" s="356"/>
      <c r="J17" s="356"/>
      <c r="K17" s="635"/>
    </row>
    <row r="18" spans="1:11" s="353" customFormat="1" ht="19.5" customHeight="1" hidden="1">
      <c r="A18" s="631"/>
      <c r="B18" s="355" t="s">
        <v>24</v>
      </c>
      <c r="C18" s="631"/>
      <c r="D18" s="173">
        <f t="shared" si="0"/>
        <v>143</v>
      </c>
      <c r="E18" s="480">
        <v>68</v>
      </c>
      <c r="F18" s="480">
        <v>75</v>
      </c>
      <c r="G18" s="173"/>
      <c r="H18" s="356"/>
      <c r="I18" s="356"/>
      <c r="J18" s="356"/>
      <c r="K18" s="635"/>
    </row>
    <row r="19" spans="1:11" s="353" customFormat="1" ht="19.5" customHeight="1" hidden="1">
      <c r="A19" s="631"/>
      <c r="B19" s="355" t="s">
        <v>483</v>
      </c>
      <c r="C19" s="631"/>
      <c r="D19" s="173">
        <f t="shared" si="0"/>
        <v>369</v>
      </c>
      <c r="E19" s="480">
        <v>175.7</v>
      </c>
      <c r="F19" s="480">
        <v>193.3</v>
      </c>
      <c r="G19" s="173"/>
      <c r="H19" s="356"/>
      <c r="I19" s="356"/>
      <c r="J19" s="356"/>
      <c r="K19" s="635"/>
    </row>
    <row r="20" spans="1:11" s="353" customFormat="1" ht="19.5" customHeight="1" hidden="1">
      <c r="A20" s="631"/>
      <c r="B20" s="355" t="s">
        <v>257</v>
      </c>
      <c r="C20" s="631"/>
      <c r="D20" s="173">
        <f t="shared" si="0"/>
        <v>70.3</v>
      </c>
      <c r="E20" s="480">
        <v>33.5</v>
      </c>
      <c r="F20" s="480">
        <v>36.8</v>
      </c>
      <c r="G20" s="173"/>
      <c r="H20" s="356"/>
      <c r="I20" s="356"/>
      <c r="J20" s="356"/>
      <c r="K20" s="635"/>
    </row>
    <row r="21" spans="1:11" s="353" customFormat="1" ht="19.5" customHeight="1" hidden="1">
      <c r="A21" s="631"/>
      <c r="B21" s="355" t="s">
        <v>244</v>
      </c>
      <c r="C21" s="631"/>
      <c r="D21" s="173">
        <f t="shared" si="0"/>
        <v>68.9</v>
      </c>
      <c r="E21" s="480">
        <v>32.8</v>
      </c>
      <c r="F21" s="480">
        <v>36.1</v>
      </c>
      <c r="G21" s="173"/>
      <c r="H21" s="356"/>
      <c r="I21" s="356"/>
      <c r="J21" s="356"/>
      <c r="K21" s="636"/>
    </row>
    <row r="22" spans="1:11" s="353" customFormat="1" ht="19.5" customHeight="1" hidden="1">
      <c r="A22" s="381" t="s">
        <v>41</v>
      </c>
      <c r="B22" s="382" t="s">
        <v>334</v>
      </c>
      <c r="C22" s="637" t="s">
        <v>242</v>
      </c>
      <c r="D22" s="367">
        <f t="shared" si="0"/>
        <v>439.6</v>
      </c>
      <c r="E22" s="494">
        <v>213.4</v>
      </c>
      <c r="F22" s="494">
        <v>226.2</v>
      </c>
      <c r="G22" s="367"/>
      <c r="H22" s="356"/>
      <c r="I22" s="356"/>
      <c r="J22" s="356"/>
      <c r="K22" s="376"/>
    </row>
    <row r="23" spans="1:11" s="353" customFormat="1" ht="19.5" customHeight="1" hidden="1">
      <c r="A23" s="381" t="s">
        <v>45</v>
      </c>
      <c r="B23" s="382" t="s">
        <v>335</v>
      </c>
      <c r="C23" s="638"/>
      <c r="D23" s="367">
        <f t="shared" si="0"/>
        <v>219.8</v>
      </c>
      <c r="E23" s="494">
        <v>106.7</v>
      </c>
      <c r="F23" s="494">
        <v>113.1</v>
      </c>
      <c r="G23" s="367"/>
      <c r="H23" s="356"/>
      <c r="I23" s="356"/>
      <c r="J23" s="356"/>
      <c r="K23" s="376"/>
    </row>
    <row r="24" spans="1:11" s="353" customFormat="1" ht="19.5" customHeight="1" hidden="1">
      <c r="A24" s="381" t="s">
        <v>46</v>
      </c>
      <c r="B24" s="382" t="s">
        <v>336</v>
      </c>
      <c r="C24" s="638"/>
      <c r="D24" s="367">
        <f t="shared" si="0"/>
        <v>439.6</v>
      </c>
      <c r="E24" s="494">
        <v>213.4</v>
      </c>
      <c r="F24" s="494">
        <v>226.2</v>
      </c>
      <c r="G24" s="367"/>
      <c r="H24" s="356"/>
      <c r="I24" s="356"/>
      <c r="J24" s="356"/>
      <c r="K24" s="376"/>
    </row>
    <row r="25" spans="1:11" s="353" customFormat="1" ht="19.5" customHeight="1" hidden="1">
      <c r="A25" s="381" t="s">
        <v>47</v>
      </c>
      <c r="B25" s="382" t="s">
        <v>337</v>
      </c>
      <c r="C25" s="639"/>
      <c r="D25" s="367">
        <f t="shared" si="0"/>
        <v>439.6</v>
      </c>
      <c r="E25" s="494">
        <v>213.4</v>
      </c>
      <c r="F25" s="494">
        <v>226.2</v>
      </c>
      <c r="G25" s="367"/>
      <c r="H25" s="356"/>
      <c r="I25" s="356"/>
      <c r="J25" s="356"/>
      <c r="K25" s="376"/>
    </row>
    <row r="26" spans="1:13" s="351" customFormat="1" ht="112.5">
      <c r="A26" s="631">
        <v>2</v>
      </c>
      <c r="B26" s="160" t="s">
        <v>567</v>
      </c>
      <c r="C26" s="631" t="s">
        <v>242</v>
      </c>
      <c r="D26" s="173">
        <f aca="true" t="shared" si="1" ref="D26:D59">E26+F26+G26</f>
        <v>25730</v>
      </c>
      <c r="E26" s="480">
        <f>10053.4+384.1-4547.5</f>
        <v>5890</v>
      </c>
      <c r="F26" s="480">
        <v>7800</v>
      </c>
      <c r="G26" s="480">
        <v>12040</v>
      </c>
      <c r="H26" s="354" t="e">
        <f>H27+H28+#REF!+H29</f>
        <v>#REF!</v>
      </c>
      <c r="I26" s="354" t="e">
        <f>I27+I28+#REF!+I29</f>
        <v>#REF!</v>
      </c>
      <c r="J26" s="354" t="e">
        <f>J27+J28+#REF!+J29</f>
        <v>#REF!</v>
      </c>
      <c r="K26" s="634" t="s">
        <v>40</v>
      </c>
      <c r="M26" s="351" t="s">
        <v>300</v>
      </c>
    </row>
    <row r="27" spans="1:11" s="353" customFormat="1" ht="33.75" customHeight="1" hidden="1">
      <c r="A27" s="631"/>
      <c r="B27" s="357" t="s">
        <v>138</v>
      </c>
      <c r="C27" s="631"/>
      <c r="D27" s="173">
        <f t="shared" si="1"/>
        <v>9025.8</v>
      </c>
      <c r="E27" s="480">
        <v>4298</v>
      </c>
      <c r="F27" s="480">
        <v>4727.8</v>
      </c>
      <c r="G27" s="173"/>
      <c r="H27" s="356"/>
      <c r="I27" s="356"/>
      <c r="J27" s="356"/>
      <c r="K27" s="635"/>
    </row>
    <row r="28" spans="1:11" s="353" customFormat="1" ht="19.5" customHeight="1" hidden="1">
      <c r="A28" s="631"/>
      <c r="B28" s="355" t="s">
        <v>484</v>
      </c>
      <c r="C28" s="631"/>
      <c r="D28" s="173">
        <f t="shared" si="1"/>
        <v>8790.900000000001</v>
      </c>
      <c r="E28" s="480">
        <v>4186.1</v>
      </c>
      <c r="F28" s="480">
        <v>4604.8</v>
      </c>
      <c r="G28" s="173"/>
      <c r="H28" s="356"/>
      <c r="I28" s="356"/>
      <c r="J28" s="356"/>
      <c r="K28" s="635"/>
    </row>
    <row r="29" spans="1:11" s="353" customFormat="1" ht="20.25" customHeight="1" hidden="1">
      <c r="A29" s="631"/>
      <c r="B29" s="355" t="s">
        <v>485</v>
      </c>
      <c r="C29" s="631"/>
      <c r="D29" s="173">
        <f t="shared" si="1"/>
        <v>3296.2</v>
      </c>
      <c r="E29" s="480">
        <v>1569.3</v>
      </c>
      <c r="F29" s="480">
        <v>1726.9</v>
      </c>
      <c r="G29" s="173"/>
      <c r="H29" s="356"/>
      <c r="I29" s="356"/>
      <c r="J29" s="356"/>
      <c r="K29" s="636"/>
    </row>
    <row r="30" spans="1:11" s="353" customFormat="1" ht="15" customHeight="1" hidden="1">
      <c r="A30" s="358"/>
      <c r="B30" s="355" t="s">
        <v>486</v>
      </c>
      <c r="C30" s="161" t="s">
        <v>449</v>
      </c>
      <c r="D30" s="173">
        <f t="shared" si="1"/>
        <v>0</v>
      </c>
      <c r="E30" s="480"/>
      <c r="F30" s="502"/>
      <c r="G30" s="295"/>
      <c r="H30" s="359"/>
      <c r="I30" s="356"/>
      <c r="J30" s="356"/>
      <c r="K30" s="161" t="s">
        <v>487</v>
      </c>
    </row>
    <row r="31" spans="1:11" s="353" customFormat="1" ht="15" customHeight="1" hidden="1">
      <c r="A31" s="358"/>
      <c r="B31" s="355" t="s">
        <v>488</v>
      </c>
      <c r="C31" s="161" t="s">
        <v>449</v>
      </c>
      <c r="D31" s="173">
        <f t="shared" si="1"/>
        <v>0</v>
      </c>
      <c r="E31" s="480">
        <v>0</v>
      </c>
      <c r="F31" s="502">
        <v>0</v>
      </c>
      <c r="G31" s="295"/>
      <c r="H31" s="360"/>
      <c r="I31" s="360"/>
      <c r="J31" s="360"/>
      <c r="K31" s="161" t="s">
        <v>487</v>
      </c>
    </row>
    <row r="32" spans="1:11" s="351" customFormat="1" ht="114" customHeight="1">
      <c r="A32" s="631">
        <v>3</v>
      </c>
      <c r="B32" s="160" t="s">
        <v>351</v>
      </c>
      <c r="C32" s="631" t="s">
        <v>242</v>
      </c>
      <c r="D32" s="173">
        <f t="shared" si="1"/>
        <v>27567.5</v>
      </c>
      <c r="E32" s="480">
        <f>6328.6+4000-933.6+240.1</f>
        <v>9635.1</v>
      </c>
      <c r="F32" s="527">
        <v>10625.6</v>
      </c>
      <c r="G32" s="480">
        <v>7306.8</v>
      </c>
      <c r="H32" s="354">
        <f>H33+H34+H35</f>
        <v>0</v>
      </c>
      <c r="I32" s="354">
        <f>I33+I34+I35</f>
        <v>0</v>
      </c>
      <c r="J32" s="354">
        <f>J33+J34+J35</f>
        <v>0</v>
      </c>
      <c r="K32" s="631" t="s">
        <v>40</v>
      </c>
    </row>
    <row r="33" spans="1:11" ht="53.25" customHeight="1" hidden="1">
      <c r="A33" s="631"/>
      <c r="B33" s="355" t="s">
        <v>259</v>
      </c>
      <c r="C33" s="631"/>
      <c r="D33" s="173">
        <f t="shared" si="1"/>
        <v>14982.7</v>
      </c>
      <c r="E33" s="480">
        <f>1927.3+2754.8</f>
        <v>4682.1</v>
      </c>
      <c r="F33" s="173">
        <f>2120+3030.3</f>
        <v>5150.3</v>
      </c>
      <c r="G33" s="173">
        <f>2120+3030.3</f>
        <v>5150.3</v>
      </c>
      <c r="H33" s="356"/>
      <c r="I33" s="356"/>
      <c r="J33" s="356"/>
      <c r="K33" s="631"/>
    </row>
    <row r="34" spans="1:11" ht="19.5" customHeight="1" hidden="1">
      <c r="A34" s="631"/>
      <c r="B34" s="355" t="s">
        <v>489</v>
      </c>
      <c r="C34" s="631"/>
      <c r="D34" s="173">
        <f t="shared" si="1"/>
        <v>0</v>
      </c>
      <c r="E34" s="480"/>
      <c r="F34" s="173"/>
      <c r="G34" s="173"/>
      <c r="H34" s="356"/>
      <c r="I34" s="356"/>
      <c r="J34" s="356"/>
      <c r="K34" s="631"/>
    </row>
    <row r="35" spans="1:11" ht="24.75" customHeight="1" hidden="1">
      <c r="A35" s="631"/>
      <c r="B35" s="355" t="s">
        <v>490</v>
      </c>
      <c r="C35" s="631"/>
      <c r="D35" s="173">
        <f t="shared" si="1"/>
        <v>264.1</v>
      </c>
      <c r="E35" s="480">
        <v>82.5</v>
      </c>
      <c r="F35" s="173">
        <v>90.8</v>
      </c>
      <c r="G35" s="173">
        <v>90.8</v>
      </c>
      <c r="H35" s="356"/>
      <c r="I35" s="356"/>
      <c r="J35" s="356"/>
      <c r="K35" s="631"/>
    </row>
    <row r="36" spans="1:11" ht="2.25" customHeight="1" hidden="1">
      <c r="A36" s="631"/>
      <c r="B36" s="355" t="s">
        <v>491</v>
      </c>
      <c r="C36" s="631"/>
      <c r="D36" s="173">
        <f t="shared" si="1"/>
        <v>0</v>
      </c>
      <c r="E36" s="480"/>
      <c r="F36" s="173"/>
      <c r="G36" s="173"/>
      <c r="H36" s="356"/>
      <c r="I36" s="356"/>
      <c r="J36" s="356"/>
      <c r="K36" s="631"/>
    </row>
    <row r="37" spans="1:11" ht="19.5" customHeight="1" hidden="1">
      <c r="A37" s="631"/>
      <c r="B37" s="355" t="s">
        <v>492</v>
      </c>
      <c r="C37" s="631"/>
      <c r="D37" s="173">
        <f t="shared" si="1"/>
        <v>360.5</v>
      </c>
      <c r="E37" s="480">
        <v>112.7</v>
      </c>
      <c r="F37" s="173">
        <v>123.9</v>
      </c>
      <c r="G37" s="173">
        <v>123.9</v>
      </c>
      <c r="H37" s="356"/>
      <c r="I37" s="356"/>
      <c r="J37" s="356"/>
      <c r="K37" s="631"/>
    </row>
    <row r="38" spans="1:11" ht="19.5" customHeight="1" hidden="1">
      <c r="A38" s="631"/>
      <c r="B38" s="355" t="s">
        <v>139</v>
      </c>
      <c r="C38" s="631"/>
      <c r="D38" s="173">
        <f t="shared" si="1"/>
        <v>422.4</v>
      </c>
      <c r="E38" s="480">
        <v>132</v>
      </c>
      <c r="F38" s="173">
        <v>145.2</v>
      </c>
      <c r="G38" s="173">
        <v>145.2</v>
      </c>
      <c r="H38" s="356"/>
      <c r="I38" s="356"/>
      <c r="J38" s="356"/>
      <c r="K38" s="631"/>
    </row>
    <row r="39" spans="1:11" ht="36" customHeight="1" hidden="1">
      <c r="A39" s="631"/>
      <c r="B39" s="355" t="s">
        <v>140</v>
      </c>
      <c r="C39" s="631"/>
      <c r="D39" s="173">
        <f t="shared" si="1"/>
        <v>4055.8999999999996</v>
      </c>
      <c r="E39" s="480">
        <v>1267.5</v>
      </c>
      <c r="F39" s="173">
        <v>1394.2</v>
      </c>
      <c r="G39" s="173">
        <v>1394.2</v>
      </c>
      <c r="H39" s="356"/>
      <c r="I39" s="356"/>
      <c r="J39" s="356"/>
      <c r="K39" s="631"/>
    </row>
    <row r="40" spans="1:11" ht="30" customHeight="1" hidden="1">
      <c r="A40" s="631"/>
      <c r="B40" s="355" t="s">
        <v>247</v>
      </c>
      <c r="C40" s="631"/>
      <c r="D40" s="173">
        <f t="shared" si="1"/>
        <v>160.8</v>
      </c>
      <c r="E40" s="480">
        <v>51.8</v>
      </c>
      <c r="F40" s="173">
        <v>54.5</v>
      </c>
      <c r="G40" s="173">
        <v>54.5</v>
      </c>
      <c r="H40" s="356"/>
      <c r="I40" s="356"/>
      <c r="J40" s="356"/>
      <c r="K40" s="631"/>
    </row>
    <row r="41" spans="1:11" ht="30.75" customHeight="1" hidden="1">
      <c r="A41" s="640">
        <v>4</v>
      </c>
      <c r="B41" s="645" t="s">
        <v>142</v>
      </c>
      <c r="C41" s="161" t="s">
        <v>449</v>
      </c>
      <c r="D41" s="173">
        <f t="shared" si="1"/>
        <v>0</v>
      </c>
      <c r="E41" s="480"/>
      <c r="F41" s="173"/>
      <c r="G41" s="173"/>
      <c r="H41" s="356"/>
      <c r="I41" s="356"/>
      <c r="J41" s="356"/>
      <c r="K41" s="634" t="s">
        <v>480</v>
      </c>
    </row>
    <row r="42" spans="1:11" ht="25.5" customHeight="1" hidden="1">
      <c r="A42" s="640"/>
      <c r="B42" s="645"/>
      <c r="C42" s="161" t="s">
        <v>155</v>
      </c>
      <c r="D42" s="173">
        <f t="shared" si="1"/>
        <v>0</v>
      </c>
      <c r="E42" s="480"/>
      <c r="F42" s="173"/>
      <c r="G42" s="173"/>
      <c r="H42" s="356"/>
      <c r="I42" s="356"/>
      <c r="J42" s="356"/>
      <c r="K42" s="636"/>
    </row>
    <row r="43" spans="1:11" ht="24" customHeight="1" hidden="1">
      <c r="A43" s="631">
        <v>5</v>
      </c>
      <c r="B43" s="361" t="s">
        <v>493</v>
      </c>
      <c r="C43" s="631" t="s">
        <v>156</v>
      </c>
      <c r="D43" s="173">
        <f t="shared" si="1"/>
        <v>0</v>
      </c>
      <c r="E43" s="480">
        <f>E44+E45+E46+E47+E48+E49</f>
        <v>0</v>
      </c>
      <c r="F43" s="173">
        <f>F44+F45+F46+F47+F48+F49</f>
        <v>0</v>
      </c>
      <c r="G43" s="173">
        <f>G44+G45+G46+G47+G48+G49</f>
        <v>0</v>
      </c>
      <c r="H43" s="354" t="e">
        <f>H44+H45+H46+H47+H48+#REF!+H49+#REF!+#REF!+#REF!</f>
        <v>#REF!</v>
      </c>
      <c r="I43" s="354" t="e">
        <f>I44+I45+I46+I47+I48+#REF!+I49+#REF!+#REF!+#REF!</f>
        <v>#REF!</v>
      </c>
      <c r="J43" s="354" t="e">
        <f>J44+J45+J46+J47+J48+#REF!+J49+#REF!+#REF!+#REF!</f>
        <v>#REF!</v>
      </c>
      <c r="K43" s="634" t="s">
        <v>40</v>
      </c>
    </row>
    <row r="44" spans="1:11" ht="33.75" customHeight="1" hidden="1">
      <c r="A44" s="631"/>
      <c r="B44" s="160" t="s">
        <v>494</v>
      </c>
      <c r="C44" s="631"/>
      <c r="D44" s="173">
        <f t="shared" si="1"/>
        <v>0</v>
      </c>
      <c r="E44" s="480"/>
      <c r="F44" s="173"/>
      <c r="G44" s="173"/>
      <c r="H44" s="356"/>
      <c r="I44" s="356"/>
      <c r="J44" s="356"/>
      <c r="K44" s="635"/>
    </row>
    <row r="45" spans="1:11" ht="20.25" customHeight="1" hidden="1">
      <c r="A45" s="631"/>
      <c r="B45" s="160" t="s">
        <v>481</v>
      </c>
      <c r="C45" s="631"/>
      <c r="D45" s="173">
        <f t="shared" si="1"/>
        <v>0</v>
      </c>
      <c r="E45" s="480"/>
      <c r="F45" s="173"/>
      <c r="G45" s="173"/>
      <c r="H45" s="356"/>
      <c r="I45" s="356"/>
      <c r="J45" s="356"/>
      <c r="K45" s="635"/>
    </row>
    <row r="46" spans="1:11" ht="20.25" customHeight="1" hidden="1">
      <c r="A46" s="631"/>
      <c r="B46" s="160" t="s">
        <v>482</v>
      </c>
      <c r="C46" s="631"/>
      <c r="D46" s="173">
        <f t="shared" si="1"/>
        <v>0</v>
      </c>
      <c r="E46" s="480"/>
      <c r="F46" s="173"/>
      <c r="G46" s="173"/>
      <c r="H46" s="356"/>
      <c r="I46" s="356"/>
      <c r="J46" s="356"/>
      <c r="K46" s="635"/>
    </row>
    <row r="47" spans="1:11" ht="22.5" customHeight="1" hidden="1">
      <c r="A47" s="631"/>
      <c r="B47" s="160" t="s">
        <v>495</v>
      </c>
      <c r="C47" s="631"/>
      <c r="D47" s="173">
        <f t="shared" si="1"/>
        <v>0</v>
      </c>
      <c r="E47" s="480"/>
      <c r="F47" s="173"/>
      <c r="G47" s="173"/>
      <c r="H47" s="356"/>
      <c r="I47" s="356"/>
      <c r="J47" s="356"/>
      <c r="K47" s="635"/>
    </row>
    <row r="48" spans="1:11" ht="20.25" customHeight="1" hidden="1">
      <c r="A48" s="631"/>
      <c r="B48" s="160" t="s">
        <v>484</v>
      </c>
      <c r="C48" s="631"/>
      <c r="D48" s="173">
        <f t="shared" si="1"/>
        <v>0</v>
      </c>
      <c r="E48" s="480"/>
      <c r="F48" s="173"/>
      <c r="G48" s="173"/>
      <c r="H48" s="356"/>
      <c r="I48" s="356"/>
      <c r="J48" s="356"/>
      <c r="K48" s="635"/>
    </row>
    <row r="49" spans="1:11" ht="18.75" customHeight="1" hidden="1">
      <c r="A49" s="631"/>
      <c r="B49" s="160" t="s">
        <v>496</v>
      </c>
      <c r="C49" s="631"/>
      <c r="D49" s="173">
        <f t="shared" si="1"/>
        <v>0</v>
      </c>
      <c r="E49" s="480"/>
      <c r="F49" s="173"/>
      <c r="G49" s="173"/>
      <c r="H49" s="356"/>
      <c r="I49" s="356"/>
      <c r="J49" s="356"/>
      <c r="K49" s="635"/>
    </row>
    <row r="50" spans="1:11" ht="18.75" customHeight="1" hidden="1">
      <c r="A50" s="381" t="s">
        <v>120</v>
      </c>
      <c r="B50" s="382" t="s">
        <v>334</v>
      </c>
      <c r="C50" s="637" t="s">
        <v>242</v>
      </c>
      <c r="D50" s="367">
        <f t="shared" si="1"/>
        <v>166.6</v>
      </c>
      <c r="E50" s="494">
        <v>53.4</v>
      </c>
      <c r="F50" s="367">
        <v>56.6</v>
      </c>
      <c r="G50" s="367">
        <v>56.6</v>
      </c>
      <c r="H50" s="356"/>
      <c r="I50" s="356"/>
      <c r="J50" s="356"/>
      <c r="K50" s="635"/>
    </row>
    <row r="51" spans="1:11" ht="18.75" customHeight="1" hidden="1">
      <c r="A51" s="381" t="s">
        <v>144</v>
      </c>
      <c r="B51" s="382" t="s">
        <v>335</v>
      </c>
      <c r="C51" s="638"/>
      <c r="D51" s="367">
        <f t="shared" si="1"/>
        <v>166.6</v>
      </c>
      <c r="E51" s="494">
        <v>53.4</v>
      </c>
      <c r="F51" s="367">
        <v>56.6</v>
      </c>
      <c r="G51" s="367">
        <v>56.6</v>
      </c>
      <c r="H51" s="356"/>
      <c r="I51" s="356"/>
      <c r="J51" s="356"/>
      <c r="K51" s="635"/>
    </row>
    <row r="52" spans="1:11" ht="18.75" customHeight="1" hidden="1">
      <c r="A52" s="381" t="s">
        <v>178</v>
      </c>
      <c r="B52" s="382" t="s">
        <v>336</v>
      </c>
      <c r="C52" s="638"/>
      <c r="D52" s="367">
        <f t="shared" si="1"/>
        <v>166.6</v>
      </c>
      <c r="E52" s="494">
        <v>53.4</v>
      </c>
      <c r="F52" s="367">
        <v>56.6</v>
      </c>
      <c r="G52" s="367">
        <v>56.6</v>
      </c>
      <c r="H52" s="356"/>
      <c r="I52" s="356"/>
      <c r="J52" s="356"/>
      <c r="K52" s="635"/>
    </row>
    <row r="53" spans="1:11" ht="18.75" customHeight="1" hidden="1">
      <c r="A53" s="381" t="s">
        <v>179</v>
      </c>
      <c r="B53" s="382" t="s">
        <v>337</v>
      </c>
      <c r="C53" s="639"/>
      <c r="D53" s="367">
        <f t="shared" si="1"/>
        <v>166.6</v>
      </c>
      <c r="E53" s="494">
        <v>53.4</v>
      </c>
      <c r="F53" s="367">
        <v>56.6</v>
      </c>
      <c r="G53" s="367">
        <v>56.6</v>
      </c>
      <c r="H53" s="356"/>
      <c r="I53" s="356"/>
      <c r="J53" s="356"/>
      <c r="K53" s="635"/>
    </row>
    <row r="54" spans="1:11" s="351" customFormat="1" ht="36" customHeight="1">
      <c r="A54" s="161">
        <v>4</v>
      </c>
      <c r="B54" s="160" t="s">
        <v>358</v>
      </c>
      <c r="C54" s="161" t="s">
        <v>242</v>
      </c>
      <c r="D54" s="173">
        <f t="shared" si="1"/>
        <v>4320.8</v>
      </c>
      <c r="E54" s="480">
        <f>1650-1050</f>
        <v>600</v>
      </c>
      <c r="F54" s="173">
        <v>1815</v>
      </c>
      <c r="G54" s="173">
        <v>1905.8</v>
      </c>
      <c r="H54" s="354"/>
      <c r="I54" s="354"/>
      <c r="J54" s="354"/>
      <c r="K54" s="635"/>
    </row>
    <row r="55" spans="1:11" s="351" customFormat="1" ht="63" customHeight="1">
      <c r="A55" s="358">
        <v>5</v>
      </c>
      <c r="B55" s="160" t="s">
        <v>258</v>
      </c>
      <c r="C55" s="161" t="s">
        <v>242</v>
      </c>
      <c r="D55" s="173">
        <f t="shared" si="1"/>
        <v>10849.3</v>
      </c>
      <c r="E55" s="480">
        <f>3792.4-1495.1</f>
        <v>2297.3</v>
      </c>
      <c r="F55" s="173">
        <v>4171.7</v>
      </c>
      <c r="G55" s="173">
        <v>4380.3</v>
      </c>
      <c r="H55" s="354"/>
      <c r="I55" s="354"/>
      <c r="J55" s="354"/>
      <c r="K55" s="635"/>
    </row>
    <row r="56" spans="1:11" ht="51" customHeight="1" hidden="1">
      <c r="A56" s="640">
        <v>8</v>
      </c>
      <c r="B56" s="631" t="s">
        <v>497</v>
      </c>
      <c r="C56" s="161" t="s">
        <v>242</v>
      </c>
      <c r="D56" s="173">
        <f t="shared" si="1"/>
        <v>0</v>
      </c>
      <c r="E56" s="480"/>
      <c r="F56" s="173"/>
      <c r="G56" s="173"/>
      <c r="H56" s="356"/>
      <c r="I56" s="356"/>
      <c r="J56" s="356"/>
      <c r="K56" s="635"/>
    </row>
    <row r="57" spans="1:11" ht="18.75" customHeight="1" hidden="1">
      <c r="A57" s="640"/>
      <c r="B57" s="631"/>
      <c r="C57" s="161" t="s">
        <v>242</v>
      </c>
      <c r="D57" s="173">
        <f t="shared" si="1"/>
        <v>0</v>
      </c>
      <c r="E57" s="480"/>
      <c r="F57" s="173"/>
      <c r="G57" s="173"/>
      <c r="H57" s="356"/>
      <c r="I57" s="356"/>
      <c r="J57" s="356"/>
      <c r="K57" s="635"/>
    </row>
    <row r="58" spans="1:11" s="353" customFormat="1" ht="28.5" customHeight="1">
      <c r="A58" s="358">
        <v>6</v>
      </c>
      <c r="B58" s="160" t="s">
        <v>260</v>
      </c>
      <c r="C58" s="161" t="s">
        <v>242</v>
      </c>
      <c r="D58" s="173">
        <f t="shared" si="1"/>
        <v>1458.3000000000002</v>
      </c>
      <c r="E58" s="480">
        <f>529.2-55-214.2+5</f>
        <v>265.00000000000006</v>
      </c>
      <c r="F58" s="173">
        <v>582.1</v>
      </c>
      <c r="G58" s="173">
        <v>611.2</v>
      </c>
      <c r="H58" s="356"/>
      <c r="I58" s="356"/>
      <c r="J58" s="356"/>
      <c r="K58" s="636"/>
    </row>
    <row r="59" spans="1:11" s="422" customFormat="1" ht="32.25" customHeight="1">
      <c r="A59" s="640">
        <v>7</v>
      </c>
      <c r="B59" s="642" t="s">
        <v>36</v>
      </c>
      <c r="C59" s="161" t="s">
        <v>35</v>
      </c>
      <c r="D59" s="173">
        <f t="shared" si="1"/>
        <v>524</v>
      </c>
      <c r="E59" s="480">
        <f>200-76</f>
        <v>124</v>
      </c>
      <c r="F59" s="173">
        <f>F60</f>
        <v>200</v>
      </c>
      <c r="G59" s="173">
        <v>200</v>
      </c>
      <c r="H59" s="356"/>
      <c r="I59" s="356"/>
      <c r="J59" s="356"/>
      <c r="K59" s="634" t="s">
        <v>40</v>
      </c>
    </row>
    <row r="60" spans="1:11" s="422" customFormat="1" ht="33" customHeight="1">
      <c r="A60" s="640"/>
      <c r="B60" s="642"/>
      <c r="C60" s="161" t="s">
        <v>242</v>
      </c>
      <c r="D60" s="173">
        <f aca="true" t="shared" si="2" ref="D60:D74">E60+F60+G60</f>
        <v>524</v>
      </c>
      <c r="E60" s="480">
        <f>200-76</f>
        <v>124</v>
      </c>
      <c r="F60" s="173">
        <v>200</v>
      </c>
      <c r="G60" s="173">
        <v>200</v>
      </c>
      <c r="H60" s="356"/>
      <c r="I60" s="356"/>
      <c r="J60" s="356"/>
      <c r="K60" s="635"/>
    </row>
    <row r="61" spans="1:11" ht="56.25" customHeight="1" hidden="1">
      <c r="A61" s="640">
        <v>10</v>
      </c>
      <c r="B61" s="631" t="s">
        <v>143</v>
      </c>
      <c r="C61" s="161" t="s">
        <v>449</v>
      </c>
      <c r="D61" s="173">
        <f t="shared" si="2"/>
        <v>0</v>
      </c>
      <c r="E61" s="173"/>
      <c r="F61" s="173"/>
      <c r="G61" s="173"/>
      <c r="H61" s="356"/>
      <c r="I61" s="356"/>
      <c r="J61" s="356"/>
      <c r="K61" s="634" t="s">
        <v>498</v>
      </c>
    </row>
    <row r="62" spans="1:11" ht="18.75" hidden="1">
      <c r="A62" s="640"/>
      <c r="B62" s="631"/>
      <c r="C62" s="161" t="s">
        <v>155</v>
      </c>
      <c r="D62" s="173">
        <f t="shared" si="2"/>
        <v>0</v>
      </c>
      <c r="E62" s="173"/>
      <c r="F62" s="173"/>
      <c r="G62" s="173"/>
      <c r="H62" s="356"/>
      <c r="I62" s="356"/>
      <c r="J62" s="356"/>
      <c r="K62" s="636"/>
    </row>
    <row r="63" spans="1:11" s="351" customFormat="1" ht="23.25" customHeight="1">
      <c r="A63" s="631">
        <v>8</v>
      </c>
      <c r="B63" s="160" t="s">
        <v>499</v>
      </c>
      <c r="C63" s="631" t="s">
        <v>242</v>
      </c>
      <c r="D63" s="173">
        <f t="shared" si="2"/>
        <v>1873.9</v>
      </c>
      <c r="E63" s="173">
        <f>E64+E65+E66+E69+E71+E68</f>
        <v>625</v>
      </c>
      <c r="F63" s="173">
        <f>F64+F65+F66+F69+F71+F68</f>
        <v>633.8000000000001</v>
      </c>
      <c r="G63" s="173">
        <f>G64+G65+G66+G69+G71+G68</f>
        <v>615.1</v>
      </c>
      <c r="H63" s="354"/>
      <c r="I63" s="354"/>
      <c r="J63" s="354"/>
      <c r="K63" s="634" t="s">
        <v>565</v>
      </c>
    </row>
    <row r="64" spans="1:11" ht="21.75" customHeight="1">
      <c r="A64" s="631"/>
      <c r="B64" s="475" t="s">
        <v>562</v>
      </c>
      <c r="C64" s="631"/>
      <c r="D64" s="411">
        <f t="shared" si="2"/>
        <v>836.8</v>
      </c>
      <c r="E64" s="411">
        <f>244.2+50.8</f>
        <v>295</v>
      </c>
      <c r="F64" s="411">
        <f>258.9+11.1</f>
        <v>270</v>
      </c>
      <c r="G64" s="411">
        <v>271.8</v>
      </c>
      <c r="H64" s="356"/>
      <c r="I64" s="356"/>
      <c r="J64" s="356"/>
      <c r="K64" s="635"/>
    </row>
    <row r="65" spans="1:11" ht="21.75" customHeight="1">
      <c r="A65" s="631"/>
      <c r="B65" s="475" t="s">
        <v>245</v>
      </c>
      <c r="C65" s="631"/>
      <c r="D65" s="411">
        <f t="shared" si="2"/>
        <v>477.7</v>
      </c>
      <c r="E65" s="479">
        <f>117.4+40-17.4</f>
        <v>140</v>
      </c>
      <c r="F65" s="411">
        <f>125.7+40</f>
        <v>165.7</v>
      </c>
      <c r="G65" s="411">
        <f>132+40</f>
        <v>172</v>
      </c>
      <c r="H65" s="356"/>
      <c r="I65" s="356"/>
      <c r="J65" s="356"/>
      <c r="K65" s="635"/>
    </row>
    <row r="66" spans="1:11" ht="36" customHeight="1">
      <c r="A66" s="631"/>
      <c r="B66" s="475" t="s">
        <v>558</v>
      </c>
      <c r="C66" s="631"/>
      <c r="D66" s="411">
        <f t="shared" si="2"/>
        <v>172</v>
      </c>
      <c r="E66" s="479">
        <f>32+30+75</f>
        <v>137</v>
      </c>
      <c r="F66" s="411">
        <f>0+35</f>
        <v>35</v>
      </c>
      <c r="G66" s="411">
        <v>0</v>
      </c>
      <c r="H66" s="356"/>
      <c r="I66" s="356"/>
      <c r="J66" s="356"/>
      <c r="K66" s="635"/>
    </row>
    <row r="67" spans="1:11" ht="18.75" hidden="1">
      <c r="A67" s="631"/>
      <c r="B67" s="366" t="s">
        <v>8</v>
      </c>
      <c r="C67" s="631"/>
      <c r="D67" s="411">
        <f t="shared" si="2"/>
        <v>0</v>
      </c>
      <c r="E67" s="479"/>
      <c r="F67" s="411"/>
      <c r="G67" s="411"/>
      <c r="H67" s="356"/>
      <c r="I67" s="356"/>
      <c r="J67" s="356"/>
      <c r="K67" s="635"/>
    </row>
    <row r="68" spans="1:11" ht="18.75">
      <c r="A68" s="631"/>
      <c r="B68" s="366" t="s">
        <v>559</v>
      </c>
      <c r="C68" s="631"/>
      <c r="D68" s="411">
        <f t="shared" si="2"/>
        <v>69.5</v>
      </c>
      <c r="E68" s="479">
        <f>32-32</f>
        <v>0</v>
      </c>
      <c r="F68" s="411">
        <v>33.9</v>
      </c>
      <c r="G68" s="411">
        <v>35.6</v>
      </c>
      <c r="H68" s="356"/>
      <c r="I68" s="356"/>
      <c r="J68" s="356"/>
      <c r="K68" s="635"/>
    </row>
    <row r="69" spans="1:11" ht="18.75">
      <c r="A69" s="631"/>
      <c r="B69" s="364" t="s">
        <v>315</v>
      </c>
      <c r="C69" s="631"/>
      <c r="D69" s="411">
        <f t="shared" si="2"/>
        <v>152.5</v>
      </c>
      <c r="E69" s="479">
        <v>50</v>
      </c>
      <c r="F69" s="411">
        <v>50</v>
      </c>
      <c r="G69" s="411">
        <v>52.5</v>
      </c>
      <c r="H69" s="356"/>
      <c r="I69" s="356"/>
      <c r="J69" s="356"/>
      <c r="K69" s="635"/>
    </row>
    <row r="70" spans="1:11" ht="18.75" hidden="1">
      <c r="A70" s="631"/>
      <c r="B70" s="364"/>
      <c r="C70" s="631"/>
      <c r="D70" s="411">
        <f t="shared" si="2"/>
        <v>0</v>
      </c>
      <c r="E70" s="479"/>
      <c r="F70" s="411"/>
      <c r="G70" s="411"/>
      <c r="H70" s="356"/>
      <c r="I70" s="356"/>
      <c r="J70" s="356"/>
      <c r="K70" s="635"/>
    </row>
    <row r="71" spans="1:11" ht="27.75" customHeight="1">
      <c r="A71" s="631"/>
      <c r="B71" s="364" t="s">
        <v>316</v>
      </c>
      <c r="C71" s="631"/>
      <c r="D71" s="411">
        <f t="shared" si="2"/>
        <v>165.4</v>
      </c>
      <c r="E71" s="479">
        <f>74.7-39.7-32</f>
        <v>3</v>
      </c>
      <c r="F71" s="411">
        <v>79.2</v>
      </c>
      <c r="G71" s="411">
        <v>83.2</v>
      </c>
      <c r="H71" s="356"/>
      <c r="I71" s="356"/>
      <c r="J71" s="356"/>
      <c r="K71" s="636"/>
    </row>
    <row r="72" spans="1:11" ht="37.5" customHeight="1" hidden="1">
      <c r="A72" s="631">
        <v>12</v>
      </c>
      <c r="B72" s="631" t="s">
        <v>6</v>
      </c>
      <c r="C72" s="161" t="s">
        <v>449</v>
      </c>
      <c r="D72" s="173">
        <f t="shared" si="2"/>
        <v>0</v>
      </c>
      <c r="E72" s="480"/>
      <c r="F72" s="173"/>
      <c r="G72" s="173"/>
      <c r="H72" s="356"/>
      <c r="I72" s="356"/>
      <c r="J72" s="356"/>
      <c r="K72" s="634" t="s">
        <v>7</v>
      </c>
    </row>
    <row r="73" spans="1:11" ht="21.75" customHeight="1" hidden="1">
      <c r="A73" s="631"/>
      <c r="B73" s="631"/>
      <c r="C73" s="161" t="s">
        <v>155</v>
      </c>
      <c r="D73" s="173">
        <f t="shared" si="2"/>
        <v>0</v>
      </c>
      <c r="E73" s="480"/>
      <c r="F73" s="173"/>
      <c r="G73" s="173"/>
      <c r="H73" s="356"/>
      <c r="I73" s="356"/>
      <c r="J73" s="356"/>
      <c r="K73" s="636"/>
    </row>
    <row r="74" spans="1:11" ht="41.25" customHeight="1">
      <c r="A74" s="161">
        <v>9</v>
      </c>
      <c r="B74" s="160" t="s">
        <v>313</v>
      </c>
      <c r="C74" s="161" t="s">
        <v>242</v>
      </c>
      <c r="D74" s="173">
        <f t="shared" si="2"/>
        <v>338.2</v>
      </c>
      <c r="E74" s="480">
        <f>128-68</f>
        <v>60</v>
      </c>
      <c r="F74" s="173">
        <v>135.7</v>
      </c>
      <c r="G74" s="173">
        <v>142.5</v>
      </c>
      <c r="H74" s="356"/>
      <c r="I74" s="356"/>
      <c r="J74" s="356"/>
      <c r="K74" s="341" t="s">
        <v>564</v>
      </c>
    </row>
    <row r="75" spans="1:11" s="351" customFormat="1" ht="36" customHeight="1">
      <c r="A75" s="161">
        <v>10</v>
      </c>
      <c r="B75" s="160" t="s">
        <v>9</v>
      </c>
      <c r="C75" s="161" t="s">
        <v>242</v>
      </c>
      <c r="D75" s="173">
        <f aca="true" t="shared" si="3" ref="D75:D84">E75+F75+G75</f>
        <v>2786.2</v>
      </c>
      <c r="E75" s="480">
        <f>1038.1-25.6-112.5-369.6</f>
        <v>530.3999999999999</v>
      </c>
      <c r="F75" s="173">
        <v>1100.4</v>
      </c>
      <c r="G75" s="173">
        <v>1155.4</v>
      </c>
      <c r="H75" s="354"/>
      <c r="I75" s="354"/>
      <c r="J75" s="354"/>
      <c r="K75" s="341" t="s">
        <v>564</v>
      </c>
    </row>
    <row r="76" spans="1:11" ht="37.5" hidden="1">
      <c r="A76" s="631">
        <v>14</v>
      </c>
      <c r="B76" s="642" t="s">
        <v>26</v>
      </c>
      <c r="C76" s="161" t="s">
        <v>449</v>
      </c>
      <c r="D76" s="173">
        <f t="shared" si="3"/>
        <v>0</v>
      </c>
      <c r="E76" s="480"/>
      <c r="F76" s="173"/>
      <c r="G76" s="173"/>
      <c r="H76" s="356"/>
      <c r="I76" s="356"/>
      <c r="J76" s="356"/>
      <c r="K76" s="634" t="s">
        <v>7</v>
      </c>
    </row>
    <row r="77" spans="1:11" ht="18.75" hidden="1">
      <c r="A77" s="631"/>
      <c r="B77" s="642"/>
      <c r="C77" s="161" t="s">
        <v>155</v>
      </c>
      <c r="D77" s="173">
        <f t="shared" si="3"/>
        <v>0</v>
      </c>
      <c r="E77" s="480"/>
      <c r="F77" s="173"/>
      <c r="G77" s="173"/>
      <c r="H77" s="356"/>
      <c r="I77" s="356"/>
      <c r="J77" s="356"/>
      <c r="K77" s="636"/>
    </row>
    <row r="78" spans="1:11" ht="37.5" hidden="1">
      <c r="A78" s="161">
        <v>15</v>
      </c>
      <c r="B78" s="60" t="s">
        <v>39</v>
      </c>
      <c r="C78" s="61" t="s">
        <v>449</v>
      </c>
      <c r="D78" s="173">
        <f t="shared" si="3"/>
        <v>0</v>
      </c>
      <c r="E78" s="493"/>
      <c r="F78" s="191"/>
      <c r="G78" s="191"/>
      <c r="H78" s="362"/>
      <c r="I78" s="362"/>
      <c r="J78" s="362"/>
      <c r="K78" s="61" t="s">
        <v>40</v>
      </c>
    </row>
    <row r="79" spans="1:11" s="351" customFormat="1" ht="42" customHeight="1">
      <c r="A79" s="358">
        <v>11</v>
      </c>
      <c r="B79" s="60" t="s">
        <v>82</v>
      </c>
      <c r="C79" s="61" t="s">
        <v>242</v>
      </c>
      <c r="D79" s="173">
        <f t="shared" si="3"/>
        <v>997.5</v>
      </c>
      <c r="E79" s="493">
        <f>459.1-459.1</f>
        <v>0</v>
      </c>
      <c r="F79" s="191">
        <v>486.6</v>
      </c>
      <c r="G79" s="191">
        <v>510.9</v>
      </c>
      <c r="H79" s="349"/>
      <c r="I79" s="349"/>
      <c r="J79" s="349"/>
      <c r="K79" s="259" t="s">
        <v>40</v>
      </c>
    </row>
    <row r="80" spans="1:11" ht="0.75" customHeight="1" hidden="1">
      <c r="A80" s="358">
        <v>18</v>
      </c>
      <c r="B80" s="60" t="s">
        <v>91</v>
      </c>
      <c r="C80" s="61" t="s">
        <v>449</v>
      </c>
      <c r="D80" s="173">
        <f t="shared" si="3"/>
        <v>0</v>
      </c>
      <c r="E80" s="493"/>
      <c r="F80" s="191"/>
      <c r="G80" s="191"/>
      <c r="H80" s="362"/>
      <c r="I80" s="362"/>
      <c r="J80" s="362"/>
      <c r="K80" s="259" t="s">
        <v>40</v>
      </c>
    </row>
    <row r="81" spans="1:11" s="351" customFormat="1" ht="42" customHeight="1">
      <c r="A81" s="358">
        <v>12</v>
      </c>
      <c r="B81" s="60" t="s">
        <v>243</v>
      </c>
      <c r="C81" s="61" t="s">
        <v>242</v>
      </c>
      <c r="D81" s="173">
        <f t="shared" si="3"/>
        <v>2887.5</v>
      </c>
      <c r="E81" s="493">
        <f>760+55+105</f>
        <v>920</v>
      </c>
      <c r="F81" s="191">
        <f>850+225</f>
        <v>1075</v>
      </c>
      <c r="G81" s="191">
        <v>892.5</v>
      </c>
      <c r="H81" s="349"/>
      <c r="I81" s="349"/>
      <c r="J81" s="349"/>
      <c r="K81" s="267" t="s">
        <v>40</v>
      </c>
    </row>
    <row r="82" spans="1:11" s="350" customFormat="1" ht="36" customHeight="1" hidden="1">
      <c r="A82" s="358">
        <v>12</v>
      </c>
      <c r="B82" s="60" t="s">
        <v>246</v>
      </c>
      <c r="C82" s="161" t="s">
        <v>191</v>
      </c>
      <c r="D82" s="173">
        <f t="shared" si="3"/>
        <v>791.3199999999999</v>
      </c>
      <c r="E82" s="493">
        <v>384.12</v>
      </c>
      <c r="F82" s="191">
        <v>407.2</v>
      </c>
      <c r="G82" s="191"/>
      <c r="H82" s="349"/>
      <c r="I82" s="349"/>
      <c r="J82" s="349"/>
      <c r="K82" s="267" t="s">
        <v>40</v>
      </c>
    </row>
    <row r="83" spans="1:14" s="351" customFormat="1" ht="36" customHeight="1">
      <c r="A83" s="358">
        <v>13</v>
      </c>
      <c r="B83" s="60" t="s">
        <v>312</v>
      </c>
      <c r="C83" s="161" t="s">
        <v>191</v>
      </c>
      <c r="D83" s="173">
        <f t="shared" si="3"/>
        <v>1931.8000000000002</v>
      </c>
      <c r="E83" s="493">
        <f>693.6-269</f>
        <v>424.6</v>
      </c>
      <c r="F83" s="191">
        <v>735.2</v>
      </c>
      <c r="G83" s="191">
        <v>772</v>
      </c>
      <c r="H83" s="349"/>
      <c r="I83" s="349"/>
      <c r="J83" s="349"/>
      <c r="K83" s="267" t="s">
        <v>40</v>
      </c>
      <c r="N83" s="351" t="s">
        <v>301</v>
      </c>
    </row>
    <row r="84" spans="1:14" s="424" customFormat="1" ht="36" customHeight="1">
      <c r="A84" s="358">
        <v>14</v>
      </c>
      <c r="B84" s="60" t="s">
        <v>314</v>
      </c>
      <c r="C84" s="161" t="s">
        <v>191</v>
      </c>
      <c r="D84" s="173">
        <f t="shared" si="3"/>
        <v>44947.7</v>
      </c>
      <c r="E84" s="191">
        <f>10000+10000-4000-8238.8-3000-1400</f>
        <v>3361.2000000000007</v>
      </c>
      <c r="F84" s="191">
        <f>10530+10000</f>
        <v>20530</v>
      </c>
      <c r="G84" s="191">
        <f>11056.5+10000</f>
        <v>21056.5</v>
      </c>
      <c r="H84" s="349"/>
      <c r="I84" s="349"/>
      <c r="J84" s="349"/>
      <c r="K84" s="267" t="s">
        <v>40</v>
      </c>
      <c r="N84" s="424" t="s">
        <v>302</v>
      </c>
    </row>
    <row r="85" spans="1:11" ht="35.25" customHeight="1">
      <c r="A85" s="302"/>
      <c r="B85" s="646" t="s">
        <v>439</v>
      </c>
      <c r="C85" s="647"/>
      <c r="D85" s="425">
        <f>E85+F85+G85</f>
        <v>142922.69999999998</v>
      </c>
      <c r="E85" s="425">
        <f>E15+E26+E32+E54+E55+E58+E59+E60+E63+E74+E75+E79+E81+E83+E84</f>
        <v>29301.6</v>
      </c>
      <c r="F85" s="425">
        <f>F15+F26+F32+F54+F55+F58+F59+F60+F63+F74+F75+F79+F81+F83+F84</f>
        <v>55867.09999999999</v>
      </c>
      <c r="G85" s="425">
        <f>G15+G26+G32+G54+G55+G58+G59+G60+G63+G74+G75+G79+G81+G83+G84</f>
        <v>57754</v>
      </c>
      <c r="H85" s="197" t="e">
        <f>H15+H26+H32+H41+#REF!+#REF!+#REF!+#REF!+#REF!+#REF!+#REF!+H43+#REF!+#REF!+#REF!</f>
        <v>#REF!</v>
      </c>
      <c r="I85" s="197" t="e">
        <f>I15+I26+I32+I41+#REF!+#REF!+#REF!+#REF!+#REF!+#REF!+#REF!+I43+#REF!+#REF!+#REF!</f>
        <v>#REF!</v>
      </c>
      <c r="J85" s="197" t="e">
        <f>J15+J26+J32+J41+#REF!+#REF!+#REF!+#REF!+#REF!+#REF!+#REF!+J43+#REF!+#REF!+#REF!</f>
        <v>#REF!</v>
      </c>
      <c r="K85" s="198"/>
    </row>
    <row r="86" spans="1:11" ht="15.75" customHeight="1">
      <c r="A86" s="300"/>
      <c r="B86" s="4"/>
      <c r="C86" s="4"/>
      <c r="D86" s="140"/>
      <c r="E86" s="183"/>
      <c r="F86" s="140"/>
      <c r="G86" s="140"/>
      <c r="H86" s="140"/>
      <c r="I86" s="140"/>
      <c r="J86" s="140"/>
      <c r="K86" s="141"/>
    </row>
    <row r="87" spans="1:11" ht="22.5" customHeight="1">
      <c r="A87" s="300"/>
      <c r="B87" s="4"/>
      <c r="C87" s="4"/>
      <c r="D87" s="140"/>
      <c r="E87" s="183"/>
      <c r="F87" s="183"/>
      <c r="G87" s="183"/>
      <c r="H87" s="140"/>
      <c r="I87" s="140"/>
      <c r="J87" s="140"/>
      <c r="K87" s="141"/>
    </row>
    <row r="88" spans="1:11" ht="27.75" customHeight="1">
      <c r="A88" s="300"/>
      <c r="B88" s="4"/>
      <c r="C88" s="4"/>
      <c r="D88" s="140"/>
      <c r="E88" s="183"/>
      <c r="F88" s="140"/>
      <c r="G88" s="140"/>
      <c r="H88" s="140"/>
      <c r="I88" s="140"/>
      <c r="J88" s="140"/>
      <c r="K88" s="141"/>
    </row>
    <row r="89" spans="1:13" ht="33" customHeight="1">
      <c r="A89" s="300"/>
      <c r="B89" s="648" t="s">
        <v>450</v>
      </c>
      <c r="C89" s="648"/>
      <c r="D89" s="331"/>
      <c r="E89" s="332"/>
      <c r="F89" s="333"/>
      <c r="G89" s="333"/>
      <c r="H89" s="333"/>
      <c r="I89" s="333"/>
      <c r="J89" s="333"/>
      <c r="K89" s="328" t="s">
        <v>578</v>
      </c>
      <c r="L89" s="142"/>
      <c r="M89" s="142"/>
    </row>
    <row r="90" spans="1:12" ht="18.75">
      <c r="A90" s="300"/>
      <c r="B90" s="228"/>
      <c r="C90" s="46"/>
      <c r="D90" s="303"/>
      <c r="E90" s="229"/>
      <c r="F90" s="230"/>
      <c r="G90" s="230"/>
      <c r="H90" s="230"/>
      <c r="I90" s="230"/>
      <c r="J90" s="230"/>
      <c r="K90" s="46"/>
      <c r="L90" s="1"/>
    </row>
    <row r="91" spans="1:12" ht="18.75">
      <c r="A91" s="300"/>
      <c r="B91" s="590" t="s">
        <v>582</v>
      </c>
      <c r="C91" s="590"/>
      <c r="D91" s="46"/>
      <c r="E91" s="184"/>
      <c r="F91" s="8"/>
      <c r="G91" s="8"/>
      <c r="H91" s="303"/>
      <c r="I91" s="303"/>
      <c r="J91" s="303"/>
      <c r="K91" s="231"/>
      <c r="L91" s="1"/>
    </row>
    <row r="92" spans="2:11" ht="15.75">
      <c r="B92" s="1"/>
      <c r="C92" s="41"/>
      <c r="D92" s="7"/>
      <c r="E92" s="185"/>
      <c r="F92" s="7"/>
      <c r="G92" s="7"/>
      <c r="H92" s="7"/>
      <c r="I92" s="7"/>
      <c r="J92" s="7"/>
      <c r="K92" s="1"/>
    </row>
    <row r="93" spans="2:11" ht="15.75">
      <c r="B93" s="1"/>
      <c r="C93" s="42"/>
      <c r="D93" s="7"/>
      <c r="E93" s="185"/>
      <c r="F93" s="7"/>
      <c r="G93" s="7"/>
      <c r="H93" s="7"/>
      <c r="I93" s="7"/>
      <c r="J93" s="7"/>
      <c r="K93" s="1"/>
    </row>
    <row r="94" spans="2:11" ht="15.75">
      <c r="B94" s="1"/>
      <c r="C94" s="1"/>
      <c r="D94" s="1"/>
      <c r="E94" s="182"/>
      <c r="F94" s="1"/>
      <c r="G94" s="1"/>
      <c r="H94" s="1"/>
      <c r="I94" s="1"/>
      <c r="J94" s="1"/>
      <c r="K94" s="1"/>
    </row>
    <row r="95" spans="2:11" ht="15.75">
      <c r="B95" s="1"/>
      <c r="C95" s="1"/>
      <c r="D95" s="1"/>
      <c r="E95" s="182"/>
      <c r="F95" s="1"/>
      <c r="G95" s="1"/>
      <c r="H95" s="1"/>
      <c r="I95" s="1"/>
      <c r="J95" s="1"/>
      <c r="K95" s="1"/>
    </row>
    <row r="96" spans="2:11" ht="15.75">
      <c r="B96" s="1"/>
      <c r="C96" s="1"/>
      <c r="D96" s="1"/>
      <c r="E96" s="182"/>
      <c r="F96" s="1"/>
      <c r="G96" s="1"/>
      <c r="H96" s="1"/>
      <c r="I96" s="1"/>
      <c r="J96" s="1"/>
      <c r="K96" s="1"/>
    </row>
    <row r="97" spans="2:11" ht="15.75">
      <c r="B97" s="1"/>
      <c r="C97" s="1"/>
      <c r="D97" s="1"/>
      <c r="E97" s="182"/>
      <c r="F97" s="1"/>
      <c r="G97" s="1"/>
      <c r="H97" s="1"/>
      <c r="I97" s="1"/>
      <c r="J97" s="1"/>
      <c r="K97" s="1"/>
    </row>
    <row r="98" spans="2:11" ht="15.75">
      <c r="B98" s="1"/>
      <c r="C98" s="1"/>
      <c r="D98" s="1"/>
      <c r="E98" s="182"/>
      <c r="F98" s="1"/>
      <c r="G98" s="1"/>
      <c r="H98" s="1"/>
      <c r="I98" s="1"/>
      <c r="J98" s="1"/>
      <c r="K98" s="1"/>
    </row>
    <row r="99" spans="2:11" ht="15.75">
      <c r="B99" s="1"/>
      <c r="C99" s="1"/>
      <c r="D99" s="1"/>
      <c r="E99" s="182"/>
      <c r="F99" s="1"/>
      <c r="G99" s="1"/>
      <c r="H99" s="1"/>
      <c r="I99" s="1"/>
      <c r="J99" s="1"/>
      <c r="K99" s="1"/>
    </row>
    <row r="100" spans="2:11" ht="15.75">
      <c r="B100" s="1"/>
      <c r="C100" s="1"/>
      <c r="D100" s="1"/>
      <c r="E100" s="182"/>
      <c r="F100" s="1"/>
      <c r="G100" s="1"/>
      <c r="H100" s="1"/>
      <c r="I100" s="1"/>
      <c r="J100" s="1"/>
      <c r="K100" s="1"/>
    </row>
    <row r="101" spans="2:11" ht="15.75">
      <c r="B101" s="1"/>
      <c r="C101" s="1"/>
      <c r="D101" s="1"/>
      <c r="E101" s="182"/>
      <c r="F101" s="1"/>
      <c r="G101" s="1"/>
      <c r="H101" s="1"/>
      <c r="I101" s="1"/>
      <c r="J101" s="1"/>
      <c r="K101" s="1"/>
    </row>
    <row r="102" spans="2:11" ht="15.75">
      <c r="B102" s="1"/>
      <c r="C102" s="1"/>
      <c r="D102" s="1"/>
      <c r="E102" s="182"/>
      <c r="F102" s="1"/>
      <c r="G102" s="1"/>
      <c r="H102" s="1"/>
      <c r="I102" s="1"/>
      <c r="J102" s="1"/>
      <c r="K102" s="1"/>
    </row>
    <row r="103" spans="2:11" ht="15.75">
      <c r="B103" s="1"/>
      <c r="C103" s="1"/>
      <c r="D103" s="1"/>
      <c r="E103" s="182"/>
      <c r="F103" s="1"/>
      <c r="G103" s="1"/>
      <c r="H103" s="1"/>
      <c r="I103" s="1"/>
      <c r="J103" s="1"/>
      <c r="K103" s="1"/>
    </row>
    <row r="104" spans="2:11" ht="15.75">
      <c r="B104" s="1"/>
      <c r="C104" s="1"/>
      <c r="D104" s="1"/>
      <c r="E104" s="182"/>
      <c r="F104" s="1"/>
      <c r="G104" s="1"/>
      <c r="H104" s="1"/>
      <c r="I104" s="1"/>
      <c r="J104" s="1"/>
      <c r="K104" s="1"/>
    </row>
    <row r="105" spans="2:11" ht="15.75">
      <c r="B105" s="1"/>
      <c r="C105" s="1"/>
      <c r="D105" s="1"/>
      <c r="E105" s="182"/>
      <c r="F105" s="1"/>
      <c r="G105" s="1"/>
      <c r="H105" s="1"/>
      <c r="I105" s="1"/>
      <c r="J105" s="1"/>
      <c r="K105" s="1"/>
    </row>
    <row r="106" spans="2:11" ht="15.75">
      <c r="B106" s="1"/>
      <c r="C106" s="1"/>
      <c r="D106" s="1"/>
      <c r="E106" s="182"/>
      <c r="F106" s="1"/>
      <c r="G106" s="1"/>
      <c r="H106" s="1"/>
      <c r="I106" s="1"/>
      <c r="J106" s="1"/>
      <c r="K106" s="1"/>
    </row>
    <row r="107" spans="2:11" ht="15.75">
      <c r="B107" s="1"/>
      <c r="C107" s="1"/>
      <c r="D107" s="1"/>
      <c r="E107" s="182"/>
      <c r="F107" s="1"/>
      <c r="G107" s="1"/>
      <c r="H107" s="1"/>
      <c r="I107" s="1"/>
      <c r="J107" s="1"/>
      <c r="K107" s="1"/>
    </row>
    <row r="108" spans="2:11" ht="15.75">
      <c r="B108" s="1"/>
      <c r="C108" s="1"/>
      <c r="D108" s="1"/>
      <c r="E108" s="182"/>
      <c r="F108" s="1"/>
      <c r="G108" s="1"/>
      <c r="H108" s="1"/>
      <c r="I108" s="1"/>
      <c r="J108" s="1"/>
      <c r="K108" s="1"/>
    </row>
    <row r="109" spans="2:11" ht="15.75">
      <c r="B109" s="1"/>
      <c r="C109" s="1"/>
      <c r="D109" s="1"/>
      <c r="E109" s="182"/>
      <c r="F109" s="1"/>
      <c r="G109" s="1"/>
      <c r="H109" s="1"/>
      <c r="I109" s="1"/>
      <c r="J109" s="1"/>
      <c r="K109" s="1"/>
    </row>
    <row r="110" spans="2:11" ht="15.75">
      <c r="B110" s="1"/>
      <c r="C110" s="1"/>
      <c r="D110" s="1"/>
      <c r="E110" s="182"/>
      <c r="F110" s="1"/>
      <c r="G110" s="1"/>
      <c r="H110" s="1"/>
      <c r="I110" s="1"/>
      <c r="J110" s="1"/>
      <c r="K110" s="1"/>
    </row>
    <row r="111" spans="2:11" ht="15.75">
      <c r="B111" s="1"/>
      <c r="C111" s="1"/>
      <c r="D111" s="1"/>
      <c r="E111" s="182"/>
      <c r="F111" s="1"/>
      <c r="G111" s="1"/>
      <c r="H111" s="1"/>
      <c r="I111" s="1"/>
      <c r="J111" s="1"/>
      <c r="K111" s="1"/>
    </row>
    <row r="112" spans="2:11" ht="15.75">
      <c r="B112" s="1"/>
      <c r="C112" s="1"/>
      <c r="D112" s="1"/>
      <c r="E112" s="182"/>
      <c r="F112" s="1"/>
      <c r="G112" s="1"/>
      <c r="H112" s="1"/>
      <c r="I112" s="1"/>
      <c r="J112" s="1"/>
      <c r="K112" s="1"/>
    </row>
    <row r="113" spans="2:11" ht="15.75">
      <c r="B113" s="1"/>
      <c r="C113" s="1"/>
      <c r="D113" s="1"/>
      <c r="E113" s="182"/>
      <c r="F113" s="1"/>
      <c r="G113" s="1"/>
      <c r="H113" s="1"/>
      <c r="I113" s="1"/>
      <c r="J113" s="1"/>
      <c r="K113" s="1"/>
    </row>
    <row r="114" spans="2:11" ht="15.75">
      <c r="B114" s="1"/>
      <c r="C114" s="1"/>
      <c r="D114" s="1"/>
      <c r="E114" s="182"/>
      <c r="F114" s="1"/>
      <c r="G114" s="1"/>
      <c r="H114" s="1"/>
      <c r="I114" s="1"/>
      <c r="J114" s="1"/>
      <c r="K114" s="1"/>
    </row>
    <row r="115" spans="2:11" ht="15.75">
      <c r="B115" s="1"/>
      <c r="C115" s="1"/>
      <c r="D115" s="1"/>
      <c r="E115" s="182"/>
      <c r="F115" s="1"/>
      <c r="G115" s="1"/>
      <c r="H115" s="1"/>
      <c r="I115" s="1"/>
      <c r="J115" s="1"/>
      <c r="K115" s="1"/>
    </row>
    <row r="116" spans="2:11" ht="15.75">
      <c r="B116" s="1"/>
      <c r="C116" s="1"/>
      <c r="D116" s="1"/>
      <c r="E116" s="182"/>
      <c r="F116" s="1"/>
      <c r="G116" s="1"/>
      <c r="H116" s="1"/>
      <c r="I116" s="1"/>
      <c r="J116" s="1"/>
      <c r="K116" s="1"/>
    </row>
    <row r="117" spans="2:11" ht="15.75">
      <c r="B117" s="1"/>
      <c r="C117" s="1"/>
      <c r="D117" s="1"/>
      <c r="E117" s="182"/>
      <c r="F117" s="1"/>
      <c r="G117" s="1"/>
      <c r="H117" s="1"/>
      <c r="I117" s="1"/>
      <c r="J117" s="1"/>
      <c r="K117" s="1"/>
    </row>
    <row r="118" spans="2:11" ht="15.75">
      <c r="B118" s="1"/>
      <c r="C118" s="1"/>
      <c r="D118" s="1"/>
      <c r="E118" s="182"/>
      <c r="F118" s="1"/>
      <c r="G118" s="1"/>
      <c r="H118" s="1"/>
      <c r="I118" s="1"/>
      <c r="J118" s="1"/>
      <c r="K118" s="1"/>
    </row>
    <row r="119" spans="2:11" ht="15.75">
      <c r="B119" s="1"/>
      <c r="C119" s="1"/>
      <c r="D119" s="1"/>
      <c r="E119" s="182"/>
      <c r="F119" s="1"/>
      <c r="G119" s="1"/>
      <c r="H119" s="1"/>
      <c r="I119" s="1"/>
      <c r="J119" s="1"/>
      <c r="K119" s="1"/>
    </row>
    <row r="120" spans="2:11" ht="15.75">
      <c r="B120" s="1"/>
      <c r="C120" s="1"/>
      <c r="D120" s="1"/>
      <c r="E120" s="182"/>
      <c r="F120" s="1"/>
      <c r="G120" s="1"/>
      <c r="H120" s="1"/>
      <c r="I120" s="1"/>
      <c r="J120" s="1"/>
      <c r="K120" s="1"/>
    </row>
    <row r="121" spans="2:11" ht="15.75">
      <c r="B121" s="1"/>
      <c r="C121" s="1"/>
      <c r="D121" s="1"/>
      <c r="E121" s="182"/>
      <c r="F121" s="1"/>
      <c r="G121" s="1"/>
      <c r="H121" s="1"/>
      <c r="I121" s="1"/>
      <c r="J121" s="1"/>
      <c r="K121" s="1"/>
    </row>
    <row r="122" spans="2:11" ht="15.75">
      <c r="B122" s="1"/>
      <c r="C122" s="1"/>
      <c r="D122" s="1"/>
      <c r="E122" s="182"/>
      <c r="F122" s="1"/>
      <c r="G122" s="1"/>
      <c r="H122" s="1"/>
      <c r="I122" s="1"/>
      <c r="J122" s="1"/>
      <c r="K122" s="1"/>
    </row>
    <row r="123" spans="2:11" ht="15.75">
      <c r="B123" s="1"/>
      <c r="C123" s="1"/>
      <c r="D123" s="1"/>
      <c r="E123" s="182"/>
      <c r="F123" s="1"/>
      <c r="G123" s="1"/>
      <c r="H123" s="1"/>
      <c r="I123" s="1"/>
      <c r="J123" s="1"/>
      <c r="K123" s="1"/>
    </row>
    <row r="124" spans="2:11" ht="15.75">
      <c r="B124" s="1"/>
      <c r="C124" s="1"/>
      <c r="D124" s="1"/>
      <c r="E124" s="182"/>
      <c r="F124" s="1"/>
      <c r="G124" s="1"/>
      <c r="H124" s="1"/>
      <c r="I124" s="1"/>
      <c r="J124" s="1"/>
      <c r="K124" s="1"/>
    </row>
    <row r="125" spans="2:11" ht="15.75">
      <c r="B125" s="1"/>
      <c r="C125" s="1"/>
      <c r="D125" s="1"/>
      <c r="E125" s="182"/>
      <c r="F125" s="1"/>
      <c r="G125" s="1"/>
      <c r="H125" s="1"/>
      <c r="I125" s="1"/>
      <c r="J125" s="1"/>
      <c r="K125" s="1"/>
    </row>
    <row r="126" spans="2:11" ht="15.75">
      <c r="B126" s="1"/>
      <c r="C126" s="1"/>
      <c r="D126" s="1"/>
      <c r="E126" s="182"/>
      <c r="F126" s="1"/>
      <c r="G126" s="1"/>
      <c r="H126" s="1"/>
      <c r="I126" s="1"/>
      <c r="J126" s="1"/>
      <c r="K126" s="1"/>
    </row>
    <row r="127" spans="2:11" ht="15.75">
      <c r="B127" s="1"/>
      <c r="C127" s="1"/>
      <c r="D127" s="1"/>
      <c r="E127" s="182"/>
      <c r="F127" s="1"/>
      <c r="G127" s="1"/>
      <c r="H127" s="1"/>
      <c r="I127" s="1"/>
      <c r="J127" s="1"/>
      <c r="K127" s="1"/>
    </row>
    <row r="128" spans="2:11" ht="15.75">
      <c r="B128" s="1"/>
      <c r="C128" s="1"/>
      <c r="D128" s="1"/>
      <c r="E128" s="182"/>
      <c r="F128" s="1"/>
      <c r="G128" s="1"/>
      <c r="H128" s="1"/>
      <c r="I128" s="1"/>
      <c r="J128" s="1"/>
      <c r="K128" s="1"/>
    </row>
    <row r="129" spans="2:11" ht="15.75">
      <c r="B129" s="1"/>
      <c r="C129" s="1"/>
      <c r="D129" s="1"/>
      <c r="E129" s="182"/>
      <c r="F129" s="1"/>
      <c r="G129" s="1"/>
      <c r="H129" s="1"/>
      <c r="I129" s="1"/>
      <c r="J129" s="1"/>
      <c r="K129" s="1"/>
    </row>
    <row r="130" spans="2:11" ht="15.75">
      <c r="B130" s="1"/>
      <c r="C130" s="1"/>
      <c r="D130" s="1"/>
      <c r="E130" s="182"/>
      <c r="F130" s="1"/>
      <c r="G130" s="1"/>
      <c r="H130" s="1"/>
      <c r="I130" s="1"/>
      <c r="J130" s="1"/>
      <c r="K130" s="1"/>
    </row>
    <row r="131" spans="2:11" ht="15.75">
      <c r="B131" s="1"/>
      <c r="C131" s="1"/>
      <c r="D131" s="1"/>
      <c r="E131" s="182"/>
      <c r="F131" s="1"/>
      <c r="G131" s="1"/>
      <c r="H131" s="1"/>
      <c r="I131" s="1"/>
      <c r="J131" s="1"/>
      <c r="K131" s="1"/>
    </row>
    <row r="132" spans="2:11" ht="15.75">
      <c r="B132" s="1"/>
      <c r="C132" s="1"/>
      <c r="D132" s="1"/>
      <c r="E132" s="182"/>
      <c r="F132" s="1"/>
      <c r="G132" s="1"/>
      <c r="H132" s="1"/>
      <c r="I132" s="1"/>
      <c r="J132" s="1"/>
      <c r="K132" s="1"/>
    </row>
    <row r="133" spans="2:11" ht="15.75">
      <c r="B133" s="1"/>
      <c r="C133" s="1"/>
      <c r="D133" s="1"/>
      <c r="E133" s="182"/>
      <c r="F133" s="1"/>
      <c r="G133" s="1"/>
      <c r="H133" s="1"/>
      <c r="I133" s="1"/>
      <c r="J133" s="1"/>
      <c r="K133" s="1"/>
    </row>
    <row r="134" spans="2:11" ht="15.75">
      <c r="B134" s="1"/>
      <c r="C134" s="1"/>
      <c r="D134" s="1"/>
      <c r="E134" s="182"/>
      <c r="F134" s="1"/>
      <c r="G134" s="1"/>
      <c r="H134" s="1"/>
      <c r="I134" s="1"/>
      <c r="J134" s="1"/>
      <c r="K134" s="1"/>
    </row>
    <row r="135" spans="2:11" ht="15.75">
      <c r="B135" s="1"/>
      <c r="C135" s="1"/>
      <c r="D135" s="1"/>
      <c r="E135" s="182"/>
      <c r="F135" s="1"/>
      <c r="G135" s="1"/>
      <c r="H135" s="1"/>
      <c r="I135" s="1"/>
      <c r="J135" s="1"/>
      <c r="K135" s="1"/>
    </row>
    <row r="136" spans="2:11" ht="15.75">
      <c r="B136" s="1"/>
      <c r="C136" s="1"/>
      <c r="D136" s="1"/>
      <c r="E136" s="182"/>
      <c r="F136" s="1"/>
      <c r="G136" s="1"/>
      <c r="H136" s="1"/>
      <c r="I136" s="1"/>
      <c r="J136" s="1"/>
      <c r="K136" s="1"/>
    </row>
    <row r="137" spans="2:11" ht="15.75">
      <c r="B137" s="1"/>
      <c r="C137" s="1"/>
      <c r="D137" s="1"/>
      <c r="E137" s="182"/>
      <c r="F137" s="1"/>
      <c r="G137" s="1"/>
      <c r="H137" s="1"/>
      <c r="I137" s="1"/>
      <c r="J137" s="1"/>
      <c r="K137" s="1"/>
    </row>
    <row r="138" spans="2:11" ht="15.75">
      <c r="B138" s="1"/>
      <c r="C138" s="1"/>
      <c r="D138" s="1"/>
      <c r="E138" s="182"/>
      <c r="F138" s="1"/>
      <c r="G138" s="1"/>
      <c r="H138" s="1"/>
      <c r="I138" s="1"/>
      <c r="J138" s="1"/>
      <c r="K138" s="1"/>
    </row>
    <row r="139" spans="2:11" ht="15.75">
      <c r="B139" s="1"/>
      <c r="C139" s="1"/>
      <c r="D139" s="1"/>
      <c r="E139" s="182"/>
      <c r="F139" s="1"/>
      <c r="G139" s="1"/>
      <c r="H139" s="1"/>
      <c r="I139" s="1"/>
      <c r="J139" s="1"/>
      <c r="K139" s="1"/>
    </row>
    <row r="140" spans="2:11" ht="15.75">
      <c r="B140" s="1"/>
      <c r="C140" s="1"/>
      <c r="D140" s="1"/>
      <c r="E140" s="182"/>
      <c r="F140" s="1"/>
      <c r="G140" s="1"/>
      <c r="H140" s="1"/>
      <c r="I140" s="1"/>
      <c r="J140" s="1"/>
      <c r="K140" s="1"/>
    </row>
    <row r="141" spans="2:11" ht="15.75">
      <c r="B141" s="1"/>
      <c r="C141" s="1"/>
      <c r="D141" s="1"/>
      <c r="E141" s="182"/>
      <c r="F141" s="1"/>
      <c r="G141" s="1"/>
      <c r="H141" s="1"/>
      <c r="I141" s="1"/>
      <c r="J141" s="1"/>
      <c r="K141" s="1"/>
    </row>
    <row r="142" spans="2:11" ht="15.75">
      <c r="B142" s="1"/>
      <c r="C142" s="1"/>
      <c r="D142" s="1"/>
      <c r="E142" s="182"/>
      <c r="F142" s="1"/>
      <c r="G142" s="1"/>
      <c r="H142" s="1"/>
      <c r="I142" s="1"/>
      <c r="J142" s="1"/>
      <c r="K142" s="1"/>
    </row>
    <row r="143" spans="2:11" ht="15.75">
      <c r="B143" s="1"/>
      <c r="C143" s="1"/>
      <c r="D143" s="1"/>
      <c r="E143" s="182"/>
      <c r="F143" s="1"/>
      <c r="G143" s="1"/>
      <c r="H143" s="1"/>
      <c r="I143" s="1"/>
      <c r="J143" s="1"/>
      <c r="K143" s="1"/>
    </row>
    <row r="144" spans="2:11" ht="15.75">
      <c r="B144" s="1"/>
      <c r="C144" s="1"/>
      <c r="D144" s="1"/>
      <c r="E144" s="182"/>
      <c r="F144" s="1"/>
      <c r="G144" s="1"/>
      <c r="H144" s="1"/>
      <c r="I144" s="1"/>
      <c r="J144" s="1"/>
      <c r="K144" s="1"/>
    </row>
    <row r="145" spans="2:11" ht="15.75">
      <c r="B145" s="1"/>
      <c r="C145" s="1"/>
      <c r="D145" s="1"/>
      <c r="E145" s="182"/>
      <c r="F145" s="1"/>
      <c r="G145" s="1"/>
      <c r="H145" s="1"/>
      <c r="I145" s="1"/>
      <c r="J145" s="1"/>
      <c r="K145" s="1"/>
    </row>
    <row r="146" spans="2:11" ht="15.75">
      <c r="B146" s="1"/>
      <c r="C146" s="1"/>
      <c r="D146" s="1"/>
      <c r="E146" s="182"/>
      <c r="F146" s="1"/>
      <c r="G146" s="1"/>
      <c r="H146" s="1"/>
      <c r="I146" s="1"/>
      <c r="J146" s="1"/>
      <c r="K146" s="1"/>
    </row>
    <row r="147" spans="2:11" ht="15.75">
      <c r="B147" s="1"/>
      <c r="C147" s="1"/>
      <c r="D147" s="1"/>
      <c r="E147" s="182"/>
      <c r="F147" s="1"/>
      <c r="G147" s="1"/>
      <c r="H147" s="1"/>
      <c r="I147" s="1"/>
      <c r="J147" s="1"/>
      <c r="K147" s="1"/>
    </row>
  </sheetData>
  <sheetProtection/>
  <mergeCells count="49">
    <mergeCell ref="B91:C91"/>
    <mergeCell ref="B85:C85"/>
    <mergeCell ref="B89:C89"/>
    <mergeCell ref="C43:C49"/>
    <mergeCell ref="A72:A73"/>
    <mergeCell ref="B72:B73"/>
    <mergeCell ref="A61:A62"/>
    <mergeCell ref="A76:A77"/>
    <mergeCell ref="C50:C53"/>
    <mergeCell ref="B61:B62"/>
    <mergeCell ref="K76:K77"/>
    <mergeCell ref="K32:K40"/>
    <mergeCell ref="K72:K73"/>
    <mergeCell ref="K59:K60"/>
    <mergeCell ref="K43:K58"/>
    <mergeCell ref="B76:B77"/>
    <mergeCell ref="C63:C71"/>
    <mergeCell ref="K41:K42"/>
    <mergeCell ref="B41:B42"/>
    <mergeCell ref="K61:K62"/>
    <mergeCell ref="K7:P7"/>
    <mergeCell ref="K63:K71"/>
    <mergeCell ref="A56:A57"/>
    <mergeCell ref="B56:B57"/>
    <mergeCell ref="A59:A60"/>
    <mergeCell ref="B59:B60"/>
    <mergeCell ref="A13:A14"/>
    <mergeCell ref="A26:A29"/>
    <mergeCell ref="A63:A71"/>
    <mergeCell ref="A43:A49"/>
    <mergeCell ref="K6:P6"/>
    <mergeCell ref="A15:A21"/>
    <mergeCell ref="A32:A40"/>
    <mergeCell ref="C22:C25"/>
    <mergeCell ref="A41:A42"/>
    <mergeCell ref="C13:C14"/>
    <mergeCell ref="C15:C21"/>
    <mergeCell ref="E13:J13"/>
    <mergeCell ref="K13:K14"/>
    <mergeCell ref="C32:C40"/>
    <mergeCell ref="C26:C29"/>
    <mergeCell ref="K8:L8"/>
    <mergeCell ref="M8:N8"/>
    <mergeCell ref="O8:P8"/>
    <mergeCell ref="B11:K11"/>
    <mergeCell ref="D13:D14"/>
    <mergeCell ref="B13:B14"/>
    <mergeCell ref="K15:K21"/>
    <mergeCell ref="K26:K29"/>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6.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8">
      <selection activeCell="H18" sqref="H18"/>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0"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374</v>
      </c>
      <c r="J1" s="12"/>
    </row>
    <row r="2" spans="9:12" ht="15.75">
      <c r="I2" s="12" t="s">
        <v>603</v>
      </c>
      <c r="J2" s="12"/>
      <c r="K2" s="12"/>
      <c r="L2" s="12"/>
    </row>
    <row r="3" spans="9:14" ht="15.75">
      <c r="I3" s="12" t="s">
        <v>594</v>
      </c>
      <c r="J3" s="12"/>
      <c r="K3" s="15"/>
      <c r="L3" s="12"/>
      <c r="M3" s="12"/>
      <c r="N3" s="12"/>
    </row>
    <row r="4" spans="9:14" ht="15.75">
      <c r="I4" s="17" t="s">
        <v>158</v>
      </c>
      <c r="J4" s="17"/>
      <c r="K4" s="15"/>
      <c r="L4" s="12"/>
      <c r="M4" s="12"/>
      <c r="N4" s="12"/>
    </row>
    <row r="5" spans="9:14" ht="15.75">
      <c r="I5" s="17" t="s">
        <v>355</v>
      </c>
      <c r="J5" s="17"/>
      <c r="K5" s="15"/>
      <c r="L5" s="12"/>
      <c r="M5" s="12"/>
      <c r="N5" s="12"/>
    </row>
    <row r="6" spans="2:14" ht="15.75">
      <c r="B6" s="15"/>
      <c r="C6" s="15"/>
      <c r="D6" s="15"/>
      <c r="I6" s="620" t="s">
        <v>431</v>
      </c>
      <c r="J6" s="620"/>
      <c r="K6" s="620"/>
      <c r="L6" s="620"/>
      <c r="M6" s="620"/>
      <c r="N6" s="620"/>
    </row>
    <row r="7" spans="2:14" ht="15.75" customHeight="1">
      <c r="B7" s="15"/>
      <c r="C7" s="15"/>
      <c r="D7" s="15"/>
      <c r="I7" s="620" t="s">
        <v>597</v>
      </c>
      <c r="J7" s="620"/>
      <c r="K7" s="620"/>
      <c r="L7" s="620"/>
      <c r="M7" s="620"/>
      <c r="N7" s="620"/>
    </row>
    <row r="8" spans="2:14" ht="15.75" customHeight="1">
      <c r="B8" s="15"/>
      <c r="C8" s="15"/>
      <c r="D8" s="15"/>
      <c r="I8" s="620" t="s">
        <v>609</v>
      </c>
      <c r="J8" s="620"/>
      <c r="K8" s="620" t="s">
        <v>609</v>
      </c>
      <c r="L8" s="620"/>
      <c r="M8" s="620" t="s">
        <v>609</v>
      </c>
      <c r="N8" s="620"/>
    </row>
    <row r="9" spans="2:9" ht="20.25" customHeight="1">
      <c r="B9" s="15"/>
      <c r="C9" s="15"/>
      <c r="D9" s="15"/>
      <c r="E9" s="15"/>
      <c r="F9" s="370"/>
      <c r="G9" s="15"/>
      <c r="H9" s="15"/>
      <c r="I9" s="12"/>
    </row>
    <row r="10" spans="2:9" ht="17.25" customHeight="1">
      <c r="B10" s="650" t="s">
        <v>382</v>
      </c>
      <c r="C10" s="650"/>
      <c r="D10" s="650"/>
      <c r="E10" s="650"/>
      <c r="F10" s="650"/>
      <c r="G10" s="650"/>
      <c r="H10" s="650"/>
      <c r="I10" s="650"/>
    </row>
    <row r="11" spans="2:9" ht="16.5" customHeight="1">
      <c r="B11" s="33"/>
      <c r="C11" s="33"/>
      <c r="D11" s="33"/>
      <c r="E11" s="33"/>
      <c r="F11" s="371"/>
      <c r="G11" s="33"/>
      <c r="H11" s="33"/>
      <c r="I11" s="243" t="s">
        <v>113</v>
      </c>
    </row>
    <row r="12" spans="1:9" ht="19.5" customHeight="1">
      <c r="A12" s="622" t="s">
        <v>461</v>
      </c>
      <c r="B12" s="622" t="s">
        <v>445</v>
      </c>
      <c r="C12" s="622" t="s">
        <v>446</v>
      </c>
      <c r="D12" s="622" t="s">
        <v>106</v>
      </c>
      <c r="E12" s="625" t="s">
        <v>442</v>
      </c>
      <c r="F12" s="625"/>
      <c r="G12" s="625"/>
      <c r="H12" s="625"/>
      <c r="I12" s="625" t="s">
        <v>448</v>
      </c>
    </row>
    <row r="13" spans="1:9" ht="15.75" customHeight="1">
      <c r="A13" s="623"/>
      <c r="B13" s="623"/>
      <c r="C13" s="623"/>
      <c r="D13" s="623"/>
      <c r="E13" s="587">
        <v>2022</v>
      </c>
      <c r="F13" s="372"/>
      <c r="G13" s="587">
        <v>2023</v>
      </c>
      <c r="H13" s="587">
        <v>2024</v>
      </c>
      <c r="I13" s="625"/>
    </row>
    <row r="14" spans="1:9" ht="29.25" customHeight="1">
      <c r="A14" s="624"/>
      <c r="B14" s="624"/>
      <c r="C14" s="624"/>
      <c r="D14" s="624"/>
      <c r="E14" s="588"/>
      <c r="F14" s="375"/>
      <c r="G14" s="588"/>
      <c r="H14" s="588"/>
      <c r="I14" s="625"/>
    </row>
    <row r="15" spans="1:9" ht="33.75" customHeight="1" hidden="1">
      <c r="A15" s="61">
        <v>1</v>
      </c>
      <c r="B15" s="56" t="s">
        <v>462</v>
      </c>
      <c r="C15" s="35" t="s">
        <v>449</v>
      </c>
      <c r="D15" s="67" t="e">
        <f>#REF!+E15+G15+H15</f>
        <v>#REF!</v>
      </c>
      <c r="E15" s="93"/>
      <c r="F15" s="369"/>
      <c r="G15" s="93"/>
      <c r="H15" s="93"/>
      <c r="I15" s="35" t="s">
        <v>463</v>
      </c>
    </row>
    <row r="16" spans="1:9" ht="54" customHeight="1">
      <c r="A16" s="267">
        <v>1</v>
      </c>
      <c r="B16" s="268" t="s">
        <v>2</v>
      </c>
      <c r="C16" s="61" t="s">
        <v>191</v>
      </c>
      <c r="D16" s="165">
        <f aca="true" t="shared" si="0" ref="D16:D26">E16+G16+H16</f>
        <v>2219.5</v>
      </c>
      <c r="E16" s="464">
        <f>593+162.3-247.8</f>
        <v>507.49999999999994</v>
      </c>
      <c r="F16" s="369" t="s">
        <v>326</v>
      </c>
      <c r="G16" s="166">
        <f>663+172</f>
        <v>835</v>
      </c>
      <c r="H16" s="166">
        <v>877</v>
      </c>
      <c r="I16" s="267" t="s">
        <v>40</v>
      </c>
    </row>
    <row r="17" spans="1:9" ht="68.25" customHeight="1">
      <c r="A17" s="267">
        <v>2</v>
      </c>
      <c r="B17" s="268" t="s">
        <v>266</v>
      </c>
      <c r="C17" s="61" t="s">
        <v>191</v>
      </c>
      <c r="D17" s="165">
        <f t="shared" si="0"/>
        <v>453.79999999999995</v>
      </c>
      <c r="E17" s="464">
        <f>159.3-49.3</f>
        <v>110.00000000000001</v>
      </c>
      <c r="F17" s="369" t="s">
        <v>324</v>
      </c>
      <c r="G17" s="166">
        <v>167.7</v>
      </c>
      <c r="H17" s="166">
        <v>176.1</v>
      </c>
      <c r="I17" s="267" t="s">
        <v>40</v>
      </c>
    </row>
    <row r="18" spans="1:9" ht="50.25" customHeight="1">
      <c r="A18" s="267">
        <v>3</v>
      </c>
      <c r="B18" s="268" t="s">
        <v>364</v>
      </c>
      <c r="C18" s="61" t="s">
        <v>191</v>
      </c>
      <c r="D18" s="165">
        <f t="shared" si="0"/>
        <v>172.60000000000002</v>
      </c>
      <c r="E18" s="464">
        <f>79.4-79.4</f>
        <v>0</v>
      </c>
      <c r="F18" s="369" t="s">
        <v>325</v>
      </c>
      <c r="G18" s="166">
        <v>84.2</v>
      </c>
      <c r="H18" s="166">
        <v>88.4</v>
      </c>
      <c r="I18" s="267" t="s">
        <v>40</v>
      </c>
    </row>
    <row r="19" spans="1:87" ht="48" customHeight="1">
      <c r="A19" s="159">
        <v>4</v>
      </c>
      <c r="B19" s="268" t="s">
        <v>3</v>
      </c>
      <c r="C19" s="61" t="s">
        <v>191</v>
      </c>
      <c r="D19" s="165">
        <f t="shared" si="0"/>
        <v>10547</v>
      </c>
      <c r="E19" s="464">
        <f>693.6+124.8+62.4+1106.6+199.2+174.6+249.7+37.5+238.7+400+92.3+370.4+62.3-1612.9</f>
        <v>2199.2</v>
      </c>
      <c r="F19" s="369" t="s">
        <v>331</v>
      </c>
      <c r="G19" s="166">
        <f>735.2+132.3+66.2+1168.1+222.7+183.8+264.7+39.7+253+450+97.8+392.6+66</f>
        <v>4072.1</v>
      </c>
      <c r="H19" s="166">
        <v>4275.7</v>
      </c>
      <c r="I19" s="267" t="s">
        <v>40</v>
      </c>
      <c r="J19" s="14" t="s">
        <v>353</v>
      </c>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row>
    <row r="20" spans="1:9" ht="38.25" customHeight="1">
      <c r="A20" s="159">
        <v>5</v>
      </c>
      <c r="B20" s="268" t="s">
        <v>471</v>
      </c>
      <c r="C20" s="61" t="s">
        <v>191</v>
      </c>
      <c r="D20" s="165">
        <f t="shared" si="0"/>
        <v>6330.5</v>
      </c>
      <c r="E20" s="464">
        <f>298.8+143.6+201.9+147.5+186+62.9+32+32+64+37+10.7+1000-579.8</f>
        <v>1636.6000000000001</v>
      </c>
      <c r="F20" s="369" t="s">
        <v>322</v>
      </c>
      <c r="G20" s="166">
        <f>316.7+152.2+214+156.4+197.2+66.6+33.9+33.9+67.9+39.6+11.3+1000</f>
        <v>2289.7</v>
      </c>
      <c r="H20" s="166">
        <v>2404.2</v>
      </c>
      <c r="I20" s="267" t="s">
        <v>40</v>
      </c>
    </row>
    <row r="21" spans="1:9" ht="43.5" customHeight="1">
      <c r="A21" s="159">
        <v>6</v>
      </c>
      <c r="B21" s="268" t="s">
        <v>472</v>
      </c>
      <c r="C21" s="61" t="s">
        <v>191</v>
      </c>
      <c r="D21" s="165">
        <f t="shared" si="0"/>
        <v>1740</v>
      </c>
      <c r="E21" s="464">
        <f>550-40</f>
        <v>510</v>
      </c>
      <c r="F21" s="369" t="s">
        <v>327</v>
      </c>
      <c r="G21" s="166">
        <v>600</v>
      </c>
      <c r="H21" s="166">
        <v>630</v>
      </c>
      <c r="I21" s="267" t="s">
        <v>40</v>
      </c>
    </row>
    <row r="22" spans="1:9" ht="47.25" customHeight="1">
      <c r="A22" s="159">
        <v>7</v>
      </c>
      <c r="B22" s="268" t="s">
        <v>305</v>
      </c>
      <c r="C22" s="61" t="s">
        <v>191</v>
      </c>
      <c r="D22" s="165">
        <f t="shared" si="0"/>
        <v>9834.6</v>
      </c>
      <c r="E22" s="464">
        <f>2423.2+2100+45.8</f>
        <v>4569</v>
      </c>
      <c r="F22" s="369" t="s">
        <v>323</v>
      </c>
      <c r="G22" s="166">
        <v>2568.6</v>
      </c>
      <c r="H22" s="166">
        <v>2697</v>
      </c>
      <c r="I22" s="267" t="s">
        <v>40</v>
      </c>
    </row>
    <row r="23" spans="1:9" ht="44.25" customHeight="1">
      <c r="A23" s="35">
        <v>8</v>
      </c>
      <c r="B23" s="60" t="s">
        <v>329</v>
      </c>
      <c r="C23" s="61" t="s">
        <v>191</v>
      </c>
      <c r="D23" s="165">
        <f t="shared" si="0"/>
        <v>1213</v>
      </c>
      <c r="E23" s="464">
        <f>350+73</f>
        <v>423</v>
      </c>
      <c r="F23" s="166">
        <v>350</v>
      </c>
      <c r="G23" s="166">
        <f>370+30</f>
        <v>400</v>
      </c>
      <c r="H23" s="166">
        <v>390</v>
      </c>
      <c r="I23" s="267" t="s">
        <v>40</v>
      </c>
    </row>
    <row r="24" spans="1:9" ht="0.75" customHeight="1">
      <c r="A24" s="159"/>
      <c r="B24" s="60"/>
      <c r="C24" s="61"/>
      <c r="D24" s="165"/>
      <c r="E24" s="464"/>
      <c r="F24" s="369"/>
      <c r="G24" s="166"/>
      <c r="H24" s="166"/>
      <c r="I24" s="267"/>
    </row>
    <row r="25" spans="1:9" ht="44.25" customHeight="1">
      <c r="A25" s="159">
        <v>9</v>
      </c>
      <c r="B25" s="60" t="s">
        <v>502</v>
      </c>
      <c r="C25" s="61" t="s">
        <v>191</v>
      </c>
      <c r="D25" s="165">
        <f t="shared" si="0"/>
        <v>1278.1999999999998</v>
      </c>
      <c r="E25" s="464">
        <f>504.7-73-309.8</f>
        <v>121.89999999999998</v>
      </c>
      <c r="F25" s="369" t="s">
        <v>321</v>
      </c>
      <c r="G25" s="166">
        <v>564.3</v>
      </c>
      <c r="H25" s="166">
        <v>592</v>
      </c>
      <c r="I25" s="267" t="s">
        <v>40</v>
      </c>
    </row>
    <row r="26" spans="1:10" ht="44.25" customHeight="1">
      <c r="A26" s="159">
        <v>10</v>
      </c>
      <c r="B26" s="60" t="s">
        <v>352</v>
      </c>
      <c r="C26" s="61" t="s">
        <v>191</v>
      </c>
      <c r="D26" s="165">
        <f t="shared" si="0"/>
        <v>1327.2</v>
      </c>
      <c r="E26" s="464">
        <f>363-23</f>
        <v>340</v>
      </c>
      <c r="F26" s="369" t="s">
        <v>332</v>
      </c>
      <c r="G26" s="166">
        <f>382.1+3.9+100+100</f>
        <v>586</v>
      </c>
      <c r="H26" s="166">
        <v>401.2</v>
      </c>
      <c r="I26" s="267" t="s">
        <v>40</v>
      </c>
      <c r="J26" s="14" t="s">
        <v>330</v>
      </c>
    </row>
    <row r="27" spans="1:9" s="218" customFormat="1" ht="44.25" customHeight="1">
      <c r="A27" s="267">
        <v>11</v>
      </c>
      <c r="B27" s="60" t="s">
        <v>187</v>
      </c>
      <c r="C27" s="61" t="s">
        <v>191</v>
      </c>
      <c r="D27" s="165">
        <f>E27+G27+H27</f>
        <v>0</v>
      </c>
      <c r="E27" s="464">
        <f>1000-1000</f>
        <v>0</v>
      </c>
      <c r="F27" s="192"/>
      <c r="G27" s="166"/>
      <c r="H27" s="166"/>
      <c r="I27" s="267" t="s">
        <v>40</v>
      </c>
    </row>
    <row r="28" spans="1:9" ht="18.75">
      <c r="A28" s="69"/>
      <c r="B28" s="70" t="s">
        <v>439</v>
      </c>
      <c r="C28" s="70"/>
      <c r="D28" s="90">
        <f>E28+G28+H28</f>
        <v>35116.399999999994</v>
      </c>
      <c r="E28" s="496">
        <f>E16+E17+E18+E19+E20+E21+E22+E23+E24+E25+E26+E27</f>
        <v>10417.199999999999</v>
      </c>
      <c r="F28" s="90" t="e">
        <f>F16+F17+F18+F19+F20+F21+F22+F23+F24+F25+F26+F27</f>
        <v>#VALUE!</v>
      </c>
      <c r="G28" s="90">
        <f>G16+G17+G18+G19+G20+G21+G22+G23+G24+G25+G26+G27</f>
        <v>12167.599999999999</v>
      </c>
      <c r="H28" s="90">
        <f>H16+H17+H18+H19+H20+H21+H22+H23+H24+H25+H26+H27</f>
        <v>12531.6</v>
      </c>
      <c r="I28" s="66"/>
    </row>
    <row r="29" spans="2:9" ht="7.5" customHeight="1">
      <c r="B29" s="168"/>
      <c r="C29" s="15"/>
      <c r="D29" s="15"/>
      <c r="E29" s="15"/>
      <c r="F29" s="370"/>
      <c r="G29" s="15"/>
      <c r="H29" s="15"/>
      <c r="I29" s="15"/>
    </row>
    <row r="30" spans="2:10" ht="22.5" customHeight="1">
      <c r="B30" s="649" t="s">
        <v>450</v>
      </c>
      <c r="C30" s="649"/>
      <c r="D30" s="221"/>
      <c r="E30" s="22"/>
      <c r="F30" s="373"/>
      <c r="G30" s="22"/>
      <c r="H30" s="16"/>
      <c r="I30" s="328" t="s">
        <v>578</v>
      </c>
      <c r="J30" s="24"/>
    </row>
    <row r="31" spans="2:10" ht="12.75" customHeight="1">
      <c r="B31" s="221"/>
      <c r="C31" s="221"/>
      <c r="D31" s="221"/>
      <c r="E31" s="22"/>
      <c r="F31" s="373"/>
      <c r="G31" s="22"/>
      <c r="H31" s="16"/>
      <c r="I31" s="162"/>
      <c r="J31" s="24"/>
    </row>
    <row r="32" spans="2:10" ht="18.75">
      <c r="B32" s="590" t="s">
        <v>582</v>
      </c>
      <c r="C32" s="590"/>
      <c r="D32" s="25"/>
      <c r="E32" s="26"/>
      <c r="F32" s="374"/>
      <c r="G32" s="26"/>
      <c r="H32" s="26"/>
      <c r="I32" s="26"/>
      <c r="J32" s="15"/>
    </row>
    <row r="33" spans="2:10" ht="15.75">
      <c r="B33" s="27"/>
      <c r="C33" s="27"/>
      <c r="D33" s="26"/>
      <c r="E33" s="26"/>
      <c r="F33" s="374"/>
      <c r="G33" s="26"/>
      <c r="H33" s="26"/>
      <c r="I33" s="26"/>
      <c r="J33" s="15"/>
    </row>
    <row r="34" spans="2:9" ht="15.75">
      <c r="B34" s="15"/>
      <c r="C34" s="15"/>
      <c r="D34" s="15"/>
      <c r="E34" s="15"/>
      <c r="F34" s="370"/>
      <c r="G34" s="15"/>
      <c r="H34" s="15"/>
      <c r="I34" s="15"/>
    </row>
    <row r="35" spans="2:9" ht="15.75">
      <c r="B35" s="15"/>
      <c r="C35" s="15"/>
      <c r="D35" s="15"/>
      <c r="E35" s="15"/>
      <c r="F35" s="370"/>
      <c r="G35" s="15"/>
      <c r="H35" s="15"/>
      <c r="I35" s="15"/>
    </row>
    <row r="36" spans="2:9" ht="15.75">
      <c r="B36" s="15"/>
      <c r="C36" s="15"/>
      <c r="D36" s="15"/>
      <c r="E36" s="15"/>
      <c r="F36" s="370"/>
      <c r="G36" s="15"/>
      <c r="H36" s="15"/>
      <c r="I36" s="15"/>
    </row>
    <row r="37" spans="2:9" ht="15.75">
      <c r="B37" s="15"/>
      <c r="C37" s="15"/>
      <c r="D37" s="15"/>
      <c r="E37" s="15"/>
      <c r="F37" s="370"/>
      <c r="G37" s="15"/>
      <c r="H37" s="15"/>
      <c r="I37" s="15"/>
    </row>
    <row r="38" spans="2:9" ht="15.75">
      <c r="B38" s="15"/>
      <c r="C38" s="15"/>
      <c r="D38" s="15"/>
      <c r="E38" s="15"/>
      <c r="F38" s="370"/>
      <c r="G38" s="15"/>
      <c r="H38" s="15"/>
      <c r="I38" s="15"/>
    </row>
    <row r="39" spans="2:9" ht="15.75">
      <c r="B39" s="15"/>
      <c r="C39" s="15"/>
      <c r="D39" s="15"/>
      <c r="E39" s="15"/>
      <c r="F39" s="370"/>
      <c r="G39" s="15"/>
      <c r="H39" s="15"/>
      <c r="I39" s="15"/>
    </row>
    <row r="40" spans="2:9" ht="15.75">
      <c r="B40" s="15"/>
      <c r="C40" s="15"/>
      <c r="D40" s="15"/>
      <c r="E40" s="15"/>
      <c r="F40" s="370"/>
      <c r="G40" s="15"/>
      <c r="H40" s="15"/>
      <c r="I40" s="15"/>
    </row>
    <row r="41" spans="2:9" ht="15.75">
      <c r="B41" s="15"/>
      <c r="C41" s="15"/>
      <c r="D41" s="15"/>
      <c r="E41" s="15"/>
      <c r="F41" s="370"/>
      <c r="G41" s="15"/>
      <c r="H41" s="15"/>
      <c r="I41" s="15"/>
    </row>
    <row r="42" spans="2:9" ht="15.75">
      <c r="B42" s="15"/>
      <c r="C42" s="15"/>
      <c r="D42" s="15"/>
      <c r="E42" s="15"/>
      <c r="F42" s="370"/>
      <c r="G42" s="15"/>
      <c r="H42" s="15"/>
      <c r="I42" s="15"/>
    </row>
    <row r="43" spans="2:9" ht="15.75">
      <c r="B43" s="15"/>
      <c r="C43" s="15"/>
      <c r="D43" s="15"/>
      <c r="E43" s="15"/>
      <c r="F43" s="370"/>
      <c r="G43" s="15"/>
      <c r="H43" s="15"/>
      <c r="I43" s="15"/>
    </row>
    <row r="44" spans="2:9" ht="15.75">
      <c r="B44" s="15"/>
      <c r="C44" s="15"/>
      <c r="D44" s="15"/>
      <c r="E44" s="15"/>
      <c r="F44" s="370"/>
      <c r="G44" s="15"/>
      <c r="H44" s="15"/>
      <c r="I44" s="15"/>
    </row>
    <row r="45" spans="2:9" ht="15.75">
      <c r="B45" s="15"/>
      <c r="C45" s="15"/>
      <c r="D45" s="15"/>
      <c r="E45" s="15"/>
      <c r="F45" s="370"/>
      <c r="G45" s="15"/>
      <c r="H45" s="15"/>
      <c r="I45" s="15"/>
    </row>
    <row r="46" spans="2:9" ht="15.75">
      <c r="B46" s="15"/>
      <c r="C46" s="15"/>
      <c r="D46" s="15"/>
      <c r="E46" s="15"/>
      <c r="F46" s="370"/>
      <c r="G46" s="15"/>
      <c r="H46" s="15"/>
      <c r="I46" s="15"/>
    </row>
    <row r="47" spans="2:9" ht="15.75">
      <c r="B47" s="15"/>
      <c r="C47" s="15"/>
      <c r="D47" s="15"/>
      <c r="E47" s="15"/>
      <c r="F47" s="370"/>
      <c r="G47" s="15"/>
      <c r="H47" s="15"/>
      <c r="I47" s="15"/>
    </row>
    <row r="48" spans="2:9" ht="15.75">
      <c r="B48" s="15"/>
      <c r="C48" s="15"/>
      <c r="D48" s="15"/>
      <c r="E48" s="15"/>
      <c r="F48" s="370"/>
      <c r="G48" s="15"/>
      <c r="H48" s="15"/>
      <c r="I48" s="15"/>
    </row>
    <row r="49" spans="2:9" ht="15.75">
      <c r="B49" s="15"/>
      <c r="C49" s="15"/>
      <c r="D49" s="15"/>
      <c r="E49" s="15"/>
      <c r="F49" s="370"/>
      <c r="G49" s="15"/>
      <c r="H49" s="15"/>
      <c r="I49" s="15"/>
    </row>
    <row r="50" spans="2:9" ht="15.75">
      <c r="B50" s="15"/>
      <c r="C50" s="15"/>
      <c r="D50" s="15"/>
      <c r="E50" s="15"/>
      <c r="F50" s="370"/>
      <c r="G50" s="15"/>
      <c r="H50" s="15"/>
      <c r="I50" s="15"/>
    </row>
    <row r="51" spans="2:9" ht="15.75">
      <c r="B51" s="15"/>
      <c r="C51" s="15"/>
      <c r="D51" s="15"/>
      <c r="E51" s="15"/>
      <c r="F51" s="370"/>
      <c r="G51" s="15"/>
      <c r="H51" s="15"/>
      <c r="I51" s="15"/>
    </row>
    <row r="52" spans="2:9" ht="15.75">
      <c r="B52" s="15"/>
      <c r="C52" s="15"/>
      <c r="D52" s="15"/>
      <c r="E52" s="15"/>
      <c r="F52" s="370"/>
      <c r="G52" s="15"/>
      <c r="H52" s="15"/>
      <c r="I52" s="15"/>
    </row>
    <row r="53" spans="2:9" ht="15.75">
      <c r="B53" s="15"/>
      <c r="C53" s="15"/>
      <c r="D53" s="15"/>
      <c r="E53" s="15"/>
      <c r="F53" s="370"/>
      <c r="G53" s="15"/>
      <c r="H53" s="15"/>
      <c r="I53" s="15"/>
    </row>
    <row r="54" spans="2:9" ht="15.75">
      <c r="B54" s="15"/>
      <c r="C54" s="15"/>
      <c r="D54" s="15"/>
      <c r="E54" s="15"/>
      <c r="F54" s="370"/>
      <c r="G54" s="15"/>
      <c r="H54" s="15"/>
      <c r="I54" s="15"/>
    </row>
    <row r="55" spans="2:9" ht="15.75">
      <c r="B55" s="15"/>
      <c r="C55" s="15"/>
      <c r="D55" s="15"/>
      <c r="E55" s="15"/>
      <c r="F55" s="370"/>
      <c r="G55" s="15"/>
      <c r="H55" s="15"/>
      <c r="I55" s="15"/>
    </row>
    <row r="56" spans="2:9" ht="15.75">
      <c r="B56" s="15"/>
      <c r="C56" s="15"/>
      <c r="D56" s="15"/>
      <c r="E56" s="15"/>
      <c r="F56" s="370"/>
      <c r="G56" s="15"/>
      <c r="H56" s="15"/>
      <c r="I56" s="15"/>
    </row>
    <row r="57" spans="2:9" ht="15.75">
      <c r="B57" s="15"/>
      <c r="C57" s="15"/>
      <c r="D57" s="15"/>
      <c r="E57" s="15"/>
      <c r="F57" s="370"/>
      <c r="G57" s="15"/>
      <c r="H57" s="15"/>
      <c r="I57" s="15"/>
    </row>
    <row r="58" spans="2:9" ht="15.75">
      <c r="B58" s="15"/>
      <c r="C58" s="15"/>
      <c r="D58" s="15"/>
      <c r="E58" s="15"/>
      <c r="F58" s="370"/>
      <c r="G58" s="15"/>
      <c r="H58" s="15"/>
      <c r="I58" s="15"/>
    </row>
    <row r="59" spans="2:9" ht="15.75">
      <c r="B59" s="15"/>
      <c r="C59" s="15"/>
      <c r="D59" s="15"/>
      <c r="E59" s="15"/>
      <c r="F59" s="370"/>
      <c r="G59" s="15"/>
      <c r="H59" s="15"/>
      <c r="I59" s="15"/>
    </row>
    <row r="60" spans="2:9" ht="15.75">
      <c r="B60" s="15"/>
      <c r="C60" s="15"/>
      <c r="D60" s="15"/>
      <c r="E60" s="15"/>
      <c r="F60" s="370"/>
      <c r="G60" s="15"/>
      <c r="H60" s="15"/>
      <c r="I60" s="15"/>
    </row>
    <row r="61" spans="2:9" ht="15.75">
      <c r="B61" s="15"/>
      <c r="C61" s="15"/>
      <c r="D61" s="15"/>
      <c r="E61" s="15"/>
      <c r="F61" s="370"/>
      <c r="G61" s="15"/>
      <c r="H61" s="15"/>
      <c r="I61" s="15"/>
    </row>
    <row r="62" spans="2:9" ht="15.75">
      <c r="B62" s="15"/>
      <c r="C62" s="15"/>
      <c r="D62" s="15"/>
      <c r="E62" s="15"/>
      <c r="F62" s="370"/>
      <c r="G62" s="15"/>
      <c r="H62" s="15"/>
      <c r="I62" s="15"/>
    </row>
    <row r="63" spans="2:9" ht="15.75">
      <c r="B63" s="15"/>
      <c r="C63" s="15"/>
      <c r="D63" s="15"/>
      <c r="E63" s="15"/>
      <c r="F63" s="370"/>
      <c r="G63" s="15"/>
      <c r="H63" s="15"/>
      <c r="I63" s="15"/>
    </row>
    <row r="64" spans="2:9" ht="15.75">
      <c r="B64" s="15"/>
      <c r="C64" s="15"/>
      <c r="D64" s="15"/>
      <c r="E64" s="15"/>
      <c r="F64" s="370"/>
      <c r="G64" s="15"/>
      <c r="H64" s="15"/>
      <c r="I64" s="15"/>
    </row>
    <row r="65" spans="2:9" ht="15.75">
      <c r="B65" s="15"/>
      <c r="C65" s="15"/>
      <c r="D65" s="15"/>
      <c r="E65" s="15"/>
      <c r="F65" s="370"/>
      <c r="G65" s="15"/>
      <c r="H65" s="15"/>
      <c r="I65" s="15"/>
    </row>
    <row r="66" spans="2:9" ht="15.75">
      <c r="B66" s="15"/>
      <c r="C66" s="15"/>
      <c r="D66" s="15"/>
      <c r="E66" s="15"/>
      <c r="F66" s="370"/>
      <c r="G66" s="15"/>
      <c r="H66" s="15"/>
      <c r="I66" s="15"/>
    </row>
    <row r="67" spans="2:9" ht="15.75">
      <c r="B67" s="15"/>
      <c r="C67" s="15"/>
      <c r="D67" s="15"/>
      <c r="E67" s="15"/>
      <c r="F67" s="370"/>
      <c r="G67" s="15"/>
      <c r="H67" s="15"/>
      <c r="I67" s="15"/>
    </row>
    <row r="68" spans="2:9" ht="15.75">
      <c r="B68" s="15"/>
      <c r="C68" s="15"/>
      <c r="D68" s="15"/>
      <c r="E68" s="15"/>
      <c r="F68" s="370"/>
      <c r="G68" s="15"/>
      <c r="H68" s="15"/>
      <c r="I68" s="15"/>
    </row>
    <row r="69" spans="2:9" ht="15.75">
      <c r="B69" s="15"/>
      <c r="C69" s="15"/>
      <c r="D69" s="15"/>
      <c r="E69" s="15"/>
      <c r="F69" s="370"/>
      <c r="G69" s="15"/>
      <c r="H69" s="15"/>
      <c r="I69" s="15"/>
    </row>
    <row r="70" spans="2:9" ht="15.75">
      <c r="B70" s="15"/>
      <c r="C70" s="15"/>
      <c r="D70" s="15"/>
      <c r="E70" s="15"/>
      <c r="F70" s="370"/>
      <c r="G70" s="15"/>
      <c r="H70" s="15"/>
      <c r="I70" s="15"/>
    </row>
    <row r="71" spans="2:9" ht="15.75">
      <c r="B71" s="15"/>
      <c r="C71" s="15"/>
      <c r="D71" s="15"/>
      <c r="E71" s="15"/>
      <c r="F71" s="370"/>
      <c r="G71" s="15"/>
      <c r="H71" s="15"/>
      <c r="I71" s="15"/>
    </row>
    <row r="72" spans="2:9" ht="15.75">
      <c r="B72" s="15"/>
      <c r="C72" s="15"/>
      <c r="D72" s="15"/>
      <c r="E72" s="15"/>
      <c r="F72" s="370"/>
      <c r="G72" s="15"/>
      <c r="H72" s="15"/>
      <c r="I72" s="15"/>
    </row>
    <row r="73" spans="2:9" ht="15.75">
      <c r="B73" s="15"/>
      <c r="C73" s="15"/>
      <c r="D73" s="15"/>
      <c r="E73" s="15"/>
      <c r="F73" s="370"/>
      <c r="G73" s="15"/>
      <c r="H73" s="15"/>
      <c r="I73" s="15"/>
    </row>
    <row r="74" spans="2:9" ht="15.75">
      <c r="B74" s="15"/>
      <c r="C74" s="15"/>
      <c r="D74" s="15"/>
      <c r="E74" s="15"/>
      <c r="F74" s="370"/>
      <c r="G74" s="15"/>
      <c r="H74" s="15"/>
      <c r="I74" s="15"/>
    </row>
    <row r="75" spans="2:9" ht="15.75">
      <c r="B75" s="15"/>
      <c r="C75" s="15"/>
      <c r="D75" s="15"/>
      <c r="E75" s="15"/>
      <c r="F75" s="370"/>
      <c r="G75" s="15"/>
      <c r="H75" s="15"/>
      <c r="I75" s="15"/>
    </row>
    <row r="76" spans="2:9" ht="15.75">
      <c r="B76" s="15"/>
      <c r="C76" s="15"/>
      <c r="D76" s="15"/>
      <c r="E76" s="15"/>
      <c r="F76" s="370"/>
      <c r="G76" s="15"/>
      <c r="H76" s="15"/>
      <c r="I76" s="15"/>
    </row>
    <row r="77" spans="2:9" ht="15.75">
      <c r="B77" s="15"/>
      <c r="C77" s="15"/>
      <c r="D77" s="15"/>
      <c r="E77" s="15"/>
      <c r="F77" s="370"/>
      <c r="G77" s="15"/>
      <c r="H77" s="15"/>
      <c r="I77" s="15"/>
    </row>
    <row r="78" spans="2:9" ht="15.75">
      <c r="B78" s="15"/>
      <c r="C78" s="15"/>
      <c r="D78" s="15"/>
      <c r="E78" s="15"/>
      <c r="F78" s="370"/>
      <c r="G78" s="15"/>
      <c r="H78" s="15"/>
      <c r="I78" s="15"/>
    </row>
    <row r="79" spans="2:9" ht="15.75">
      <c r="B79" s="15"/>
      <c r="C79" s="15"/>
      <c r="D79" s="15"/>
      <c r="E79" s="15"/>
      <c r="F79" s="370"/>
      <c r="G79" s="15"/>
      <c r="H79" s="15"/>
      <c r="I79" s="15"/>
    </row>
    <row r="80" spans="2:9" ht="15.75">
      <c r="B80" s="15"/>
      <c r="C80" s="15"/>
      <c r="D80" s="15"/>
      <c r="E80" s="15"/>
      <c r="F80" s="370"/>
      <c r="G80" s="15"/>
      <c r="H80" s="15"/>
      <c r="I80" s="15"/>
    </row>
    <row r="81" spans="2:9" ht="15.75">
      <c r="B81" s="15"/>
      <c r="C81" s="15"/>
      <c r="D81" s="15"/>
      <c r="E81" s="15"/>
      <c r="F81" s="370"/>
      <c r="G81" s="15"/>
      <c r="H81" s="15"/>
      <c r="I81" s="15"/>
    </row>
    <row r="82" spans="2:9" ht="15.75">
      <c r="B82" s="15"/>
      <c r="C82" s="15"/>
      <c r="D82" s="15"/>
      <c r="E82" s="15"/>
      <c r="F82" s="370"/>
      <c r="G82" s="15"/>
      <c r="H82" s="15"/>
      <c r="I82" s="15"/>
    </row>
    <row r="83" spans="2:9" ht="15.75">
      <c r="B83" s="15"/>
      <c r="C83" s="15"/>
      <c r="D83" s="15"/>
      <c r="E83" s="15"/>
      <c r="F83" s="370"/>
      <c r="G83" s="15"/>
      <c r="H83" s="15"/>
      <c r="I83" s="15"/>
    </row>
    <row r="84" spans="2:9" ht="15.75">
      <c r="B84" s="15"/>
      <c r="C84" s="15"/>
      <c r="D84" s="15"/>
      <c r="E84" s="15"/>
      <c r="F84" s="370"/>
      <c r="G84" s="15"/>
      <c r="H84" s="15"/>
      <c r="I84" s="15"/>
    </row>
    <row r="85" spans="2:9" ht="15.75">
      <c r="B85" s="15"/>
      <c r="C85" s="15"/>
      <c r="D85" s="15"/>
      <c r="E85" s="15"/>
      <c r="F85" s="370"/>
      <c r="G85" s="15"/>
      <c r="H85" s="15"/>
      <c r="I85" s="15"/>
    </row>
    <row r="86" spans="2:9" ht="15.75">
      <c r="B86" s="15"/>
      <c r="C86" s="15"/>
      <c r="D86" s="15"/>
      <c r="E86" s="15"/>
      <c r="F86" s="370"/>
      <c r="G86" s="15"/>
      <c r="H86" s="15"/>
      <c r="I86" s="15"/>
    </row>
    <row r="87" spans="2:9" ht="15.75">
      <c r="B87" s="15"/>
      <c r="C87" s="15"/>
      <c r="D87" s="15"/>
      <c r="E87" s="15"/>
      <c r="F87" s="370"/>
      <c r="G87" s="15"/>
      <c r="H87" s="15"/>
      <c r="I87" s="15"/>
    </row>
    <row r="88" spans="2:9" ht="15.75">
      <c r="B88" s="15"/>
      <c r="C88" s="15"/>
      <c r="D88" s="15"/>
      <c r="E88" s="15"/>
      <c r="F88" s="370"/>
      <c r="G88" s="15"/>
      <c r="H88" s="15"/>
      <c r="I88" s="15"/>
    </row>
    <row r="89" spans="2:9" ht="15.75">
      <c r="B89" s="15"/>
      <c r="C89" s="15"/>
      <c r="D89" s="15"/>
      <c r="E89" s="15"/>
      <c r="F89" s="370"/>
      <c r="G89" s="15"/>
      <c r="H89" s="15"/>
      <c r="I89" s="15"/>
    </row>
    <row r="90" spans="2:9" ht="15.75">
      <c r="B90" s="15"/>
      <c r="C90" s="15"/>
      <c r="D90" s="15"/>
      <c r="E90" s="15"/>
      <c r="F90" s="370"/>
      <c r="G90" s="15"/>
      <c r="H90" s="15"/>
      <c r="I90" s="15"/>
    </row>
    <row r="91" spans="2:9" ht="15.75">
      <c r="B91" s="15"/>
      <c r="C91" s="15"/>
      <c r="D91" s="15"/>
      <c r="E91" s="15"/>
      <c r="F91" s="370"/>
      <c r="G91" s="15"/>
      <c r="H91" s="15"/>
      <c r="I91" s="15"/>
    </row>
    <row r="92" spans="2:9" ht="15.75">
      <c r="B92" s="15"/>
      <c r="C92" s="15"/>
      <c r="D92" s="15"/>
      <c r="E92" s="15"/>
      <c r="F92" s="370"/>
      <c r="G92" s="15"/>
      <c r="H92" s="15"/>
      <c r="I92" s="15"/>
    </row>
    <row r="93" spans="2:9" ht="15.75">
      <c r="B93" s="15"/>
      <c r="C93" s="15"/>
      <c r="D93" s="15"/>
      <c r="E93" s="15"/>
      <c r="F93" s="370"/>
      <c r="G93" s="15"/>
      <c r="H93" s="15"/>
      <c r="I93" s="15"/>
    </row>
    <row r="94" spans="2:9" ht="15.75">
      <c r="B94" s="15"/>
      <c r="C94" s="15"/>
      <c r="D94" s="15"/>
      <c r="E94" s="15"/>
      <c r="F94" s="370"/>
      <c r="G94" s="15"/>
      <c r="H94" s="15"/>
      <c r="I94" s="15"/>
    </row>
    <row r="95" spans="2:9" ht="15.75">
      <c r="B95" s="15"/>
      <c r="C95" s="15"/>
      <c r="D95" s="15"/>
      <c r="E95" s="15"/>
      <c r="F95" s="370"/>
      <c r="G95" s="15"/>
      <c r="H95" s="15"/>
      <c r="I95" s="15"/>
    </row>
    <row r="96" spans="2:9" ht="15.75">
      <c r="B96" s="15"/>
      <c r="C96" s="15"/>
      <c r="D96" s="15"/>
      <c r="E96" s="15"/>
      <c r="F96" s="370"/>
      <c r="G96" s="15"/>
      <c r="H96" s="15"/>
      <c r="I96" s="15"/>
    </row>
    <row r="97" spans="2:9" ht="15.75">
      <c r="B97" s="15"/>
      <c r="C97" s="15"/>
      <c r="D97" s="15"/>
      <c r="E97" s="15"/>
      <c r="F97" s="370"/>
      <c r="G97" s="15"/>
      <c r="H97" s="15"/>
      <c r="I97" s="15"/>
    </row>
    <row r="98" spans="2:9" ht="15.75">
      <c r="B98" s="15"/>
      <c r="C98" s="15"/>
      <c r="D98" s="15"/>
      <c r="E98" s="15"/>
      <c r="F98" s="370"/>
      <c r="G98" s="15"/>
      <c r="H98" s="15"/>
      <c r="I98" s="15"/>
    </row>
    <row r="99" spans="2:9" ht="15.75">
      <c r="B99" s="15"/>
      <c r="C99" s="15"/>
      <c r="D99" s="15"/>
      <c r="E99" s="15"/>
      <c r="F99" s="370"/>
      <c r="G99" s="15"/>
      <c r="H99" s="15"/>
      <c r="I99" s="15"/>
    </row>
    <row r="100" spans="2:9" ht="15.75">
      <c r="B100" s="15"/>
      <c r="C100" s="15"/>
      <c r="D100" s="15"/>
      <c r="E100" s="15"/>
      <c r="F100" s="370"/>
      <c r="G100" s="15"/>
      <c r="H100" s="15"/>
      <c r="I100" s="15"/>
    </row>
    <row r="101" spans="2:9" ht="15.75">
      <c r="B101" s="15"/>
      <c r="C101" s="15"/>
      <c r="D101" s="15"/>
      <c r="E101" s="15"/>
      <c r="F101" s="370"/>
      <c r="G101" s="15"/>
      <c r="H101" s="15"/>
      <c r="I101" s="15"/>
    </row>
    <row r="102" spans="2:9" ht="15.75">
      <c r="B102" s="15"/>
      <c r="C102" s="15"/>
      <c r="D102" s="15"/>
      <c r="E102" s="15"/>
      <c r="F102" s="370"/>
      <c r="G102" s="15"/>
      <c r="H102" s="15"/>
      <c r="I102" s="15"/>
    </row>
    <row r="103" spans="2:9" ht="15.75">
      <c r="B103" s="15"/>
      <c r="C103" s="15"/>
      <c r="D103" s="15"/>
      <c r="E103" s="15"/>
      <c r="F103" s="370"/>
      <c r="G103" s="15"/>
      <c r="H103" s="15"/>
      <c r="I103" s="15"/>
    </row>
    <row r="104" spans="2:9" ht="15.75">
      <c r="B104" s="15"/>
      <c r="C104" s="15"/>
      <c r="D104" s="15"/>
      <c r="E104" s="15"/>
      <c r="F104" s="370"/>
      <c r="G104" s="15"/>
      <c r="H104" s="15"/>
      <c r="I104" s="15"/>
    </row>
    <row r="105" spans="2:9" ht="15.75">
      <c r="B105" s="15"/>
      <c r="C105" s="15"/>
      <c r="D105" s="15"/>
      <c r="E105" s="15"/>
      <c r="F105" s="370"/>
      <c r="G105" s="15"/>
      <c r="H105" s="15"/>
      <c r="I105" s="15"/>
    </row>
    <row r="106" spans="2:9" ht="15.75">
      <c r="B106" s="15"/>
      <c r="C106" s="15"/>
      <c r="D106" s="15"/>
      <c r="E106" s="15"/>
      <c r="F106" s="370"/>
      <c r="G106" s="15"/>
      <c r="H106" s="15"/>
      <c r="I106" s="15"/>
    </row>
    <row r="107" spans="2:9" ht="15.75">
      <c r="B107" s="15"/>
      <c r="C107" s="15"/>
      <c r="D107" s="15"/>
      <c r="E107" s="15"/>
      <c r="F107" s="370"/>
      <c r="G107" s="15"/>
      <c r="H107" s="15"/>
      <c r="I107" s="15"/>
    </row>
    <row r="108" spans="2:9" ht="15.75">
      <c r="B108" s="15"/>
      <c r="C108" s="15"/>
      <c r="D108" s="15"/>
      <c r="E108" s="15"/>
      <c r="F108" s="370"/>
      <c r="G108" s="15"/>
      <c r="H108" s="15"/>
      <c r="I108" s="15"/>
    </row>
    <row r="109" spans="2:9" ht="15.75">
      <c r="B109" s="15"/>
      <c r="C109" s="15"/>
      <c r="D109" s="15"/>
      <c r="E109" s="15"/>
      <c r="F109" s="370"/>
      <c r="G109" s="15"/>
      <c r="H109" s="15"/>
      <c r="I109" s="15"/>
    </row>
    <row r="110" spans="2:9" ht="15.75">
      <c r="B110" s="15"/>
      <c r="C110" s="15"/>
      <c r="D110" s="15"/>
      <c r="E110" s="15"/>
      <c r="F110" s="370"/>
      <c r="G110" s="15"/>
      <c r="H110" s="15"/>
      <c r="I110" s="15"/>
    </row>
    <row r="111" spans="2:9" ht="15.75">
      <c r="B111" s="15"/>
      <c r="C111" s="15"/>
      <c r="D111" s="15"/>
      <c r="E111" s="15"/>
      <c r="F111" s="370"/>
      <c r="G111" s="15"/>
      <c r="H111" s="15"/>
      <c r="I111" s="15"/>
    </row>
    <row r="112" spans="2:9" ht="15.75">
      <c r="B112" s="15"/>
      <c r="C112" s="15"/>
      <c r="D112" s="15"/>
      <c r="E112" s="15"/>
      <c r="F112" s="370"/>
      <c r="G112" s="15"/>
      <c r="H112" s="15"/>
      <c r="I112" s="15"/>
    </row>
    <row r="113" spans="2:9" ht="15.75">
      <c r="B113" s="15"/>
      <c r="C113" s="15"/>
      <c r="D113" s="15"/>
      <c r="E113" s="15"/>
      <c r="F113" s="370"/>
      <c r="G113" s="15"/>
      <c r="H113" s="15"/>
      <c r="I113" s="15"/>
    </row>
    <row r="114" spans="2:9" ht="15.75">
      <c r="B114" s="15"/>
      <c r="C114" s="15"/>
      <c r="D114" s="15"/>
      <c r="E114" s="15"/>
      <c r="F114" s="370"/>
      <c r="G114" s="15"/>
      <c r="H114" s="15"/>
      <c r="I114" s="15"/>
    </row>
    <row r="115" spans="2:9" ht="15.75">
      <c r="B115" s="15"/>
      <c r="C115" s="15"/>
      <c r="D115" s="15"/>
      <c r="E115" s="15"/>
      <c r="F115" s="370"/>
      <c r="G115" s="15"/>
      <c r="H115" s="15"/>
      <c r="I115" s="15"/>
    </row>
    <row r="116" spans="2:9" ht="15.75">
      <c r="B116" s="15"/>
      <c r="C116" s="15"/>
      <c r="D116" s="15"/>
      <c r="E116" s="15"/>
      <c r="F116" s="370"/>
      <c r="G116" s="15"/>
      <c r="H116" s="15"/>
      <c r="I116" s="15"/>
    </row>
    <row r="117" spans="2:9" ht="15.75">
      <c r="B117" s="15"/>
      <c r="C117" s="15"/>
      <c r="D117" s="15"/>
      <c r="E117" s="15"/>
      <c r="F117" s="370"/>
      <c r="G117" s="15"/>
      <c r="H117" s="15"/>
      <c r="I117" s="15"/>
    </row>
    <row r="118" spans="2:9" ht="15.75">
      <c r="B118" s="15"/>
      <c r="C118" s="15"/>
      <c r="D118" s="15"/>
      <c r="E118" s="15"/>
      <c r="F118" s="370"/>
      <c r="G118" s="15"/>
      <c r="H118" s="15"/>
      <c r="I118" s="15"/>
    </row>
    <row r="119" spans="2:9" ht="15.75">
      <c r="B119" s="15"/>
      <c r="C119" s="15"/>
      <c r="D119" s="15"/>
      <c r="E119" s="15"/>
      <c r="F119" s="370"/>
      <c r="G119" s="15"/>
      <c r="H119" s="15"/>
      <c r="I119" s="15"/>
    </row>
    <row r="120" spans="2:9" ht="15.75">
      <c r="B120" s="15"/>
      <c r="C120" s="15"/>
      <c r="D120" s="15"/>
      <c r="E120" s="15"/>
      <c r="F120" s="370"/>
      <c r="G120" s="15"/>
      <c r="H120" s="15"/>
      <c r="I120" s="15"/>
    </row>
    <row r="121" spans="2:9" ht="15.75">
      <c r="B121" s="15"/>
      <c r="C121" s="15"/>
      <c r="D121" s="15"/>
      <c r="E121" s="15"/>
      <c r="F121" s="370"/>
      <c r="G121" s="15"/>
      <c r="H121" s="15"/>
      <c r="I121" s="15"/>
    </row>
    <row r="122" spans="2:9" ht="15.75">
      <c r="B122" s="15"/>
      <c r="C122" s="15"/>
      <c r="D122" s="15"/>
      <c r="E122" s="15"/>
      <c r="F122" s="370"/>
      <c r="G122" s="15"/>
      <c r="H122" s="15"/>
      <c r="I122" s="15"/>
    </row>
    <row r="123" spans="2:9" ht="15.75">
      <c r="B123" s="15"/>
      <c r="C123" s="15"/>
      <c r="D123" s="15"/>
      <c r="E123" s="15"/>
      <c r="F123" s="370"/>
      <c r="G123" s="15"/>
      <c r="H123" s="15"/>
      <c r="I123" s="15"/>
    </row>
    <row r="124" spans="2:9" ht="15.75">
      <c r="B124" s="15"/>
      <c r="C124" s="15"/>
      <c r="D124" s="15"/>
      <c r="E124" s="15"/>
      <c r="F124" s="370"/>
      <c r="G124" s="15"/>
      <c r="H124" s="15"/>
      <c r="I124" s="15"/>
    </row>
    <row r="125" spans="2:9" ht="15.75">
      <c r="B125" s="15"/>
      <c r="C125" s="15"/>
      <c r="D125" s="15"/>
      <c r="E125" s="15"/>
      <c r="F125" s="370"/>
      <c r="G125" s="15"/>
      <c r="H125" s="15"/>
      <c r="I125" s="15"/>
    </row>
    <row r="126" spans="2:9" ht="15.75">
      <c r="B126" s="15"/>
      <c r="C126" s="15"/>
      <c r="D126" s="15"/>
      <c r="E126" s="15"/>
      <c r="F126" s="370"/>
      <c r="G126" s="15"/>
      <c r="H126" s="15"/>
      <c r="I126" s="15"/>
    </row>
    <row r="127" spans="2:9" ht="15.75">
      <c r="B127" s="15"/>
      <c r="C127" s="15"/>
      <c r="D127" s="15"/>
      <c r="E127" s="15"/>
      <c r="F127" s="370"/>
      <c r="G127" s="15"/>
      <c r="H127" s="15"/>
      <c r="I127" s="15"/>
    </row>
    <row r="128" spans="2:9" ht="15.75">
      <c r="B128" s="15"/>
      <c r="C128" s="15"/>
      <c r="D128" s="15"/>
      <c r="E128" s="15"/>
      <c r="F128" s="370"/>
      <c r="G128" s="15"/>
      <c r="H128" s="15"/>
      <c r="I128" s="15"/>
    </row>
    <row r="129" spans="2:9" ht="15.75">
      <c r="B129" s="15"/>
      <c r="C129" s="15"/>
      <c r="D129" s="15"/>
      <c r="E129" s="15"/>
      <c r="F129" s="370"/>
      <c r="G129" s="15"/>
      <c r="H129" s="15"/>
      <c r="I129" s="15"/>
    </row>
    <row r="130" spans="2:9" ht="15.75">
      <c r="B130" s="15"/>
      <c r="C130" s="15"/>
      <c r="D130" s="15"/>
      <c r="E130" s="15"/>
      <c r="F130" s="370"/>
      <c r="G130" s="15"/>
      <c r="H130" s="15"/>
      <c r="I130" s="15"/>
    </row>
  </sheetData>
  <sheetProtection/>
  <mergeCells count="17">
    <mergeCell ref="A12:A14"/>
    <mergeCell ref="B12:B14"/>
    <mergeCell ref="C12:C14"/>
    <mergeCell ref="D12:D14"/>
    <mergeCell ref="E12:H12"/>
    <mergeCell ref="I12:I14"/>
    <mergeCell ref="E13:E14"/>
    <mergeCell ref="G13:G14"/>
    <mergeCell ref="H13:H14"/>
    <mergeCell ref="B30:C30"/>
    <mergeCell ref="B32:C32"/>
    <mergeCell ref="B10:I10"/>
    <mergeCell ref="I6:N6"/>
    <mergeCell ref="I7:N7"/>
    <mergeCell ref="I8:J8"/>
    <mergeCell ref="K8:L8"/>
    <mergeCell ref="M8:N8"/>
  </mergeCells>
  <printOptions horizontalCentered="1"/>
  <pageMargins left="0" right="0" top="1.1811023622047245" bottom="0" header="0" footer="0"/>
  <pageSetup fitToHeight="2"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J8" sqref="J8:K8"/>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451</v>
      </c>
      <c r="J1" s="1" t="s">
        <v>256</v>
      </c>
      <c r="K1" s="271"/>
      <c r="L1" s="2" t="s">
        <v>451</v>
      </c>
    </row>
    <row r="2" spans="2:15" ht="15.75">
      <c r="B2" s="1"/>
      <c r="C2" s="1"/>
      <c r="D2" s="1"/>
      <c r="E2" s="1"/>
      <c r="F2" s="1"/>
      <c r="G2" s="1"/>
      <c r="H2" s="1"/>
      <c r="I2" s="3" t="s">
        <v>444</v>
      </c>
      <c r="J2" s="12" t="s">
        <v>444</v>
      </c>
      <c r="K2" s="12"/>
      <c r="L2" s="15"/>
      <c r="M2" s="12"/>
      <c r="N2" s="12"/>
      <c r="O2" s="12"/>
    </row>
    <row r="3" spans="2:15" ht="15.75">
      <c r="B3" s="1"/>
      <c r="C3" s="1"/>
      <c r="D3" s="1"/>
      <c r="E3" s="1"/>
      <c r="F3" s="1"/>
      <c r="G3" s="1"/>
      <c r="H3" s="1"/>
      <c r="I3" s="3"/>
      <c r="J3" s="12" t="s">
        <v>594</v>
      </c>
      <c r="K3" s="12"/>
      <c r="L3" s="15"/>
      <c r="M3" s="12"/>
      <c r="N3" s="12"/>
      <c r="O3" s="12"/>
    </row>
    <row r="4" spans="2:15" ht="15.75">
      <c r="B4" s="1"/>
      <c r="C4" s="1"/>
      <c r="D4" s="1"/>
      <c r="E4" s="1"/>
      <c r="F4" s="1"/>
      <c r="G4" s="1"/>
      <c r="H4" s="1"/>
      <c r="I4" s="3" t="s">
        <v>452</v>
      </c>
      <c r="J4" s="17" t="s">
        <v>158</v>
      </c>
      <c r="K4" s="17"/>
      <c r="L4" s="15"/>
      <c r="M4" s="12"/>
      <c r="N4" s="12"/>
      <c r="O4" s="12"/>
    </row>
    <row r="5" spans="2:15" ht="15.75">
      <c r="B5" s="1"/>
      <c r="C5" s="1"/>
      <c r="D5" s="1"/>
      <c r="E5" s="1"/>
      <c r="F5" s="1"/>
      <c r="G5" s="1"/>
      <c r="H5" s="1"/>
      <c r="I5" s="3" t="s">
        <v>453</v>
      </c>
      <c r="J5" s="17" t="s">
        <v>355</v>
      </c>
      <c r="K5" s="17"/>
      <c r="L5" s="15"/>
      <c r="M5" s="12"/>
      <c r="N5" s="12"/>
      <c r="O5" s="12"/>
    </row>
    <row r="6" spans="2:15" ht="15.75">
      <c r="B6" s="1"/>
      <c r="C6" s="1"/>
      <c r="D6" s="1"/>
      <c r="E6" s="1"/>
      <c r="F6" s="1"/>
      <c r="G6" s="1"/>
      <c r="H6" s="1"/>
      <c r="I6" s="3"/>
      <c r="J6" s="620" t="s">
        <v>431</v>
      </c>
      <c r="K6" s="620"/>
      <c r="L6" s="620"/>
      <c r="M6" s="620"/>
      <c r="N6" s="620"/>
      <c r="O6" s="620"/>
    </row>
    <row r="7" spans="2:15" ht="15.75">
      <c r="B7" s="1"/>
      <c r="C7" s="1"/>
      <c r="D7" s="1"/>
      <c r="E7" s="1"/>
      <c r="F7" s="1"/>
      <c r="G7" s="1"/>
      <c r="H7" s="9"/>
      <c r="I7" s="3"/>
      <c r="J7" s="620" t="s">
        <v>597</v>
      </c>
      <c r="K7" s="620"/>
      <c r="L7" s="620"/>
      <c r="M7" s="620"/>
      <c r="N7" s="620"/>
      <c r="O7" s="620"/>
    </row>
    <row r="8" spans="2:15" ht="16.5" customHeight="1">
      <c r="B8" s="1"/>
      <c r="C8" s="1"/>
      <c r="D8" s="1"/>
      <c r="E8" s="1"/>
      <c r="F8" s="1"/>
      <c r="G8" s="1"/>
      <c r="H8" s="1"/>
      <c r="I8" s="1"/>
      <c r="J8" s="620" t="s">
        <v>609</v>
      </c>
      <c r="K8" s="620"/>
      <c r="L8" s="395"/>
      <c r="M8" s="395"/>
      <c r="N8" s="395"/>
      <c r="O8" s="395"/>
    </row>
    <row r="9" spans="2:12" ht="35.25" customHeight="1">
      <c r="B9" s="595" t="s">
        <v>383</v>
      </c>
      <c r="C9" s="595"/>
      <c r="D9" s="595"/>
      <c r="E9" s="595"/>
      <c r="F9" s="595"/>
      <c r="G9" s="595"/>
      <c r="H9" s="595"/>
      <c r="I9" s="595"/>
      <c r="J9" s="595"/>
      <c r="K9" s="595"/>
      <c r="L9" s="1"/>
    </row>
    <row r="10" spans="2:12" ht="15.75">
      <c r="B10" s="1"/>
      <c r="C10" s="1"/>
      <c r="D10" s="656"/>
      <c r="E10" s="656"/>
      <c r="F10" s="656"/>
      <c r="G10" s="656"/>
      <c r="H10" s="656"/>
      <c r="I10" s="1"/>
      <c r="J10" s="1"/>
      <c r="K10" s="43" t="s">
        <v>114</v>
      </c>
      <c r="L10" s="1"/>
    </row>
    <row r="11" spans="1:12" ht="25.5" customHeight="1">
      <c r="A11" s="651" t="s">
        <v>461</v>
      </c>
      <c r="B11" s="651" t="s">
        <v>445</v>
      </c>
      <c r="C11" s="651" t="s">
        <v>446</v>
      </c>
      <c r="D11" s="651" t="s">
        <v>106</v>
      </c>
      <c r="E11" s="654" t="s">
        <v>442</v>
      </c>
      <c r="F11" s="654"/>
      <c r="G11" s="654"/>
      <c r="H11" s="654"/>
      <c r="I11" s="654"/>
      <c r="J11" s="655"/>
      <c r="K11" s="633" t="s">
        <v>448</v>
      </c>
      <c r="L11" s="1"/>
    </row>
    <row r="12" spans="1:12" ht="15.75">
      <c r="A12" s="653"/>
      <c r="B12" s="653"/>
      <c r="C12" s="653"/>
      <c r="D12" s="653"/>
      <c r="E12" s="651">
        <v>2022</v>
      </c>
      <c r="F12" s="651">
        <v>2023</v>
      </c>
      <c r="G12" s="651" t="s">
        <v>457</v>
      </c>
      <c r="H12" s="651" t="s">
        <v>458</v>
      </c>
      <c r="I12" s="651" t="s">
        <v>459</v>
      </c>
      <c r="J12" s="633">
        <v>2024</v>
      </c>
      <c r="K12" s="633"/>
      <c r="L12" s="1"/>
    </row>
    <row r="13" spans="1:12" ht="15.75">
      <c r="A13" s="652"/>
      <c r="B13" s="652"/>
      <c r="C13" s="652"/>
      <c r="D13" s="652"/>
      <c r="E13" s="652"/>
      <c r="F13" s="652"/>
      <c r="G13" s="652"/>
      <c r="H13" s="652"/>
      <c r="I13" s="652"/>
      <c r="J13" s="633"/>
      <c r="K13" s="633"/>
      <c r="L13" s="1"/>
    </row>
    <row r="14" spans="1:12" ht="70.5" customHeight="1">
      <c r="A14" s="251">
        <v>1</v>
      </c>
      <c r="B14" s="286" t="s">
        <v>25</v>
      </c>
      <c r="C14" s="161" t="s">
        <v>191</v>
      </c>
      <c r="D14" s="428">
        <f>E14+F14+J14</f>
        <v>4484.4</v>
      </c>
      <c r="E14" s="429">
        <f>1894.3-400-326.1</f>
        <v>1168.1999999999998</v>
      </c>
      <c r="F14" s="430">
        <f>2007.9-400</f>
        <v>1607.9</v>
      </c>
      <c r="G14" s="429"/>
      <c r="H14" s="429"/>
      <c r="I14" s="429"/>
      <c r="J14" s="429">
        <f>2108.3-400</f>
        <v>1708.3000000000002</v>
      </c>
      <c r="K14" s="251" t="s">
        <v>40</v>
      </c>
      <c r="L14" s="1"/>
    </row>
    <row r="15" spans="1:12" ht="32.25" customHeight="1">
      <c r="A15" s="74"/>
      <c r="B15" s="52" t="s">
        <v>439</v>
      </c>
      <c r="C15" s="53"/>
      <c r="D15" s="428">
        <f>E15+F15+J15</f>
        <v>4484.4</v>
      </c>
      <c r="E15" s="428">
        <f aca="true" t="shared" si="0" ref="E15:J15">E14</f>
        <v>1168.1999999999998</v>
      </c>
      <c r="F15" s="428">
        <f t="shared" si="0"/>
        <v>1607.9</v>
      </c>
      <c r="G15" s="428">
        <f t="shared" si="0"/>
        <v>0</v>
      </c>
      <c r="H15" s="428">
        <f t="shared" si="0"/>
        <v>0</v>
      </c>
      <c r="I15" s="428">
        <f t="shared" si="0"/>
        <v>0</v>
      </c>
      <c r="J15" s="428">
        <f t="shared" si="0"/>
        <v>1708.3000000000002</v>
      </c>
      <c r="K15" s="73"/>
      <c r="L15" s="1"/>
    </row>
    <row r="16" spans="2:12" ht="15.75">
      <c r="B16" s="4"/>
      <c r="C16" s="4"/>
      <c r="D16" s="6"/>
      <c r="E16" s="6"/>
      <c r="F16" s="6"/>
      <c r="G16" s="6"/>
      <c r="H16" s="6"/>
      <c r="I16" s="6"/>
      <c r="J16" s="6"/>
      <c r="K16" s="39"/>
      <c r="L16" s="1"/>
    </row>
    <row r="17" spans="2:12" ht="15.75" hidden="1">
      <c r="B17" s="4"/>
      <c r="C17" s="4"/>
      <c r="D17" s="6"/>
      <c r="E17" s="6"/>
      <c r="F17" s="6"/>
      <c r="G17" s="6"/>
      <c r="H17" s="6"/>
      <c r="I17" s="6"/>
      <c r="J17" s="6"/>
      <c r="K17" s="39"/>
      <c r="L17" s="1"/>
    </row>
    <row r="18" spans="2:12" ht="18.75">
      <c r="B18" s="120"/>
      <c r="C18" s="121"/>
      <c r="E18" s="6"/>
      <c r="F18" s="6"/>
      <c r="G18" s="6"/>
      <c r="H18" s="6"/>
      <c r="I18" s="6"/>
      <c r="J18" s="6"/>
      <c r="K18" s="121"/>
      <c r="L18" s="1"/>
    </row>
    <row r="19" spans="2:12" ht="48" customHeight="1">
      <c r="B19" s="649" t="s">
        <v>149</v>
      </c>
      <c r="C19" s="649"/>
      <c r="D19" s="227"/>
      <c r="E19" s="8"/>
      <c r="F19" s="8"/>
      <c r="G19" s="9"/>
      <c r="H19" s="9"/>
      <c r="I19" s="9"/>
      <c r="J19" s="45"/>
      <c r="K19" s="162" t="s">
        <v>578</v>
      </c>
      <c r="L19" s="45"/>
    </row>
    <row r="20" spans="2:12" ht="9.75" customHeight="1">
      <c r="B20" s="116"/>
      <c r="C20" s="116"/>
      <c r="D20" s="11"/>
      <c r="E20" s="8"/>
      <c r="F20" s="8"/>
      <c r="J20" s="45"/>
      <c r="K20" s="134"/>
      <c r="L20" s="45"/>
    </row>
    <row r="21" spans="2:12" ht="12.75" customHeight="1">
      <c r="B21" s="116"/>
      <c r="C21" s="116"/>
      <c r="D21" s="11"/>
      <c r="E21" s="8"/>
      <c r="F21" s="8"/>
      <c r="J21" s="45"/>
      <c r="K21" s="134"/>
      <c r="L21" s="45"/>
    </row>
    <row r="22" spans="2:11" ht="18.75">
      <c r="B22" s="590" t="s">
        <v>582</v>
      </c>
      <c r="C22" s="590"/>
      <c r="D22" s="46"/>
      <c r="E22" s="7"/>
      <c r="F22" s="7"/>
      <c r="G22" s="7"/>
      <c r="H22" s="7"/>
      <c r="I22" s="7"/>
      <c r="J22" s="1"/>
      <c r="K22" s="1"/>
    </row>
    <row r="23" spans="2:13" ht="15.75">
      <c r="B23" s="47"/>
      <c r="C23" s="47"/>
      <c r="D23" s="7"/>
      <c r="E23" s="7"/>
      <c r="F23" s="7"/>
      <c r="G23" s="7"/>
      <c r="H23" s="7"/>
      <c r="I23" s="7"/>
      <c r="J23" s="1"/>
      <c r="K23" s="1"/>
      <c r="M23" s="3"/>
    </row>
    <row r="24" spans="2:11" ht="15.75">
      <c r="B24" s="40"/>
      <c r="C24" s="10"/>
      <c r="D24" s="41"/>
      <c r="E24" s="7"/>
      <c r="F24" s="7"/>
      <c r="G24" s="7"/>
      <c r="H24" s="7"/>
      <c r="I24" s="7"/>
      <c r="J24" s="1"/>
      <c r="K24" s="1"/>
    </row>
    <row r="25" spans="3:10" ht="15.75">
      <c r="C25" s="41"/>
      <c r="D25" s="7"/>
      <c r="E25" s="7"/>
      <c r="F25" s="7"/>
      <c r="G25" s="7"/>
      <c r="H25" s="7"/>
      <c r="I25" s="7"/>
      <c r="J25" s="7"/>
    </row>
    <row r="26" spans="3:10" ht="15.75">
      <c r="C26" s="42"/>
      <c r="D26" s="7"/>
      <c r="E26" s="7"/>
      <c r="F26" s="7"/>
      <c r="G26" s="7"/>
      <c r="H26" s="7"/>
      <c r="I26" s="7"/>
      <c r="J26" s="7"/>
    </row>
    <row r="28" ht="12.75">
      <c r="H28" s="5"/>
    </row>
  </sheetData>
  <sheetProtection/>
  <mergeCells count="19">
    <mergeCell ref="J8:K8"/>
    <mergeCell ref="A11:A13"/>
    <mergeCell ref="B11:B13"/>
    <mergeCell ref="E11:J11"/>
    <mergeCell ref="J12:J13"/>
    <mergeCell ref="B9:K9"/>
    <mergeCell ref="D10:H10"/>
    <mergeCell ref="I12:I13"/>
    <mergeCell ref="C11:C13"/>
    <mergeCell ref="J6:O6"/>
    <mergeCell ref="B19:C19"/>
    <mergeCell ref="B22:C22"/>
    <mergeCell ref="K11:K13"/>
    <mergeCell ref="E12:E13"/>
    <mergeCell ref="F12:F13"/>
    <mergeCell ref="G12:G13"/>
    <mergeCell ref="H12:H13"/>
    <mergeCell ref="D11:D13"/>
    <mergeCell ref="J7:O7"/>
  </mergeCells>
  <printOptions horizontalCentered="1"/>
  <pageMargins left="0" right="0" top="1.1811023622047245" bottom="0" header="0" footer="0"/>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F16" sqref="F16"/>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451</v>
      </c>
      <c r="J1" s="1" t="s">
        <v>391</v>
      </c>
      <c r="K1" s="271"/>
    </row>
    <row r="2" spans="2:15" ht="15.75">
      <c r="B2" s="15"/>
      <c r="C2" s="15"/>
      <c r="D2" s="15"/>
      <c r="E2" s="15"/>
      <c r="F2" s="15"/>
      <c r="G2" s="15"/>
      <c r="H2" s="15"/>
      <c r="I2" s="12" t="s">
        <v>444</v>
      </c>
      <c r="J2" s="12" t="s">
        <v>444</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20" t="s">
        <v>431</v>
      </c>
      <c r="K6" s="620"/>
      <c r="L6" s="620"/>
      <c r="M6" s="620"/>
      <c r="N6" s="620"/>
      <c r="O6" s="620"/>
    </row>
    <row r="7" spans="2:15" ht="18.75" customHeight="1">
      <c r="B7" s="15"/>
      <c r="C7" s="15"/>
      <c r="D7" s="15"/>
      <c r="E7" s="15"/>
      <c r="F7" s="15"/>
      <c r="G7" s="15"/>
      <c r="H7" s="15"/>
      <c r="I7" s="12"/>
      <c r="J7" s="620" t="s">
        <v>597</v>
      </c>
      <c r="K7" s="620"/>
      <c r="L7" s="620"/>
      <c r="M7" s="620"/>
      <c r="N7" s="620"/>
      <c r="O7" s="620"/>
    </row>
    <row r="8" spans="2:15" ht="15.75" customHeight="1">
      <c r="B8" s="15"/>
      <c r="C8" s="15"/>
      <c r="D8" s="15"/>
      <c r="E8" s="15"/>
      <c r="F8" s="15"/>
      <c r="G8" s="15"/>
      <c r="H8" s="16"/>
      <c r="I8" s="12" t="s">
        <v>454</v>
      </c>
      <c r="J8" s="620" t="s">
        <v>609</v>
      </c>
      <c r="K8" s="620"/>
      <c r="L8" s="395"/>
      <c r="M8" s="395"/>
      <c r="N8" s="395"/>
      <c r="O8" s="395"/>
    </row>
    <row r="9" spans="2:15" ht="15.75">
      <c r="B9" s="15"/>
      <c r="C9" s="15"/>
      <c r="D9" s="15"/>
      <c r="E9" s="15"/>
      <c r="F9" s="15"/>
      <c r="G9" s="15"/>
      <c r="H9" s="15"/>
      <c r="I9" s="15"/>
      <c r="J9" s="620"/>
      <c r="K9" s="620"/>
      <c r="L9" s="395"/>
      <c r="M9" s="395"/>
      <c r="N9" s="395"/>
      <c r="O9" s="395"/>
    </row>
    <row r="10" spans="2:11" ht="42" customHeight="1">
      <c r="B10" s="621" t="s">
        <v>384</v>
      </c>
      <c r="C10" s="621"/>
      <c r="D10" s="621"/>
      <c r="E10" s="621"/>
      <c r="F10" s="621"/>
      <c r="G10" s="621"/>
      <c r="H10" s="621"/>
      <c r="I10" s="621"/>
      <c r="J10" s="621"/>
      <c r="K10" s="621"/>
    </row>
    <row r="11" spans="2:11" ht="37.5" customHeight="1">
      <c r="B11" s="15"/>
      <c r="C11" s="15"/>
      <c r="D11" s="626"/>
      <c r="E11" s="626"/>
      <c r="F11" s="626"/>
      <c r="G11" s="626"/>
      <c r="H11" s="626"/>
      <c r="I11" s="15"/>
      <c r="J11" s="15"/>
      <c r="K11" s="250" t="s">
        <v>113</v>
      </c>
    </row>
    <row r="12" spans="1:11" ht="15.75" customHeight="1">
      <c r="A12" s="622" t="s">
        <v>440</v>
      </c>
      <c r="B12" s="622" t="s">
        <v>445</v>
      </c>
      <c r="C12" s="622" t="s">
        <v>446</v>
      </c>
      <c r="D12" s="622" t="s">
        <v>106</v>
      </c>
      <c r="E12" s="627" t="s">
        <v>442</v>
      </c>
      <c r="F12" s="627"/>
      <c r="G12" s="627"/>
      <c r="H12" s="627"/>
      <c r="I12" s="627"/>
      <c r="J12" s="657"/>
      <c r="K12" s="625" t="s">
        <v>448</v>
      </c>
    </row>
    <row r="13" spans="1:11" ht="12.75">
      <c r="A13" s="623"/>
      <c r="B13" s="623"/>
      <c r="C13" s="623"/>
      <c r="D13" s="623"/>
      <c r="E13" s="622">
        <v>2022</v>
      </c>
      <c r="F13" s="622">
        <v>2023</v>
      </c>
      <c r="G13" s="622" t="s">
        <v>457</v>
      </c>
      <c r="H13" s="622" t="s">
        <v>458</v>
      </c>
      <c r="I13" s="622" t="s">
        <v>459</v>
      </c>
      <c r="J13" s="625">
        <v>2024</v>
      </c>
      <c r="K13" s="625"/>
    </row>
    <row r="14" spans="1:11" ht="21.75" customHeight="1">
      <c r="A14" s="624"/>
      <c r="B14" s="624"/>
      <c r="C14" s="624"/>
      <c r="D14" s="624"/>
      <c r="E14" s="624"/>
      <c r="F14" s="624"/>
      <c r="G14" s="624"/>
      <c r="H14" s="624"/>
      <c r="I14" s="624"/>
      <c r="J14" s="625"/>
      <c r="K14" s="625"/>
    </row>
    <row r="15" spans="1:12" ht="60" customHeight="1">
      <c r="A15" s="35">
        <v>1</v>
      </c>
      <c r="B15" s="56" t="s">
        <v>354</v>
      </c>
      <c r="C15" s="164" t="s">
        <v>191</v>
      </c>
      <c r="D15" s="90">
        <f>SUM(E15:J15)</f>
        <v>40977.1</v>
      </c>
      <c r="E15" s="91">
        <f>21112.4-6000-8012.4</f>
        <v>7100.000000000002</v>
      </c>
      <c r="F15" s="92">
        <f>22379.1-6000</f>
        <v>16379.099999999999</v>
      </c>
      <c r="G15" s="91"/>
      <c r="H15" s="91"/>
      <c r="I15" s="91"/>
      <c r="J15" s="396">
        <f>23498-6000</f>
        <v>17498</v>
      </c>
      <c r="K15" s="159" t="s">
        <v>40</v>
      </c>
      <c r="L15" s="14" t="s">
        <v>333</v>
      </c>
    </row>
    <row r="16" spans="1:11" ht="27.75" customHeight="1">
      <c r="A16" s="64"/>
      <c r="B16" s="55" t="s">
        <v>439</v>
      </c>
      <c r="C16" s="65"/>
      <c r="D16" s="90">
        <f>E16+F16+J16</f>
        <v>40977.1</v>
      </c>
      <c r="E16" s="90">
        <f aca="true" t="shared" si="0" ref="E16:J16">E15</f>
        <v>7100.000000000002</v>
      </c>
      <c r="F16" s="90">
        <f t="shared" si="0"/>
        <v>16379.099999999999</v>
      </c>
      <c r="G16" s="90">
        <f t="shared" si="0"/>
        <v>0</v>
      </c>
      <c r="H16" s="90">
        <f t="shared" si="0"/>
        <v>0</v>
      </c>
      <c r="I16" s="90">
        <f t="shared" si="0"/>
        <v>0</v>
      </c>
      <c r="J16" s="90">
        <f t="shared" si="0"/>
        <v>17498</v>
      </c>
      <c r="K16" s="66"/>
    </row>
    <row r="17" spans="1:11" ht="17.25" customHeight="1">
      <c r="A17" s="36"/>
      <c r="B17" s="18"/>
      <c r="C17" s="18"/>
      <c r="D17" s="37"/>
      <c r="E17" s="37"/>
      <c r="F17" s="37"/>
      <c r="G17" s="37"/>
      <c r="H17" s="37"/>
      <c r="I17" s="37"/>
      <c r="J17" s="37"/>
      <c r="K17" s="20"/>
    </row>
    <row r="18" spans="1:11" ht="53.25" customHeight="1">
      <c r="A18" s="36"/>
      <c r="C18" s="18"/>
      <c r="D18" s="19"/>
      <c r="E18" s="19"/>
      <c r="F18" s="19"/>
      <c r="G18" s="19"/>
      <c r="H18" s="19"/>
      <c r="I18" s="19"/>
      <c r="J18" s="19"/>
      <c r="K18" s="20"/>
    </row>
    <row r="19" spans="2:11" s="327" customFormat="1" ht="36.75" customHeight="1">
      <c r="B19" s="321" t="s">
        <v>450</v>
      </c>
      <c r="C19" s="321"/>
      <c r="D19" s="321"/>
      <c r="E19" s="322"/>
      <c r="F19" s="322"/>
      <c r="J19" s="329"/>
      <c r="K19" s="162" t="s">
        <v>578</v>
      </c>
    </row>
    <row r="20" spans="2:11" ht="15" customHeight="1">
      <c r="B20" s="21"/>
      <c r="C20" s="21"/>
      <c r="D20" s="21"/>
      <c r="E20" s="22"/>
      <c r="F20" s="22"/>
      <c r="J20" s="23"/>
      <c r="K20" s="24"/>
    </row>
    <row r="21" spans="2:11" ht="18.75">
      <c r="B21" s="590" t="s">
        <v>582</v>
      </c>
      <c r="C21" s="590"/>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9">
    <mergeCell ref="B21:C21"/>
    <mergeCell ref="F13:F14"/>
    <mergeCell ref="G13:G14"/>
    <mergeCell ref="D11:H11"/>
    <mergeCell ref="A12:A14"/>
    <mergeCell ref="B12:B14"/>
    <mergeCell ref="C12:C14"/>
    <mergeCell ref="D12:D14"/>
    <mergeCell ref="E12:J12"/>
    <mergeCell ref="J6:O6"/>
    <mergeCell ref="J7:O7"/>
    <mergeCell ref="J8:K8"/>
    <mergeCell ref="J9:K9"/>
    <mergeCell ref="H13:H14"/>
    <mergeCell ref="I13:I14"/>
    <mergeCell ref="J13:J14"/>
    <mergeCell ref="B10:K10"/>
    <mergeCell ref="K12:K14"/>
    <mergeCell ref="E13:E14"/>
  </mergeCells>
  <printOptions horizontalCentered="1"/>
  <pageMargins left="0" right="0" top="1.1811023622047245" bottom="0" header="0" footer="0"/>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J8" sqref="J8:K8"/>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451</v>
      </c>
      <c r="J1" s="1" t="s">
        <v>571</v>
      </c>
      <c r="K1" s="271"/>
    </row>
    <row r="2" spans="2:15" ht="15.75">
      <c r="B2" s="15"/>
      <c r="C2" s="15"/>
      <c r="D2" s="15"/>
      <c r="E2" s="15"/>
      <c r="F2" s="15"/>
      <c r="G2" s="15"/>
      <c r="H2" s="15"/>
      <c r="I2" s="12" t="s">
        <v>444</v>
      </c>
      <c r="J2" s="12" t="s">
        <v>583</v>
      </c>
      <c r="K2" s="12"/>
      <c r="L2" s="15"/>
      <c r="M2" s="12"/>
      <c r="N2" s="12"/>
      <c r="O2" s="12"/>
    </row>
    <row r="3" spans="2:15" ht="15.75">
      <c r="B3" s="15"/>
      <c r="C3" s="15"/>
      <c r="D3" s="15"/>
      <c r="E3" s="15"/>
      <c r="F3" s="15"/>
      <c r="G3" s="15"/>
      <c r="H3" s="15"/>
      <c r="I3" s="12"/>
      <c r="J3" s="12" t="s">
        <v>594</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20" t="s">
        <v>431</v>
      </c>
      <c r="K6" s="620"/>
      <c r="L6" s="620"/>
      <c r="M6" s="620"/>
      <c r="N6" s="620"/>
      <c r="O6" s="620"/>
    </row>
    <row r="7" spans="2:15" ht="15.75" customHeight="1">
      <c r="B7" s="15"/>
      <c r="C7" s="15"/>
      <c r="D7" s="15"/>
      <c r="E7" s="15"/>
      <c r="F7" s="15"/>
      <c r="G7" s="15"/>
      <c r="H7" s="16"/>
      <c r="I7" s="12" t="s">
        <v>454</v>
      </c>
      <c r="J7" s="620" t="s">
        <v>597</v>
      </c>
      <c r="K7" s="620"/>
      <c r="L7" s="620"/>
      <c r="M7" s="620"/>
      <c r="N7" s="620"/>
      <c r="O7" s="620"/>
    </row>
    <row r="8" spans="2:15" ht="15.75" customHeight="1">
      <c r="B8" s="15"/>
      <c r="C8" s="15"/>
      <c r="D8" s="15"/>
      <c r="E8" s="15"/>
      <c r="F8" s="15"/>
      <c r="G8" s="15"/>
      <c r="H8" s="15"/>
      <c r="I8" s="15"/>
      <c r="J8" s="620" t="s">
        <v>609</v>
      </c>
      <c r="K8" s="620"/>
      <c r="L8" s="395"/>
      <c r="M8" s="395"/>
      <c r="N8" s="395"/>
      <c r="O8" s="395"/>
    </row>
    <row r="9" spans="2:15" ht="15.75">
      <c r="B9" s="15"/>
      <c r="C9" s="15"/>
      <c r="D9" s="15"/>
      <c r="E9" s="15"/>
      <c r="F9" s="15"/>
      <c r="G9" s="15"/>
      <c r="H9" s="15"/>
      <c r="I9" s="15"/>
      <c r="J9" s="395"/>
      <c r="K9" s="395"/>
      <c r="L9" s="395"/>
      <c r="M9" s="395"/>
      <c r="N9" s="395"/>
      <c r="O9" s="395"/>
    </row>
    <row r="10" spans="2:11" ht="18.75">
      <c r="B10" s="621" t="s">
        <v>385</v>
      </c>
      <c r="C10" s="621"/>
      <c r="D10" s="621"/>
      <c r="E10" s="621"/>
      <c r="F10" s="621"/>
      <c r="G10" s="621"/>
      <c r="H10" s="621"/>
      <c r="I10" s="621"/>
      <c r="J10" s="621"/>
      <c r="K10" s="621"/>
    </row>
    <row r="11" spans="2:11" ht="18.75">
      <c r="B11" s="15"/>
      <c r="C11" s="15"/>
      <c r="D11" s="626"/>
      <c r="E11" s="626"/>
      <c r="F11" s="626"/>
      <c r="G11" s="626"/>
      <c r="H11" s="626"/>
      <c r="I11" s="15"/>
      <c r="J11" s="15"/>
      <c r="K11" s="250" t="s">
        <v>113</v>
      </c>
    </row>
    <row r="12" spans="1:11" ht="18.75">
      <c r="A12" s="667" t="s">
        <v>440</v>
      </c>
      <c r="B12" s="622" t="s">
        <v>445</v>
      </c>
      <c r="C12" s="622" t="s">
        <v>446</v>
      </c>
      <c r="D12" s="622" t="s">
        <v>115</v>
      </c>
      <c r="E12" s="627" t="s">
        <v>442</v>
      </c>
      <c r="F12" s="627"/>
      <c r="G12" s="627"/>
      <c r="H12" s="627"/>
      <c r="I12" s="627"/>
      <c r="J12" s="657"/>
      <c r="K12" s="625" t="s">
        <v>448</v>
      </c>
    </row>
    <row r="13" spans="1:11" ht="17.25" customHeight="1">
      <c r="A13" s="668"/>
      <c r="B13" s="623"/>
      <c r="C13" s="623"/>
      <c r="D13" s="623"/>
      <c r="E13" s="622">
        <v>2022</v>
      </c>
      <c r="F13" s="622">
        <v>2023</v>
      </c>
      <c r="G13" s="622" t="s">
        <v>457</v>
      </c>
      <c r="H13" s="622" t="s">
        <v>458</v>
      </c>
      <c r="I13" s="622" t="s">
        <v>459</v>
      </c>
      <c r="J13" s="625">
        <v>2024</v>
      </c>
      <c r="K13" s="625"/>
    </row>
    <row r="14" spans="1:11" ht="27" customHeight="1">
      <c r="A14" s="669"/>
      <c r="B14" s="624"/>
      <c r="C14" s="624"/>
      <c r="D14" s="624"/>
      <c r="E14" s="624"/>
      <c r="F14" s="624"/>
      <c r="G14" s="624"/>
      <c r="H14" s="624"/>
      <c r="I14" s="624"/>
      <c r="J14" s="625"/>
      <c r="K14" s="625"/>
    </row>
    <row r="15" spans="1:11" ht="56.25">
      <c r="A15" s="513">
        <v>1</v>
      </c>
      <c r="B15" s="56" t="s">
        <v>239</v>
      </c>
      <c r="C15" s="61" t="s">
        <v>191</v>
      </c>
      <c r="D15" s="91">
        <f>SUM(E15:J15)</f>
        <v>33164.899999999994</v>
      </c>
      <c r="E15" s="91">
        <f>14335.4-14321.3+2000</f>
        <v>2014.1000000000004</v>
      </c>
      <c r="F15" s="91">
        <v>15195.5</v>
      </c>
      <c r="G15" s="91"/>
      <c r="H15" s="91"/>
      <c r="I15" s="91"/>
      <c r="J15" s="91">
        <v>15955.3</v>
      </c>
      <c r="K15" s="267" t="s">
        <v>40</v>
      </c>
    </row>
    <row r="16" spans="1:11" ht="52.5" customHeight="1">
      <c r="A16" s="269" t="s">
        <v>169</v>
      </c>
      <c r="B16" s="268" t="s">
        <v>240</v>
      </c>
      <c r="C16" s="61" t="s">
        <v>191</v>
      </c>
      <c r="D16" s="166">
        <f>E16+F16+J16</f>
        <v>11639</v>
      </c>
      <c r="E16" s="166">
        <f>5335-5289.1</f>
        <v>45.899999999999636</v>
      </c>
      <c r="F16" s="166">
        <v>5655.1</v>
      </c>
      <c r="G16" s="166"/>
      <c r="H16" s="166"/>
      <c r="I16" s="166"/>
      <c r="J16" s="166">
        <v>5938</v>
      </c>
      <c r="K16" s="267" t="s">
        <v>40</v>
      </c>
    </row>
    <row r="17" spans="1:11" ht="75" hidden="1">
      <c r="A17" s="217" t="s">
        <v>45</v>
      </c>
      <c r="B17" s="194" t="s">
        <v>51</v>
      </c>
      <c r="C17" s="61" t="s">
        <v>470</v>
      </c>
      <c r="D17" s="398">
        <f aca="true" t="shared" si="0" ref="D17:D29">E17+F17+J17</f>
        <v>160</v>
      </c>
      <c r="E17" s="396">
        <f>160</f>
        <v>160</v>
      </c>
      <c r="F17" s="396">
        <v>0</v>
      </c>
      <c r="G17" s="396"/>
      <c r="H17" s="396"/>
      <c r="I17" s="396"/>
      <c r="J17" s="396">
        <v>0</v>
      </c>
      <c r="K17" s="193" t="s">
        <v>464</v>
      </c>
    </row>
    <row r="18" spans="1:11" ht="51.75" customHeight="1" hidden="1">
      <c r="A18" s="658" t="s">
        <v>46</v>
      </c>
      <c r="B18" s="665" t="s">
        <v>52</v>
      </c>
      <c r="C18" s="61" t="s">
        <v>470</v>
      </c>
      <c r="D18" s="398">
        <f t="shared" si="0"/>
        <v>548</v>
      </c>
      <c r="E18" s="396">
        <v>548</v>
      </c>
      <c r="F18" s="396">
        <v>0</v>
      </c>
      <c r="G18" s="396"/>
      <c r="H18" s="396"/>
      <c r="I18" s="396"/>
      <c r="J18" s="396">
        <v>0</v>
      </c>
      <c r="K18" s="612" t="s">
        <v>464</v>
      </c>
    </row>
    <row r="19" spans="1:11" ht="24" customHeight="1" hidden="1">
      <c r="A19" s="659"/>
      <c r="B19" s="666"/>
      <c r="C19" s="61" t="s">
        <v>449</v>
      </c>
      <c r="D19" s="398">
        <f t="shared" si="0"/>
        <v>16.5</v>
      </c>
      <c r="E19" s="396">
        <v>16.5</v>
      </c>
      <c r="F19" s="396">
        <v>0</v>
      </c>
      <c r="G19" s="396"/>
      <c r="H19" s="396"/>
      <c r="I19" s="396"/>
      <c r="J19" s="396">
        <v>0</v>
      </c>
      <c r="K19" s="614"/>
    </row>
    <row r="20" spans="1:11" ht="34.5" customHeight="1" hidden="1">
      <c r="A20" s="658" t="s">
        <v>47</v>
      </c>
      <c r="B20" s="663" t="s">
        <v>54</v>
      </c>
      <c r="C20" s="61" t="s">
        <v>470</v>
      </c>
      <c r="D20" s="398">
        <f t="shared" si="0"/>
        <v>389.2</v>
      </c>
      <c r="E20" s="396">
        <v>344</v>
      </c>
      <c r="F20" s="396">
        <v>45.2</v>
      </c>
      <c r="G20" s="396"/>
      <c r="H20" s="396"/>
      <c r="I20" s="396"/>
      <c r="J20" s="396">
        <v>0</v>
      </c>
      <c r="K20" s="612" t="s">
        <v>464</v>
      </c>
    </row>
    <row r="21" spans="1:11" ht="20.25" customHeight="1" hidden="1">
      <c r="A21" s="659"/>
      <c r="B21" s="664"/>
      <c r="C21" s="61" t="s">
        <v>449</v>
      </c>
      <c r="D21" s="398">
        <f t="shared" si="0"/>
        <v>233.9</v>
      </c>
      <c r="E21" s="396">
        <v>210.3</v>
      </c>
      <c r="F21" s="396">
        <v>23.6</v>
      </c>
      <c r="G21" s="396"/>
      <c r="H21" s="396"/>
      <c r="I21" s="396"/>
      <c r="J21" s="396">
        <v>0</v>
      </c>
      <c r="K21" s="614"/>
    </row>
    <row r="22" spans="1:11" ht="47.25" customHeight="1" hidden="1">
      <c r="A22" s="658" t="s">
        <v>48</v>
      </c>
      <c r="B22" s="663" t="s">
        <v>53</v>
      </c>
      <c r="C22" s="61" t="s">
        <v>470</v>
      </c>
      <c r="D22" s="398">
        <f t="shared" si="0"/>
        <v>1251.1</v>
      </c>
      <c r="E22" s="396">
        <v>630</v>
      </c>
      <c r="F22" s="396">
        <v>621.1</v>
      </c>
      <c r="G22" s="396"/>
      <c r="H22" s="396"/>
      <c r="I22" s="396"/>
      <c r="J22" s="396">
        <v>0</v>
      </c>
      <c r="K22" s="612" t="s">
        <v>464</v>
      </c>
    </row>
    <row r="23" spans="1:11" ht="24.75" customHeight="1" hidden="1">
      <c r="A23" s="659"/>
      <c r="B23" s="664"/>
      <c r="C23" s="61" t="s">
        <v>449</v>
      </c>
      <c r="D23" s="398">
        <f t="shared" si="0"/>
        <v>37.5</v>
      </c>
      <c r="E23" s="396">
        <v>18.9</v>
      </c>
      <c r="F23" s="396">
        <v>18.6</v>
      </c>
      <c r="G23" s="396"/>
      <c r="H23" s="396"/>
      <c r="I23" s="396"/>
      <c r="J23" s="396">
        <v>0</v>
      </c>
      <c r="K23" s="614"/>
    </row>
    <row r="24" spans="1:11" ht="44.25" customHeight="1" hidden="1">
      <c r="A24" s="658" t="s">
        <v>49</v>
      </c>
      <c r="B24" s="663" t="s">
        <v>87</v>
      </c>
      <c r="C24" s="61" t="s">
        <v>470</v>
      </c>
      <c r="D24" s="398">
        <f>E24+F24+J24</f>
        <v>23614.899999999998</v>
      </c>
      <c r="E24" s="396">
        <f>0+8354</f>
        <v>8354</v>
      </c>
      <c r="F24" s="396">
        <f>4673+4663.3+4487+990+295</f>
        <v>15108.3</v>
      </c>
      <c r="G24" s="396"/>
      <c r="H24" s="396"/>
      <c r="I24" s="396"/>
      <c r="J24" s="396">
        <v>152.6</v>
      </c>
      <c r="K24" s="612" t="s">
        <v>464</v>
      </c>
    </row>
    <row r="25" spans="1:11" ht="33" customHeight="1" hidden="1">
      <c r="A25" s="659"/>
      <c r="B25" s="664"/>
      <c r="C25" s="61" t="s">
        <v>449</v>
      </c>
      <c r="D25" s="398">
        <f t="shared" si="0"/>
        <v>826.4</v>
      </c>
      <c r="E25" s="396">
        <f>0+675.6</f>
        <v>675.6</v>
      </c>
      <c r="F25" s="396">
        <v>150</v>
      </c>
      <c r="G25" s="396"/>
      <c r="H25" s="396"/>
      <c r="I25" s="396"/>
      <c r="J25" s="396">
        <v>0.8</v>
      </c>
      <c r="K25" s="614"/>
    </row>
    <row r="26" spans="1:11" ht="31.5" customHeight="1" hidden="1">
      <c r="A26" s="658">
        <v>2</v>
      </c>
      <c r="B26" s="612" t="s">
        <v>42</v>
      </c>
      <c r="C26" s="61" t="s">
        <v>449</v>
      </c>
      <c r="D26" s="398">
        <f t="shared" si="0"/>
        <v>29000</v>
      </c>
      <c r="E26" s="396">
        <v>15000</v>
      </c>
      <c r="F26" s="396">
        <v>14000</v>
      </c>
      <c r="G26" s="396"/>
      <c r="H26" s="396"/>
      <c r="I26" s="396"/>
      <c r="J26" s="396"/>
      <c r="K26" s="612" t="s">
        <v>464</v>
      </c>
    </row>
    <row r="27" spans="1:11" ht="18.75" hidden="1">
      <c r="A27" s="659"/>
      <c r="B27" s="614"/>
      <c r="C27" s="61" t="s">
        <v>155</v>
      </c>
      <c r="D27" s="398">
        <f t="shared" si="0"/>
        <v>13000</v>
      </c>
      <c r="E27" s="396"/>
      <c r="F27" s="396"/>
      <c r="G27" s="396"/>
      <c r="H27" s="396"/>
      <c r="I27" s="396"/>
      <c r="J27" s="396">
        <v>13000</v>
      </c>
      <c r="K27" s="614"/>
    </row>
    <row r="28" spans="1:11" ht="24.75" customHeight="1" hidden="1">
      <c r="A28" s="658">
        <v>3</v>
      </c>
      <c r="B28" s="660" t="s">
        <v>189</v>
      </c>
      <c r="C28" s="61" t="s">
        <v>449</v>
      </c>
      <c r="D28" s="398">
        <f t="shared" si="0"/>
        <v>11000</v>
      </c>
      <c r="E28" s="396">
        <v>5000</v>
      </c>
      <c r="F28" s="396">
        <v>6000</v>
      </c>
      <c r="G28" s="396"/>
      <c r="H28" s="396"/>
      <c r="I28" s="396"/>
      <c r="J28" s="396"/>
      <c r="K28" s="612" t="s">
        <v>474</v>
      </c>
    </row>
    <row r="29" spans="1:11" ht="18.75" hidden="1">
      <c r="A29" s="659"/>
      <c r="B29" s="661"/>
      <c r="C29" s="61" t="s">
        <v>155</v>
      </c>
      <c r="D29" s="398">
        <f t="shared" si="0"/>
        <v>7000</v>
      </c>
      <c r="E29" s="396"/>
      <c r="F29" s="396"/>
      <c r="G29" s="396"/>
      <c r="H29" s="396"/>
      <c r="I29" s="396"/>
      <c r="J29" s="396">
        <v>7000</v>
      </c>
      <c r="K29" s="614"/>
    </row>
    <row r="30" spans="1:11" ht="5.25" customHeight="1" hidden="1">
      <c r="A30" s="270"/>
      <c r="B30" s="256"/>
      <c r="C30" s="61"/>
      <c r="D30" s="398"/>
      <c r="E30" s="396"/>
      <c r="F30" s="396"/>
      <c r="G30" s="396"/>
      <c r="H30" s="396"/>
      <c r="I30" s="396"/>
      <c r="J30" s="396"/>
      <c r="K30" s="167"/>
    </row>
    <row r="31" spans="1:11" ht="18.75">
      <c r="A31" s="69"/>
      <c r="B31" s="55" t="s">
        <v>439</v>
      </c>
      <c r="C31" s="55"/>
      <c r="D31" s="90">
        <f>D16+D15</f>
        <v>44803.899999999994</v>
      </c>
      <c r="E31" s="90">
        <f aca="true" t="shared" si="1" ref="E31:J31">E15+E16</f>
        <v>2060</v>
      </c>
      <c r="F31" s="90">
        <f t="shared" si="1"/>
        <v>20850.6</v>
      </c>
      <c r="G31" s="90">
        <f t="shared" si="1"/>
        <v>0</v>
      </c>
      <c r="H31" s="90">
        <f t="shared" si="1"/>
        <v>0</v>
      </c>
      <c r="I31" s="90">
        <f t="shared" si="1"/>
        <v>0</v>
      </c>
      <c r="J31" s="90">
        <f t="shared" si="1"/>
        <v>21893.3</v>
      </c>
      <c r="K31" s="167"/>
    </row>
    <row r="32" spans="1:11" ht="18.75">
      <c r="A32" s="80"/>
      <c r="B32" s="114"/>
      <c r="C32" s="18"/>
      <c r="D32" s="19"/>
      <c r="E32" s="19"/>
      <c r="F32" s="19"/>
      <c r="G32" s="19"/>
      <c r="H32" s="19"/>
      <c r="I32" s="19"/>
      <c r="J32" s="19"/>
      <c r="K32" s="83"/>
    </row>
    <row r="33" spans="1:11" ht="0.75" customHeight="1">
      <c r="A33" s="80"/>
      <c r="B33" s="18"/>
      <c r="C33" s="18"/>
      <c r="D33" s="19"/>
      <c r="E33" s="19"/>
      <c r="F33" s="19"/>
      <c r="G33" s="19"/>
      <c r="H33" s="19"/>
      <c r="I33" s="19"/>
      <c r="J33" s="19"/>
      <c r="K33" s="87"/>
    </row>
    <row r="34" spans="1:11" ht="3" customHeight="1">
      <c r="A34" s="80"/>
      <c r="B34" s="18"/>
      <c r="C34" s="18"/>
      <c r="D34" s="19"/>
      <c r="E34" s="19"/>
      <c r="F34" s="19"/>
      <c r="G34" s="19"/>
      <c r="H34" s="19"/>
      <c r="I34" s="19"/>
      <c r="J34" s="19"/>
      <c r="K34" s="87"/>
    </row>
    <row r="35" spans="2:11" ht="18.75">
      <c r="B35" s="48"/>
      <c r="C35" s="49"/>
      <c r="E35" s="19"/>
      <c r="F35" s="19"/>
      <c r="G35" s="19"/>
      <c r="H35" s="19"/>
      <c r="I35" s="19"/>
      <c r="J35" s="19"/>
      <c r="K35" s="15"/>
    </row>
    <row r="36" spans="2:10" ht="35.25" customHeight="1">
      <c r="B36" s="225" t="s">
        <v>450</v>
      </c>
      <c r="C36" s="225"/>
      <c r="D36" s="80"/>
      <c r="E36" s="225"/>
      <c r="F36" s="662" t="s">
        <v>578</v>
      </c>
      <c r="G36" s="662"/>
      <c r="H36" s="662"/>
      <c r="I36" s="662"/>
      <c r="J36" s="662"/>
    </row>
    <row r="37" spans="2:10" ht="18.75">
      <c r="B37" s="225"/>
      <c r="C37" s="225"/>
      <c r="D37" s="80"/>
      <c r="E37" s="225"/>
      <c r="F37" s="226"/>
      <c r="G37" s="226"/>
      <c r="H37" s="226"/>
      <c r="I37" s="226"/>
      <c r="J37" s="226"/>
    </row>
    <row r="38" spans="2:10" ht="18.75">
      <c r="B38" s="590" t="s">
        <v>582</v>
      </c>
      <c r="C38" s="590"/>
      <c r="D38" s="80"/>
      <c r="E38" s="85"/>
      <c r="F38" s="86"/>
      <c r="G38" s="86"/>
      <c r="H38" s="86"/>
      <c r="I38" s="86"/>
      <c r="J38" s="86"/>
    </row>
    <row r="39" spans="2:10" ht="15.75">
      <c r="B39" s="88"/>
      <c r="C39" s="80"/>
      <c r="D39" s="88"/>
      <c r="E39" s="86"/>
      <c r="F39" s="86"/>
      <c r="G39" s="86"/>
      <c r="H39" s="86"/>
      <c r="I39" s="86"/>
      <c r="J39" s="86"/>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7">
    <mergeCell ref="B38:C38"/>
    <mergeCell ref="J7:O7"/>
    <mergeCell ref="B10:K10"/>
    <mergeCell ref="D11:H11"/>
    <mergeCell ref="A12:A14"/>
    <mergeCell ref="B12:B14"/>
    <mergeCell ref="C12:C14"/>
    <mergeCell ref="D12:D14"/>
    <mergeCell ref="E12:J12"/>
    <mergeCell ref="K12:K14"/>
    <mergeCell ref="J8:K8"/>
    <mergeCell ref="A18:A19"/>
    <mergeCell ref="B18:B19"/>
    <mergeCell ref="K18:K19"/>
    <mergeCell ref="E13:E14"/>
    <mergeCell ref="F13:F14"/>
    <mergeCell ref="G13:G14"/>
    <mergeCell ref="H13:H14"/>
    <mergeCell ref="I13:I14"/>
    <mergeCell ref="J13:J14"/>
    <mergeCell ref="K26:K27"/>
    <mergeCell ref="A20:A21"/>
    <mergeCell ref="B20:B21"/>
    <mergeCell ref="K20:K21"/>
    <mergeCell ref="A22:A23"/>
    <mergeCell ref="B22:B23"/>
    <mergeCell ref="K22:K23"/>
    <mergeCell ref="J6:O6"/>
    <mergeCell ref="A28:A29"/>
    <mergeCell ref="B28:B29"/>
    <mergeCell ref="K28:K29"/>
    <mergeCell ref="F36:J36"/>
    <mergeCell ref="A24:A25"/>
    <mergeCell ref="B24:B25"/>
    <mergeCell ref="K24:K25"/>
    <mergeCell ref="A26:A27"/>
    <mergeCell ref="B26:B27"/>
  </mergeCells>
  <printOptions horizontalCentered="1"/>
  <pageMargins left="0" right="0" top="1.1811023622047245" bottom="0" header="0" footer="0"/>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Селешок Людмила Іванівна</cp:lastModifiedBy>
  <cp:lastPrinted>2023-10-11T11:38:10Z</cp:lastPrinted>
  <dcterms:created xsi:type="dcterms:W3CDTF">1996-10-08T23:32:33Z</dcterms:created>
  <dcterms:modified xsi:type="dcterms:W3CDTF">2023-10-13T07:05:19Z</dcterms:modified>
  <cp:category/>
  <cp:version/>
  <cp:contentType/>
  <cp:contentStatus/>
</cp:coreProperties>
</file>