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5450" windowHeight="11100" tabRatio="0" activeTab="1"/>
  </bookViews>
  <sheets>
    <sheet name="Диаграмма1" sheetId="1" r:id="rId1"/>
    <sheet name="Sheet1" sheetId="2" r:id="rId2"/>
  </sheets>
  <definedNames>
    <definedName name="_xlnm.Print_Area" localSheetId="1">'Sheet1'!$A$1:$Q$1006</definedName>
  </definedNames>
  <calcPr fullCalcOnLoad="1"/>
</workbook>
</file>

<file path=xl/sharedStrings.xml><?xml version="1.0" encoding="utf-8"?>
<sst xmlns="http://schemas.openxmlformats.org/spreadsheetml/2006/main" count="1016" uniqueCount="590">
  <si>
    <t xml:space="preserve">  Показник: кількість фонтанів, од.</t>
  </si>
  <si>
    <t xml:space="preserve"> Показник: видатки на забезпечення водопостачання фонтанів, грн</t>
  </si>
  <si>
    <t>Показник: середня вартість 1м3 води, грн.</t>
  </si>
  <si>
    <t>Показник: темп зростання середніх витрат на забезпечення водопостачання фонтанів порівняно з попереднім роком, %</t>
  </si>
  <si>
    <t>Показник: об'єм води, необхідний для забезпечення фонтанів, м3.</t>
  </si>
  <si>
    <t xml:space="preserve"> Показник: видатки на забезпечення утримання та поточного ремонту дитячих та спортивних майданчиків, грн</t>
  </si>
  <si>
    <t>Показник: кількість дитячих та спортивних майданчиків, що підлягають утриманню та поточному ремонту, од</t>
  </si>
  <si>
    <t>Показник: середня вартість утримання та поточного ремонту дитячого та спортивного майданчику, грн.</t>
  </si>
  <si>
    <t>Показник: темп зростання середніх витрат на забезпечення утримання та поточного ремонту дитячого та спортивного майданчиків порівняно з попереднім роком, %</t>
  </si>
  <si>
    <t xml:space="preserve"> Показник: видатки на забезпечення технічного обслуговування  камер відеоспостереження , грн</t>
  </si>
  <si>
    <t>Показник: середні витрати на один місяць технічного обслуговування камер відеоспостереження, грн.</t>
  </si>
  <si>
    <t>Показник: темп зростання середніх витрат на забезпечення одного місяця технічного обслуговування  камер відеоспостереження  порівняно з попереднім роком, %</t>
  </si>
  <si>
    <t xml:space="preserve"> Показник: видатки на забезпечення  функціонування громадських вбиралень , грн</t>
  </si>
  <si>
    <t>Показник: кількість туалетів, які планується утримувати</t>
  </si>
  <si>
    <t>Показник: темп зростання середніх витрат на функціонування громадських вбиралень  порівняно з попереднім роком, %</t>
  </si>
  <si>
    <t xml:space="preserve"> Показник: видатки на забезпечення  поточного ремонту малих архітектурних форм на території Сумської міської територіальної громади , грн</t>
  </si>
  <si>
    <t>Показник: кількість малих архітектурних форм, що потребують поточного ремонту, од.</t>
  </si>
  <si>
    <t>Показник: середні витрати на проведення поточного ремонту 1 малої архітектурної форми, грн.</t>
  </si>
  <si>
    <t xml:space="preserve"> Показник: видатки на створення електронної мапи благоустрою міста Суми , грн</t>
  </si>
  <si>
    <t>Показник: кількість електронних мап благоустрою міста Суми, од.</t>
  </si>
  <si>
    <t>Показник: середні витрати на створення електронної мапи благоустрою міста Суми, грн.</t>
  </si>
  <si>
    <t xml:space="preserve">  Завдання: 3.2. Забезпечення проведення поточного ремонту  малих архітектурних форм та споруд благоустрою у парках, скверах та зелених зонах </t>
  </si>
  <si>
    <t xml:space="preserve">  Завдання: 3.3. Забезпечення проведення утримання майданчику для складування відходів по вул. М. Лукаша</t>
  </si>
  <si>
    <t xml:space="preserve">  Завдання: 3.4. Забезпечення встановлення паркових лавочок в дитячому парку "Казка"</t>
  </si>
  <si>
    <t xml:space="preserve">  Завдання: 3.5. Забезпечення проведення капітального ремонту  парків, скверів тощо</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</si>
  <si>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</si>
  <si>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4.1. Забезпечення утримання кладовищ</t>
  </si>
  <si>
    <t xml:space="preserve"> Завдання: 4.2. Забезпечення поточного ремонту, утримання місць поховань та елементів благоустрою</t>
  </si>
  <si>
    <t xml:space="preserve"> Завдання: 4.3. Забезпечення діяльності спецслужби</t>
  </si>
  <si>
    <t xml:space="preserve"> Завдання: 4.4. Забезпечення поховання безрідних</t>
  </si>
  <si>
    <t xml:space="preserve"> Завдання: 4.5. Забезпечення сервісного обслуговування водогонів</t>
  </si>
  <si>
    <t xml:space="preserve">  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</si>
  <si>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</si>
  <si>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 xml:space="preserve">  Завдання: 5.3. Забезпечення придбання та встановлення урн </t>
  </si>
  <si>
    <t xml:space="preserve">  Завдання: 5.6. Проведення санітарних заходів у прибережних смугах річок Псел, Сумка, Стрілка, озера Чеха та ін. водних об’єктів </t>
  </si>
  <si>
    <t xml:space="preserve">  Завдання: 6. Поточний ремонт та утримання в належному стані об'єктів благоустрою </t>
  </si>
  <si>
    <t xml:space="preserve">  Завдання: 6.2. Спостереження, технічне обслуговування та поточний ремонт системи санкціонованого проїзду на перехресті провул. Терезова та вул. Воскресенської в м.Суми</t>
  </si>
  <si>
    <t xml:space="preserve">  Завдання: 6.5. Технічне обслуговування та поточний ремонт фонтанів</t>
  </si>
  <si>
    <t xml:space="preserve">  Завдання: 6.6. Забезпечення водопостачання фонтанів</t>
  </si>
  <si>
    <t xml:space="preserve">  Завдання: 6.7. Забезпечення утримання та поточного ремонту дитячих та спортивних майданчиків</t>
  </si>
  <si>
    <t>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</si>
  <si>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</si>
  <si>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 xml:space="preserve">  Завдання: 9.1.  Проведення капітального ремонту житлових будинків</t>
  </si>
  <si>
    <t xml:space="preserve">  Завдання: 9.2. Співфінансування капітального ремонту житлового фонду</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</si>
  <si>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</si>
  <si>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12. Регулювання діяльності у сфері розміщення зовнішньої реклами на території Сумської міської об'єднаної територіальної громади</t>
  </si>
  <si>
    <t xml:space="preserve">  Завдання: 12.1. Придбання та виготовлення рекламних матеріалів  соціального характеру, рекламних матеріалів до святкових та урочистих подій </t>
  </si>
  <si>
    <t xml:space="preserve">  Завдання: 12. 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</si>
  <si>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 xml:space="preserve">  Завдання: 12.3.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</si>
  <si>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 xml:space="preserve">  Завдання: 25. Повернення бюджетних позичок на поворотній основі</t>
  </si>
  <si>
    <t>Показник: сума видатків на поточний ремонт  проїздів, тротуарів, велосипедних доріжок, грн</t>
  </si>
  <si>
    <t xml:space="preserve">    Показник: площа проїздів, тротуарів, велосипедних доріжок, на якій планується провести поточний ремонт, кв.м</t>
  </si>
  <si>
    <t xml:space="preserve">    Показник: середня вартість поточного ремонту 1 кв. м проїздів, тротуарів, велосипедних доріжок, грн.</t>
  </si>
  <si>
    <t xml:space="preserve">    Показник: питома вага проїздів, тротуарів і велосипедних доріжок, що зазнала поточного ремонту до площі, що потребувала поточного ремонту</t>
  </si>
  <si>
    <t xml:space="preserve">    Показник: загальна площа пішохідних та велосипедних доріжок, що потребує капітального ремонту, кв. м</t>
  </si>
  <si>
    <t xml:space="preserve">    Показник: площа  пішохідних та велосипедних доріжок, на якій планується провести капітальний ремонт, кв.м</t>
  </si>
  <si>
    <t xml:space="preserve">    Показник: середня вартість капітального ремонту 1 кв. м  пішохідних та велосипедних доріжок, грн.</t>
  </si>
  <si>
    <t xml:space="preserve">    Показник: питома вага  пішохідних та велосипедних доріжок, що зазнала капітального ремонту до площі, що потребувала капітального ремонту, %</t>
  </si>
  <si>
    <t xml:space="preserve">    Показник: видатки на Оплата за спожиту електроенергію насосною станцією по вул.Тихорецька , грн</t>
  </si>
  <si>
    <t xml:space="preserve">    Показник: середні витрати на один кіловат спожитої електроенергії насосною станцією по вул.Тихорецька, грн.</t>
  </si>
  <si>
    <t xml:space="preserve">  Завдання: 6. 4. Поточний ремонт, утримання об'єктів та елементів благоустрою</t>
  </si>
  <si>
    <t xml:space="preserve">  Завдання: 6.8. Придбання та встановлення нових лавок</t>
  </si>
  <si>
    <t xml:space="preserve">  Завдання: 9.  Капітальний ремонт  житлового  фонду</t>
  </si>
  <si>
    <t xml:space="preserve"> Завдання: 11.2 Оплата податку на земельну ділянку за адресою: м.Суми, вул.Привокзальна, 4/13 (каналізаційно-насосна станція)</t>
  </si>
  <si>
    <t xml:space="preserve">  Завдання: 11.3. Забезпечення оплати за видачу сертифікату, який видається у разі прийняття в експлуатацію об'єкта</t>
  </si>
  <si>
    <t xml:space="preserve">  Завдання: 11.4. Забезпечення постачання природного газу монументу "Вічна Слава"</t>
  </si>
  <si>
    <t xml:space="preserve"> Завдання: 11.7. Встановлення інформаційних табло на зупинках громадського транспорту</t>
  </si>
  <si>
    <t>програми  реформування і розвитку житлово-</t>
  </si>
  <si>
    <t xml:space="preserve">Результативні показники виконання заходів Комплексної цільової програми  реформування і розвитку житлово-комунального господарства, на виконання яких виділяються кошти бюджету Сумської міської територіальної громади та інші надходження                                    </t>
  </si>
  <si>
    <t>затвердженої рішенням Сумської міської ради</t>
  </si>
  <si>
    <t xml:space="preserve">  Завдання: 6.1. Технічне обслуговування насосної станції по вул.Круговій та по вул.Тихорецька </t>
  </si>
  <si>
    <t xml:space="preserve">  Завдання: 6.3. Оплата за спожиту електроенергію насосною станцією по вул.Тихорецька та фонтан площа Театральна,3</t>
  </si>
  <si>
    <t>КПКВК 7462</t>
  </si>
  <si>
    <t xml:space="preserve"> Завдання: 14. Виконання заходів за рахунок цільових фондів </t>
  </si>
  <si>
    <t xml:space="preserve">  Завдання: 14.1. Садіння нових дерев і кущів за рахунок цільового фонду </t>
  </si>
  <si>
    <t xml:space="preserve">    Показник: площа вулично-дорожньої мережі, яка охоплена поточним ремонтом, кв.м</t>
  </si>
  <si>
    <t xml:space="preserve">    Показник: середня вартість поточного ремонту 1 кв. м вулично- дорожньої мережі, грн.</t>
  </si>
  <si>
    <t>Мета: Покращення стану автомобільних доріг</t>
  </si>
  <si>
    <t xml:space="preserve"> Завдання: 13. Проведення ремонту та утримання об'єктів транспортної інфраструктури </t>
  </si>
  <si>
    <t xml:space="preserve">  Завдання: 13.1. Забезпечення проведення поточного ремонту вулично-дорожньої мережі та штучних споруд за рахунок субвенції з державного бюджету</t>
  </si>
  <si>
    <t xml:space="preserve">  Завдання: 14.2. Кошти ОСББ/співвласників передбачені на співфінансування капітального ремонту житлового фонду</t>
  </si>
  <si>
    <t xml:space="preserve">  Завдання: 15. Забезпечення функціонування об'єктів житлово-комунального господарства</t>
  </si>
  <si>
    <t xml:space="preserve"> Завдання: 16.2 Фінансова підтримка КП «Міськводоканал» СМР (погашення заборгованості за судовим рішенням  перед ДПЗД "Укрінтеренерго")</t>
  </si>
  <si>
    <t xml:space="preserve"> Завдання: 16.3 Фінансова підтримка КП «Міськводоканал» СМР (погашення заборгованості за судовим рішенням перед ПАТ "Сумиобленерго")</t>
  </si>
  <si>
    <t xml:space="preserve">  Завдання: 16.4. Вимоги пожежної безпеки</t>
  </si>
  <si>
    <t>Завдання: 16.5. Фінансова підтримка КП «Міськводоканал» СМР (придбання водопровідних та каналізаційних люків)</t>
  </si>
  <si>
    <t>Завдання: 17. Впровадження енергозберігаючих заходів</t>
  </si>
  <si>
    <t xml:space="preserve">  Завдання: 18. Забезпечення зміцнення матеріально-технічної бази підприємств комунальної форми власності</t>
  </si>
  <si>
    <t xml:space="preserve">  Завдання: 19. Створення сприятливих умов проживання населення та забезпечення надання життєво необхідних послуг</t>
  </si>
  <si>
    <t xml:space="preserve">  Завдання: 20. Забезпечення надійного та безперебійного функціонування житлово-експлуатаційного господарства</t>
  </si>
  <si>
    <t xml:space="preserve">  Завдання: 21. Організація та проведення громадських робіт</t>
  </si>
  <si>
    <t xml:space="preserve">  Завдання: 22.Заходи з будівництва, реставрації  та реконструкції</t>
  </si>
  <si>
    <t xml:space="preserve">  Завдання: 23.Заходи з будівництва, реставрації  та реконструкції  інших об'єктів комунальної власності </t>
  </si>
  <si>
    <t xml:space="preserve">  Завдання: 24.Заходи з будівництва, реставрації  та реконструкції пам'яток архітектури</t>
  </si>
  <si>
    <t xml:space="preserve">  Завдання: 26. Повернення бюджетних позичок на поворотній основі</t>
  </si>
  <si>
    <t xml:space="preserve">  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</si>
  <si>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</si>
  <si>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Завдання: 6.11. Створення електронної мапи благоустрою міста Суми</t>
  </si>
  <si>
    <t xml:space="preserve"> Завдання: 4.7. Поточний ремонт стаціонарних туалетів на Ново-Центральному Баранівському кладовищі м.Суми</t>
  </si>
  <si>
    <t xml:space="preserve"> Завдання: 4.8. Капітальний ремонт об'єкту благоустрою - встановлення стаціонарних туалетів на кладовищах </t>
  </si>
  <si>
    <t>Завдання: 17.3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</si>
  <si>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Завдання: 17. 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</si>
  <si>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Завдання: 2. Забезпечення функціонування мереж зовнішнього освітлення, в тому числі в приватному секторі  </t>
  </si>
  <si>
    <t xml:space="preserve">  Завдання: 1. Забезпечення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</si>
  <si>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</si>
  <si>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 xml:space="preserve">  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t>
  </si>
  <si>
    <t xml:space="preserve">  Завдання: 3.1. Збереження та утримання на належному рівні зеленої зони та поліпшення його екологічних умов , в тому числі в приватному секторі</t>
  </si>
  <si>
    <t xml:space="preserve">  Завдання: 5. Забезпечення санітарної очистки території Сумської міської територіальної громади, в тому числі в приватному секторі</t>
  </si>
  <si>
    <t xml:space="preserve">  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</si>
  <si>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 xml:space="preserve">  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</si>
  <si>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 xml:space="preserve">  Завдання: 11. Інша діяльність у сфері житлово-комунального господарства, в тому числі в приватному секторі</t>
  </si>
  <si>
    <t xml:space="preserve"> Завдання: 11.5. Проведення санації шахтних колодязів, в тому числі в приватному секторі </t>
  </si>
  <si>
    <t xml:space="preserve"> Завдання: 11.6. Проведення поточного ремонту шахтних колодязів, в тому числі в приватному секторі</t>
  </si>
  <si>
    <t xml:space="preserve">  Завдання: 16. Забезпечення функціонування водопровідно-каналізаційного господарства, в тому числі в приватному секторі                                                                                   </t>
  </si>
  <si>
    <t xml:space="preserve">від                            № </t>
  </si>
  <si>
    <t>КПКВК 7363</t>
  </si>
  <si>
    <t xml:space="preserve">    Показник:кількість обєктів, од.</t>
  </si>
  <si>
    <t xml:space="preserve">    Показник: середня вартість, грн.</t>
  </si>
  <si>
    <t xml:space="preserve">    Мета: Субвенція з державного бюджету на капітальний ремонт обєктів благоустрою</t>
  </si>
  <si>
    <t xml:space="preserve">  Завдання: 27. 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</si>
  <si>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 xml:space="preserve">  Завдання: 27.1. Капітальний ремонт обєктів благоустрою</t>
  </si>
  <si>
    <t>2022</t>
  </si>
  <si>
    <t>2023</t>
  </si>
  <si>
    <t>2024</t>
  </si>
  <si>
    <t>на 2022-2024 роки</t>
  </si>
  <si>
    <t xml:space="preserve">    Показник: кількість місяців, що будуть виконуватись з проведенням оплачуваних громадських робіт, міс.</t>
  </si>
  <si>
    <t xml:space="preserve">  Завдання: 16.1 Забезпечення охорони  каналізаційно-насосної станції за адресою м.Суми вул.Привокзальна 4/13</t>
  </si>
  <si>
    <t>Завдання: 16.8. Поточний ремонт, утримання та технічне обслуговування водонапірних башт та свердловин</t>
  </si>
  <si>
    <t xml:space="preserve"> Завдання: 11.8. Проведення інформайійно-розяснювальної роботи серед населення щодо роздільного збору ТПВ</t>
  </si>
  <si>
    <t xml:space="preserve"> Завдання: 11.9. Поточний ремонт та виготовлення  інформаційних щитів для кладовищ</t>
  </si>
  <si>
    <t xml:space="preserve"> Завдання: 11.10. Надання послуг з розробки звіту з оцінки впливу на довкілля</t>
  </si>
  <si>
    <t xml:space="preserve"> Завдання: 11.11. Надання послуг з виготовлення та встановлення покажчиків назв вулиць по місту, в тому числі в приватному секторі</t>
  </si>
  <si>
    <t xml:space="preserve">  Завдання: 11.13.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</si>
  <si>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 xml:space="preserve">  Завдання: 11.14. Надання послуги з розробки проекту: організація дорожнього руху </t>
  </si>
  <si>
    <t xml:space="preserve">  Завдання: 11.15 Забезпечення технічного обслуговування  камер відеоспостереження </t>
  </si>
  <si>
    <t>Показник: площа огорож, м.кв</t>
  </si>
  <si>
    <t>Показник: середні витрати на поточний ремонт та улаштування 1 м.кв., грн.</t>
  </si>
  <si>
    <t>Показник: кількість водогонів, од.</t>
  </si>
  <si>
    <t>Завдання: 17.2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</si>
  <si>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 xml:space="preserve"> Показник: обсяг видатків на встановлення, проведення поточного та капітального ремонтів технічних засобів регулювання дорожнім рухом, грн.</t>
  </si>
  <si>
    <t xml:space="preserve">  Завдання: 1.2. Забезпечення проведення поточного ремонту вулично-дорожньої мережі та штучних споруд, в тому числі в приватному секторі</t>
  </si>
  <si>
    <t xml:space="preserve">  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 в тому числі в приватному секторі </t>
  </si>
  <si>
    <t xml:space="preserve">  Завдання: 1.4. Забезпечення поточного ремонту та улаштування огорож</t>
  </si>
  <si>
    <t xml:space="preserve">  Завдання: 1.5. Забезпечення поточного та капітального ремонту зупинок громадського транспорту</t>
  </si>
  <si>
    <t>Показник: кількість зупинок громадського транспорту, на яких плануються провести поточний та капітаальний ремонт, од</t>
  </si>
  <si>
    <t>Завдання: 1.6. Забезпечення проведення поточного ремонту проїздів, тротуарів, велосипедних доріжок</t>
  </si>
  <si>
    <t xml:space="preserve">    Показник: площа проїздів, тротуарів, велосипедних доріжок, кв.м</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</si>
  <si>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 міс.</t>
  </si>
  <si>
    <t>Показник: кількість кіловат за спожиту електроенергію насосною станцією по вул.Тихорецька, кВт.</t>
  </si>
  <si>
    <t xml:space="preserve">    Показник: кількість об'єктів житлового фонду (будинків), що планується відремонтувати, од.</t>
  </si>
  <si>
    <t>Показник: кількість об'єктів житлового фонду (будинків), що потребують ремонту, од.</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</si>
  <si>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</si>
  <si>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xml:space="preserve"> Показник: кількість , міс.</t>
  </si>
  <si>
    <t>Показник: кількість місяців передбачених для технічного обслуговування камер відеоспостереження, міс.</t>
  </si>
  <si>
    <t xml:space="preserve">    Показник: кількість місяців, в яких плануються видатки на забезпечення функціонування водопровідно-каналізаційне господарство, міс.</t>
  </si>
  <si>
    <t xml:space="preserve">  Завдання: 1.7. Забезпечення проведення  утримання  та обслуговування технічних засобів регулювання дорожнім рухом</t>
  </si>
  <si>
    <t xml:space="preserve">  Завдання: 1.8. Забезпечення проведення ремонту мостів, шляхопроводів та пішохідних мостів</t>
  </si>
  <si>
    <t xml:space="preserve">  Завдання: 1.9. Забезпечення встановлення,  проведення поточного та капітального ремонтів  технічних засобів регулювання дорожнім рухом</t>
  </si>
  <si>
    <t xml:space="preserve">  Завдання: 1.10. Забезпечення  улаштування нових та розширення існуючих тротуарів, пішохідних та велосипедних доріжок </t>
  </si>
  <si>
    <t xml:space="preserve">  Завдання: 1.11. Забезпечення  проведення обстеження та екпертизи мостів та шляхопроводів</t>
  </si>
  <si>
    <t xml:space="preserve">  Завдання: 1.12. Забезпечення  інвентаризації та  паспортизації  левневих мереж міста (електронна мапа)</t>
  </si>
  <si>
    <t xml:space="preserve">  Завдання: 1.13. Забезпечення проведення технічної інвентаризації та паспортизації доріг</t>
  </si>
  <si>
    <t xml:space="preserve">  Завдання: 1.14. Забезпечення розроблення схеми дислокації дорожніх знаків та організації безпеки руху</t>
  </si>
  <si>
    <t xml:space="preserve">  Завдання: 1.15. Забезпечення проведення капітального ремонту об'єктів транспортної інфраструктури </t>
  </si>
  <si>
    <t>Показник: кількість об'єктів транспортної інфраструктури, що потребують капітального ремонту, од</t>
  </si>
  <si>
    <t>Показник: кількість туалетів на території дитячого "Казка, які планується утримувати, од</t>
  </si>
  <si>
    <t>Показник: кількість місяців передбачених для безперебійної роботи насосних станцій по вул. Тихорецька та вул. Кругова, міс.</t>
  </si>
  <si>
    <t xml:space="preserve"> Завдання: 11.1. Проведення поточного ремонту  хомутів із заміною  для кріплення прапорів на електричних та тролейбусних опорах</t>
  </si>
  <si>
    <t xml:space="preserve">    Показник: вартість садіння дерев та кущів, створення газонів  на території територыальноъ громади, грн</t>
  </si>
  <si>
    <t xml:space="preserve">    Показник: кількість  об'єктів водопостачання,  на яких планується замінити гідранти, шт.</t>
  </si>
  <si>
    <t xml:space="preserve">    Показник: обсяг видатків на поточний та капітальний ремонти, грн.</t>
  </si>
  <si>
    <t xml:space="preserve">    Показник: середня вартість капітального та поточного ремонту колекторів та каналізаційних мереж, грн.</t>
  </si>
  <si>
    <t>Показник: кількість об'єктів, що планується відремонтувати, од.</t>
  </si>
  <si>
    <t>Завдання: 16.6. Проведення капітального та поточного ремонту колекторів, водопровідних  та каналізаційних мереж</t>
  </si>
  <si>
    <t xml:space="preserve">    Показник: кількість підприємств, яким надається фінансова підтримка, од.</t>
  </si>
  <si>
    <t xml:space="preserve">    Показник: середня вартість однієї фінансової підтримки,  грн.</t>
  </si>
  <si>
    <t xml:space="preserve"> 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</si>
  <si>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 xml:space="preserve"> Показник: видатки на поховання, грн</t>
  </si>
  <si>
    <t>Показник: середня вартість  1 поховання, грн.</t>
  </si>
  <si>
    <t>КПКВК 6014</t>
  </si>
  <si>
    <t xml:space="preserve">    Показник:кількість відходів, куб. М</t>
  </si>
  <si>
    <t xml:space="preserve">    Показник: середня вартість перевезення, грн.</t>
  </si>
  <si>
    <t>Загальний фонд</t>
  </si>
  <si>
    <t>Спеціальний фонд</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</si>
  <si>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</si>
  <si>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</si>
  <si>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</si>
  <si>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</si>
  <si>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</si>
  <si>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</si>
  <si>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</si>
  <si>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</si>
  <si>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</si>
  <si>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</si>
  <si>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кв. м вулично-дорожньої мережі, грн.</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</si>
  <si>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</si>
  <si>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</si>
  <si>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виконання за _______ до уточненого плану</t>
  </si>
  <si>
    <t>Всього</t>
  </si>
  <si>
    <t>Код програмної класифікації видатків</t>
  </si>
  <si>
    <t>Код економічної класифікації видатків</t>
  </si>
  <si>
    <t>в тому числі</t>
  </si>
  <si>
    <t xml:space="preserve">    Тип показника: Витрати</t>
  </si>
  <si>
    <t>грн.</t>
  </si>
  <si>
    <t>Управління капітального будівництва та дорожнього господарства Сумської міської ради</t>
  </si>
  <si>
    <t xml:space="preserve">    Показник: обсяг видатків, грн.</t>
  </si>
  <si>
    <t>Департамент інфраструктури міста  Сумської міської ради</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</si>
  <si>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</si>
  <si>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</si>
  <si>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</si>
  <si>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</si>
  <si>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</si>
  <si>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</si>
  <si>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 ДІМ СМР</t>
  </si>
  <si>
    <t>УКБтаДГ СМР</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</si>
  <si>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</si>
  <si>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</si>
  <si>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</si>
  <si>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</si>
  <si>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</si>
  <si>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</si>
  <si>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</si>
  <si>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</si>
  <si>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</si>
  <si>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</si>
  <si>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</si>
  <si>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</si>
  <si>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</si>
  <si>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</si>
  <si>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</si>
  <si>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</si>
  <si>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</si>
  <si>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середні витрати на  висадження 1 тис. од. квіткової розсади, грн.</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</si>
  <si>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</si>
  <si>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</si>
  <si>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Показник: кількість світлоточок, які планується утримувати, од.</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</si>
  <si>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</si>
  <si>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</si>
  <si>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</si>
  <si>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</si>
  <si>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</si>
  <si>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</si>
  <si>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</si>
  <si>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</si>
  <si>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</si>
  <si>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</si>
  <si>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функціонування водопровідно-каналізаційного господарства</t>
  </si>
  <si>
    <t xml:space="preserve">РАЗОМ </t>
  </si>
  <si>
    <t xml:space="preserve">    Показник: загальна площа тротуарів, що потребує капітального ремонту, кв. м</t>
  </si>
  <si>
    <t xml:space="preserve">    Показник: площа тротуарів, на якій планується провести капітальний ремонт, кв.м</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</si>
  <si>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</si>
  <si>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тротуарів, грн.</t>
  </si>
  <si>
    <t xml:space="preserve">    Показник: площа дитячого парку "Казка", яку планується прибирати, га</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</si>
  <si>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</si>
  <si>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</si>
  <si>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</si>
  <si>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</si>
  <si>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</si>
  <si>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</si>
  <si>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</si>
  <si>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</si>
  <si>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</si>
  <si>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</si>
  <si>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</si>
  <si>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</si>
  <si>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Показник:кількість схем, шт.</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</si>
  <si>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</si>
  <si>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</si>
  <si>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</si>
  <si>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 xml:space="preserve">    Показник:кількість технічних паспортів, шт.</t>
  </si>
  <si>
    <t xml:space="preserve">    Показник: вартість розробки технічного паспорту,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</si>
  <si>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</si>
  <si>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</si>
  <si>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</si>
  <si>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</si>
  <si>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</si>
  <si>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</si>
  <si>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власні кошти підприємства</t>
  </si>
  <si>
    <t xml:space="preserve">    Показник:кількість об'єктів, шт.</t>
  </si>
  <si>
    <t xml:space="preserve">    Показник: середня вартість ремонту 1 об'єкта, грн.</t>
  </si>
  <si>
    <t>Показник: середня вартість поховання 1 безрідного, грн.</t>
  </si>
  <si>
    <t xml:space="preserve">    Показник: кількість об'єктів житлового фонду (будинків), що планується відремонтувати, шт.</t>
  </si>
  <si>
    <t xml:space="preserve">    Мета: Повернення бюджетних позичок      </t>
  </si>
  <si>
    <t xml:space="preserve">    Показник:кількість підприємств, яким надана бюджетна позичка, од.</t>
  </si>
  <si>
    <t xml:space="preserve">    Показник: обсяг бюджетної позички, який підлягає поверненню, грн.</t>
  </si>
  <si>
    <t xml:space="preserve">    Мета: Проведення будівництва об'єктів комунального господарства </t>
  </si>
  <si>
    <t xml:space="preserve">    Показник: загальна кількість об'єктів, що потребує поточного та капітального ремонту, шт.</t>
  </si>
  <si>
    <t xml:space="preserve">    Показник: питома вага об'ктів, що зазнали ремонту до кількості, що потребувала  ремонту</t>
  </si>
  <si>
    <t xml:space="preserve">    Показник:площа трави (амброзії), яку планується прополювати,  га</t>
  </si>
  <si>
    <t xml:space="preserve">    Показник:середні витрати на прополювання трави (амброзії), грн</t>
  </si>
  <si>
    <t>Показник: темп зростання середніх витрат на придбання однієї лавки порівняно з попереднім роком, %</t>
  </si>
  <si>
    <t xml:space="preserve">    Показник: середня вартість 1 кВт/год електроенергії необхідної для безперебійної роботи вуличного освітлення, грн</t>
  </si>
  <si>
    <t xml:space="preserve">    Показник: кількість дерев, що потребують висадженню, од.</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</si>
  <si>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</si>
  <si>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 грн.</t>
  </si>
  <si>
    <t xml:space="preserve">    Показник: кількість безпритульних тварин, які планується виловити (утримувати в притулку, стерилізувати), од.</t>
  </si>
  <si>
    <t xml:space="preserve">    Показник: середні витрати на проведення утримання в притулку, стерилізації тварини та їх виловлення, грн.</t>
  </si>
  <si>
    <t>КПКВК 6020</t>
  </si>
  <si>
    <t xml:space="preserve">    Показник: обсяг видатків, передбачений на забезпечення функціонування об'єктів житлово-комунального господарства, грн.</t>
  </si>
  <si>
    <t xml:space="preserve">    Показник: кількість підприємств, яким планується видатки на забезпечення функціонування об'єктів житлово-комунального господарства, од.</t>
  </si>
  <si>
    <t xml:space="preserve">    Показник: середня сума  видатків на забезпечення функціонування об'єктів житлово-комунального господарства,  грн.</t>
  </si>
  <si>
    <t xml:space="preserve">    Показник: середня сума   видатків на забезпечення функціонування водопровідно-каналізаційне господарство,  грн.</t>
  </si>
  <si>
    <t>КПКВК 6013</t>
  </si>
  <si>
    <t>КПКВК 7640</t>
  </si>
  <si>
    <t>КПКВК 7670</t>
  </si>
  <si>
    <t>КПКВК 9770</t>
  </si>
  <si>
    <t>КПКВК 8862</t>
  </si>
  <si>
    <t xml:space="preserve">    Мета: Розробка технічних паспортів на багатоквартирні житлові будинки</t>
  </si>
  <si>
    <t xml:space="preserve">    Показник: обсяг видатків на святкове оформлення та ремонт, грн.</t>
  </si>
  <si>
    <t xml:space="preserve">    Показник: середня вартість 1 святкового заходу та ремонту, грн.</t>
  </si>
  <si>
    <t xml:space="preserve">    Показник: площа тротуарів з асфальтобетонним покриттям та фігурними елиментами мощення, на якій  проведено роботи з очищення (утримання),  м.кв.</t>
  </si>
  <si>
    <t xml:space="preserve">    Показник: загальна площа тротуарів з асфальтобетонним покриттям та фігурними елиментами мощення, які визначені для чищення, кв.м.</t>
  </si>
  <si>
    <t xml:space="preserve">    Показник: середня вартість проведення одного заходу з розміщення рекламних матеріалів до святкових та урочистих подій, грн.</t>
  </si>
  <si>
    <t xml:space="preserve">    Показник: середня вартість проведення одного заходу з розміщення соціальної реклами, грн.</t>
  </si>
  <si>
    <t xml:space="preserve">    Показник: кількість часу витраченого на демонтаж (розбирання, знесення) рекламних засобів на висоті до 3 метрів, год.</t>
  </si>
  <si>
    <t xml:space="preserve">    Показник: кількість часу витраченого на демонтаж (розбирання, знесення) рекламних засобів на висоті вище 3 метрів, год.</t>
  </si>
  <si>
    <t>КПКВК 7691</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</si>
  <si>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</si>
  <si>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</si>
  <si>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</si>
  <si>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</si>
  <si>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грн.</t>
  </si>
  <si>
    <t>КПКВК 6017</t>
  </si>
  <si>
    <t xml:space="preserve"> КПКВК 3210</t>
  </si>
  <si>
    <t xml:space="preserve">    Показник: середні витрати на  висадження одного дерева та посадку куща, грн.</t>
  </si>
  <si>
    <t xml:space="preserve">    Показник: середня обсяг бюджетної позички,який підлягає поверненню, грн.</t>
  </si>
  <si>
    <t xml:space="preserve">    Показник: кількість дерев та кущів, які планується висадити, од.</t>
  </si>
  <si>
    <t>Показник: кількість похованих безрідних, чол.</t>
  </si>
  <si>
    <t>Показник: кількість об'єктів, на яких планується здійснити технічне обслуговування, грн.</t>
  </si>
  <si>
    <t>Показник: середня вартість видачі одного сертифікату, грн.</t>
  </si>
  <si>
    <t xml:space="preserve">    Мета: Передача іншої субвенції  Верхньосироватському сільському бюджету для Верхньосироватської сільської ради та об'єктів, що знаходяться на території Верхньосироватської обєднаної територіальної  громади згідно з їх пропозиціями</t>
  </si>
  <si>
    <t xml:space="preserve">    Показник: кількість , од.</t>
  </si>
  <si>
    <t>Показник: кількість інформаційних табло які необхідно встановаити, од</t>
  </si>
  <si>
    <t>Показник: середня вартість встановлення табло, грн.</t>
  </si>
  <si>
    <t xml:space="preserve"> Сумський міський голова </t>
  </si>
  <si>
    <t xml:space="preserve">комунального господарства Сумської міської </t>
  </si>
  <si>
    <t xml:space="preserve">    Показник: середня обсяг бюджетної позички, який підлягає поверненню, грн.</t>
  </si>
  <si>
    <t xml:space="preserve">    Показник: середня вартість будівництва, реконструкції та реставрації для одного об'єкта,  грн.</t>
  </si>
  <si>
    <t>Мета: Забезпечення надійного та безперебійного функціонування житлово – комунального господарства</t>
  </si>
  <si>
    <t xml:space="preserve">    Мета:  Забезпечення демонтажу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 </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</si>
  <si>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</si>
  <si>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</si>
  <si>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</si>
  <si>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</si>
  <si>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</si>
  <si>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</si>
  <si>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</si>
  <si>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</si>
  <si>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Завдання: 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</si>
  <si>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</si>
  <si>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</si>
  <si>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</si>
  <si>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 xml:space="preserve">    Мета:  Регулювання діяльності у сфері розміщення зовнішньої реклами на території Сумської міської об'єднаної територіальної громади</t>
  </si>
  <si>
    <t xml:space="preserve">    Показник: обсяг видатків на придбання та виготовлення  рекламних матеріалів до святкових та урочистих подій , грн.</t>
  </si>
  <si>
    <t xml:space="preserve">    Показник: обсяг видатків на придбання та виготовлення рекламних матеріалів  соціального характеру, грн.</t>
  </si>
  <si>
    <t xml:space="preserve">    Показник: загальна кількість святкових та урочистих подій, які підлягають святковому оформленню, од. </t>
  </si>
  <si>
    <t xml:space="preserve">    Показник: загальна кількість заходів з розміщення соціальної реклами, од. </t>
  </si>
  <si>
    <t xml:space="preserve">Показник: загальна кількість розробки/коригування макетів для друку рекламного матеріалу, од. </t>
  </si>
  <si>
    <t xml:space="preserve">    Показник: середня вартість розробка/коригування одного макету для друку рекламного матеріалу </t>
  </si>
  <si>
    <t xml:space="preserve">    Показник: обсяг видатків на демонтаж (розбирання, знесення) рекламних засобів на висоті до 3 метрів, грн.</t>
  </si>
  <si>
    <t xml:space="preserve">    Показник: обсяг видатків на демонтаж (розбирання, знесення) рекламних засобів на висоті вище 3 метрів, грн.</t>
  </si>
  <si>
    <t xml:space="preserve">    Показник: обсяг видатків на демонтаж (розбирання, знесення) великоформатних рекламних засобів (типу «біг-борд» та ін.) , грн.</t>
  </si>
  <si>
    <t xml:space="preserve">    Показник: обсяг видатків за послуги із доставки демонтованих рекламних засобів на майданчик тимчасового зберігання , грн.</t>
  </si>
  <si>
    <t xml:space="preserve">    Показник: обсяг видатків за послуги із відключення від мережі електропостачання , грн.</t>
  </si>
  <si>
    <t xml:space="preserve">    Показник: кількість часу витраченого на демонтаж (розбирання, знесення) великоформатних рекламних засобів (типу «біг-борд» та ін.) , год.</t>
  </si>
  <si>
    <t xml:space="preserve">    Показник: кількість часу витраченого на доставку демонтованих рекламних засобів на майданчик тимчасового зберігання , год.</t>
  </si>
  <si>
    <t xml:space="preserve">    Показник: кількість часу витраченого на відключення від мережі електропостачання , год.</t>
  </si>
  <si>
    <t xml:space="preserve">    Показник: кількість куб.м. прибраного на території сміття</t>
  </si>
  <si>
    <t xml:space="preserve">    Показник: середня вартість однієї години демонтажу (розбирання, знесення) рекламних засобів на висоті до 3 метрів , грн.</t>
  </si>
  <si>
    <t xml:space="preserve">    Показник: середня вартість однієї години демонтажу (розбирання, знесення) рекламних засобів на висоті вище 3 метрів, грн.</t>
  </si>
  <si>
    <t xml:space="preserve">    Показник: середня вартість однієї години демонтажу (розбирання, знесення) великоформатних рекламних засобів (типу «біг-борд» та ін.), грн.</t>
  </si>
  <si>
    <t xml:space="preserve">    Показник: середня вартість однієї години послуги з доставки демонтованих рекламних засобів на майданчик тимчасового зберігання , грн.</t>
  </si>
  <si>
    <t xml:space="preserve">    Показник: середня вартість однієї години послуги з відключення від мережі електропостачання , грн.</t>
  </si>
  <si>
    <t xml:space="preserve">    Показник: середня вартість прибирання, вивезення на полігон та утилізації одного куб.м. сміття на території  , грн.</t>
  </si>
  <si>
    <t>Тип показника: Ефективності</t>
  </si>
  <si>
    <t xml:space="preserve">    Показник: середня вартість проведення санації,  грн.</t>
  </si>
  <si>
    <t xml:space="preserve">    Показник: середня вартість проведення поточного ремонту,  грн.</t>
  </si>
  <si>
    <t xml:space="preserve"> Показник: кількість колодязів, по яких буде проведено поточний ремонт, од</t>
  </si>
  <si>
    <t>Тип показника: Продукту</t>
  </si>
  <si>
    <t xml:space="preserve"> Показник: обсяг видатків, грн.</t>
  </si>
  <si>
    <t>Показник: обсяг видатків, грн.</t>
  </si>
  <si>
    <t>Показник: кількість розроблиних звітів з оцінки впливу на довкілля, од</t>
  </si>
  <si>
    <t>Показник: середня вартість 1 звіту, грн.</t>
  </si>
  <si>
    <t>Показник: кількість покажчиків, од</t>
  </si>
  <si>
    <t>Показник: середня 1 послуги, грн.</t>
  </si>
  <si>
    <t>Показник:  кількість щитів, од.</t>
  </si>
  <si>
    <t>Показник: середня вартість 1 послуги  грн.</t>
  </si>
  <si>
    <t>Показник: кількість проєктів, од</t>
  </si>
  <si>
    <t>Показник: середня вартість проєкту , грн.</t>
  </si>
  <si>
    <t xml:space="preserve">Мета:  Забезпечення святкового оформлення міста до пам'ятних та історичних дат, культурно-мистецьких, релігійних, інших святкових заходів та інша діяльність у сфері житлово-комунального господарства </t>
  </si>
  <si>
    <t>КПКВК 6011</t>
  </si>
  <si>
    <t>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</si>
  <si>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Показник:вартість капітального ремонту житлового фонду (будинку), грн.</t>
  </si>
  <si>
    <t>Показник: кількість позичальників, що отримали відшкодування відсоткових ставок, од.</t>
  </si>
  <si>
    <t>КПКВК 7310</t>
  </si>
  <si>
    <t>КПКВК 7330</t>
  </si>
  <si>
    <t>КПКВК 7340</t>
  </si>
  <si>
    <t xml:space="preserve">    Мета: Проведення проектування, реставраціъ та охорони пам'яток архітектури</t>
  </si>
  <si>
    <t xml:space="preserve">    Мета: Проведення будівництва інших об'єктів комунальної власності </t>
  </si>
  <si>
    <t xml:space="preserve">    Показник: середні витрати на садіння 1 дерева/ куща, грн.</t>
  </si>
  <si>
    <t>Показник: довжина мереж зовнішнього освітлення, на якій проведено капітальний ремонт, км</t>
  </si>
  <si>
    <t xml:space="preserve"> Показник: обсяг видатків на утримання кладовищ, грн.</t>
  </si>
  <si>
    <t>Показник: кількість кладовищ, які  планується утримувати, од</t>
  </si>
  <si>
    <t>Показник: середньорічні витрати на утримання 1 кладовища, грн.</t>
  </si>
  <si>
    <t xml:space="preserve"> Показник:  видатки на поточний ремонт, утримання місць поховань та елементів благоустрою, грн</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</si>
  <si>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</si>
  <si>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 грн.</t>
  </si>
  <si>
    <t xml:space="preserve"> Показник:  видатки по забезпеченню діяльності спецслужби, грн</t>
  </si>
  <si>
    <t>Показник: середні витрати на один виїзд спецслужби, грн.</t>
  </si>
  <si>
    <t xml:space="preserve"> Показник: видатки на забезпечення поховання безрідних, грн</t>
  </si>
  <si>
    <t xml:space="preserve"> Показник: видатки на забезпечення сервісного обслуговування водогонів, грн</t>
  </si>
  <si>
    <t>Показник: середня вартість сервісного обслуговування 1 водогону, грн.</t>
  </si>
  <si>
    <t xml:space="preserve"> Тип показника: Продукту</t>
  </si>
  <si>
    <t>Показник: видатки на послуги зі збирання безпечних відходів, непридатних для вторинного використання (прибирання урн від сміття по місту), грн</t>
  </si>
  <si>
    <t>Показник: видатки на послуги з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</si>
  <si>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</si>
  <si>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xml:space="preserve">Мета: Підвищення рівня благоустрою міста, підвищення експлуатаційних властивостей житлового фонду </t>
  </si>
  <si>
    <t xml:space="preserve">    Показник: середня вартість робіт по співфінансуванню робіт з капітального ремонту житлового фонду (будинку), грн.</t>
  </si>
  <si>
    <t>Показник: середня вартість буклетів для здійснення просвітницької діяльності серед населення, грн.</t>
  </si>
  <si>
    <t>Показник: кількість буклетів для здійснення просвітницької діяльності серед населення, од</t>
  </si>
  <si>
    <t>Показник: кількість колодязів, по яких буде проведена санація, од</t>
  </si>
  <si>
    <t>Показник: середня вартість1 куб.м. спожитотого прородного газу, грн.</t>
  </si>
  <si>
    <t xml:space="preserve"> Тип показника: Ефективності</t>
  </si>
  <si>
    <t xml:space="preserve"> Показник: кількість , од.</t>
  </si>
  <si>
    <t>Показник: середня вартість,  грн.</t>
  </si>
  <si>
    <t xml:space="preserve">    Показник: кількість об'єктів, яка охоплена поточним та капітальним ремонтом, шт.</t>
  </si>
  <si>
    <t xml:space="preserve"> Показник: обсяг видатків на поточний ремонт та улаштування огорож, грн.</t>
  </si>
  <si>
    <t xml:space="preserve"> Показник: обсяг видатків на поточний та капітальний ремонт зупинок громадського транспорту, грн.</t>
  </si>
  <si>
    <t>Показник: середні витрати на поточний  та капітальний ремонт 1 зупинки громадського транспорту, грн.</t>
  </si>
  <si>
    <t xml:space="preserve"> Показник: обсяг видатків на  проведення обстеження та екпертизи мостів та шляхопроводів, грн.</t>
  </si>
  <si>
    <t>Показник: кількість обстежень та екпертиз мостів та шляхопроводів, од</t>
  </si>
  <si>
    <t>Показник: середні витрати на  проведення обстеження та екпертизи мостів та шляхопроводів, грн.</t>
  </si>
  <si>
    <t xml:space="preserve"> Показник: обсяг видатків на  проведення інвентаризації та  паспортизації  левневих мереж міста (електронна мапа), грн.</t>
  </si>
  <si>
    <t>Показник: од</t>
  </si>
  <si>
    <t>Показник: середні витрати, грн.</t>
  </si>
  <si>
    <t xml:space="preserve"> Показник: обсяг видатків на  проведення технічної інвентаризації та паспортизації доріг, грн.</t>
  </si>
  <si>
    <t>Показник: середні витрати на проведення технічної інвентаризації та паспортизації доріг, грн.</t>
  </si>
  <si>
    <t xml:space="preserve"> Показник: обсяг видатків на  розроблення схеми дислокації дорожніх знаків та організації безпеки руху, грн.</t>
  </si>
  <si>
    <t>Показник: середні витрати на розроблення схеми дислокації дорожніх знаків та організації безпеки руху, грн.</t>
  </si>
  <si>
    <t xml:space="preserve"> Показник: обсяг видатків на  проведення капітального ремонту об'єктів транспортної інфраструктури , грн.</t>
  </si>
  <si>
    <t>Показник: кількість засобів регулювання дорожнім рухом, од</t>
  </si>
  <si>
    <t>Показник: середні витрати на проведення поточного та капітального ремонту  (встановлення) технічних засобів регулювання дорожнім рухом, грн.</t>
  </si>
  <si>
    <t xml:space="preserve"> Показник: обсяг видатків на проведення ремонту та обслуговування технічних засобів регулювання дорожнім рухом, грн.</t>
  </si>
  <si>
    <t>Показник: середні витрати на проведення ремонту та обслуговування технічних засобів регулювання дорожнім рухом, грн.</t>
  </si>
  <si>
    <t>Показник:  од</t>
  </si>
  <si>
    <t>Показник: середні витрати на проведення капітального ремонту об'єктів транспортної інфраструктури , грн.</t>
  </si>
  <si>
    <t xml:space="preserve"> Показник: обсяг видатків на  проведення капітального ремонту парків, скверів тощо , грн.</t>
  </si>
  <si>
    <t>Показник:кількість парків, скверів тощо , що потребують капітального ремонту, од</t>
  </si>
  <si>
    <t>Показник: середні витрати на проведення капітального ремонту парків, скверів тощо , грн.</t>
  </si>
  <si>
    <t xml:space="preserve">    Показник: середні витрати на догляд за деревами та кущами, грн.</t>
  </si>
  <si>
    <t xml:space="preserve">    Показник: кількість дерев та кущів, за якими планується догляд од.</t>
  </si>
  <si>
    <t xml:space="preserve">    Показник: площа газонів, яку планується утримувати, га</t>
  </si>
  <si>
    <t xml:space="preserve"> Показник: обсяг видатків на  проведення  поточного ремонту  малих архітектурних форм та споруд благоустрою у парках, скверах та зелених зонах, грн.</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</si>
  <si>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</si>
  <si>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</si>
  <si>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 xml:space="preserve"> Показник: обсяг видатків на  проведення утримання майданчику для складування відходів по вул. М.Лукаша, грн.</t>
  </si>
  <si>
    <t>Показник: кількість місяців, що планується утримувати майданчик для складування відходів по вул. М.Лукаша, од</t>
  </si>
  <si>
    <t>Показник: середні витрати на утримання 1 місяця майданчику для складування відходів по вул. М.Лукаша , грн.</t>
  </si>
  <si>
    <t>Показник: середні витрати на догляд за 1 од. троянди</t>
  </si>
  <si>
    <t xml:space="preserve"> Показник: обсяг видатків на  встановлення паркових лавочок в дитячому парку "Казка", грн.</t>
  </si>
  <si>
    <t>Показник: кількість паркових лавочок в дитячому парку "Казка", які планується встановити, од</t>
  </si>
  <si>
    <t>Показник: середні витрати на встановлення паркових лавочок в дитячому парку "Казка", грн.</t>
  </si>
  <si>
    <t xml:space="preserve">    Показник: кількість троянд, за якими планується провести догляд,. од.</t>
  </si>
  <si>
    <t>Показник: середні витрати на утримання туалету на території дитячого "Казка</t>
  </si>
  <si>
    <t xml:space="preserve">    Показник: середні витрати на  догляд 1 дерева на  території дитячого парку "Казка",  грн.</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</si>
  <si>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</si>
  <si>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</si>
  <si>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середні витрати на  висадку 1 дерева на  території дитячого парку "Казка",  грн.</t>
  </si>
  <si>
    <t xml:space="preserve">    Показник: середні витрати на улаштування 1 тис.од. квіткової розсали на  території дитячого парку "Казка",  грн.</t>
  </si>
  <si>
    <t xml:space="preserve">    Показник: площа газонів, яку планується відновити (створити), га.</t>
  </si>
  <si>
    <t>Показник: середні витрати на  відновлення  (створення) 1 га газонів,грн.</t>
  </si>
  <si>
    <t xml:space="preserve">    Показник: кількість дерев та кущів, які потребують догляду, од.</t>
  </si>
  <si>
    <t xml:space="preserve">    Показник: Питома вага утриманої териорії до території, що підлягає утриманню, %</t>
  </si>
  <si>
    <t xml:space="preserve">    Показник: Питома вага дерев та кущів, які потребують догляду до загальної їх кількості , %,</t>
  </si>
  <si>
    <t xml:space="preserve">    Показник: площа дитячого парку "Казка", що підлягає прибиранню,  га</t>
  </si>
  <si>
    <t xml:space="preserve">    Показник: Площа газонів, яку необхідно утримувати, га</t>
  </si>
  <si>
    <t>Показник: площа трави (амброзії), що підлягає прополюванню,  га</t>
  </si>
  <si>
    <t>Показник: площа газонів, які планується відновити (створити), га</t>
  </si>
  <si>
    <t xml:space="preserve">    Показник: кількість зелених насаджень (дерев та кущів), що планується висадити , од.</t>
  </si>
  <si>
    <t xml:space="preserve">    Показник: середні витрати на утримання 1 га газонів, грн.</t>
  </si>
  <si>
    <t xml:space="preserve"> Показник: видатки на встановлення стаціонарних туалетів на кладовищах,  грн</t>
  </si>
  <si>
    <t>Показник: кількість туалетів, чол.</t>
  </si>
  <si>
    <t>Показник: середня вартість  встановлення 1 туалету, грн.</t>
  </si>
  <si>
    <t>Показник: середня вартість одного заходу з утримання в належному стані об'єктів благоустрою міста Суми (утримання зупинок громадського транспорту), грн.</t>
  </si>
  <si>
    <t xml:space="preserve">    Показник: видатки на придбання та встановлення урн, грн</t>
  </si>
  <si>
    <t xml:space="preserve">    Показник: кількість урн, які планується придбати та встановити, од.</t>
  </si>
  <si>
    <t xml:space="preserve">    Показник: середня вартість придбання та встановлення однієї урни, грн.</t>
  </si>
  <si>
    <t xml:space="preserve">    Показник: видатки на бирання та вивезення сміття на території Сумської міської територіальної громади (після проведення місячника благоустрою), грн</t>
  </si>
  <si>
    <t>Показник: об'єм сміття, який планується зібрати та вивезти, м3.</t>
  </si>
  <si>
    <t xml:space="preserve">    Показник: середня вартість збирання та вивезення 1 м3 сміття, грн.</t>
  </si>
  <si>
    <t xml:space="preserve">    Показник: видатки на догляд за об'єктами благоустрою загального користування: ліквідація несанкціонованих і неконтрольованих звалищ відходів , грн</t>
  </si>
  <si>
    <t xml:space="preserve">    Показник: видатки на проведення санітарних заходів у прибережних смугах річок Псел, Сумка, Стрілка, озера Чеха та ін. водних об’єктів , грн</t>
  </si>
  <si>
    <t>Показник: площа території, на якій проводиться благоустрій, тис.м2.</t>
  </si>
  <si>
    <t xml:space="preserve">    Показник: витрати на одиницю показника продукту, грн./тис.м2 </t>
  </si>
  <si>
    <t xml:space="preserve">    Показник: видатки на проведення технічного обслуговування насосної станції по вул.Круговій та по вул.Тихорецька , грн</t>
  </si>
  <si>
    <t xml:space="preserve">    Показник: середні витрати на один місяць безперебійної роботи насосних станцій по вул. Тихорецька та вул. Кругова, грн
</t>
  </si>
  <si>
    <t xml:space="preserve">    Показник: видатки на проведення спостереження, технічного обслуговування та поточного ремонту системи санкціонованого проїзду на перехресті провул. Терезова та вул. Воскресенської в м.Суми , грн</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</si>
  <si>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грн.
</t>
  </si>
  <si>
    <t xml:space="preserve">    Показник: середня вартість одного заходу з поточного ремонту об'єктів та елементів благоустрою на рік, грн.</t>
  </si>
  <si>
    <t xml:space="preserve">    Показник: середня вартість одного заходу з утримання об'єктів та елементів благоустрою на рік, грн.</t>
  </si>
  <si>
    <t xml:space="preserve"> Показник: видатки на придбання та встановлення нових лавок, грн</t>
  </si>
  <si>
    <t xml:space="preserve"> Тип показника: Якості</t>
  </si>
  <si>
    <t xml:space="preserve"> Показник: видатки на технічне обслуговування та поточний ремонт фонтанів, грн</t>
  </si>
  <si>
    <t>Показник: середня вартість технічного обслуговування та поточного ремонту 1 фонтану, грн.</t>
  </si>
  <si>
    <t>Показник: темп зростання середніх витрат на технічне обслуговування та поточний ремонт фонтанів порівняно з попереднім роком, %</t>
  </si>
  <si>
    <t>Завдання: 16.9. Поточний ремонт інших об'єктів - заміна насосного обладнання (придбання)</t>
  </si>
  <si>
    <t xml:space="preserve">  Завдання: 1.16. Забезпечення проведення благоустрою населених пунктів вулично-дорожньої мережі та штучних споруд, в тому числі в приватному секторі</t>
  </si>
  <si>
    <t xml:space="preserve">    Показник: загальна площа вулично-дорожньої мережі, що потребує проведення благоустрою, кв. м</t>
  </si>
  <si>
    <t xml:space="preserve">    Показник: площа вуличної-дорожньої мережі, яка охоплена проведенням благоустрою, кв.м</t>
  </si>
  <si>
    <t xml:space="preserve">    Показник: середня вартість проведення благоустрою 1 кв. м вулично-дорожньої мережі, грн.</t>
  </si>
  <si>
    <t xml:space="preserve">    Показник: % доріг з проведеним благоустроєм від потребуючих </t>
  </si>
  <si>
    <t xml:space="preserve">  Завдання: 27. Перевезення тимчасово складованих побутових відходів на полігон для складування твердих побутових відходів</t>
  </si>
  <si>
    <t xml:space="preserve">    Показник:середні витрати на проведення поточного ремонту доріжок в дитячому парку "Казка", грн</t>
  </si>
  <si>
    <t xml:space="preserve">Показник: площа доріжок в дитячому парку "Казка",  які потребують ремонту,  кв. м </t>
  </si>
  <si>
    <t xml:space="preserve">    Показник: площа   доріжок в дитячому парку "Казка", на якій планується провести поточний  ремонт кв. м </t>
  </si>
  <si>
    <t xml:space="preserve">    Показник: середні витрати на  прибирання  та косіння трави 1 га території дитячого парку "Казка",  грн.</t>
  </si>
  <si>
    <t xml:space="preserve">  Завдання: 28. Капітальний ремонт об'єктів та елементів благоустрою на загальних об'єктах</t>
  </si>
  <si>
    <t xml:space="preserve"> Показник: видатки на надання послуг з проведення контрольного топографо-геофізичного знімання , грн</t>
  </si>
  <si>
    <t>Показник: кількість послуг з проведення контрольного топографо-геофізичного знімання, од.</t>
  </si>
  <si>
    <t>Показник: середні витрати на послугу з проведення контрольного топографо-геофізичного знімання, грн.</t>
  </si>
  <si>
    <t>Завдання: 11.17. Надання послуг з проведення контрольного топографо-геофізичного знімання</t>
  </si>
  <si>
    <t>Завдання: 11.16  Надання послуг зі створення та розміщення інформаційної продукції (табличок для найпростіших укриттів (підвалів) в житлових будинках</t>
  </si>
  <si>
    <t xml:space="preserve"> Показник: видатки на надання послуг зі створення та розміщення інформаційної продукції (табличок для найпростіших укриттів (підвалів) в житлових будинках , грн</t>
  </si>
  <si>
    <t>Показник: кількість послуг зі створення та розміщення інформаційної продукції (табличок для найпростіших укриттів (підвалів) в житлових будинках, од.</t>
  </si>
  <si>
    <t>Показник: середні витрати на послугу зі створення та розміщення інформаційної продукції (табличок для найпростіших укриттів (підвалів) в житлових будинках, грн.</t>
  </si>
  <si>
    <r>
      <t xml:space="preserve">   </t>
    </r>
    <r>
      <rPr>
        <b/>
        <sz val="10"/>
        <rFont val="Times New Roman"/>
        <family val="1"/>
      </rPr>
      <t xml:space="preserve"> Тип показника: Продукту</t>
    </r>
  </si>
  <si>
    <r>
      <t xml:space="preserve">   </t>
    </r>
    <r>
      <rPr>
        <b/>
        <sz val="10"/>
        <rFont val="Times New Roman"/>
        <family val="1"/>
      </rPr>
      <t xml:space="preserve"> Тип показника: Ефективності</t>
    </r>
  </si>
  <si>
    <t>Показник: кількість похованих тіл, чол.</t>
  </si>
  <si>
    <t>Показник: середні витрати на утримання 1 туалету на  місяць, грн.</t>
  </si>
  <si>
    <t xml:space="preserve">    Показник: середні витрати на поточний ремонт та утримання парків, скверів міста, зелених зон та пляжів, грн.</t>
  </si>
  <si>
    <t xml:space="preserve">    Показник: кількість парків, скверів міста, зелених зон та пляжів, на якій планується поточний ремонт та утримання, од.</t>
  </si>
  <si>
    <t xml:space="preserve">    Показник: територія парків, скверів міста, зелених зон та пляжів, на якій планується поточний ремонт та  утримання, од.</t>
  </si>
  <si>
    <t xml:space="preserve"> Показник: середня вартість податку на земельну ділянку, грн.</t>
  </si>
  <si>
    <t>КПКВК  6090, КПКВК 7691</t>
  </si>
  <si>
    <t>Олександр ЛИСЕНКО</t>
  </si>
  <si>
    <t>Завдання: 11.18. Надання послуг з проведення технічної інвентаризації та паспортизації об'єктів благоустрою</t>
  </si>
  <si>
    <t xml:space="preserve"> Показник: видатки на надання послуг з проведення технічної інвентаризації та паспортизації об'єктів благоустрою , грн</t>
  </si>
  <si>
    <t>Показник: кількість послуг з проведення технічної інвентаризації та паспортизації об'єктів благоустрою, од.</t>
  </si>
  <si>
    <t>Показник: середні витрати на послугу з проведення технічної інвентаризації та паспортизації об'єктів благоустрою, грн.</t>
  </si>
  <si>
    <t>до рішення Сумської міської ради</t>
  </si>
  <si>
    <t>КПКВК 6072</t>
  </si>
  <si>
    <t xml:space="preserve">    Показник:кількість суб'єктів господарювання, од.</t>
  </si>
  <si>
    <t xml:space="preserve">  Завдання: 29.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</si>
  <si>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2</t>
  </si>
  <si>
    <t xml:space="preserve">    Показник: середній обсяг компенсації, який буде погашатися, грн.</t>
  </si>
  <si>
    <t xml:space="preserve"> Показник: видатки на інші видатки у сфері житлово-комунального господарства  , грн</t>
  </si>
  <si>
    <t>Показник: кількість послуг з проведення інших видатків у сфері житлово-комунального господарства , од.</t>
  </si>
  <si>
    <t>Показник: середні витрати на інші видатки у сфері житлово-комунального господарства , грн.</t>
  </si>
  <si>
    <t xml:space="preserve">Завдання: 11.19. Інші видатки у сфері житлово-комунального господарства </t>
  </si>
  <si>
    <t>Завдання: 11.20. Придбання гусеничного бульдозеру</t>
  </si>
  <si>
    <t xml:space="preserve"> Показник: видатки на придбання гусеничного бульдозеру, грн</t>
  </si>
  <si>
    <t>Показник: кількість придбаних гусеничних бульдозерів , од.</t>
  </si>
  <si>
    <t xml:space="preserve">    Показник: кількість квіткової розсади на території дитячого парку "Казка", які планується висадити,од</t>
  </si>
  <si>
    <t>«Про внесення змін до Комплексної цільової</t>
  </si>
  <si>
    <t xml:space="preserve">від 26 січня 2022 року № 2718-МР (зі змінами)»       </t>
  </si>
  <si>
    <t>територіальної громади на 2022-2024 роки,</t>
  </si>
  <si>
    <t>Департамент забезпечення ресурсних платежів Сумської міської ради, Управління  архітектури та містобудування Сумської міської ради</t>
  </si>
  <si>
    <t>Департамент забезпечення ресурсних платежів СМР, УАМ СМР</t>
  </si>
  <si>
    <t xml:space="preserve">  Завдання: 30.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t>
  </si>
  <si>
    <t xml:space="preserve">    Показник: середня вартість проведення ремонтно-відновлювальних робіт  одного об'єкта житлового фонду (будинку), грн.</t>
  </si>
  <si>
    <t>Завдання: 16.7  Надання послуг по обстеженню води на території старостинських округів, промивка та знезараження води</t>
  </si>
  <si>
    <t>Показник: кількість будівель , од.</t>
  </si>
  <si>
    <t>Завдання: 11.21. Демонтаж будівлі Ритуального залу на Ново – Центральному Баранівському  кладовищі  м.Суми</t>
  </si>
  <si>
    <t xml:space="preserve"> Показник: видатки на демонтаж будівлі Ритуального залу на Ново – Центральному Баранівському  кладовищі  , грн</t>
  </si>
  <si>
    <t xml:space="preserve">    Показник: витрати на проведення поточного ремонту вулично-дорожньої мережі та штучних споруд за рахунок субвенції з державного бюджету, грн</t>
  </si>
  <si>
    <t xml:space="preserve"> Показник: обсяг видатків на розробку/коригування макетів для друку рекламного матеріалу, грн</t>
  </si>
  <si>
    <t>Показник: середні витрати на демонтаж будівлі Ритуального залу на Ново – Центральному Баранівському  кладовищі , грн.</t>
  </si>
  <si>
    <t>Показник: середні витрати на придбання гусеничного бульдозеру, грн.</t>
  </si>
  <si>
    <t>Показник: Кількість сертифікатів для введення в експлуатацію обєктів, од.</t>
  </si>
  <si>
    <t xml:space="preserve">    Показник: загальна кількість святкових заходів, які підлягають святковому оформленню, од</t>
  </si>
  <si>
    <t xml:space="preserve"> Завдання: 11.12.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</si>
  <si>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КПКВК 7383</t>
  </si>
  <si>
    <t xml:space="preserve">  Завдання: 31. Реалізація проектів (об’єктів, заходів) за рахунок коштів фонду ліквідації наслідків збройної агресії</t>
  </si>
  <si>
    <t>1</t>
  </si>
  <si>
    <t xml:space="preserve">    Показник: кількість об'єктів, які будуть збудовані за рахунок коштів фонду ліквідації наслідків збройної агресії, од.</t>
  </si>
  <si>
    <t xml:space="preserve">    Показник: середня вартість проведення  робіт  за рахунок коштів фонду ліквідації наслідків збройної агресії, грн.</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</si>
  <si>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 шт.</t>
  </si>
  <si>
    <t xml:space="preserve">    Показник: вартість проведення експертизи оцінки шкод та обстеження технічного стану житлових будинків,  грн.</t>
  </si>
  <si>
    <t>Завдання: 16.10.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погашення податкового боргу з рентної плати за спеціальне використання води)</t>
  </si>
  <si>
    <t>КПКВК 6086, 7375</t>
  </si>
  <si>
    <t xml:space="preserve"> КПКВК 6030, 7461</t>
  </si>
  <si>
    <t xml:space="preserve">  Завдання: 32. Утримання та розвиток автомобільних доріг та дорожньої інфраструктури за рахунок субвенції з державного бюджету</t>
  </si>
  <si>
    <t xml:space="preserve">    Показник: кількість об'єктів, які будуть відремонтовані  за рахунок коштів субвенції з державного бюджету, од.</t>
  </si>
  <si>
    <t xml:space="preserve">    Показник: середня вартість проведення  робіт  за рахунок коштів субвенції з державного бюджету, грн.</t>
  </si>
  <si>
    <t>35</t>
  </si>
  <si>
    <t>КПКВК 7384</t>
  </si>
  <si>
    <t xml:space="preserve">  Завдання: 33.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</si>
  <si>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Виконавець: Євген БРОВЕНКО  </t>
  </si>
  <si>
    <t>Додаток 4</t>
  </si>
  <si>
    <t>від                      2023 року №                  - МР</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</si>
</sst>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0.0000"/>
    <numFmt numFmtId="199" formatCode="0.00000"/>
    <numFmt numFmtId="200" formatCode="0.000"/>
    <numFmt numFmtId="201" formatCode="0.0"/>
    <numFmt numFmtId="202" formatCode="0.000000000"/>
    <numFmt numFmtId="203" formatCode="0.0000000000"/>
    <numFmt numFmtId="204" formatCode="0.00000000"/>
    <numFmt numFmtId="205" formatCode="0.0000000"/>
    <numFmt numFmtId="206" formatCode="0.000000"/>
    <numFmt numFmtId="207" formatCode="#,##0.0"/>
    <numFmt numFmtId="208" formatCode="#,##0.000"/>
    <numFmt numFmtId="209" formatCode="#,##0.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_ ;[Red]\-#,##0.00\ "/>
    <numFmt numFmtId="215" formatCode="#"/>
    <numFmt numFmtId="216" formatCode="#,##0.000_₴"/>
    <numFmt numFmtId="217" formatCode="#,##0.00000"/>
    <numFmt numFmtId="218" formatCode="#,##0.000000"/>
    <numFmt numFmtId="219" formatCode="#,##0_р_."/>
    <numFmt numFmtId="220" formatCode="[$-422]d\ mmmm\ yyyy&quot; р.&quot;"/>
  </numFmts>
  <fonts count="62">
    <font>
      <sz val="8"/>
      <name val="Arial"/>
      <family val="2"/>
    </font>
    <font>
      <sz val="8"/>
      <name val="Times New Roman"/>
      <family val="1"/>
    </font>
    <font>
      <b/>
      <sz val="8"/>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b/>
      <sz val="9"/>
      <name val="Times New Roman"/>
      <family val="1"/>
    </font>
    <font>
      <sz val="12"/>
      <name val="Times New Roman"/>
      <family val="1"/>
    </font>
    <font>
      <sz val="10"/>
      <name val="Times New Roman"/>
      <family val="1"/>
    </font>
    <font>
      <b/>
      <sz val="12"/>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b/>
      <sz val="10"/>
      <name val="Times New Roman"/>
      <family val="1"/>
    </font>
    <font>
      <b/>
      <i/>
      <sz val="8"/>
      <name val="Arial"/>
      <family val="2"/>
    </font>
    <font>
      <b/>
      <sz val="8"/>
      <name val="Arial"/>
      <family val="2"/>
    </font>
    <font>
      <sz val="10"/>
      <name val="Arial"/>
      <family val="2"/>
    </font>
    <font>
      <b/>
      <sz val="10"/>
      <name val="Arial"/>
      <family val="2"/>
    </font>
    <font>
      <i/>
      <sz val="10"/>
      <name val="Times New Roman"/>
      <family val="1"/>
    </font>
    <font>
      <b/>
      <sz val="18"/>
      <name val="Times New Roman"/>
      <family val="1"/>
    </font>
    <font>
      <b/>
      <i/>
      <sz val="10"/>
      <name val="Times New Roman"/>
      <family val="1"/>
    </font>
    <font>
      <sz val="10"/>
      <color indexed="10"/>
      <name val="Times New Roman"/>
      <family val="1"/>
    </font>
    <font>
      <b/>
      <i/>
      <sz val="10"/>
      <color indexed="10"/>
      <name val="Times New Roman"/>
      <family val="1"/>
    </font>
    <font>
      <b/>
      <sz val="10"/>
      <color indexed="10"/>
      <name val="Times New Roman"/>
      <family val="1"/>
    </font>
    <font>
      <b/>
      <i/>
      <sz val="10"/>
      <color indexed="8"/>
      <name val="Times New Roman"/>
      <family val="1"/>
    </font>
    <font>
      <b/>
      <sz val="10"/>
      <color indexed="8"/>
      <name val="Times New Roman"/>
      <family val="1"/>
    </font>
    <font>
      <sz val="10"/>
      <color indexed="8"/>
      <name val="Times New Roman"/>
      <family val="1"/>
    </font>
    <font>
      <i/>
      <sz val="11"/>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6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8" fillId="0" borderId="0">
      <alignment/>
      <protection/>
    </xf>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372">
    <xf numFmtId="0" fontId="0" fillId="0" borderId="0" xfId="0" applyAlignment="1">
      <alignment/>
    </xf>
    <xf numFmtId="0" fontId="1" fillId="0" borderId="0" xfId="0" applyFont="1" applyFill="1" applyAlignment="1">
      <alignment horizontal="center"/>
    </xf>
    <xf numFmtId="4" fontId="1" fillId="0" borderId="0" xfId="0" applyNumberFormat="1" applyFont="1" applyFill="1" applyAlignment="1">
      <alignment horizontal="center"/>
    </xf>
    <xf numFmtId="2" fontId="1" fillId="0" borderId="0" xfId="0" applyNumberFormat="1" applyFont="1" applyFill="1" applyBorder="1" applyAlignment="1">
      <alignment horizontal="center" vertical="center" wrapText="1"/>
    </xf>
    <xf numFmtId="0" fontId="1" fillId="0" borderId="0" xfId="0" applyFont="1" applyFill="1" applyAlignment="1">
      <alignment/>
    </xf>
    <xf numFmtId="4" fontId="1" fillId="0" borderId="0" xfId="0" applyNumberFormat="1" applyFont="1" applyFill="1" applyAlignment="1">
      <alignment/>
    </xf>
    <xf numFmtId="0" fontId="8" fillId="0" borderId="0" xfId="0" applyFont="1" applyFill="1" applyAlignment="1">
      <alignment/>
    </xf>
    <xf numFmtId="1" fontId="1" fillId="0" borderId="0" xfId="0" applyNumberFormat="1" applyFont="1" applyFill="1" applyAlignment="1">
      <alignment/>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3"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16" fillId="0" borderId="0" xfId="0" applyFont="1" applyFill="1" applyAlignment="1">
      <alignment vertical="center"/>
    </xf>
    <xf numFmtId="2" fontId="3" fillId="0" borderId="0" xfId="0" applyNumberFormat="1" applyFont="1" applyFill="1" applyBorder="1" applyAlignment="1">
      <alignment horizontal="left" vertical="center" wrapText="1"/>
    </xf>
    <xf numFmtId="0" fontId="16" fillId="0" borderId="0" xfId="0" applyFont="1" applyFill="1" applyAlignment="1">
      <alignment horizontal="left"/>
    </xf>
    <xf numFmtId="4" fontId="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left" vertical="center" wrapText="1"/>
    </xf>
    <xf numFmtId="4" fontId="0" fillId="0" borderId="0" xfId="0" applyNumberFormat="1" applyFont="1" applyFill="1" applyAlignment="1">
      <alignment/>
    </xf>
    <xf numFmtId="4" fontId="8" fillId="0" borderId="0" xfId="0" applyNumberFormat="1" applyFont="1" applyFill="1" applyAlignment="1">
      <alignment/>
    </xf>
    <xf numFmtId="0" fontId="12" fillId="0" borderId="0" xfId="0" applyFont="1" applyFill="1" applyAlignment="1">
      <alignment vertical="center" wrapText="1"/>
    </xf>
    <xf numFmtId="2" fontId="0" fillId="0" borderId="0" xfId="0" applyNumberFormat="1" applyFont="1" applyFill="1" applyAlignment="1">
      <alignment/>
    </xf>
    <xf numFmtId="0" fontId="12" fillId="0" borderId="0" xfId="0" applyFont="1" applyFill="1" applyAlignment="1">
      <alignment/>
    </xf>
    <xf numFmtId="14" fontId="8" fillId="0" borderId="0" xfId="0" applyNumberFormat="1" applyFont="1" applyFill="1" applyAlignment="1">
      <alignment horizontal="left" vertical="center" wrapText="1"/>
    </xf>
    <xf numFmtId="0" fontId="8" fillId="0" borderId="0" xfId="0" applyFont="1" applyFill="1" applyAlignment="1">
      <alignment horizontal="center" vertical="center" wrapText="1"/>
    </xf>
    <xf numFmtId="4" fontId="8" fillId="0" borderId="0" xfId="0" applyNumberFormat="1" applyFont="1" applyFill="1" applyAlignment="1">
      <alignment horizontal="center" vertical="center" wrapText="1"/>
    </xf>
    <xf numFmtId="1" fontId="0" fillId="0" borderId="0" xfId="0" applyNumberFormat="1" applyFont="1" applyFill="1" applyAlignment="1">
      <alignment/>
    </xf>
    <xf numFmtId="4" fontId="12" fillId="0" borderId="0" xfId="0" applyNumberFormat="1" applyFont="1" applyFill="1" applyAlignment="1">
      <alignment/>
    </xf>
    <xf numFmtId="0" fontId="12" fillId="0" borderId="0" xfId="0" applyFont="1" applyFill="1" applyBorder="1" applyAlignment="1">
      <alignment/>
    </xf>
    <xf numFmtId="4" fontId="12" fillId="0" borderId="0" xfId="0" applyNumberFormat="1" applyFont="1" applyFill="1" applyBorder="1" applyAlignment="1">
      <alignment/>
    </xf>
    <xf numFmtId="0" fontId="11" fillId="0" borderId="0" xfId="0" applyFont="1" applyFill="1" applyAlignment="1">
      <alignment horizontal="center"/>
    </xf>
    <xf numFmtId="4" fontId="11" fillId="0" borderId="0" xfId="0" applyNumberFormat="1" applyFont="1" applyFill="1" applyAlignment="1">
      <alignment horizontal="center"/>
    </xf>
    <xf numFmtId="1" fontId="15" fillId="0"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ont="1" applyFill="1" applyAlignment="1">
      <alignment/>
    </xf>
    <xf numFmtId="4" fontId="7"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7"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2" fontId="3" fillId="33" borderId="0" xfId="0" applyNumberFormat="1" applyFont="1" applyFill="1" applyBorder="1" applyAlignment="1">
      <alignment horizontal="center" vertical="center" wrapText="1"/>
    </xf>
    <xf numFmtId="0" fontId="16" fillId="33" borderId="0" xfId="0" applyFont="1" applyFill="1" applyAlignment="1">
      <alignment/>
    </xf>
    <xf numFmtId="4" fontId="8" fillId="0" borderId="0" xfId="0" applyNumberFormat="1" applyFont="1" applyFill="1" applyAlignment="1">
      <alignment horizontal="center"/>
    </xf>
    <xf numFmtId="0" fontId="8" fillId="33" borderId="0" xfId="53" applyFont="1" applyFill="1">
      <alignment/>
      <protection/>
    </xf>
    <xf numFmtId="0" fontId="8" fillId="33" borderId="0" xfId="53" applyFont="1" applyFill="1" applyAlignment="1">
      <alignment/>
      <protection/>
    </xf>
    <xf numFmtId="0" fontId="8" fillId="33" borderId="0" xfId="53" applyFont="1" applyFill="1" applyAlignment="1">
      <alignment horizontal="center"/>
      <protection/>
    </xf>
    <xf numFmtId="0" fontId="1" fillId="34" borderId="0" xfId="0" applyFont="1" applyFill="1" applyAlignment="1">
      <alignment/>
    </xf>
    <xf numFmtId="0" fontId="0" fillId="34" borderId="0" xfId="0" applyFont="1" applyFill="1" applyAlignment="1">
      <alignment/>
    </xf>
    <xf numFmtId="0" fontId="3" fillId="34" borderId="0" xfId="0" applyFont="1" applyFill="1" applyAlignment="1">
      <alignment/>
    </xf>
    <xf numFmtId="0" fontId="16" fillId="34" borderId="0" xfId="0" applyFont="1" applyFill="1" applyAlignment="1">
      <alignment/>
    </xf>
    <xf numFmtId="0" fontId="3" fillId="33" borderId="0" xfId="0" applyFont="1" applyFill="1" applyAlignment="1">
      <alignment/>
    </xf>
    <xf numFmtId="0" fontId="2" fillId="34" borderId="0" xfId="0" applyFont="1" applyFill="1" applyAlignment="1">
      <alignment/>
    </xf>
    <xf numFmtId="0" fontId="17" fillId="34" borderId="0" xfId="0" applyFont="1" applyFill="1" applyAlignment="1">
      <alignment/>
    </xf>
    <xf numFmtId="0" fontId="0" fillId="33" borderId="0" xfId="0" applyFont="1" applyFill="1" applyAlignment="1">
      <alignment/>
    </xf>
    <xf numFmtId="0" fontId="0" fillId="34" borderId="0" xfId="0" applyFont="1" applyFill="1" applyAlignment="1">
      <alignment/>
    </xf>
    <xf numFmtId="0" fontId="2" fillId="33" borderId="0" xfId="0" applyFont="1" applyFill="1" applyAlignment="1">
      <alignment/>
    </xf>
    <xf numFmtId="0" fontId="17" fillId="33" borderId="0" xfId="0" applyFont="1" applyFill="1" applyAlignment="1">
      <alignment/>
    </xf>
    <xf numFmtId="0" fontId="1" fillId="33" borderId="10" xfId="0" applyFont="1" applyFill="1" applyBorder="1" applyAlignment="1">
      <alignment/>
    </xf>
    <xf numFmtId="0" fontId="0" fillId="33" borderId="10" xfId="0" applyFont="1" applyFill="1" applyBorder="1" applyAlignment="1">
      <alignment/>
    </xf>
    <xf numFmtId="0" fontId="1" fillId="35" borderId="0" xfId="0" applyFont="1" applyFill="1" applyAlignment="1">
      <alignment/>
    </xf>
    <xf numFmtId="0" fontId="0" fillId="35" borderId="0" xfId="0" applyFont="1" applyFill="1" applyAlignment="1">
      <alignment/>
    </xf>
    <xf numFmtId="0" fontId="3" fillId="35"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Alignment="1">
      <alignment/>
    </xf>
    <xf numFmtId="0" fontId="18" fillId="34" borderId="0" xfId="0" applyFont="1" applyFill="1" applyAlignment="1">
      <alignment/>
    </xf>
    <xf numFmtId="4"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15" fillId="34" borderId="0" xfId="0" applyFont="1" applyFill="1" applyAlignment="1">
      <alignment/>
    </xf>
    <xf numFmtId="0" fontId="19" fillId="34" borderId="0" xfId="0" applyFont="1" applyFill="1" applyAlignment="1">
      <alignment/>
    </xf>
    <xf numFmtId="4" fontId="7" fillId="35" borderId="10" xfId="0" applyNumberFormat="1" applyFont="1" applyFill="1" applyBorder="1" applyAlignment="1">
      <alignment horizontal="center" vertical="center" wrapText="1"/>
    </xf>
    <xf numFmtId="0" fontId="15" fillId="35" borderId="10" xfId="0" applyFont="1" applyFill="1" applyBorder="1" applyAlignment="1">
      <alignment horizontal="center" vertical="center" wrapText="1"/>
    </xf>
    <xf numFmtId="4" fontId="15" fillId="35" borderId="10" xfId="0" applyNumberFormat="1" applyFont="1" applyFill="1" applyBorder="1" applyAlignment="1">
      <alignment horizontal="center" vertical="center" wrapText="1"/>
    </xf>
    <xf numFmtId="0" fontId="9" fillId="35" borderId="0" xfId="0" applyFont="1" applyFill="1" applyAlignment="1">
      <alignment/>
    </xf>
    <xf numFmtId="0" fontId="18" fillId="35" borderId="0" xfId="0" applyFont="1" applyFill="1" applyAlignment="1">
      <alignment/>
    </xf>
    <xf numFmtId="0" fontId="15" fillId="34" borderId="10" xfId="0" applyFont="1" applyFill="1" applyBorder="1" applyAlignment="1">
      <alignment/>
    </xf>
    <xf numFmtId="0" fontId="19" fillId="34" borderId="10" xfId="0" applyFont="1" applyFill="1" applyBorder="1" applyAlignment="1">
      <alignment/>
    </xf>
    <xf numFmtId="0" fontId="2" fillId="0" borderId="0" xfId="0" applyFont="1" applyFill="1" applyAlignment="1">
      <alignment/>
    </xf>
    <xf numFmtId="0" fontId="3" fillId="0" borderId="10" xfId="0" applyFont="1" applyFill="1" applyBorder="1" applyAlignment="1">
      <alignment/>
    </xf>
    <xf numFmtId="0" fontId="16" fillId="0" borderId="10" xfId="0" applyFont="1" applyFill="1" applyBorder="1" applyAlignment="1">
      <alignment/>
    </xf>
    <xf numFmtId="0" fontId="9" fillId="35" borderId="10" xfId="0" applyFont="1" applyFill="1" applyBorder="1" applyAlignment="1">
      <alignment horizontal="left" wrapText="1"/>
    </xf>
    <xf numFmtId="0" fontId="15" fillId="35" borderId="0" xfId="0" applyFont="1" applyFill="1" applyAlignment="1">
      <alignment/>
    </xf>
    <xf numFmtId="0" fontId="19" fillId="35" borderId="0" xfId="0" applyFont="1" applyFill="1" applyAlignment="1">
      <alignment/>
    </xf>
    <xf numFmtId="4" fontId="20" fillId="35" borderId="10" xfId="0" applyNumberFormat="1" applyFont="1" applyFill="1" applyBorder="1" applyAlignment="1">
      <alignment horizontal="center" vertical="center"/>
    </xf>
    <xf numFmtId="4" fontId="15" fillId="35" borderId="10" xfId="0" applyNumberFormat="1" applyFont="1" applyFill="1" applyBorder="1" applyAlignment="1">
      <alignment horizontal="center" vertical="center"/>
    </xf>
    <xf numFmtId="0" fontId="9" fillId="34" borderId="10" xfId="0" applyFont="1" applyFill="1" applyBorder="1" applyAlignment="1">
      <alignment horizontal="left" wrapText="1"/>
    </xf>
    <xf numFmtId="4" fontId="9" fillId="34" borderId="10" xfId="0" applyNumberFormat="1" applyFont="1" applyFill="1" applyBorder="1" applyAlignment="1">
      <alignment horizontal="center" vertical="center"/>
    </xf>
    <xf numFmtId="4" fontId="15" fillId="34" borderId="10" xfId="0" applyNumberFormat="1" applyFont="1" applyFill="1" applyBorder="1" applyAlignment="1">
      <alignment horizontal="center" vertical="center"/>
    </xf>
    <xf numFmtId="0" fontId="9" fillId="33" borderId="10" xfId="0" applyFont="1" applyFill="1" applyBorder="1" applyAlignment="1">
      <alignment horizontal="left" wrapText="1"/>
    </xf>
    <xf numFmtId="4" fontId="9" fillId="33" borderId="10" xfId="0" applyNumberFormat="1" applyFont="1" applyFill="1" applyBorder="1" applyAlignment="1">
      <alignment horizontal="center" vertical="center"/>
    </xf>
    <xf numFmtId="4" fontId="15" fillId="33" borderId="10" xfId="0" applyNumberFormat="1" applyFont="1" applyFill="1" applyBorder="1" applyAlignment="1">
      <alignment horizontal="center" vertical="center"/>
    </xf>
    <xf numFmtId="0" fontId="15" fillId="33" borderId="0" xfId="0" applyFont="1" applyFill="1" applyAlignment="1">
      <alignment/>
    </xf>
    <xf numFmtId="0" fontId="19" fillId="33" borderId="0" xfId="0" applyFont="1" applyFill="1" applyAlignment="1">
      <alignment/>
    </xf>
    <xf numFmtId="0" fontId="15" fillId="0" borderId="0" xfId="0" applyFont="1" applyFill="1" applyAlignment="1">
      <alignment/>
    </xf>
    <xf numFmtId="0" fontId="19" fillId="0" borderId="0" xfId="0" applyFont="1" applyFill="1" applyAlignment="1">
      <alignment/>
    </xf>
    <xf numFmtId="0" fontId="9" fillId="35" borderId="10" xfId="0" applyFont="1" applyFill="1" applyBorder="1" applyAlignment="1">
      <alignment horizontal="center" vertical="center" wrapText="1"/>
    </xf>
    <xf numFmtId="2" fontId="1" fillId="33" borderId="0" xfId="0" applyNumberFormat="1" applyFont="1" applyFill="1" applyBorder="1" applyAlignment="1">
      <alignment horizontal="center" vertical="center" wrapText="1"/>
    </xf>
    <xf numFmtId="2" fontId="9" fillId="35" borderId="0" xfId="0" applyNumberFormat="1" applyFont="1" applyFill="1" applyBorder="1" applyAlignment="1">
      <alignment horizontal="center" vertical="center" wrapText="1"/>
    </xf>
    <xf numFmtId="2" fontId="15" fillId="34" borderId="0" xfId="0" applyNumberFormat="1" applyFont="1" applyFill="1" applyBorder="1" applyAlignment="1">
      <alignment horizontal="center" vertical="center" wrapText="1"/>
    </xf>
    <xf numFmtId="0" fontId="19" fillId="34" borderId="0" xfId="0" applyFont="1" applyFill="1" applyAlignment="1">
      <alignment horizontal="center" vertical="center"/>
    </xf>
    <xf numFmtId="49" fontId="15" fillId="35" borderId="10" xfId="0" applyNumberFormat="1" applyFont="1" applyFill="1" applyBorder="1" applyAlignment="1">
      <alignment horizontal="center" vertical="center" wrapText="1"/>
    </xf>
    <xf numFmtId="4" fontId="9" fillId="35" borderId="10" xfId="0" applyNumberFormat="1" applyFont="1" applyFill="1" applyBorder="1" applyAlignment="1">
      <alignment horizontal="center" vertical="center" wrapText="1"/>
    </xf>
    <xf numFmtId="4" fontId="9" fillId="34" borderId="10" xfId="0" applyNumberFormat="1" applyFont="1" applyFill="1" applyBorder="1" applyAlignment="1">
      <alignment horizontal="center" vertical="center" wrapText="1"/>
    </xf>
    <xf numFmtId="4" fontId="15" fillId="34" borderId="10" xfId="0" applyNumberFormat="1" applyFont="1" applyFill="1" applyBorder="1" applyAlignment="1">
      <alignment horizontal="center"/>
    </xf>
    <xf numFmtId="4" fontId="9" fillId="35" borderId="10" xfId="0" applyNumberFormat="1" applyFont="1" applyFill="1" applyBorder="1" applyAlignment="1">
      <alignment horizontal="center"/>
    </xf>
    <xf numFmtId="2" fontId="15" fillId="35" borderId="0" xfId="0" applyNumberFormat="1" applyFont="1" applyFill="1" applyBorder="1" applyAlignment="1">
      <alignment horizontal="center" vertical="center" wrapText="1"/>
    </xf>
    <xf numFmtId="2" fontId="9" fillId="34" borderId="0" xfId="0" applyNumberFormat="1" applyFont="1" applyFill="1" applyBorder="1" applyAlignment="1">
      <alignment horizontal="center" vertical="center" wrapText="1"/>
    </xf>
    <xf numFmtId="4" fontId="15" fillId="35" borderId="10" xfId="0" applyNumberFormat="1" applyFont="1" applyFill="1" applyBorder="1" applyAlignment="1">
      <alignment horizontal="center"/>
    </xf>
    <xf numFmtId="4" fontId="20" fillId="35" borderId="10" xfId="0" applyNumberFormat="1" applyFont="1" applyFill="1" applyBorder="1" applyAlignment="1">
      <alignment horizontal="center" vertical="center" wrapText="1"/>
    </xf>
    <xf numFmtId="3" fontId="15" fillId="35" borderId="10" xfId="0" applyNumberFormat="1" applyFont="1" applyFill="1" applyBorder="1" applyAlignment="1">
      <alignment horizontal="center" vertical="center" wrapText="1"/>
    </xf>
    <xf numFmtId="3"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wrapText="1"/>
    </xf>
    <xf numFmtId="0" fontId="8" fillId="33" borderId="0" xfId="53" applyFont="1" applyFill="1" applyAlignment="1">
      <alignment horizontal="left" vertical="center" wrapText="1"/>
      <protection/>
    </xf>
    <xf numFmtId="2" fontId="1" fillId="36" borderId="0" xfId="0" applyNumberFormat="1" applyFont="1" applyFill="1" applyBorder="1" applyAlignment="1">
      <alignment horizontal="center" vertical="center" wrapText="1"/>
    </xf>
    <xf numFmtId="0" fontId="0" fillId="36" borderId="0" xfId="0" applyFont="1" applyFill="1" applyAlignment="1">
      <alignment/>
    </xf>
    <xf numFmtId="0" fontId="1" fillId="36" borderId="0" xfId="0" applyFont="1" applyFill="1" applyAlignment="1">
      <alignment/>
    </xf>
    <xf numFmtId="4" fontId="9" fillId="0" borderId="10" xfId="0" applyNumberFormat="1" applyFont="1" applyFill="1" applyBorder="1" applyAlignment="1">
      <alignment horizontal="center" vertical="center"/>
    </xf>
    <xf numFmtId="0" fontId="15" fillId="2" borderId="10" xfId="0" applyFont="1" applyFill="1" applyBorder="1" applyAlignment="1">
      <alignment horizontal="left" vertical="center" wrapText="1"/>
    </xf>
    <xf numFmtId="0" fontId="9" fillId="2" borderId="10" xfId="0" applyFont="1" applyFill="1" applyBorder="1" applyAlignment="1">
      <alignment horizontal="center" vertical="center" wrapText="1"/>
    </xf>
    <xf numFmtId="4" fontId="9"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3" fontId="15" fillId="2" borderId="1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0" fillId="2" borderId="0" xfId="0" applyFont="1" applyFill="1" applyAlignment="1">
      <alignment/>
    </xf>
    <xf numFmtId="4" fontId="10" fillId="0" borderId="0" xfId="0" applyNumberFormat="1" applyFont="1" applyFill="1" applyBorder="1" applyAlignment="1">
      <alignment horizontal="left" wrapText="1"/>
    </xf>
    <xf numFmtId="4" fontId="9"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2" fillId="0" borderId="12" xfId="0" applyFont="1" applyFill="1" applyBorder="1" applyAlignment="1">
      <alignment horizontal="left" wrapText="1"/>
    </xf>
    <xf numFmtId="0" fontId="22"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15" fillId="33" borderId="10" xfId="0" applyFont="1" applyFill="1" applyBorder="1" applyAlignment="1">
      <alignment horizontal="left" vertical="center" wrapText="1"/>
    </xf>
    <xf numFmtId="219" fontId="22" fillId="37" borderId="10" xfId="0" applyNumberFormat="1" applyFont="1" applyFill="1" applyBorder="1" applyAlignment="1">
      <alignment horizontal="left" vertical="center" wrapText="1"/>
    </xf>
    <xf numFmtId="0" fontId="22" fillId="33" borderId="10" xfId="0" applyFont="1" applyFill="1" applyBorder="1" applyAlignment="1">
      <alignment horizontal="left" wrapText="1"/>
    </xf>
    <xf numFmtId="0" fontId="15" fillId="33" borderId="10" xfId="0" applyFont="1" applyFill="1" applyBorder="1" applyAlignment="1">
      <alignment horizontal="left" wrapText="1"/>
    </xf>
    <xf numFmtId="0" fontId="9" fillId="33" borderId="10" xfId="0" applyFont="1" applyFill="1" applyBorder="1" applyAlignment="1">
      <alignment horizontal="left" vertical="top" wrapText="1"/>
    </xf>
    <xf numFmtId="0" fontId="9" fillId="33" borderId="11" xfId="0" applyFont="1" applyFill="1" applyBorder="1" applyAlignment="1">
      <alignment horizontal="left" wrapText="1"/>
    </xf>
    <xf numFmtId="0" fontId="22" fillId="0" borderId="10" xfId="0" applyFont="1" applyFill="1" applyBorder="1" applyAlignment="1">
      <alignment horizontal="left" wrapText="1"/>
    </xf>
    <xf numFmtId="0" fontId="15" fillId="0" borderId="10" xfId="0" applyFont="1" applyFill="1" applyBorder="1" applyAlignment="1">
      <alignment horizontal="left" wrapText="1"/>
    </xf>
    <xf numFmtId="0" fontId="9" fillId="0" borderId="10" xfId="0" applyFont="1" applyFill="1" applyBorder="1" applyAlignment="1">
      <alignment horizontal="left" wrapText="1"/>
    </xf>
    <xf numFmtId="0" fontId="15" fillId="0" borderId="12" xfId="0" applyFont="1" applyFill="1" applyBorder="1" applyAlignment="1">
      <alignment horizontal="left" wrapText="1"/>
    </xf>
    <xf numFmtId="0" fontId="9" fillId="0" borderId="13" xfId="0" applyFont="1" applyFill="1" applyBorder="1" applyAlignment="1">
      <alignment horizontal="left" wrapText="1"/>
    </xf>
    <xf numFmtId="0" fontId="9" fillId="0" borderId="10" xfId="0" applyFont="1" applyFill="1" applyBorder="1" applyAlignment="1">
      <alignment wrapText="1"/>
    </xf>
    <xf numFmtId="0" fontId="22" fillId="0" borderId="10" xfId="53" applyFont="1" applyFill="1" applyBorder="1" applyAlignment="1">
      <alignment horizontal="left" vertical="center" wrapText="1"/>
      <protection/>
    </xf>
    <xf numFmtId="0" fontId="22" fillId="36" borderId="10" xfId="53" applyFont="1" applyFill="1" applyBorder="1" applyAlignment="1">
      <alignment horizontal="left" vertical="center" wrapText="1"/>
      <protection/>
    </xf>
    <xf numFmtId="0" fontId="20" fillId="33"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4" fontId="22"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33" borderId="0" xfId="0" applyFont="1" applyFill="1" applyBorder="1" applyAlignment="1">
      <alignment horizontal="left" vertical="center" wrapText="1"/>
    </xf>
    <xf numFmtId="3" fontId="9"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22" fillId="37"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4" fontId="9" fillId="36" borderId="10" xfId="0" applyNumberFormat="1" applyFont="1" applyFill="1" applyBorder="1" applyAlignment="1">
      <alignment horizontal="center" vertical="center" wrapText="1"/>
    </xf>
    <xf numFmtId="4" fontId="9" fillId="37" borderId="10" xfId="0" applyNumberFormat="1" applyFont="1" applyFill="1" applyBorder="1" applyAlignment="1">
      <alignment horizontal="center" vertical="center" wrapText="1"/>
    </xf>
    <xf numFmtId="0" fontId="9" fillId="37" borderId="10" xfId="0" applyFont="1" applyFill="1" applyBorder="1" applyAlignment="1">
      <alignment horizontal="left" vertical="center" wrapText="1"/>
    </xf>
    <xf numFmtId="0" fontId="23" fillId="33" borderId="10" xfId="0" applyFont="1" applyFill="1" applyBorder="1" applyAlignment="1">
      <alignment horizontal="center" vertical="center" wrapText="1"/>
    </xf>
    <xf numFmtId="0" fontId="24" fillId="33"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33" borderId="10" xfId="0" applyFont="1" applyFill="1" applyBorder="1" applyAlignment="1">
      <alignment horizontal="center" vertical="center" wrapText="1"/>
    </xf>
    <xf numFmtId="4" fontId="20" fillId="33" borderId="10" xfId="0" applyNumberFormat="1" applyFont="1" applyFill="1" applyBorder="1" applyAlignment="1">
      <alignment horizontal="center" vertical="center" wrapText="1"/>
    </xf>
    <xf numFmtId="0" fontId="22" fillId="34" borderId="10" xfId="0" applyFont="1" applyFill="1" applyBorder="1" applyAlignment="1">
      <alignment horizontal="center" vertical="center" wrapText="1"/>
    </xf>
    <xf numFmtId="4" fontId="22" fillId="34"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4" fontId="9" fillId="0" borderId="11" xfId="0" applyNumberFormat="1" applyFont="1" applyFill="1" applyBorder="1" applyAlignment="1">
      <alignment horizontal="center" vertical="center" wrapText="1"/>
    </xf>
    <xf numFmtId="4" fontId="22" fillId="0" borderId="12" xfId="0" applyNumberFormat="1" applyFont="1" applyFill="1" applyBorder="1" applyAlignment="1">
      <alignment horizontal="center" vertical="center"/>
    </xf>
    <xf numFmtId="0" fontId="9" fillId="0" borderId="12" xfId="0" applyFont="1" applyFill="1" applyBorder="1" applyAlignment="1">
      <alignment horizontal="left" wrapText="1"/>
    </xf>
    <xf numFmtId="4" fontId="20" fillId="0" borderId="12"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3" fontId="20" fillId="0" borderId="12" xfId="0" applyNumberFormat="1" applyFont="1" applyFill="1" applyBorder="1" applyAlignment="1">
      <alignment horizontal="center" vertical="center"/>
    </xf>
    <xf numFmtId="0" fontId="22" fillId="0" borderId="0" xfId="0" applyFont="1" applyFill="1" applyBorder="1" applyAlignment="1">
      <alignment horizontal="left" wrapText="1"/>
    </xf>
    <xf numFmtId="4" fontId="15" fillId="0" borderId="12" xfId="0" applyNumberFormat="1" applyFont="1" applyFill="1" applyBorder="1" applyAlignment="1">
      <alignment horizontal="center" vertical="center"/>
    </xf>
    <xf numFmtId="0" fontId="15" fillId="33" borderId="12" xfId="0" applyFont="1" applyFill="1" applyBorder="1" applyAlignment="1">
      <alignment horizontal="left" wrapText="1"/>
    </xf>
    <xf numFmtId="4" fontId="22" fillId="33" borderId="12" xfId="0" applyNumberFormat="1" applyFont="1" applyFill="1" applyBorder="1" applyAlignment="1">
      <alignment horizontal="center" vertical="center"/>
    </xf>
    <xf numFmtId="4" fontId="15"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9" fillId="0" borderId="0" xfId="0" applyFont="1" applyFill="1" applyBorder="1" applyAlignment="1">
      <alignment horizontal="left" wrapText="1"/>
    </xf>
    <xf numFmtId="0" fontId="9" fillId="0" borderId="14" xfId="0" applyFont="1" applyFill="1" applyBorder="1" applyAlignment="1">
      <alignment horizontal="left" wrapText="1"/>
    </xf>
    <xf numFmtId="0" fontId="9" fillId="33" borderId="12" xfId="0" applyFont="1" applyFill="1" applyBorder="1" applyAlignment="1">
      <alignment horizontal="left" wrapText="1"/>
    </xf>
    <xf numFmtId="4" fontId="20" fillId="33" borderId="12" xfId="0" applyNumberFormat="1" applyFont="1" applyFill="1" applyBorder="1" applyAlignment="1">
      <alignment horizontal="center" vertical="center"/>
    </xf>
    <xf numFmtId="0" fontId="9" fillId="33" borderId="13" xfId="0" applyFont="1" applyFill="1" applyBorder="1" applyAlignment="1">
      <alignment horizontal="left" wrapText="1"/>
    </xf>
    <xf numFmtId="4" fontId="20" fillId="33" borderId="13" xfId="0" applyNumberFormat="1" applyFont="1" applyFill="1" applyBorder="1" applyAlignment="1">
      <alignment horizontal="center" vertical="center"/>
    </xf>
    <xf numFmtId="4" fontId="9" fillId="33" borderId="13"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4" fontId="22" fillId="0" borderId="10" xfId="0" applyNumberFormat="1" applyFont="1" applyFill="1" applyBorder="1" applyAlignment="1">
      <alignment horizontal="center" vertical="center"/>
    </xf>
    <xf numFmtId="4" fontId="20" fillId="33"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xf>
    <xf numFmtId="0" fontId="9" fillId="38" borderId="10" xfId="0" applyFont="1" applyFill="1" applyBorder="1" applyAlignment="1">
      <alignment horizontal="center" vertical="center" wrapText="1"/>
    </xf>
    <xf numFmtId="4" fontId="15" fillId="37" borderId="10" xfId="0" applyNumberFormat="1" applyFont="1" applyFill="1" applyBorder="1" applyAlignment="1">
      <alignment horizontal="center" vertical="center" wrapText="1"/>
    </xf>
    <xf numFmtId="4" fontId="9" fillId="33" borderId="15" xfId="0" applyNumberFormat="1" applyFont="1" applyFill="1" applyBorder="1" applyAlignment="1">
      <alignment horizontal="center" vertical="center" wrapText="1"/>
    </xf>
    <xf numFmtId="0" fontId="15" fillId="34" borderId="15"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2" fontId="22" fillId="33" borderId="10" xfId="0" applyNumberFormat="1" applyFont="1" applyFill="1" applyBorder="1" applyAlignment="1">
      <alignment horizontal="center" vertical="center"/>
    </xf>
    <xf numFmtId="0" fontId="22" fillId="33" borderId="10" xfId="0" applyFont="1" applyFill="1" applyBorder="1" applyAlignment="1">
      <alignment horizontal="center" vertical="center"/>
    </xf>
    <xf numFmtId="0" fontId="15" fillId="33" borderId="10" xfId="0" applyFont="1" applyFill="1" applyBorder="1" applyAlignment="1">
      <alignment horizontal="center" vertical="center"/>
    </xf>
    <xf numFmtId="2" fontId="9" fillId="33" borderId="10" xfId="0" applyNumberFormat="1" applyFont="1" applyFill="1" applyBorder="1" applyAlignment="1">
      <alignment horizontal="center" vertical="center"/>
    </xf>
    <xf numFmtId="37" fontId="22" fillId="33" borderId="10" xfId="0" applyNumberFormat="1" applyFont="1" applyFill="1" applyBorder="1" applyAlignment="1">
      <alignment horizontal="center" vertical="center"/>
    </xf>
    <xf numFmtId="37" fontId="20" fillId="33" borderId="10" xfId="0" applyNumberFormat="1" applyFont="1" applyFill="1" applyBorder="1" applyAlignment="1">
      <alignment horizontal="center" vertical="center"/>
    </xf>
    <xf numFmtId="1" fontId="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215" fontId="9" fillId="33" borderId="10" xfId="0" applyNumberFormat="1" applyFont="1" applyFill="1" applyBorder="1" applyAlignment="1">
      <alignment horizontal="center" vertical="center"/>
    </xf>
    <xf numFmtId="215" fontId="20" fillId="33" borderId="10" xfId="0" applyNumberFormat="1" applyFont="1" applyFill="1" applyBorder="1" applyAlignment="1">
      <alignment horizontal="center" vertical="center"/>
    </xf>
    <xf numFmtId="2" fontId="20" fillId="33" borderId="10" xfId="0" applyNumberFormat="1" applyFont="1" applyFill="1" applyBorder="1" applyAlignment="1">
      <alignment horizontal="center" vertical="center"/>
    </xf>
    <xf numFmtId="0" fontId="20" fillId="33" borderId="10" xfId="0" applyFont="1" applyFill="1" applyBorder="1" applyAlignment="1">
      <alignment horizontal="center" vertical="center"/>
    </xf>
    <xf numFmtId="4" fontId="22" fillId="33" borderId="10" xfId="0" applyNumberFormat="1" applyFont="1" applyFill="1" applyBorder="1" applyAlignment="1">
      <alignment horizontal="center" vertical="center"/>
    </xf>
    <xf numFmtId="2" fontId="15" fillId="33" borderId="10"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xf>
    <xf numFmtId="2" fontId="9" fillId="33" borderId="11"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26" fillId="0" borderId="10" xfId="0" applyFont="1" applyFill="1" applyBorder="1" applyAlignment="1">
      <alignment horizontal="left" wrapText="1"/>
    </xf>
    <xf numFmtId="2"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2" fontId="9" fillId="0" borderId="10"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27" fillId="0" borderId="10" xfId="0" applyFont="1" applyFill="1" applyBorder="1" applyAlignment="1">
      <alignment horizontal="left" wrapText="1"/>
    </xf>
    <xf numFmtId="0" fontId="28" fillId="0" borderId="10" xfId="0" applyFont="1" applyFill="1" applyBorder="1" applyAlignment="1">
      <alignment horizontal="left" wrapText="1"/>
    </xf>
    <xf numFmtId="37" fontId="20" fillId="0" borderId="10" xfId="0" applyNumberFormat="1" applyFont="1" applyFill="1" applyBorder="1" applyAlignment="1">
      <alignment horizontal="center" vertical="center"/>
    </xf>
    <xf numFmtId="37" fontId="9" fillId="0" borderId="10" xfId="0" applyNumberFormat="1" applyFont="1" applyFill="1" applyBorder="1" applyAlignment="1">
      <alignment horizontal="center" vertical="center"/>
    </xf>
    <xf numFmtId="0" fontId="23" fillId="0" borderId="10" xfId="0" applyFont="1" applyFill="1" applyBorder="1" applyAlignment="1">
      <alignment horizontal="left"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4" fontId="20"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9" fillId="33" borderId="10" xfId="0" applyNumberFormat="1" applyFont="1" applyFill="1" applyBorder="1" applyAlignment="1">
      <alignment horizontal="center"/>
    </xf>
    <xf numFmtId="4" fontId="22" fillId="36" borderId="10" xfId="0" applyNumberFormat="1" applyFont="1" applyFill="1" applyBorder="1" applyAlignment="1">
      <alignment horizontal="center" vertical="center"/>
    </xf>
    <xf numFmtId="4" fontId="22" fillId="36" borderId="1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9" fillId="0" borderId="10" xfId="0" applyNumberFormat="1" applyFont="1" applyFill="1" applyBorder="1" applyAlignment="1">
      <alignment horizontal="center"/>
    </xf>
    <xf numFmtId="4" fontId="22" fillId="33" borderId="10" xfId="0" applyNumberFormat="1" applyFont="1" applyFill="1" applyBorder="1" applyAlignment="1">
      <alignment horizontal="center"/>
    </xf>
    <xf numFmtId="0" fontId="20" fillId="33" borderId="10" xfId="0" applyFont="1" applyFill="1" applyBorder="1" applyAlignment="1">
      <alignment horizontal="center" vertical="center" wrapText="1"/>
    </xf>
    <xf numFmtId="3" fontId="20" fillId="33" borderId="10"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xf>
    <xf numFmtId="1" fontId="9" fillId="2" borderId="10" xfId="0" applyNumberFormat="1" applyFont="1" applyFill="1" applyBorder="1" applyAlignment="1">
      <alignment horizontal="center" vertical="center"/>
    </xf>
    <xf numFmtId="0" fontId="9" fillId="34" borderId="0" xfId="0" applyFont="1" applyFill="1" applyBorder="1" applyAlignment="1">
      <alignment horizontal="center" vertical="center" wrapText="1"/>
    </xf>
    <xf numFmtId="4" fontId="20" fillId="34" borderId="10" xfId="0" applyNumberFormat="1" applyFont="1" applyFill="1" applyBorder="1" applyAlignment="1">
      <alignment horizontal="center" vertical="center"/>
    </xf>
    <xf numFmtId="4" fontId="20" fillId="34" borderId="10" xfId="0" applyNumberFormat="1" applyFont="1" applyFill="1" applyBorder="1" applyAlignment="1">
      <alignment horizontal="center" vertical="center" wrapText="1"/>
    </xf>
    <xf numFmtId="3" fontId="20" fillId="34"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2" fontId="15" fillId="0" borderId="0" xfId="0" applyNumberFormat="1" applyFont="1" applyFill="1" applyBorder="1" applyAlignment="1">
      <alignment horizontal="left" vertical="center" wrapText="1"/>
    </xf>
    <xf numFmtId="4" fontId="15" fillId="0" borderId="10" xfId="0" applyNumberFormat="1" applyFont="1" applyFill="1" applyBorder="1" applyAlignment="1">
      <alignment horizontal="left" vertical="center" wrapText="1"/>
    </xf>
    <xf numFmtId="4" fontId="15" fillId="0" borderId="10" xfId="0" applyNumberFormat="1" applyFont="1" applyFill="1" applyBorder="1" applyAlignment="1">
      <alignment horizontal="left" wrapText="1"/>
    </xf>
    <xf numFmtId="0" fontId="22" fillId="33" borderId="10" xfId="0" applyFont="1" applyFill="1" applyBorder="1" applyAlignment="1">
      <alignment horizontal="left" vertical="top" wrapText="1"/>
    </xf>
    <xf numFmtId="4" fontId="15" fillId="34" borderId="15" xfId="0" applyNumberFormat="1" applyFont="1" applyFill="1" applyBorder="1" applyAlignment="1">
      <alignment horizontal="center" wrapText="1"/>
    </xf>
    <xf numFmtId="0" fontId="15" fillId="37" borderId="10" xfId="0" applyFont="1" applyFill="1" applyBorder="1" applyAlignment="1">
      <alignment horizontal="center" vertical="center" wrapText="1"/>
    </xf>
    <xf numFmtId="0" fontId="1" fillId="37" borderId="0" xfId="0" applyFont="1" applyFill="1" applyAlignment="1">
      <alignment/>
    </xf>
    <xf numFmtId="0" fontId="0" fillId="37" borderId="0" xfId="0" applyFont="1" applyFill="1" applyAlignment="1">
      <alignment/>
    </xf>
    <xf numFmtId="4" fontId="22" fillId="37" borderId="10" xfId="0" applyNumberFormat="1" applyFont="1" applyFill="1" applyBorder="1" applyAlignment="1">
      <alignment horizontal="center" vertical="center" wrapText="1"/>
    </xf>
    <xf numFmtId="0" fontId="9" fillId="35" borderId="15" xfId="0" applyFont="1" applyFill="1" applyBorder="1" applyAlignment="1">
      <alignment horizontal="center" vertical="center" wrapText="1"/>
    </xf>
    <xf numFmtId="3" fontId="9" fillId="33" borderId="15" xfId="0" applyNumberFormat="1" applyFont="1" applyFill="1" applyBorder="1" applyAlignment="1">
      <alignment horizontal="center" vertical="center" wrapText="1"/>
    </xf>
    <xf numFmtId="4" fontId="15" fillId="33" borderId="15"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3" fontId="20" fillId="33" borderId="10" xfId="0" applyNumberFormat="1" applyFont="1" applyFill="1" applyBorder="1" applyAlignment="1">
      <alignment horizontal="center" vertical="center" wrapText="1"/>
    </xf>
    <xf numFmtId="0" fontId="15" fillId="38" borderId="10" xfId="0" applyFont="1" applyFill="1" applyBorder="1" applyAlignment="1">
      <alignment horizontal="center" vertical="center" wrapText="1"/>
    </xf>
    <xf numFmtId="4" fontId="15" fillId="38" borderId="10" xfId="0" applyNumberFormat="1" applyFont="1" applyFill="1" applyBorder="1" applyAlignment="1">
      <alignment horizontal="center" vertical="center"/>
    </xf>
    <xf numFmtId="4" fontId="15" fillId="38" borderId="10" xfId="0" applyNumberFormat="1" applyFont="1" applyFill="1" applyBorder="1" applyAlignment="1">
      <alignment horizontal="center"/>
    </xf>
    <xf numFmtId="4" fontId="20" fillId="38" borderId="10" xfId="0" applyNumberFormat="1" applyFont="1" applyFill="1" applyBorder="1" applyAlignment="1">
      <alignment horizontal="center" vertical="center" wrapText="1"/>
    </xf>
    <xf numFmtId="3" fontId="15" fillId="38" borderId="10" xfId="0" applyNumberFormat="1" applyFont="1" applyFill="1" applyBorder="1" applyAlignment="1">
      <alignment horizontal="center" vertical="center" wrapText="1"/>
    </xf>
    <xf numFmtId="0" fontId="15" fillId="39" borderId="10" xfId="0" applyFont="1" applyFill="1" applyBorder="1" applyAlignment="1">
      <alignment horizontal="left" vertical="center" wrapText="1"/>
    </xf>
    <xf numFmtId="0" fontId="9" fillId="39" borderId="10" xfId="0" applyFont="1" applyFill="1" applyBorder="1" applyAlignment="1">
      <alignment horizontal="center" vertical="center" wrapText="1"/>
    </xf>
    <xf numFmtId="4" fontId="15" fillId="39" borderId="10" xfId="0" applyNumberFormat="1" applyFont="1" applyFill="1" applyBorder="1" applyAlignment="1">
      <alignment horizontal="center" vertical="center"/>
    </xf>
    <xf numFmtId="4" fontId="29" fillId="39" borderId="10" xfId="0" applyNumberFormat="1" applyFont="1" applyFill="1" applyBorder="1" applyAlignment="1">
      <alignment horizontal="center" vertical="center" wrapText="1"/>
    </xf>
    <xf numFmtId="3" fontId="29" fillId="39"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4" fontId="1" fillId="0" borderId="10" xfId="0" applyNumberFormat="1" applyFont="1" applyFill="1" applyBorder="1" applyAlignment="1">
      <alignment horizontal="center" vertical="center"/>
    </xf>
    <xf numFmtId="49" fontId="1" fillId="37" borderId="10" xfId="0" applyNumberFormat="1" applyFont="1" applyFill="1" applyBorder="1" applyAlignment="1">
      <alignment horizontal="center" vertical="center"/>
    </xf>
    <xf numFmtId="1" fontId="1" fillId="37"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4" fontId="20" fillId="37" borderId="10" xfId="0" applyNumberFormat="1" applyFont="1" applyFill="1" applyBorder="1" applyAlignment="1">
      <alignment horizontal="center" vertical="center" wrapText="1"/>
    </xf>
    <xf numFmtId="4" fontId="22" fillId="37" borderId="12" xfId="0" applyNumberFormat="1" applyFont="1" applyFill="1" applyBorder="1" applyAlignment="1">
      <alignment horizontal="center" vertical="center"/>
    </xf>
    <xf numFmtId="4" fontId="20" fillId="37" borderId="12"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9" fillId="37"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xf>
    <xf numFmtId="4" fontId="9" fillId="0" borderId="10" xfId="0" applyNumberFormat="1" applyFont="1" applyFill="1" applyBorder="1" applyAlignment="1">
      <alignment horizontal="center" wrapText="1"/>
    </xf>
    <xf numFmtId="0" fontId="12" fillId="37" borderId="10" xfId="53" applyFont="1" applyFill="1" applyBorder="1" applyAlignment="1">
      <alignment horizontal="left" vertical="center" wrapText="1"/>
      <protection/>
    </xf>
    <xf numFmtId="3" fontId="20" fillId="0"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3" fontId="20" fillId="37" borderId="12"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37"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wrapText="1"/>
    </xf>
    <xf numFmtId="179" fontId="1" fillId="37" borderId="10" xfId="61" applyFont="1" applyFill="1" applyBorder="1" applyAlignment="1">
      <alignment horizontal="center" vertical="center"/>
    </xf>
    <xf numFmtId="4" fontId="12" fillId="37" borderId="0" xfId="0" applyNumberFormat="1" applyFont="1" applyFill="1" applyAlignment="1">
      <alignment horizontal="center" vertical="center" wrapText="1"/>
    </xf>
    <xf numFmtId="4" fontId="8" fillId="37" borderId="0" xfId="0" applyNumberFormat="1" applyFont="1" applyFill="1" applyBorder="1" applyAlignment="1">
      <alignment horizontal="center" vertical="center"/>
    </xf>
    <xf numFmtId="4" fontId="0" fillId="37" borderId="0" xfId="0" applyNumberFormat="1" applyFont="1" applyFill="1" applyAlignment="1">
      <alignment/>
    </xf>
    <xf numFmtId="4" fontId="8" fillId="37" borderId="0" xfId="0" applyNumberFormat="1" applyFont="1" applyFill="1" applyBorder="1" applyAlignment="1">
      <alignment horizontal="center" vertical="center" wrapText="1"/>
    </xf>
    <xf numFmtId="0" fontId="12" fillId="37" borderId="0" xfId="0" applyFont="1" applyFill="1" applyBorder="1" applyAlignment="1">
      <alignment horizontal="left" vertical="center" wrapText="1"/>
    </xf>
    <xf numFmtId="4" fontId="12" fillId="37" borderId="0" xfId="0" applyNumberFormat="1" applyFont="1" applyFill="1" applyAlignment="1">
      <alignment horizontal="center"/>
    </xf>
    <xf numFmtId="0" fontId="8" fillId="37" borderId="0" xfId="0" applyFont="1" applyFill="1" applyBorder="1" applyAlignment="1">
      <alignment vertical="center" wrapText="1"/>
    </xf>
    <xf numFmtId="4" fontId="8" fillId="37" borderId="0" xfId="0" applyNumberFormat="1" applyFont="1" applyFill="1" applyAlignment="1">
      <alignment/>
    </xf>
    <xf numFmtId="4" fontId="12" fillId="37" borderId="0" xfId="0" applyNumberFormat="1" applyFont="1" applyFill="1" applyAlignment="1">
      <alignment vertical="center" wrapText="1"/>
    </xf>
    <xf numFmtId="0" fontId="8" fillId="37" borderId="0" xfId="0" applyFont="1" applyFill="1" applyBorder="1" applyAlignment="1">
      <alignment horizontal="left" vertical="center" wrapText="1"/>
    </xf>
    <xf numFmtId="4" fontId="15" fillId="0" borderId="11" xfId="0" applyNumberFormat="1" applyFont="1" applyFill="1" applyBorder="1" applyAlignment="1">
      <alignment horizontal="center" vertical="center" wrapText="1"/>
    </xf>
    <xf numFmtId="4" fontId="15" fillId="0" borderId="15"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2" fillId="37" borderId="0" xfId="0" applyFont="1" applyFill="1" applyBorder="1" applyAlignment="1">
      <alignment horizontal="left" vertical="center" wrapText="1"/>
    </xf>
    <xf numFmtId="4" fontId="9" fillId="0" borderId="16"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12" fillId="37" borderId="0" xfId="0" applyNumberFormat="1" applyFont="1" applyFill="1" applyAlignment="1">
      <alignment horizontal="center"/>
    </xf>
    <xf numFmtId="4" fontId="15" fillId="0" borderId="16" xfId="0" applyNumberFormat="1"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4" fontId="15" fillId="0" borderId="18" xfId="0" applyNumberFormat="1" applyFont="1" applyFill="1" applyBorder="1" applyAlignment="1">
      <alignment horizontal="center" vertical="center" wrapText="1"/>
    </xf>
    <xf numFmtId="49" fontId="8" fillId="0" borderId="0" xfId="0" applyNumberFormat="1" applyFont="1" applyFill="1" applyAlignment="1">
      <alignment horizontal="left"/>
    </xf>
    <xf numFmtId="0" fontId="8" fillId="33" borderId="0" xfId="53" applyFont="1" applyFill="1" applyAlignment="1">
      <alignment horizontal="left" vertical="center" wrapText="1"/>
      <protection/>
    </xf>
    <xf numFmtId="4" fontId="11" fillId="0" borderId="19" xfId="0" applyNumberFormat="1" applyFont="1" applyFill="1" applyBorder="1" applyAlignment="1">
      <alignment horizontal="center"/>
    </xf>
    <xf numFmtId="4" fontId="8" fillId="0" borderId="0" xfId="0" applyNumberFormat="1" applyFont="1" applyFill="1" applyAlignment="1">
      <alignment horizontal="left"/>
    </xf>
    <xf numFmtId="0" fontId="11" fillId="0" borderId="0" xfId="0" applyFont="1" applyFill="1" applyAlignment="1">
      <alignment horizontal="center" wrapText="1"/>
    </xf>
    <xf numFmtId="4"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0" xfId="0" applyFont="1" applyAlignment="1">
      <alignment horizontal="left" wrapText="1"/>
    </xf>
    <xf numFmtId="1" fontId="1" fillId="37" borderId="0" xfId="0" applyNumberFormat="1" applyFont="1" applyFill="1" applyAlignment="1">
      <alignment/>
    </xf>
    <xf numFmtId="4" fontId="1" fillId="37" borderId="0" xfId="0" applyNumberFormat="1" applyFont="1" applyFill="1" applyAlignment="1">
      <alignment/>
    </xf>
    <xf numFmtId="0" fontId="3" fillId="37" borderId="0" xfId="0" applyFont="1" applyFill="1" applyAlignment="1">
      <alignment/>
    </xf>
    <xf numFmtId="0" fontId="15" fillId="37" borderId="0" xfId="0" applyFont="1" applyFill="1" applyAlignment="1">
      <alignment/>
    </xf>
    <xf numFmtId="4" fontId="21" fillId="37" borderId="0" xfId="0" applyNumberFormat="1" applyFont="1" applyFill="1" applyAlignment="1">
      <alignment/>
    </xf>
    <xf numFmtId="0" fontId="9" fillId="37" borderId="0" xfId="0" applyFont="1" applyFill="1" applyAlignment="1">
      <alignment/>
    </xf>
    <xf numFmtId="0" fontId="15" fillId="37" borderId="10" xfId="0" applyFont="1" applyFill="1" applyBorder="1" applyAlignment="1">
      <alignment/>
    </xf>
    <xf numFmtId="0" fontId="2" fillId="37" borderId="0" xfId="0" applyFont="1" applyFill="1" applyAlignment="1">
      <alignment/>
    </xf>
    <xf numFmtId="0" fontId="3" fillId="37" borderId="10" xfId="0" applyFont="1" applyFill="1" applyBorder="1" applyAlignment="1">
      <alignment/>
    </xf>
    <xf numFmtId="0" fontId="1" fillId="37" borderId="10" xfId="0" applyFont="1" applyFill="1" applyBorder="1" applyAlignment="1">
      <alignment/>
    </xf>
    <xf numFmtId="0" fontId="16" fillId="37" borderId="0" xfId="0" applyFont="1" applyFill="1" applyAlignment="1">
      <alignment/>
    </xf>
    <xf numFmtId="0" fontId="18" fillId="37" borderId="0" xfId="0" applyFont="1" applyFill="1" applyAlignment="1">
      <alignment/>
    </xf>
    <xf numFmtId="0" fontId="19" fillId="37" borderId="0" xfId="0" applyFont="1" applyFill="1" applyAlignment="1">
      <alignment horizontal="center" vertical="center"/>
    </xf>
    <xf numFmtId="0" fontId="16" fillId="37" borderId="0" xfId="0" applyFont="1" applyFill="1" applyAlignment="1">
      <alignment vertical="center"/>
    </xf>
    <xf numFmtId="0" fontId="17" fillId="37" borderId="0" xfId="0" applyFont="1" applyFill="1" applyAlignment="1">
      <alignment/>
    </xf>
    <xf numFmtId="0" fontId="16" fillId="37" borderId="0" xfId="0" applyFont="1" applyFill="1" applyAlignment="1">
      <alignment horizontal="left"/>
    </xf>
    <xf numFmtId="0" fontId="19" fillId="37" borderId="0" xfId="0"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9"/>
          <c:w val="0.97375"/>
          <c:h val="0.96425"/>
        </c:manualLayout>
      </c:layout>
      <c:barChart>
        <c:barDir val="col"/>
        <c:grouping val="clustered"/>
        <c:varyColors val="0"/>
        <c:axId val="44522339"/>
        <c:axId val="65156732"/>
      </c:barChart>
      <c:catAx>
        <c:axId val="44522339"/>
        <c:scaling>
          <c:orientation val="minMax"/>
        </c:scaling>
        <c:axPos val="b"/>
        <c:delete val="0"/>
        <c:numFmt formatCode="General" sourceLinked="1"/>
        <c:majorTickMark val="out"/>
        <c:minorTickMark val="none"/>
        <c:tickLblPos val="nextTo"/>
        <c:spPr>
          <a:ln w="3175">
            <a:solidFill>
              <a:srgbClr val="000000"/>
            </a:solidFill>
          </a:ln>
        </c:spPr>
        <c:crossAx val="65156732"/>
        <c:crosses val="autoZero"/>
        <c:auto val="1"/>
        <c:lblOffset val="100"/>
        <c:tickLblSkip val="1"/>
        <c:noMultiLvlLbl val="0"/>
      </c:catAx>
      <c:valAx>
        <c:axId val="651567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522339"/>
        <c:crossesAt val="1"/>
        <c:crossBetween val="between"/>
        <c:dispUnits/>
      </c:valAx>
      <c:spPr>
        <a:solidFill>
          <a:srgbClr val="808080"/>
        </a:solidFill>
        <a:ln w="12700">
          <a:solidFill>
            <a:srgbClr val="C0C0C0"/>
          </a:solidFill>
        </a:ln>
      </c:spPr>
    </c:plotArea>
    <c:legend>
      <c:legendPos val="r"/>
      <c:layout>
        <c:manualLayout>
          <c:xMode val="edge"/>
          <c:yMode val="edge"/>
          <c:x val="0.99575"/>
          <c:y val="0.501"/>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667375"/>
    <xdr:graphicFrame>
      <xdr:nvGraphicFramePr>
        <xdr:cNvPr id="1" name="Chart 1"/>
        <xdr:cNvGraphicFramePr/>
      </xdr:nvGraphicFramePr>
      <xdr:xfrm>
        <a:off x="0" y="0"/>
        <a:ext cx="92011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I1103"/>
  <sheetViews>
    <sheetView tabSelected="1" view="pageBreakPreview" zoomScale="112" zoomScaleNormal="85" zoomScaleSheetLayoutView="112" workbookViewId="0" topLeftCell="A1">
      <pane ySplit="18" topLeftCell="A19" activePane="bottomLeft" state="frozen"/>
      <selection pane="topLeft" activeCell="A2" sqref="A2"/>
      <selection pane="bottomLeft" activeCell="S16" sqref="S16"/>
    </sheetView>
  </sheetViews>
  <sheetFormatPr defaultColWidth="9.33203125" defaultRowHeight="11.25"/>
  <cols>
    <col min="1" max="1" width="89.83203125" style="4" customWidth="1"/>
    <col min="2" max="2" width="9.5" style="4" hidden="1" customWidth="1"/>
    <col min="3" max="3" width="0.4921875" style="4" hidden="1" customWidth="1"/>
    <col min="4" max="4" width="19.33203125" style="5" customWidth="1"/>
    <col min="5" max="6" width="18.5" style="5" customWidth="1"/>
    <col min="7" max="7" width="19.83203125" style="5" bestFit="1" customWidth="1"/>
    <col min="8" max="8" width="17.83203125" style="5" customWidth="1"/>
    <col min="9" max="9" width="16.16015625" style="5" hidden="1" customWidth="1"/>
    <col min="10" max="10" width="18" style="5" bestFit="1" customWidth="1"/>
    <col min="11" max="13" width="16" style="5" hidden="1" customWidth="1"/>
    <col min="14" max="14" width="17.16015625" style="5" customWidth="1"/>
    <col min="15" max="15" width="17.5" style="5" customWidth="1"/>
    <col min="16" max="16" width="21.33203125" style="5" customWidth="1"/>
    <col min="17" max="17" width="0.328125" style="4" customWidth="1"/>
    <col min="18" max="18" width="22" style="274" customWidth="1"/>
    <col min="19" max="26" width="10.33203125" style="274" customWidth="1"/>
    <col min="27" max="131" width="10.33203125" style="4" customWidth="1"/>
    <col min="132" max="16384" width="9.33203125" style="13" customWidth="1"/>
  </cols>
  <sheetData>
    <row r="1" ht="3.75" customHeight="1"/>
    <row r="2" spans="1:19" ht="14.25" customHeight="1">
      <c r="A2" s="25"/>
      <c r="B2" s="25"/>
      <c r="C2" s="25"/>
      <c r="D2" s="45"/>
      <c r="E2" s="46"/>
      <c r="F2" s="47"/>
      <c r="G2" s="47"/>
      <c r="H2" s="30"/>
      <c r="I2" s="30"/>
      <c r="J2" s="347"/>
      <c r="K2" s="347"/>
      <c r="L2" s="347"/>
      <c r="M2" s="22"/>
      <c r="N2" s="344" t="s">
        <v>588</v>
      </c>
      <c r="O2" s="344"/>
      <c r="P2" s="344"/>
      <c r="Q2" s="22"/>
      <c r="R2" s="328"/>
      <c r="S2" s="328"/>
    </row>
    <row r="3" spans="1:19" ht="14.25" customHeight="1">
      <c r="A3" s="25"/>
      <c r="B3" s="25"/>
      <c r="C3" s="25"/>
      <c r="D3" s="345"/>
      <c r="E3" s="345"/>
      <c r="F3" s="345"/>
      <c r="G3" s="345"/>
      <c r="H3" s="30"/>
      <c r="I3" s="30"/>
      <c r="J3" s="22"/>
      <c r="K3" s="22"/>
      <c r="L3" s="22"/>
      <c r="M3" s="22"/>
      <c r="N3" s="22" t="s">
        <v>539</v>
      </c>
      <c r="O3" s="22"/>
      <c r="P3" s="22"/>
      <c r="Q3" s="22"/>
      <c r="R3" s="328"/>
      <c r="S3" s="328"/>
    </row>
    <row r="4" spans="1:19" ht="14.25" customHeight="1">
      <c r="A4" s="25"/>
      <c r="B4" s="25"/>
      <c r="C4" s="25"/>
      <c r="D4" s="345"/>
      <c r="E4" s="345"/>
      <c r="F4" s="345"/>
      <c r="G4" s="345"/>
      <c r="H4" s="30"/>
      <c r="I4" s="30"/>
      <c r="J4" s="22"/>
      <c r="K4" s="22"/>
      <c r="L4" s="22"/>
      <c r="M4" s="22"/>
      <c r="N4" s="22" t="s">
        <v>553</v>
      </c>
      <c r="O4" s="22"/>
      <c r="P4" s="22"/>
      <c r="Q4" s="22"/>
      <c r="R4" s="328"/>
      <c r="S4" s="328"/>
    </row>
    <row r="5" spans="1:19" ht="14.25" customHeight="1">
      <c r="A5" s="31"/>
      <c r="B5" s="31"/>
      <c r="C5" s="31"/>
      <c r="D5" s="345"/>
      <c r="E5" s="345"/>
      <c r="F5" s="345"/>
      <c r="G5" s="345"/>
      <c r="H5" s="32"/>
      <c r="I5" s="32"/>
      <c r="J5" s="22"/>
      <c r="K5" s="22"/>
      <c r="L5" s="22"/>
      <c r="M5" s="22"/>
      <c r="N5" s="22" t="s">
        <v>67</v>
      </c>
      <c r="O5" s="22"/>
      <c r="P5" s="22"/>
      <c r="Q5" s="22"/>
      <c r="R5" s="328"/>
      <c r="S5" s="328"/>
    </row>
    <row r="6" spans="1:19" ht="14.25" customHeight="1">
      <c r="A6" s="31"/>
      <c r="B6" s="31"/>
      <c r="C6" s="31"/>
      <c r="D6" s="345"/>
      <c r="E6" s="345"/>
      <c r="F6" s="345"/>
      <c r="G6" s="345"/>
      <c r="H6" s="32"/>
      <c r="I6" s="32"/>
      <c r="J6" s="22"/>
      <c r="K6" s="22"/>
      <c r="L6" s="22"/>
      <c r="M6" s="22"/>
      <c r="N6" s="22" t="s">
        <v>335</v>
      </c>
      <c r="O6" s="22"/>
      <c r="P6" s="22"/>
      <c r="Q6" s="22"/>
      <c r="R6" s="328"/>
      <c r="S6" s="328"/>
    </row>
    <row r="7" spans="1:19" ht="14.25" customHeight="1">
      <c r="A7" s="31"/>
      <c r="B7" s="31"/>
      <c r="C7" s="31"/>
      <c r="D7" s="345"/>
      <c r="E7" s="345"/>
      <c r="F7" s="345"/>
      <c r="G7" s="345"/>
      <c r="H7" s="32"/>
      <c r="I7" s="32"/>
      <c r="J7" s="22"/>
      <c r="K7" s="22"/>
      <c r="L7" s="22"/>
      <c r="M7" s="22"/>
      <c r="N7" s="22" t="s">
        <v>555</v>
      </c>
      <c r="O7" s="22"/>
      <c r="P7" s="22"/>
      <c r="Q7" s="22"/>
      <c r="R7" s="328"/>
      <c r="S7" s="328"/>
    </row>
    <row r="8" spans="1:19" ht="16.5" customHeight="1">
      <c r="A8" s="31"/>
      <c r="B8" s="31"/>
      <c r="C8" s="31"/>
      <c r="D8" s="345"/>
      <c r="E8" s="345"/>
      <c r="F8" s="345"/>
      <c r="G8" s="345"/>
      <c r="H8" s="32"/>
      <c r="I8" s="32"/>
      <c r="J8" s="22"/>
      <c r="K8" s="22"/>
      <c r="L8" s="22"/>
      <c r="M8" s="22"/>
      <c r="N8" s="22" t="s">
        <v>69</v>
      </c>
      <c r="O8" s="22"/>
      <c r="P8" s="22"/>
      <c r="Q8" s="22"/>
      <c r="R8" s="328"/>
      <c r="S8" s="328"/>
    </row>
    <row r="9" spans="1:19" ht="16.5" customHeight="1">
      <c r="A9" s="31"/>
      <c r="B9" s="31"/>
      <c r="C9" s="31"/>
      <c r="D9" s="345"/>
      <c r="E9" s="345"/>
      <c r="F9" s="345"/>
      <c r="G9" s="345"/>
      <c r="H9" s="32"/>
      <c r="I9" s="32"/>
      <c r="J9" s="22"/>
      <c r="K9" s="22"/>
      <c r="L9" s="22"/>
      <c r="M9" s="22"/>
      <c r="N9" s="22" t="s">
        <v>554</v>
      </c>
      <c r="O9" s="22"/>
      <c r="P9" s="22"/>
      <c r="Q9" s="22"/>
      <c r="R9" s="328"/>
      <c r="S9" s="328"/>
    </row>
    <row r="10" spans="1:19" ht="14.25" customHeight="1">
      <c r="A10" s="31"/>
      <c r="B10" s="31"/>
      <c r="C10" s="31"/>
      <c r="D10" s="345"/>
      <c r="E10" s="345"/>
      <c r="F10" s="345"/>
      <c r="G10" s="345"/>
      <c r="H10" s="32"/>
      <c r="I10" s="32"/>
      <c r="J10" s="22"/>
      <c r="K10" s="22"/>
      <c r="L10" s="22"/>
      <c r="M10" s="22"/>
      <c r="N10" s="354" t="s">
        <v>589</v>
      </c>
      <c r="O10" s="354"/>
      <c r="P10" s="354"/>
      <c r="Q10" s="354"/>
      <c r="R10" s="354"/>
      <c r="S10" s="354"/>
    </row>
    <row r="11" spans="1:19" ht="14.25" customHeight="1" hidden="1">
      <c r="A11" s="31"/>
      <c r="B11" s="31"/>
      <c r="C11" s="31"/>
      <c r="D11" s="114"/>
      <c r="E11" s="114"/>
      <c r="F11" s="114"/>
      <c r="G11" s="114"/>
      <c r="H11" s="32"/>
      <c r="I11" s="32"/>
      <c r="J11" s="22"/>
      <c r="K11" s="22"/>
      <c r="L11" s="22"/>
      <c r="M11" s="22"/>
      <c r="N11" s="22" t="s">
        <v>114</v>
      </c>
      <c r="O11" s="22"/>
      <c r="P11" s="22"/>
      <c r="Q11" s="22"/>
      <c r="R11" s="328"/>
      <c r="S11" s="328"/>
    </row>
    <row r="12" spans="1:16" ht="9.75" customHeight="1">
      <c r="A12" s="31"/>
      <c r="B12" s="31"/>
      <c r="C12" s="31"/>
      <c r="D12" s="32"/>
      <c r="E12" s="32"/>
      <c r="F12" s="32"/>
      <c r="G12" s="32"/>
      <c r="H12" s="32"/>
      <c r="I12" s="32"/>
      <c r="J12" s="22"/>
      <c r="K12" s="22"/>
      <c r="L12" s="22"/>
      <c r="M12" s="22"/>
      <c r="N12" s="22"/>
      <c r="O12" s="22"/>
      <c r="P12" s="22"/>
    </row>
    <row r="13" spans="1:16" ht="33.75" customHeight="1">
      <c r="A13" s="348" t="s">
        <v>68</v>
      </c>
      <c r="B13" s="348"/>
      <c r="C13" s="348"/>
      <c r="D13" s="348"/>
      <c r="E13" s="348"/>
      <c r="F13" s="348"/>
      <c r="G13" s="348"/>
      <c r="H13" s="348"/>
      <c r="I13" s="348"/>
      <c r="J13" s="348"/>
      <c r="K13" s="348"/>
      <c r="L13" s="348"/>
      <c r="M13" s="348"/>
      <c r="N13" s="348"/>
      <c r="O13" s="348"/>
      <c r="P13" s="348"/>
    </row>
    <row r="14" spans="1:16" ht="16.5" customHeight="1">
      <c r="A14" s="33"/>
      <c r="B14" s="33"/>
      <c r="C14" s="33"/>
      <c r="D14" s="34"/>
      <c r="E14" s="34"/>
      <c r="F14" s="346" t="s">
        <v>124</v>
      </c>
      <c r="G14" s="346"/>
      <c r="H14" s="34"/>
      <c r="I14" s="34"/>
      <c r="J14" s="30"/>
      <c r="K14" s="34"/>
      <c r="L14" s="30"/>
      <c r="M14" s="30"/>
      <c r="N14" s="30"/>
      <c r="O14" s="30"/>
      <c r="P14" s="44" t="s">
        <v>203</v>
      </c>
    </row>
    <row r="15" spans="1:137" ht="20.25" customHeight="1">
      <c r="A15" s="351"/>
      <c r="B15" s="351" t="s">
        <v>199</v>
      </c>
      <c r="C15" s="351" t="s">
        <v>200</v>
      </c>
      <c r="D15" s="333" t="s">
        <v>121</v>
      </c>
      <c r="E15" s="334"/>
      <c r="F15" s="335"/>
      <c r="G15" s="350" t="s">
        <v>122</v>
      </c>
      <c r="H15" s="350"/>
      <c r="I15" s="350"/>
      <c r="J15" s="350"/>
      <c r="K15" s="9"/>
      <c r="L15" s="9"/>
      <c r="M15" s="9"/>
      <c r="N15" s="333" t="s">
        <v>123</v>
      </c>
      <c r="O15" s="334"/>
      <c r="P15" s="335"/>
      <c r="EB15" s="4"/>
      <c r="EC15" s="4"/>
      <c r="ED15" s="4"/>
      <c r="EE15" s="4"/>
      <c r="EF15" s="4"/>
      <c r="EG15" s="4"/>
    </row>
    <row r="16" spans="1:137" ht="15.75" customHeight="1">
      <c r="A16" s="352"/>
      <c r="B16" s="352"/>
      <c r="C16" s="352"/>
      <c r="D16" s="338" t="s">
        <v>201</v>
      </c>
      <c r="E16" s="339"/>
      <c r="F16" s="331" t="s">
        <v>198</v>
      </c>
      <c r="G16" s="336" t="s">
        <v>201</v>
      </c>
      <c r="H16" s="336"/>
      <c r="I16" s="336"/>
      <c r="J16" s="349" t="s">
        <v>198</v>
      </c>
      <c r="K16" s="341" t="s">
        <v>197</v>
      </c>
      <c r="L16" s="342"/>
      <c r="M16" s="343"/>
      <c r="N16" s="338" t="s">
        <v>201</v>
      </c>
      <c r="O16" s="339"/>
      <c r="P16" s="331" t="s">
        <v>198</v>
      </c>
      <c r="EB16" s="4"/>
      <c r="EC16" s="4"/>
      <c r="ED16" s="4"/>
      <c r="EE16" s="4"/>
      <c r="EF16" s="4"/>
      <c r="EG16" s="4"/>
    </row>
    <row r="17" spans="1:137" ht="24.75" customHeight="1">
      <c r="A17" s="353"/>
      <c r="B17" s="353"/>
      <c r="C17" s="353"/>
      <c r="D17" s="9" t="s">
        <v>182</v>
      </c>
      <c r="E17" s="9" t="s">
        <v>183</v>
      </c>
      <c r="F17" s="332"/>
      <c r="G17" s="9" t="s">
        <v>182</v>
      </c>
      <c r="H17" s="9" t="s">
        <v>183</v>
      </c>
      <c r="I17" s="9" t="s">
        <v>277</v>
      </c>
      <c r="J17" s="349"/>
      <c r="K17" s="9" t="s">
        <v>182</v>
      </c>
      <c r="L17" s="9" t="s">
        <v>183</v>
      </c>
      <c r="M17" s="9" t="s">
        <v>198</v>
      </c>
      <c r="N17" s="9" t="s">
        <v>182</v>
      </c>
      <c r="O17" s="9" t="s">
        <v>183</v>
      </c>
      <c r="P17" s="332"/>
      <c r="EB17" s="4"/>
      <c r="EC17" s="4"/>
      <c r="ED17" s="4"/>
      <c r="EE17" s="4"/>
      <c r="EF17" s="4"/>
      <c r="EG17" s="4"/>
    </row>
    <row r="18" spans="1:137" s="29" customFormat="1" ht="12.75">
      <c r="A18" s="35">
        <v>1</v>
      </c>
      <c r="B18" s="35"/>
      <c r="C18" s="35"/>
      <c r="D18" s="35">
        <v>2</v>
      </c>
      <c r="E18" s="35">
        <v>3</v>
      </c>
      <c r="F18" s="35">
        <v>4</v>
      </c>
      <c r="G18" s="35">
        <v>5</v>
      </c>
      <c r="H18" s="35">
        <v>6</v>
      </c>
      <c r="I18" s="35">
        <v>10</v>
      </c>
      <c r="J18" s="35">
        <v>7</v>
      </c>
      <c r="K18" s="35">
        <v>12</v>
      </c>
      <c r="L18" s="35">
        <v>13</v>
      </c>
      <c r="M18" s="35">
        <v>14</v>
      </c>
      <c r="N18" s="35">
        <v>8</v>
      </c>
      <c r="O18" s="35">
        <v>9</v>
      </c>
      <c r="P18" s="35">
        <v>10</v>
      </c>
      <c r="Q18" s="7"/>
      <c r="R18" s="355"/>
      <c r="S18" s="355"/>
      <c r="T18" s="355"/>
      <c r="U18" s="355"/>
      <c r="V18" s="355"/>
      <c r="W18" s="355"/>
      <c r="X18" s="355"/>
      <c r="Y18" s="355"/>
      <c r="Z18" s="355"/>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row>
    <row r="19" spans="1:26" s="4" customFormat="1" ht="28.5" customHeight="1">
      <c r="A19" s="8" t="s">
        <v>206</v>
      </c>
      <c r="B19" s="8"/>
      <c r="C19" s="8"/>
      <c r="D19" s="9">
        <f>D24+D477+D497+D726+D743+D752+D819+D843+D852+D861+D873+D881+D890+D899+D908+D917+D716+D926+D942+D950+D960</f>
        <v>255908953.99634147</v>
      </c>
      <c r="E19" s="9">
        <f>E24+E477+E497+E726+E743+E752+E819+E843+E852+E861+E873+E881+E890+E899+E908+E917+E716+E926+E942+E950+E960</f>
        <v>311699551.0035672</v>
      </c>
      <c r="F19" s="9">
        <f>F24+F477+F497+F726+F743+F752+F819+F843+F852+F861+F873+F881+F890+F899+F908+F917+F716+F926+F942+F950+F960</f>
        <v>567608504.9999087</v>
      </c>
      <c r="G19" s="9">
        <f>G24+G477+G497+G726+G743+G752+G819+G843+G852+G861+G873+G881+G890+G899+G908+G917+G716+G926+G942+G950+G968+G976+G984+G992</f>
        <v>511948325.9944118</v>
      </c>
      <c r="H19" s="9">
        <f>H24+H477+H497+H726+H743+H752+H819+H843+H852+H861+H873+H881+H890+H899+H908+H917+H716+H926+H942+H950+H968+H976+H984+H992</f>
        <v>640058629.6107861</v>
      </c>
      <c r="I19" s="9" t="e">
        <f>I24+I477+I497+I726+I743+I752+I819+I843+I852+I861+I873+I881+I890+I899+I908+I917+I716+I926+I942+I950+I968+I976+I984+I992</f>
        <v>#REF!</v>
      </c>
      <c r="J19" s="9">
        <f>J24+J477+J497+J726+J743+J752+J819+J843+J852+J861+J873+J881+J890+J899+J908+J917+J716+J926+J942+J950+J968+J976+J984+J992</f>
        <v>1152006955.605198</v>
      </c>
      <c r="K19" s="9" t="e">
        <f aca="true" t="shared" si="0" ref="K19:P19">K24+K477+K497+K726+K743+K752+K819+K843+K852+K861+K873+K881+K890+K899+K908+K917+K716+K926+K942+K950</f>
        <v>#REF!</v>
      </c>
      <c r="L19" s="9" t="e">
        <f t="shared" si="0"/>
        <v>#REF!</v>
      </c>
      <c r="M19" s="9" t="e">
        <f t="shared" si="0"/>
        <v>#REF!</v>
      </c>
      <c r="N19" s="9">
        <f t="shared" si="0"/>
        <v>508391506.9560344</v>
      </c>
      <c r="O19" s="9">
        <f t="shared" si="0"/>
        <v>298481799.9993861</v>
      </c>
      <c r="P19" s="9">
        <f t="shared" si="0"/>
        <v>806873306.9554205</v>
      </c>
      <c r="R19" s="356"/>
      <c r="S19" s="274"/>
      <c r="T19" s="274"/>
      <c r="U19" s="274"/>
      <c r="V19" s="274"/>
      <c r="W19" s="274"/>
      <c r="X19" s="274"/>
      <c r="Y19" s="274"/>
      <c r="Z19" s="274"/>
    </row>
    <row r="20" spans="1:26" s="4" customFormat="1" ht="41.25" customHeight="1">
      <c r="A20" s="8" t="s">
        <v>204</v>
      </c>
      <c r="B20" s="8"/>
      <c r="C20" s="8"/>
      <c r="D20" s="9">
        <f>D25</f>
        <v>0</v>
      </c>
      <c r="E20" s="9">
        <f>E25</f>
        <v>55800000</v>
      </c>
      <c r="F20" s="9">
        <f>F25</f>
        <v>55800000</v>
      </c>
      <c r="G20" s="9">
        <f>G25</f>
        <v>0</v>
      </c>
      <c r="H20" s="9">
        <f>H25</f>
        <v>101791800</v>
      </c>
      <c r="I20" s="9" t="e">
        <f aca="true" t="shared" si="1" ref="I20:O20">I25</f>
        <v>#REF!</v>
      </c>
      <c r="J20" s="9">
        <f>SUM(G20)+H20</f>
        <v>101791800</v>
      </c>
      <c r="K20" s="9" t="e">
        <f t="shared" si="1"/>
        <v>#REF!</v>
      </c>
      <c r="L20" s="9" t="e">
        <f t="shared" si="1"/>
        <v>#REF!</v>
      </c>
      <c r="M20" s="9" t="e">
        <f t="shared" si="1"/>
        <v>#REF!</v>
      </c>
      <c r="N20" s="9">
        <f>N25</f>
        <v>0</v>
      </c>
      <c r="O20" s="9">
        <f t="shared" si="1"/>
        <v>106882000</v>
      </c>
      <c r="P20" s="9">
        <f>P25</f>
        <v>106882000</v>
      </c>
      <c r="R20" s="356"/>
      <c r="S20" s="274"/>
      <c r="T20" s="274"/>
      <c r="U20" s="274"/>
      <c r="V20" s="274"/>
      <c r="W20" s="274"/>
      <c r="X20" s="274"/>
      <c r="Y20" s="274"/>
      <c r="Z20" s="274"/>
    </row>
    <row r="21" spans="1:18" ht="40.5" customHeight="1">
      <c r="A21" s="8" t="s">
        <v>556</v>
      </c>
      <c r="B21" s="8"/>
      <c r="C21" s="8"/>
      <c r="D21" s="9">
        <f>D498</f>
        <v>318730</v>
      </c>
      <c r="E21" s="9">
        <f aca="true" t="shared" si="2" ref="E21:Q21">E498</f>
        <v>636370</v>
      </c>
      <c r="F21" s="9">
        <f t="shared" si="2"/>
        <v>955100</v>
      </c>
      <c r="G21" s="9">
        <f t="shared" si="2"/>
        <v>328452</v>
      </c>
      <c r="H21" s="9">
        <f t="shared" si="2"/>
        <v>676380</v>
      </c>
      <c r="I21" s="9">
        <f t="shared" si="2"/>
        <v>0</v>
      </c>
      <c r="J21" s="9">
        <f t="shared" si="2"/>
        <v>1004832</v>
      </c>
      <c r="K21" s="9" t="e">
        <f t="shared" si="2"/>
        <v>#REF!</v>
      </c>
      <c r="L21" s="9" t="e">
        <f t="shared" si="2"/>
        <v>#REF!</v>
      </c>
      <c r="M21" s="9" t="e">
        <f t="shared" si="2"/>
        <v>#REF!</v>
      </c>
      <c r="N21" s="9">
        <f t="shared" si="2"/>
        <v>344360</v>
      </c>
      <c r="O21" s="9">
        <f t="shared" si="2"/>
        <v>733240</v>
      </c>
      <c r="P21" s="9">
        <f t="shared" si="2"/>
        <v>1077600</v>
      </c>
      <c r="Q21" s="9">
        <f t="shared" si="2"/>
        <v>0</v>
      </c>
      <c r="R21" s="356"/>
    </row>
    <row r="22" spans="1:131" s="49" customFormat="1" ht="20.25" customHeight="1">
      <c r="A22" s="69" t="s">
        <v>247</v>
      </c>
      <c r="B22" s="69"/>
      <c r="C22" s="69"/>
      <c r="D22" s="67">
        <f>D19+D20+D21</f>
        <v>256227683.99634147</v>
      </c>
      <c r="E22" s="67">
        <f>E19+E20+E21</f>
        <v>368135921.0035672</v>
      </c>
      <c r="F22" s="67">
        <f>F19+F20+F21</f>
        <v>624363604.9999087</v>
      </c>
      <c r="G22" s="67">
        <f>G19+G20+G21</f>
        <v>512276777.9944118</v>
      </c>
      <c r="H22" s="67">
        <f>H19+H20+H21</f>
        <v>742526809.6107861</v>
      </c>
      <c r="I22" s="67" t="e">
        <f aca="true" t="shared" si="3" ref="I22:Q22">I19+I20+I21</f>
        <v>#REF!</v>
      </c>
      <c r="J22" s="67">
        <f>J19+J20+J21</f>
        <v>1254803587.605198</v>
      </c>
      <c r="K22" s="67" t="e">
        <f t="shared" si="3"/>
        <v>#REF!</v>
      </c>
      <c r="L22" s="67" t="e">
        <f t="shared" si="3"/>
        <v>#REF!</v>
      </c>
      <c r="M22" s="67" t="e">
        <f t="shared" si="3"/>
        <v>#REF!</v>
      </c>
      <c r="N22" s="67">
        <f>N19+N20+N21</f>
        <v>508735866.9560344</v>
      </c>
      <c r="O22" s="67">
        <f t="shared" si="3"/>
        <v>406097039.9993861</v>
      </c>
      <c r="P22" s="67">
        <f>P19+P20+P21</f>
        <v>914832906.9554205</v>
      </c>
      <c r="Q22" s="67">
        <f t="shared" si="3"/>
        <v>0</v>
      </c>
      <c r="R22" s="356"/>
      <c r="S22" s="274"/>
      <c r="T22" s="274"/>
      <c r="U22" s="274"/>
      <c r="V22" s="274"/>
      <c r="W22" s="274"/>
      <c r="X22" s="274"/>
      <c r="Y22" s="274"/>
      <c r="Z22" s="274"/>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row>
    <row r="23" spans="1:131" s="37" customFormat="1" ht="30.75" customHeight="1" hidden="1">
      <c r="A23" s="73" t="s">
        <v>580</v>
      </c>
      <c r="B23" s="63"/>
      <c r="C23" s="63"/>
      <c r="D23" s="72">
        <f>D26+D166+D190+D263+D320+D363+D462+D470</f>
        <v>230486899.99634248</v>
      </c>
      <c r="E23" s="72">
        <f>E26+E166+E190+E263+E320+E363+E462+E470</f>
        <v>73089600.00356725</v>
      </c>
      <c r="F23" s="72">
        <f>D23+E23</f>
        <v>303576499.99990976</v>
      </c>
      <c r="G23" s="72">
        <f>G26+G166+G190+G263+G320+G363+G462+G470</f>
        <v>397173199.9946118</v>
      </c>
      <c r="H23" s="72">
        <f>H26+H166+H190+H263+H320+H363+H462+H470</f>
        <v>220415900.00078607</v>
      </c>
      <c r="I23" s="72">
        <f>I26+I166+I190+I263+I320+I363+I462+I470</f>
        <v>0</v>
      </c>
      <c r="J23" s="72">
        <f>G23+H23</f>
        <v>617589099.9953978</v>
      </c>
      <c r="K23" s="72" t="e">
        <f>K26+K166+K190+K263+K320+K363+K462+K470</f>
        <v>#REF!</v>
      </c>
      <c r="L23" s="72" t="e">
        <f>L26+L166+L190+L263+L320+L363+L462+L470</f>
        <v>#REF!</v>
      </c>
      <c r="M23" s="72" t="e">
        <f>M26+M166+M190+M263+M320+M363+M462+M470</f>
        <v>#REF!</v>
      </c>
      <c r="N23" s="72">
        <f>N26+N166+N190+N263+N320+N363+N462+N470</f>
        <v>493086606.95603544</v>
      </c>
      <c r="O23" s="72">
        <f>O26+O166+O190+O263+O320+O363+O462+O470</f>
        <v>229113499.99938607</v>
      </c>
      <c r="P23" s="72">
        <f>N23+O23</f>
        <v>722200106.9554214</v>
      </c>
      <c r="Q23" s="39"/>
      <c r="R23" s="274"/>
      <c r="S23" s="274"/>
      <c r="T23" s="274"/>
      <c r="U23" s="274"/>
      <c r="V23" s="274"/>
      <c r="W23" s="274"/>
      <c r="X23" s="274"/>
      <c r="Y23" s="274"/>
      <c r="Z23" s="274"/>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row>
    <row r="24" spans="1:131" s="37" customFormat="1" ht="15" customHeight="1" hidden="1">
      <c r="A24" s="159" t="s">
        <v>213</v>
      </c>
      <c r="B24" s="40"/>
      <c r="C24" s="40"/>
      <c r="D24" s="38">
        <f>D23-D25</f>
        <v>230486899.99634248</v>
      </c>
      <c r="E24" s="38">
        <f>E23-E25</f>
        <v>17289600.00356725</v>
      </c>
      <c r="F24" s="38">
        <f>D24+E24</f>
        <v>247776499.99990973</v>
      </c>
      <c r="G24" s="38">
        <f>G23-G25</f>
        <v>397173199.9946118</v>
      </c>
      <c r="H24" s="38">
        <f>H23-H25</f>
        <v>118624100.00078607</v>
      </c>
      <c r="I24" s="38" t="e">
        <f>I93+#REF!+I109+#REF!+I166+I191+#REF!+#REF!+#REF!+I462+I470</f>
        <v>#REF!</v>
      </c>
      <c r="J24" s="38">
        <f>G24+H24</f>
        <v>515797299.99539787</v>
      </c>
      <c r="K24" s="38" t="e">
        <f>K93+#REF!+K109+#REF!+K166+K191+#REF!+#REF!+#REF!+K462+K470</f>
        <v>#REF!</v>
      </c>
      <c r="L24" s="38" t="e">
        <f>L93+#REF!+L109+#REF!+L166+L191+#REF!+#REF!+#REF!+L462+L470</f>
        <v>#REF!</v>
      </c>
      <c r="M24" s="38" t="e">
        <f>M93+#REF!+M109+#REF!+M166+M191+#REF!+#REF!+#REF!+M462+M470</f>
        <v>#REF!</v>
      </c>
      <c r="N24" s="38">
        <f>N23-N25</f>
        <v>493086606.95603544</v>
      </c>
      <c r="O24" s="38">
        <f>O23-O25</f>
        <v>122231499.99938607</v>
      </c>
      <c r="P24" s="38">
        <f>N24+O24</f>
        <v>615318106.9554214</v>
      </c>
      <c r="Q24" s="36"/>
      <c r="R24" s="274"/>
      <c r="S24" s="274"/>
      <c r="T24" s="274"/>
      <c r="U24" s="274"/>
      <c r="V24" s="274"/>
      <c r="W24" s="274"/>
      <c r="X24" s="274"/>
      <c r="Y24" s="274"/>
      <c r="Z24" s="274"/>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row>
    <row r="25" spans="1:131" s="37" customFormat="1" ht="28.5" customHeight="1" hidden="1">
      <c r="A25" s="159" t="s">
        <v>214</v>
      </c>
      <c r="B25" s="40"/>
      <c r="C25" s="40"/>
      <c r="D25" s="38">
        <f>D27</f>
        <v>0</v>
      </c>
      <c r="E25" s="38">
        <f>60430000-4630000</f>
        <v>55800000</v>
      </c>
      <c r="F25" s="38">
        <f>SUM(D25)+E25</f>
        <v>55800000</v>
      </c>
      <c r="G25" s="38">
        <f>G27</f>
        <v>0</v>
      </c>
      <c r="H25" s="38">
        <f>H27</f>
        <v>101791800</v>
      </c>
      <c r="I25" s="38" t="e">
        <f>I27+I36+#REF!+#REF!+#REF!-2000000</f>
        <v>#REF!</v>
      </c>
      <c r="J25" s="38">
        <f>G25+H25</f>
        <v>101791800</v>
      </c>
      <c r="K25" s="38" t="e">
        <f>K27+K36+#REF!+#REF!+#REF!-2000000</f>
        <v>#REF!</v>
      </c>
      <c r="L25" s="38" t="e">
        <f>L27+L36+#REF!+#REF!+#REF!-2000000</f>
        <v>#REF!</v>
      </c>
      <c r="M25" s="38" t="e">
        <f>M27+M36+#REF!+#REF!+#REF!-2000000</f>
        <v>#REF!</v>
      </c>
      <c r="N25" s="38">
        <f>N27</f>
        <v>0</v>
      </c>
      <c r="O25" s="38">
        <f>O27</f>
        <v>106882000</v>
      </c>
      <c r="P25" s="38">
        <f>N25+O25</f>
        <v>106882000</v>
      </c>
      <c r="Q25" s="36"/>
      <c r="R25" s="274"/>
      <c r="S25" s="274"/>
      <c r="T25" s="274"/>
      <c r="U25" s="274"/>
      <c r="V25" s="274"/>
      <c r="W25" s="274"/>
      <c r="X25" s="274"/>
      <c r="Y25" s="274"/>
      <c r="Z25" s="274"/>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row>
    <row r="26" spans="1:131" s="37" customFormat="1" ht="39.75" customHeight="1" hidden="1">
      <c r="A26" s="68" t="s">
        <v>103</v>
      </c>
      <c r="B26" s="159"/>
      <c r="C26" s="159"/>
      <c r="D26" s="67">
        <f aca="true" t="shared" si="4" ref="D26:J26">D27+D36+D45+D62+D69+D76+D86+D93+D102+D109+D122+D129+D136+D143+D150+D157</f>
        <v>110898599.99541488</v>
      </c>
      <c r="E26" s="67">
        <f t="shared" si="4"/>
        <v>63338399.99999525</v>
      </c>
      <c r="F26" s="67">
        <f t="shared" si="4"/>
        <v>174236999.99541014</v>
      </c>
      <c r="G26" s="67">
        <f t="shared" si="4"/>
        <v>226222100.000815</v>
      </c>
      <c r="H26" s="67">
        <f t="shared" si="4"/>
        <v>164143800.00079608</v>
      </c>
      <c r="I26" s="67">
        <f t="shared" si="4"/>
        <v>0</v>
      </c>
      <c r="J26" s="67">
        <f t="shared" si="4"/>
        <v>390365900.0016111</v>
      </c>
      <c r="K26" s="67">
        <f aca="true" t="shared" si="5" ref="K26:P26">K27+K36+K45+K62+K69+K76+K86+K93+K102+K109+K122+K129+K136+K143+K150</f>
        <v>0</v>
      </c>
      <c r="L26" s="67">
        <f t="shared" si="5"/>
        <v>0</v>
      </c>
      <c r="M26" s="67">
        <f t="shared" si="5"/>
        <v>0</v>
      </c>
      <c r="N26" s="67">
        <f t="shared" si="5"/>
        <v>316334599.9950305</v>
      </c>
      <c r="O26" s="67">
        <f t="shared" si="5"/>
        <v>170226999.9993961</v>
      </c>
      <c r="P26" s="67">
        <f t="shared" si="5"/>
        <v>486561599.9944266</v>
      </c>
      <c r="Q26" s="36"/>
      <c r="R26" s="274"/>
      <c r="S26" s="274"/>
      <c r="T26" s="274"/>
      <c r="U26" s="274"/>
      <c r="V26" s="274"/>
      <c r="W26" s="274"/>
      <c r="X26" s="274"/>
      <c r="Y26" s="274"/>
      <c r="Z26" s="274"/>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row>
    <row r="27" spans="1:131" s="51" customFormat="1" ht="40.5" hidden="1">
      <c r="A27" s="138" t="s">
        <v>104</v>
      </c>
      <c r="B27" s="160"/>
      <c r="C27" s="160"/>
      <c r="D27" s="161"/>
      <c r="E27" s="276">
        <f>(60430000-4630000)+(35600000-33450000)</f>
        <v>57950000</v>
      </c>
      <c r="F27" s="161">
        <f>SUM(D27)+E27</f>
        <v>57950000</v>
      </c>
      <c r="G27" s="161"/>
      <c r="H27" s="161">
        <f>64130000+37661800</f>
        <v>101791800</v>
      </c>
      <c r="I27" s="161"/>
      <c r="J27" s="161">
        <f>H27</f>
        <v>101791800</v>
      </c>
      <c r="K27" s="161"/>
      <c r="L27" s="161"/>
      <c r="M27" s="161"/>
      <c r="N27" s="161"/>
      <c r="O27" s="161">
        <f>67350000+39532000</f>
        <v>106882000</v>
      </c>
      <c r="P27" s="161">
        <f>(P33*P31)</f>
        <v>106882000</v>
      </c>
      <c r="Q27" s="50"/>
      <c r="R27" s="357"/>
      <c r="S27" s="357"/>
      <c r="T27" s="357"/>
      <c r="U27" s="357"/>
      <c r="V27" s="357"/>
      <c r="W27" s="357"/>
      <c r="X27" s="357"/>
      <c r="Y27" s="357"/>
      <c r="Z27" s="357"/>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row>
    <row r="28" spans="1:16" ht="13.5" hidden="1">
      <c r="A28" s="140" t="s">
        <v>184</v>
      </c>
      <c r="B28" s="159"/>
      <c r="C28" s="159"/>
      <c r="D28" s="161"/>
      <c r="E28" s="161"/>
      <c r="F28" s="161"/>
      <c r="G28" s="161"/>
      <c r="H28" s="161"/>
      <c r="I28" s="161"/>
      <c r="J28" s="161"/>
      <c r="K28" s="162"/>
      <c r="L28" s="162"/>
      <c r="M28" s="162"/>
      <c r="N28" s="161"/>
      <c r="O28" s="161"/>
      <c r="P28" s="161"/>
    </row>
    <row r="29" spans="1:16" ht="25.5" hidden="1">
      <c r="A29" s="139" t="s">
        <v>188</v>
      </c>
      <c r="B29" s="163"/>
      <c r="C29" s="163"/>
      <c r="D29" s="162"/>
      <c r="E29" s="162">
        <v>270000</v>
      </c>
      <c r="F29" s="162">
        <f>E29</f>
        <v>270000</v>
      </c>
      <c r="G29" s="162"/>
      <c r="H29" s="162">
        <v>270000</v>
      </c>
      <c r="I29" s="162"/>
      <c r="J29" s="162">
        <f>H29</f>
        <v>270000</v>
      </c>
      <c r="K29" s="162"/>
      <c r="L29" s="162"/>
      <c r="M29" s="162"/>
      <c r="N29" s="162"/>
      <c r="O29" s="162">
        <v>270000</v>
      </c>
      <c r="P29" s="162">
        <f>O29</f>
        <v>270000</v>
      </c>
    </row>
    <row r="30" spans="1:16" ht="13.5" hidden="1">
      <c r="A30" s="140" t="s">
        <v>185</v>
      </c>
      <c r="B30" s="159"/>
      <c r="C30" s="159"/>
      <c r="D30" s="162"/>
      <c r="E30" s="161"/>
      <c r="F30" s="161"/>
      <c r="G30" s="162"/>
      <c r="H30" s="161"/>
      <c r="I30" s="161"/>
      <c r="J30" s="161"/>
      <c r="K30" s="162"/>
      <c r="L30" s="162"/>
      <c r="M30" s="162"/>
      <c r="N30" s="162"/>
      <c r="O30" s="161"/>
      <c r="P30" s="161"/>
    </row>
    <row r="31" spans="1:16" ht="12.75" hidden="1">
      <c r="A31" s="139" t="s">
        <v>191</v>
      </c>
      <c r="B31" s="163"/>
      <c r="C31" s="163"/>
      <c r="D31" s="162"/>
      <c r="E31" s="162">
        <f>E27/E33</f>
        <v>44659.02698037161</v>
      </c>
      <c r="F31" s="162">
        <f>E31</f>
        <v>44659.02698037161</v>
      </c>
      <c r="G31" s="162"/>
      <c r="H31" s="162">
        <f>H27/H33</f>
        <v>78445.60384090753</v>
      </c>
      <c r="I31" s="162"/>
      <c r="J31" s="162">
        <f>H31</f>
        <v>78445.60384090753</v>
      </c>
      <c r="K31" s="162"/>
      <c r="L31" s="162"/>
      <c r="M31" s="162"/>
      <c r="N31" s="162"/>
      <c r="O31" s="162">
        <f>O27/O33</f>
        <v>77705.80238027728</v>
      </c>
      <c r="P31" s="162">
        <f>O31</f>
        <v>77705.80238027728</v>
      </c>
    </row>
    <row r="32" spans="1:16" ht="13.5" hidden="1">
      <c r="A32" s="140" t="s">
        <v>187</v>
      </c>
      <c r="B32" s="159"/>
      <c r="C32" s="159"/>
      <c r="D32" s="162"/>
      <c r="E32" s="161"/>
      <c r="F32" s="161"/>
      <c r="G32" s="162"/>
      <c r="H32" s="161"/>
      <c r="I32" s="161"/>
      <c r="J32" s="161"/>
      <c r="K32" s="162"/>
      <c r="L32" s="162"/>
      <c r="M32" s="162"/>
      <c r="N32" s="162"/>
      <c r="O32" s="161"/>
      <c r="P32" s="161"/>
    </row>
    <row r="33" spans="1:16" ht="12.75" hidden="1">
      <c r="A33" s="139" t="s">
        <v>192</v>
      </c>
      <c r="B33" s="163"/>
      <c r="C33" s="163"/>
      <c r="D33" s="162"/>
      <c r="E33" s="162">
        <v>1297.61</v>
      </c>
      <c r="F33" s="162">
        <f>E33</f>
        <v>1297.61</v>
      </c>
      <c r="G33" s="162"/>
      <c r="H33" s="162">
        <v>1297.61</v>
      </c>
      <c r="I33" s="162"/>
      <c r="J33" s="162">
        <f>H33</f>
        <v>1297.61</v>
      </c>
      <c r="K33" s="162"/>
      <c r="L33" s="162"/>
      <c r="M33" s="162"/>
      <c r="N33" s="162"/>
      <c r="O33" s="162">
        <v>1375.47</v>
      </c>
      <c r="P33" s="162">
        <f>O33</f>
        <v>1375.47</v>
      </c>
    </row>
    <row r="34" spans="1:16" ht="13.5" hidden="1">
      <c r="A34" s="134" t="s">
        <v>186</v>
      </c>
      <c r="B34" s="8"/>
      <c r="C34" s="8"/>
      <c r="D34" s="132"/>
      <c r="E34" s="164"/>
      <c r="F34" s="164"/>
      <c r="G34" s="132"/>
      <c r="H34" s="164"/>
      <c r="I34" s="164"/>
      <c r="J34" s="164"/>
      <c r="K34" s="132"/>
      <c r="L34" s="132"/>
      <c r="M34" s="132"/>
      <c r="N34" s="132"/>
      <c r="O34" s="164"/>
      <c r="P34" s="164"/>
    </row>
    <row r="35" spans="1:16" ht="12.75" hidden="1">
      <c r="A35" s="135" t="s">
        <v>196</v>
      </c>
      <c r="B35" s="165"/>
      <c r="C35" s="165"/>
      <c r="D35" s="132"/>
      <c r="E35" s="132">
        <f>E31/E29*100</f>
        <v>16.540380363100596</v>
      </c>
      <c r="F35" s="132">
        <f>F31/F29*100</f>
        <v>16.540380363100596</v>
      </c>
      <c r="G35" s="132"/>
      <c r="H35" s="132">
        <f>H31/H29*100</f>
        <v>29.053927348484272</v>
      </c>
      <c r="I35" s="132" t="e">
        <f>I31/I29*100</f>
        <v>#DIV/0!</v>
      </c>
      <c r="J35" s="132">
        <f>J31/J29*100</f>
        <v>29.053927348484272</v>
      </c>
      <c r="K35" s="132"/>
      <c r="L35" s="132"/>
      <c r="M35" s="132"/>
      <c r="N35" s="132"/>
      <c r="O35" s="132">
        <f>O31/O29*100</f>
        <v>28.779926807510105</v>
      </c>
      <c r="P35" s="132">
        <f>P31/P29*100</f>
        <v>28.779926807510105</v>
      </c>
    </row>
    <row r="36" spans="1:131" s="51" customFormat="1" ht="32.25" customHeight="1" hidden="1">
      <c r="A36" s="138" t="s">
        <v>140</v>
      </c>
      <c r="B36" s="160"/>
      <c r="C36" s="160"/>
      <c r="D36" s="161">
        <f>165000000-50000000-112300000</f>
        <v>2700000</v>
      </c>
      <c r="E36" s="161"/>
      <c r="F36" s="161">
        <f>F42*F40</f>
        <v>2700000</v>
      </c>
      <c r="G36" s="161">
        <f>181500000-80000000+3000000</f>
        <v>104500000</v>
      </c>
      <c r="H36" s="161"/>
      <c r="I36" s="161"/>
      <c r="J36" s="161">
        <f>G36</f>
        <v>104500000</v>
      </c>
      <c r="K36" s="161"/>
      <c r="L36" s="161"/>
      <c r="M36" s="161"/>
      <c r="N36" s="161">
        <v>190575000</v>
      </c>
      <c r="O36" s="161"/>
      <c r="P36" s="161">
        <f>N36</f>
        <v>190575000</v>
      </c>
      <c r="Q36" s="50"/>
      <c r="R36" s="357"/>
      <c r="S36" s="357"/>
      <c r="T36" s="357"/>
      <c r="U36" s="357"/>
      <c r="V36" s="357"/>
      <c r="W36" s="357"/>
      <c r="X36" s="357"/>
      <c r="Y36" s="357"/>
      <c r="Z36" s="357"/>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row>
    <row r="37" spans="1:16" ht="12.75" hidden="1">
      <c r="A37" s="140" t="s">
        <v>184</v>
      </c>
      <c r="B37" s="159"/>
      <c r="C37" s="159"/>
      <c r="D37" s="162"/>
      <c r="E37" s="162"/>
      <c r="F37" s="162"/>
      <c r="G37" s="162"/>
      <c r="H37" s="162"/>
      <c r="I37" s="162"/>
      <c r="J37" s="162"/>
      <c r="K37" s="162"/>
      <c r="L37" s="162"/>
      <c r="M37" s="162"/>
      <c r="N37" s="162"/>
      <c r="O37" s="162"/>
      <c r="P37" s="162"/>
    </row>
    <row r="38" spans="1:16" ht="25.5" hidden="1">
      <c r="A38" s="139" t="s">
        <v>189</v>
      </c>
      <c r="B38" s="163"/>
      <c r="C38" s="163"/>
      <c r="D38" s="162">
        <v>292000</v>
      </c>
      <c r="E38" s="162"/>
      <c r="F38" s="162">
        <f>D38</f>
        <v>292000</v>
      </c>
      <c r="G38" s="162">
        <v>300000</v>
      </c>
      <c r="H38" s="162"/>
      <c r="I38" s="162"/>
      <c r="J38" s="162">
        <f>G38</f>
        <v>300000</v>
      </c>
      <c r="K38" s="162"/>
      <c r="L38" s="162"/>
      <c r="M38" s="162"/>
      <c r="N38" s="162">
        <v>300000</v>
      </c>
      <c r="O38" s="162"/>
      <c r="P38" s="162">
        <f>N38</f>
        <v>300000</v>
      </c>
    </row>
    <row r="39" spans="1:16" ht="12.75" hidden="1">
      <c r="A39" s="140" t="s">
        <v>185</v>
      </c>
      <c r="B39" s="159"/>
      <c r="C39" s="159"/>
      <c r="D39" s="162"/>
      <c r="E39" s="162"/>
      <c r="F39" s="162"/>
      <c r="G39" s="162"/>
      <c r="H39" s="162"/>
      <c r="I39" s="162"/>
      <c r="J39" s="162"/>
      <c r="K39" s="162"/>
      <c r="L39" s="162"/>
      <c r="M39" s="162"/>
      <c r="N39" s="162"/>
      <c r="O39" s="162"/>
      <c r="P39" s="162"/>
    </row>
    <row r="40" spans="1:16" ht="12.75" hidden="1">
      <c r="A40" s="139" t="s">
        <v>190</v>
      </c>
      <c r="B40" s="163"/>
      <c r="C40" s="163"/>
      <c r="D40" s="162">
        <f>D36/D42</f>
        <v>1560.278769806872</v>
      </c>
      <c r="E40" s="162"/>
      <c r="F40" s="162">
        <f>D40</f>
        <v>1560.278769806872</v>
      </c>
      <c r="G40" s="162">
        <f>G36/G42</f>
        <v>56970.27187631182</v>
      </c>
      <c r="H40" s="162"/>
      <c r="I40" s="162"/>
      <c r="J40" s="162">
        <f>G40</f>
        <v>56970.27187631182</v>
      </c>
      <c r="K40" s="162"/>
      <c r="L40" s="162"/>
      <c r="M40" s="162"/>
      <c r="N40" s="162">
        <f>N36/N42</f>
        <v>103895.78529022129</v>
      </c>
      <c r="O40" s="162"/>
      <c r="P40" s="162">
        <f>N40</f>
        <v>103895.78529022129</v>
      </c>
    </row>
    <row r="41" spans="1:16" ht="12.75" hidden="1">
      <c r="A41" s="140" t="s">
        <v>187</v>
      </c>
      <c r="B41" s="159"/>
      <c r="C41" s="159"/>
      <c r="D41" s="162"/>
      <c r="E41" s="162"/>
      <c r="F41" s="162"/>
      <c r="G41" s="162"/>
      <c r="H41" s="162"/>
      <c r="I41" s="162"/>
      <c r="J41" s="162"/>
      <c r="K41" s="162"/>
      <c r="L41" s="162"/>
      <c r="M41" s="162"/>
      <c r="N41" s="162"/>
      <c r="O41" s="162"/>
      <c r="P41" s="162"/>
    </row>
    <row r="42" spans="1:16" ht="24" customHeight="1" hidden="1">
      <c r="A42" s="139" t="s">
        <v>194</v>
      </c>
      <c r="B42" s="163"/>
      <c r="C42" s="163"/>
      <c r="D42" s="162">
        <v>1730.46</v>
      </c>
      <c r="E42" s="162"/>
      <c r="F42" s="162">
        <f>D42</f>
        <v>1730.46</v>
      </c>
      <c r="G42" s="162">
        <v>1834.29</v>
      </c>
      <c r="H42" s="162"/>
      <c r="I42" s="162"/>
      <c r="J42" s="162">
        <f>G42</f>
        <v>1834.29</v>
      </c>
      <c r="K42" s="162"/>
      <c r="L42" s="162"/>
      <c r="M42" s="162"/>
      <c r="N42" s="162">
        <v>1834.29</v>
      </c>
      <c r="O42" s="162"/>
      <c r="P42" s="162">
        <f>N42</f>
        <v>1834.29</v>
      </c>
    </row>
    <row r="43" spans="1:16" ht="12.75" hidden="1">
      <c r="A43" s="134" t="s">
        <v>186</v>
      </c>
      <c r="B43" s="8"/>
      <c r="C43" s="8"/>
      <c r="D43" s="132"/>
      <c r="E43" s="132"/>
      <c r="F43" s="132"/>
      <c r="G43" s="132"/>
      <c r="H43" s="132"/>
      <c r="I43" s="132"/>
      <c r="J43" s="132"/>
      <c r="K43" s="132"/>
      <c r="L43" s="132"/>
      <c r="M43" s="132"/>
      <c r="N43" s="132"/>
      <c r="O43" s="132"/>
      <c r="P43" s="132"/>
    </row>
    <row r="44" spans="1:16" ht="12.75" hidden="1">
      <c r="A44" s="135" t="s">
        <v>195</v>
      </c>
      <c r="B44" s="165"/>
      <c r="C44" s="165"/>
      <c r="D44" s="132">
        <f>D40/D38*100</f>
        <v>0.5343420444544082</v>
      </c>
      <c r="E44" s="132"/>
      <c r="F44" s="132">
        <f>F40/F38*100</f>
        <v>0.5343420444544082</v>
      </c>
      <c r="G44" s="132">
        <f>G40/G38*100</f>
        <v>18.990090625437272</v>
      </c>
      <c r="H44" s="132"/>
      <c r="I44" s="132"/>
      <c r="J44" s="132">
        <f>J40/J38*100</f>
        <v>18.990090625437272</v>
      </c>
      <c r="K44" s="132"/>
      <c r="L44" s="132"/>
      <c r="M44" s="132"/>
      <c r="N44" s="132">
        <f>N40/N38*100</f>
        <v>34.63192843007376</v>
      </c>
      <c r="O44" s="132"/>
      <c r="P44" s="132">
        <f>P40/P38*100</f>
        <v>34.63192843007376</v>
      </c>
    </row>
    <row r="45" spans="1:132" s="51" customFormat="1" ht="40.5" hidden="1">
      <c r="A45" s="138" t="s">
        <v>141</v>
      </c>
      <c r="B45" s="160"/>
      <c r="C45" s="160"/>
      <c r="D45" s="161">
        <f>(D49*D51)+(D59*D57)+14.08</f>
        <v>61774799.99541488</v>
      </c>
      <c r="E45" s="161"/>
      <c r="F45" s="161">
        <f>D45</f>
        <v>61774799.99541488</v>
      </c>
      <c r="G45" s="161">
        <f>G49*G51+G57*G59</f>
        <v>100045700.000815</v>
      </c>
      <c r="H45" s="161"/>
      <c r="I45" s="161"/>
      <c r="J45" s="161">
        <f>G45</f>
        <v>100045700.000815</v>
      </c>
      <c r="K45" s="161"/>
      <c r="L45" s="161"/>
      <c r="M45" s="161"/>
      <c r="N45" s="161">
        <f>N49*N51+N57*N59-0.03</f>
        <v>105047999.99503049</v>
      </c>
      <c r="O45" s="161"/>
      <c r="P45" s="161">
        <f>N45</f>
        <v>105047999.99503049</v>
      </c>
      <c r="Q45" s="50"/>
      <c r="R45" s="357"/>
      <c r="S45" s="357"/>
      <c r="T45" s="357"/>
      <c r="U45" s="357"/>
      <c r="V45" s="357"/>
      <c r="W45" s="357"/>
      <c r="X45" s="357"/>
      <c r="Y45" s="357"/>
      <c r="Z45" s="357"/>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row>
    <row r="46" spans="1:132" ht="12.75" hidden="1">
      <c r="A46" s="134" t="s">
        <v>184</v>
      </c>
      <c r="B46" s="8"/>
      <c r="C46" s="8"/>
      <c r="D46" s="132"/>
      <c r="E46" s="132"/>
      <c r="F46" s="132"/>
      <c r="G46" s="132"/>
      <c r="H46" s="132"/>
      <c r="I46" s="132"/>
      <c r="J46" s="132"/>
      <c r="K46" s="132"/>
      <c r="L46" s="132"/>
      <c r="M46" s="132"/>
      <c r="N46" s="132"/>
      <c r="O46" s="132"/>
      <c r="P46" s="132"/>
      <c r="EB46" s="4"/>
    </row>
    <row r="47" spans="1:132" ht="25.5" hidden="1">
      <c r="A47" s="135" t="s">
        <v>209</v>
      </c>
      <c r="B47" s="165"/>
      <c r="C47" s="165"/>
      <c r="D47" s="132">
        <v>3372600</v>
      </c>
      <c r="E47" s="132"/>
      <c r="F47" s="132">
        <f>D47</f>
        <v>3372600</v>
      </c>
      <c r="G47" s="132">
        <v>3372600</v>
      </c>
      <c r="H47" s="132"/>
      <c r="I47" s="132"/>
      <c r="J47" s="132">
        <f>G47</f>
        <v>3372600</v>
      </c>
      <c r="K47" s="132"/>
      <c r="L47" s="132"/>
      <c r="M47" s="132"/>
      <c r="N47" s="132">
        <v>3372600</v>
      </c>
      <c r="O47" s="132"/>
      <c r="P47" s="132">
        <f>N47</f>
        <v>3372600</v>
      </c>
      <c r="EB47" s="4"/>
    </row>
    <row r="48" spans="1:132" ht="12.75" hidden="1">
      <c r="A48" s="134" t="s">
        <v>185</v>
      </c>
      <c r="B48" s="8"/>
      <c r="C48" s="8"/>
      <c r="D48" s="132"/>
      <c r="E48" s="132"/>
      <c r="F48" s="132"/>
      <c r="G48" s="132"/>
      <c r="H48" s="132"/>
      <c r="I48" s="132"/>
      <c r="J48" s="132"/>
      <c r="K48" s="132"/>
      <c r="L48" s="132"/>
      <c r="M48" s="132"/>
      <c r="N48" s="132"/>
      <c r="O48" s="132"/>
      <c r="P48" s="132"/>
      <c r="EB48" s="4"/>
    </row>
    <row r="49" spans="1:132" ht="28.5" customHeight="1" hidden="1">
      <c r="A49" s="135" t="s">
        <v>210</v>
      </c>
      <c r="B49" s="165"/>
      <c r="C49" s="165"/>
      <c r="D49" s="132">
        <f>2202395-562643.447</f>
        <v>1639751.5529999998</v>
      </c>
      <c r="E49" s="132"/>
      <c r="F49" s="132">
        <f>D49</f>
        <v>1639751.5529999998</v>
      </c>
      <c r="G49" s="132">
        <v>2287393</v>
      </c>
      <c r="H49" s="132"/>
      <c r="I49" s="132"/>
      <c r="J49" s="132">
        <f>G49</f>
        <v>2287393</v>
      </c>
      <c r="K49" s="132">
        <f>H49</f>
        <v>0</v>
      </c>
      <c r="L49" s="132">
        <f>I49</f>
        <v>0</v>
      </c>
      <c r="M49" s="132">
        <f>J49</f>
        <v>2287393</v>
      </c>
      <c r="N49" s="132">
        <v>2401762.65</v>
      </c>
      <c r="O49" s="132"/>
      <c r="P49" s="132">
        <f>N49</f>
        <v>2401762.65</v>
      </c>
      <c r="EB49" s="4"/>
    </row>
    <row r="50" spans="1:132" ht="12.75" hidden="1">
      <c r="A50" s="134" t="s">
        <v>187</v>
      </c>
      <c r="B50" s="8"/>
      <c r="C50" s="8"/>
      <c r="D50" s="132"/>
      <c r="E50" s="132"/>
      <c r="F50" s="132"/>
      <c r="G50" s="132"/>
      <c r="H50" s="132"/>
      <c r="I50" s="132"/>
      <c r="J50" s="132"/>
      <c r="K50" s="132"/>
      <c r="L50" s="132"/>
      <c r="M50" s="132"/>
      <c r="N50" s="132"/>
      <c r="O50" s="132"/>
      <c r="P50" s="132"/>
      <c r="EB50" s="4"/>
    </row>
    <row r="51" spans="1:132" ht="25.5" hidden="1">
      <c r="A51" s="135" t="s">
        <v>193</v>
      </c>
      <c r="B51" s="165"/>
      <c r="C51" s="165"/>
      <c r="D51" s="132">
        <v>36.8377781785</v>
      </c>
      <c r="E51" s="132"/>
      <c r="F51" s="132">
        <f>D51</f>
        <v>36.8377781785</v>
      </c>
      <c r="G51" s="132">
        <v>42.67</v>
      </c>
      <c r="H51" s="132"/>
      <c r="I51" s="132"/>
      <c r="J51" s="132">
        <f>G51</f>
        <v>42.67</v>
      </c>
      <c r="K51" s="132"/>
      <c r="L51" s="132"/>
      <c r="M51" s="132"/>
      <c r="N51" s="132">
        <v>42.67</v>
      </c>
      <c r="O51" s="132"/>
      <c r="P51" s="132">
        <f>N51</f>
        <v>42.67</v>
      </c>
      <c r="EB51" s="4"/>
    </row>
    <row r="52" spans="1:132" ht="12.75" hidden="1">
      <c r="A52" s="134" t="s">
        <v>186</v>
      </c>
      <c r="B52" s="8"/>
      <c r="C52" s="8"/>
      <c r="D52" s="132"/>
      <c r="E52" s="132"/>
      <c r="F52" s="132"/>
      <c r="G52" s="132"/>
      <c r="H52" s="132"/>
      <c r="I52" s="132"/>
      <c r="J52" s="132"/>
      <c r="K52" s="132"/>
      <c r="L52" s="132"/>
      <c r="M52" s="132"/>
      <c r="N52" s="132"/>
      <c r="O52" s="132"/>
      <c r="P52" s="132"/>
      <c r="EB52" s="4"/>
    </row>
    <row r="53" spans="1:16" ht="33.75" customHeight="1" hidden="1">
      <c r="A53" s="135" t="s">
        <v>211</v>
      </c>
      <c r="B53" s="165"/>
      <c r="C53" s="165"/>
      <c r="D53" s="132">
        <f>D49/D47*100</f>
        <v>48.61980528375733</v>
      </c>
      <c r="E53" s="132"/>
      <c r="F53" s="132">
        <f>F49/F47*100</f>
        <v>48.61980528375733</v>
      </c>
      <c r="G53" s="132">
        <f>G49/G47*100</f>
        <v>67.82283698037122</v>
      </c>
      <c r="H53" s="132"/>
      <c r="I53" s="132"/>
      <c r="J53" s="132">
        <f>J49/J47*100</f>
        <v>67.82283698037122</v>
      </c>
      <c r="K53" s="132"/>
      <c r="L53" s="132"/>
      <c r="M53" s="132"/>
      <c r="N53" s="132">
        <f>N49/N47*100</f>
        <v>71.21397882938979</v>
      </c>
      <c r="O53" s="132"/>
      <c r="P53" s="132">
        <f>P49/P47*100</f>
        <v>71.21397882938979</v>
      </c>
    </row>
    <row r="54" spans="1:16" ht="12.75" hidden="1">
      <c r="A54" s="134" t="s">
        <v>184</v>
      </c>
      <c r="B54" s="165"/>
      <c r="C54" s="165"/>
      <c r="D54" s="132"/>
      <c r="E54" s="132"/>
      <c r="F54" s="132"/>
      <c r="G54" s="132"/>
      <c r="H54" s="132"/>
      <c r="I54" s="132"/>
      <c r="J54" s="132"/>
      <c r="K54" s="132"/>
      <c r="L54" s="132"/>
      <c r="M54" s="132"/>
      <c r="N54" s="132"/>
      <c r="O54" s="132"/>
      <c r="P54" s="132"/>
    </row>
    <row r="55" spans="1:16" ht="35.25" customHeight="1" hidden="1">
      <c r="A55" s="135" t="s">
        <v>311</v>
      </c>
      <c r="B55" s="165"/>
      <c r="C55" s="165"/>
      <c r="D55" s="132">
        <v>446550</v>
      </c>
      <c r="E55" s="132"/>
      <c r="F55" s="132">
        <v>446550</v>
      </c>
      <c r="G55" s="132">
        <v>446550</v>
      </c>
      <c r="H55" s="132"/>
      <c r="I55" s="132"/>
      <c r="J55" s="132">
        <v>446550</v>
      </c>
      <c r="K55" s="132"/>
      <c r="L55" s="132"/>
      <c r="M55" s="132"/>
      <c r="N55" s="132">
        <v>446550</v>
      </c>
      <c r="O55" s="132"/>
      <c r="P55" s="132">
        <v>446550</v>
      </c>
    </row>
    <row r="56" spans="1:16" ht="12.75" hidden="1">
      <c r="A56" s="134" t="s">
        <v>185</v>
      </c>
      <c r="B56" s="165"/>
      <c r="C56" s="165"/>
      <c r="D56" s="132"/>
      <c r="E56" s="132"/>
      <c r="F56" s="132"/>
      <c r="G56" s="132"/>
      <c r="H56" s="132"/>
      <c r="I56" s="132"/>
      <c r="J56" s="132"/>
      <c r="K56" s="132"/>
      <c r="L56" s="132"/>
      <c r="M56" s="132"/>
      <c r="N56" s="132"/>
      <c r="O56" s="132"/>
      <c r="P56" s="132"/>
    </row>
    <row r="57" spans="1:16" ht="25.5" hidden="1">
      <c r="A57" s="135" t="s">
        <v>310</v>
      </c>
      <c r="B57" s="165"/>
      <c r="C57" s="165"/>
      <c r="D57" s="132">
        <f>446550-181050</f>
        <v>265500</v>
      </c>
      <c r="E57" s="132"/>
      <c r="F57" s="132">
        <v>446550</v>
      </c>
      <c r="G57" s="132">
        <v>446550</v>
      </c>
      <c r="H57" s="132"/>
      <c r="I57" s="132"/>
      <c r="J57" s="132">
        <v>446550</v>
      </c>
      <c r="K57" s="132">
        <v>446550</v>
      </c>
      <c r="L57" s="132">
        <v>446550</v>
      </c>
      <c r="M57" s="132">
        <v>446550</v>
      </c>
      <c r="N57" s="132">
        <v>446550</v>
      </c>
      <c r="O57" s="132"/>
      <c r="P57" s="132">
        <f>N57</f>
        <v>446550</v>
      </c>
    </row>
    <row r="58" spans="1:16" ht="12.75" hidden="1">
      <c r="A58" s="134" t="s">
        <v>187</v>
      </c>
      <c r="B58" s="165"/>
      <c r="C58" s="165"/>
      <c r="D58" s="132"/>
      <c r="E58" s="132"/>
      <c r="F58" s="132"/>
      <c r="G58" s="132"/>
      <c r="H58" s="132"/>
      <c r="I58" s="132"/>
      <c r="J58" s="132"/>
      <c r="K58" s="132"/>
      <c r="L58" s="132"/>
      <c r="M58" s="132"/>
      <c r="N58" s="132"/>
      <c r="O58" s="132"/>
      <c r="P58" s="132"/>
    </row>
    <row r="59" spans="1:16" ht="25.5" hidden="1">
      <c r="A59" s="135" t="s">
        <v>193</v>
      </c>
      <c r="B59" s="165"/>
      <c r="C59" s="165"/>
      <c r="D59" s="132">
        <v>5.1600073</v>
      </c>
      <c r="E59" s="132"/>
      <c r="F59" s="132">
        <f>D59</f>
        <v>5.1600073</v>
      </c>
      <c r="G59" s="132">
        <v>5.4700273</v>
      </c>
      <c r="H59" s="132"/>
      <c r="I59" s="132"/>
      <c r="J59" s="132">
        <f>G59</f>
        <v>5.4700273</v>
      </c>
      <c r="K59" s="132"/>
      <c r="L59" s="132"/>
      <c r="M59" s="132"/>
      <c r="N59" s="132">
        <v>5.74356231</v>
      </c>
      <c r="O59" s="132"/>
      <c r="P59" s="132">
        <f>N59</f>
        <v>5.74356231</v>
      </c>
    </row>
    <row r="60" spans="1:16" ht="12.75" hidden="1">
      <c r="A60" s="134" t="s">
        <v>186</v>
      </c>
      <c r="B60" s="165"/>
      <c r="C60" s="165"/>
      <c r="D60" s="132"/>
      <c r="E60" s="132"/>
      <c r="F60" s="132"/>
      <c r="G60" s="132"/>
      <c r="H60" s="132"/>
      <c r="I60" s="132"/>
      <c r="J60" s="132"/>
      <c r="K60" s="132"/>
      <c r="L60" s="132"/>
      <c r="M60" s="132"/>
      <c r="N60" s="132"/>
      <c r="O60" s="132"/>
      <c r="P60" s="132"/>
    </row>
    <row r="61" spans="1:16" ht="25.5" hidden="1">
      <c r="A61" s="135" t="s">
        <v>211</v>
      </c>
      <c r="B61" s="165"/>
      <c r="C61" s="165"/>
      <c r="D61" s="132">
        <v>85</v>
      </c>
      <c r="E61" s="132"/>
      <c r="F61" s="132">
        <v>85</v>
      </c>
      <c r="G61" s="132">
        <v>100</v>
      </c>
      <c r="H61" s="132"/>
      <c r="I61" s="132"/>
      <c r="J61" s="132">
        <v>100</v>
      </c>
      <c r="K61" s="132"/>
      <c r="L61" s="132"/>
      <c r="M61" s="132"/>
      <c r="N61" s="132">
        <v>100</v>
      </c>
      <c r="O61" s="132"/>
      <c r="P61" s="132">
        <v>100</v>
      </c>
    </row>
    <row r="62" spans="1:137" s="52" customFormat="1" ht="13.5" hidden="1">
      <c r="A62" s="138" t="s">
        <v>142</v>
      </c>
      <c r="B62" s="160"/>
      <c r="C62" s="160"/>
      <c r="D62" s="161">
        <f>1500000-1295800</f>
        <v>204200</v>
      </c>
      <c r="E62" s="161"/>
      <c r="F62" s="161">
        <f>D62</f>
        <v>204200</v>
      </c>
      <c r="G62" s="161">
        <v>1600000</v>
      </c>
      <c r="H62" s="161"/>
      <c r="I62" s="161"/>
      <c r="J62" s="161">
        <f>G62</f>
        <v>1600000</v>
      </c>
      <c r="K62" s="161"/>
      <c r="L62" s="161"/>
      <c r="M62" s="161"/>
      <c r="N62" s="161">
        <v>1700000</v>
      </c>
      <c r="O62" s="161"/>
      <c r="P62" s="161">
        <f>N62</f>
        <v>1700000</v>
      </c>
      <c r="R62" s="357"/>
      <c r="S62" s="357"/>
      <c r="T62" s="357"/>
      <c r="U62" s="357"/>
      <c r="V62" s="357"/>
      <c r="W62" s="357"/>
      <c r="X62" s="357"/>
      <c r="Y62" s="357"/>
      <c r="Z62" s="357"/>
      <c r="EB62" s="43"/>
      <c r="EC62" s="43"/>
      <c r="ED62" s="43"/>
      <c r="EE62" s="43"/>
      <c r="EF62" s="43"/>
      <c r="EG62" s="43"/>
    </row>
    <row r="63" spans="1:137" s="4" customFormat="1" ht="18.75" customHeight="1" hidden="1">
      <c r="A63" s="134" t="s">
        <v>255</v>
      </c>
      <c r="B63" s="165"/>
      <c r="C63" s="165"/>
      <c r="D63" s="132"/>
      <c r="E63" s="132"/>
      <c r="F63" s="132"/>
      <c r="G63" s="132"/>
      <c r="H63" s="132"/>
      <c r="I63" s="132"/>
      <c r="J63" s="132"/>
      <c r="K63" s="132"/>
      <c r="L63" s="132"/>
      <c r="M63" s="132"/>
      <c r="N63" s="132"/>
      <c r="O63" s="132"/>
      <c r="P63" s="132"/>
      <c r="R63" s="274"/>
      <c r="S63" s="274"/>
      <c r="T63" s="274"/>
      <c r="U63" s="274"/>
      <c r="V63" s="274"/>
      <c r="W63" s="274"/>
      <c r="X63" s="274"/>
      <c r="Y63" s="274"/>
      <c r="Z63" s="274"/>
      <c r="EB63" s="13"/>
      <c r="EC63" s="13"/>
      <c r="ED63" s="13"/>
      <c r="EE63" s="13"/>
      <c r="EF63" s="13"/>
      <c r="EG63" s="13"/>
    </row>
    <row r="64" spans="1:137" s="4" customFormat="1" ht="12.75" hidden="1">
      <c r="A64" s="135" t="s">
        <v>426</v>
      </c>
      <c r="B64" s="165"/>
      <c r="C64" s="165"/>
      <c r="D64" s="132">
        <f>D62</f>
        <v>204200</v>
      </c>
      <c r="E64" s="132"/>
      <c r="F64" s="132">
        <f>D64</f>
        <v>204200</v>
      </c>
      <c r="G64" s="132">
        <f>G62</f>
        <v>1600000</v>
      </c>
      <c r="H64" s="132"/>
      <c r="I64" s="132"/>
      <c r="J64" s="132">
        <f>G64</f>
        <v>1600000</v>
      </c>
      <c r="K64" s="132"/>
      <c r="L64" s="132"/>
      <c r="M64" s="132"/>
      <c r="N64" s="132">
        <f>N62</f>
        <v>1700000</v>
      </c>
      <c r="O64" s="132"/>
      <c r="P64" s="132">
        <f>N64</f>
        <v>1700000</v>
      </c>
      <c r="R64" s="274"/>
      <c r="S64" s="274"/>
      <c r="T64" s="274"/>
      <c r="U64" s="274"/>
      <c r="V64" s="274"/>
      <c r="W64" s="274"/>
      <c r="X64" s="274"/>
      <c r="Y64" s="274"/>
      <c r="Z64" s="274"/>
      <c r="EB64" s="13"/>
      <c r="EC64" s="13"/>
      <c r="ED64" s="13"/>
      <c r="EE64" s="13"/>
      <c r="EF64" s="13"/>
      <c r="EG64" s="13"/>
    </row>
    <row r="65" spans="1:137" s="4" customFormat="1" ht="12.75" hidden="1">
      <c r="A65" s="134" t="s">
        <v>378</v>
      </c>
      <c r="B65" s="165"/>
      <c r="C65" s="165"/>
      <c r="D65" s="132"/>
      <c r="E65" s="132"/>
      <c r="F65" s="132"/>
      <c r="G65" s="132"/>
      <c r="H65" s="132"/>
      <c r="I65" s="132"/>
      <c r="J65" s="132"/>
      <c r="K65" s="132"/>
      <c r="L65" s="132"/>
      <c r="M65" s="132"/>
      <c r="N65" s="132"/>
      <c r="O65" s="132"/>
      <c r="P65" s="132"/>
      <c r="R65" s="274"/>
      <c r="S65" s="274"/>
      <c r="T65" s="274"/>
      <c r="U65" s="274"/>
      <c r="V65" s="274"/>
      <c r="W65" s="274"/>
      <c r="X65" s="274"/>
      <c r="Y65" s="274"/>
      <c r="Z65" s="274"/>
      <c r="EB65" s="13"/>
      <c r="EC65" s="13"/>
      <c r="ED65" s="13"/>
      <c r="EE65" s="13"/>
      <c r="EF65" s="13"/>
      <c r="EG65" s="13"/>
    </row>
    <row r="66" spans="1:137" s="36" customFormat="1" ht="18" customHeight="1" hidden="1">
      <c r="A66" s="166" t="s">
        <v>135</v>
      </c>
      <c r="B66" s="163"/>
      <c r="C66" s="163"/>
      <c r="D66" s="162">
        <f>D64/D68</f>
        <v>657.5240000024986</v>
      </c>
      <c r="E66" s="162"/>
      <c r="F66" s="162">
        <f>D66</f>
        <v>657.5240000024986</v>
      </c>
      <c r="G66" s="162">
        <v>4830</v>
      </c>
      <c r="H66" s="162"/>
      <c r="I66" s="162"/>
      <c r="J66" s="162">
        <f>G66</f>
        <v>4830</v>
      </c>
      <c r="K66" s="162"/>
      <c r="L66" s="162"/>
      <c r="M66" s="162"/>
      <c r="N66" s="162">
        <v>4830</v>
      </c>
      <c r="O66" s="162"/>
      <c r="P66" s="162">
        <f>N66</f>
        <v>4830</v>
      </c>
      <c r="R66" s="274"/>
      <c r="S66" s="274"/>
      <c r="T66" s="274"/>
      <c r="U66" s="274"/>
      <c r="V66" s="274"/>
      <c r="W66" s="274"/>
      <c r="X66" s="274"/>
      <c r="Y66" s="274"/>
      <c r="Z66" s="274"/>
      <c r="EB66" s="37"/>
      <c r="EC66" s="37"/>
      <c r="ED66" s="37"/>
      <c r="EE66" s="37"/>
      <c r="EF66" s="37"/>
      <c r="EG66" s="37"/>
    </row>
    <row r="67" spans="1:137" s="36" customFormat="1" ht="16.5" customHeight="1" hidden="1">
      <c r="A67" s="140" t="s">
        <v>374</v>
      </c>
      <c r="B67" s="163"/>
      <c r="C67" s="163"/>
      <c r="D67" s="162"/>
      <c r="E67" s="162"/>
      <c r="F67" s="162"/>
      <c r="G67" s="162"/>
      <c r="H67" s="162"/>
      <c r="I67" s="162"/>
      <c r="J67" s="162"/>
      <c r="K67" s="162"/>
      <c r="L67" s="162"/>
      <c r="M67" s="162"/>
      <c r="N67" s="162"/>
      <c r="O67" s="162"/>
      <c r="P67" s="162"/>
      <c r="R67" s="274"/>
      <c r="S67" s="274"/>
      <c r="T67" s="274"/>
      <c r="U67" s="274"/>
      <c r="V67" s="274"/>
      <c r="W67" s="274"/>
      <c r="X67" s="274"/>
      <c r="Y67" s="274"/>
      <c r="Z67" s="274"/>
      <c r="EB67" s="37"/>
      <c r="EC67" s="37"/>
      <c r="ED67" s="37"/>
      <c r="EE67" s="37"/>
      <c r="EF67" s="37"/>
      <c r="EG67" s="37"/>
    </row>
    <row r="68" spans="1:137" s="36" customFormat="1" ht="12.75" hidden="1">
      <c r="A68" s="139" t="s">
        <v>136</v>
      </c>
      <c r="B68" s="163"/>
      <c r="C68" s="163"/>
      <c r="D68" s="162">
        <v>310.55900621</v>
      </c>
      <c r="E68" s="162"/>
      <c r="F68" s="162">
        <f>D68</f>
        <v>310.55900621</v>
      </c>
      <c r="G68" s="162">
        <f>G64/G66</f>
        <v>331.26293995859214</v>
      </c>
      <c r="H68" s="162"/>
      <c r="I68" s="162"/>
      <c r="J68" s="162">
        <f>G68</f>
        <v>331.26293995859214</v>
      </c>
      <c r="K68" s="162"/>
      <c r="L68" s="162"/>
      <c r="M68" s="162"/>
      <c r="N68" s="162">
        <f>N64/N66</f>
        <v>351.96687370600415</v>
      </c>
      <c r="O68" s="162"/>
      <c r="P68" s="162">
        <f>N68</f>
        <v>351.96687370600415</v>
      </c>
      <c r="R68" s="274"/>
      <c r="S68" s="274"/>
      <c r="T68" s="274"/>
      <c r="U68" s="274"/>
      <c r="V68" s="274"/>
      <c r="W68" s="274"/>
      <c r="X68" s="274"/>
      <c r="Y68" s="274"/>
      <c r="Z68" s="274"/>
      <c r="EB68" s="37"/>
      <c r="EC68" s="37"/>
      <c r="ED68" s="37"/>
      <c r="EE68" s="37"/>
      <c r="EF68" s="37"/>
      <c r="EG68" s="37"/>
    </row>
    <row r="69" spans="1:137" s="52" customFormat="1" ht="27" hidden="1">
      <c r="A69" s="138" t="s">
        <v>143</v>
      </c>
      <c r="B69" s="160"/>
      <c r="C69" s="160"/>
      <c r="D69" s="161">
        <f>D71</f>
        <v>855000</v>
      </c>
      <c r="E69" s="161">
        <f aca="true" t="shared" si="6" ref="E69:O69">E71</f>
        <v>1000000</v>
      </c>
      <c r="F69" s="161">
        <f t="shared" si="6"/>
        <v>1855000</v>
      </c>
      <c r="G69" s="161">
        <f t="shared" si="6"/>
        <v>2700000</v>
      </c>
      <c r="H69" s="161">
        <f t="shared" si="6"/>
        <v>8287400</v>
      </c>
      <c r="I69" s="161">
        <f t="shared" si="6"/>
        <v>0</v>
      </c>
      <c r="J69" s="161">
        <f t="shared" si="6"/>
        <v>10987400</v>
      </c>
      <c r="K69" s="161">
        <f t="shared" si="6"/>
        <v>0</v>
      </c>
      <c r="L69" s="161">
        <f t="shared" si="6"/>
        <v>0</v>
      </c>
      <c r="M69" s="161">
        <f t="shared" si="6"/>
        <v>0</v>
      </c>
      <c r="N69" s="161">
        <f t="shared" si="6"/>
        <v>1775500</v>
      </c>
      <c r="O69" s="161">
        <f t="shared" si="6"/>
        <v>8702000</v>
      </c>
      <c r="P69" s="161">
        <f>P71</f>
        <v>10477500</v>
      </c>
      <c r="R69" s="357"/>
      <c r="S69" s="357"/>
      <c r="T69" s="357"/>
      <c r="U69" s="357"/>
      <c r="V69" s="357"/>
      <c r="W69" s="357"/>
      <c r="X69" s="357"/>
      <c r="Y69" s="357"/>
      <c r="Z69" s="357"/>
      <c r="EB69" s="43"/>
      <c r="EC69" s="43"/>
      <c r="ED69" s="43"/>
      <c r="EE69" s="43"/>
      <c r="EF69" s="43"/>
      <c r="EG69" s="43"/>
    </row>
    <row r="70" spans="1:137" s="4" customFormat="1" ht="19.5" customHeight="1" hidden="1">
      <c r="A70" s="134" t="s">
        <v>255</v>
      </c>
      <c r="B70" s="165"/>
      <c r="C70" s="165"/>
      <c r="D70" s="132"/>
      <c r="E70" s="132"/>
      <c r="F70" s="132"/>
      <c r="G70" s="132"/>
      <c r="H70" s="132"/>
      <c r="I70" s="132"/>
      <c r="J70" s="132"/>
      <c r="K70" s="132"/>
      <c r="L70" s="132"/>
      <c r="M70" s="132"/>
      <c r="N70" s="132"/>
      <c r="O70" s="132"/>
      <c r="P70" s="132"/>
      <c r="R70" s="274"/>
      <c r="S70" s="274"/>
      <c r="T70" s="274"/>
      <c r="U70" s="274"/>
      <c r="V70" s="274"/>
      <c r="W70" s="274"/>
      <c r="X70" s="274"/>
      <c r="Y70" s="274"/>
      <c r="Z70" s="274"/>
      <c r="EB70" s="13"/>
      <c r="EC70" s="13"/>
      <c r="ED70" s="13"/>
      <c r="EE70" s="13"/>
      <c r="EF70" s="13"/>
      <c r="EG70" s="13"/>
    </row>
    <row r="71" spans="1:137" s="4" customFormat="1" ht="27" customHeight="1" hidden="1">
      <c r="A71" s="135" t="s">
        <v>427</v>
      </c>
      <c r="B71" s="165"/>
      <c r="C71" s="165"/>
      <c r="D71" s="132">
        <f>1595200-740200</f>
        <v>855000</v>
      </c>
      <c r="E71" s="132">
        <f>7818300-6818300</f>
        <v>1000000</v>
      </c>
      <c r="F71" s="132">
        <f>D71+E71</f>
        <v>1855000</v>
      </c>
      <c r="G71" s="132">
        <f>1690900+1009100</f>
        <v>2700000</v>
      </c>
      <c r="H71" s="132">
        <v>8287400</v>
      </c>
      <c r="I71" s="132"/>
      <c r="J71" s="132">
        <f>G71+H71</f>
        <v>10987400</v>
      </c>
      <c r="K71" s="132"/>
      <c r="L71" s="132"/>
      <c r="M71" s="132"/>
      <c r="N71" s="132">
        <v>1775500</v>
      </c>
      <c r="O71" s="132">
        <v>8702000</v>
      </c>
      <c r="P71" s="132">
        <f>N71+O71</f>
        <v>10477500</v>
      </c>
      <c r="R71" s="274"/>
      <c r="S71" s="274"/>
      <c r="T71" s="274"/>
      <c r="U71" s="274"/>
      <c r="V71" s="274"/>
      <c r="W71" s="274"/>
      <c r="X71" s="274"/>
      <c r="Y71" s="274"/>
      <c r="Z71" s="274"/>
      <c r="EB71" s="13"/>
      <c r="EC71" s="13"/>
      <c r="ED71" s="13"/>
      <c r="EE71" s="13"/>
      <c r="EF71" s="13"/>
      <c r="EG71" s="13"/>
    </row>
    <row r="72" spans="1:137" s="4" customFormat="1" ht="12.75" hidden="1">
      <c r="A72" s="134" t="s">
        <v>378</v>
      </c>
      <c r="B72" s="165"/>
      <c r="C72" s="165"/>
      <c r="D72" s="132"/>
      <c r="E72" s="132"/>
      <c r="F72" s="132"/>
      <c r="G72" s="132"/>
      <c r="H72" s="132"/>
      <c r="I72" s="132"/>
      <c r="J72" s="132"/>
      <c r="K72" s="132"/>
      <c r="L72" s="132"/>
      <c r="M72" s="132"/>
      <c r="N72" s="132"/>
      <c r="O72" s="132"/>
      <c r="P72" s="132"/>
      <c r="R72" s="274"/>
      <c r="S72" s="274"/>
      <c r="T72" s="274"/>
      <c r="U72" s="274"/>
      <c r="V72" s="274"/>
      <c r="W72" s="274"/>
      <c r="X72" s="274"/>
      <c r="Y72" s="274"/>
      <c r="Z72" s="274"/>
      <c r="EB72" s="13"/>
      <c r="EC72" s="13"/>
      <c r="ED72" s="13"/>
      <c r="EE72" s="13"/>
      <c r="EF72" s="13"/>
      <c r="EG72" s="13"/>
    </row>
    <row r="73" spans="1:137" s="4" customFormat="1" ht="25.5" hidden="1">
      <c r="A73" s="136" t="s">
        <v>144</v>
      </c>
      <c r="B73" s="165"/>
      <c r="C73" s="165"/>
      <c r="D73" s="167">
        <f>D71/D75</f>
        <v>5.7</v>
      </c>
      <c r="E73" s="167">
        <f>E71/E75</f>
        <v>2</v>
      </c>
      <c r="F73" s="167">
        <f>D73+E73</f>
        <v>7.7</v>
      </c>
      <c r="G73" s="167">
        <f>G71/G75</f>
        <v>16.875</v>
      </c>
      <c r="H73" s="167">
        <f>H71/H75</f>
        <v>15.534020618556701</v>
      </c>
      <c r="I73" s="132"/>
      <c r="J73" s="167">
        <f>G73+H73</f>
        <v>32.4090206185567</v>
      </c>
      <c r="K73" s="132"/>
      <c r="L73" s="132"/>
      <c r="M73" s="132"/>
      <c r="N73" s="167">
        <f>N71/N75</f>
        <v>10.450264861683344</v>
      </c>
      <c r="O73" s="167">
        <f>O71/O75</f>
        <v>15.387879966755673</v>
      </c>
      <c r="P73" s="167">
        <f>N73+O73</f>
        <v>25.838144828439017</v>
      </c>
      <c r="R73" s="274"/>
      <c r="S73" s="274"/>
      <c r="T73" s="274"/>
      <c r="U73" s="274"/>
      <c r="V73" s="274"/>
      <c r="W73" s="274"/>
      <c r="X73" s="274"/>
      <c r="Y73" s="274"/>
      <c r="Z73" s="274"/>
      <c r="EB73" s="13"/>
      <c r="EC73" s="13"/>
      <c r="ED73" s="13"/>
      <c r="EE73" s="13"/>
      <c r="EF73" s="13"/>
      <c r="EG73" s="13"/>
    </row>
    <row r="74" spans="1:137" s="4" customFormat="1" ht="12.75" hidden="1">
      <c r="A74" s="134" t="s">
        <v>374</v>
      </c>
      <c r="B74" s="165"/>
      <c r="C74" s="165"/>
      <c r="D74" s="132"/>
      <c r="E74" s="132"/>
      <c r="F74" s="132"/>
      <c r="G74" s="132"/>
      <c r="H74" s="132"/>
      <c r="I74" s="132"/>
      <c r="J74" s="132"/>
      <c r="K74" s="132"/>
      <c r="L74" s="132"/>
      <c r="M74" s="132"/>
      <c r="N74" s="132"/>
      <c r="O74" s="132"/>
      <c r="P74" s="132"/>
      <c r="R74" s="274"/>
      <c r="S74" s="274"/>
      <c r="T74" s="274"/>
      <c r="U74" s="274"/>
      <c r="V74" s="274"/>
      <c r="W74" s="274"/>
      <c r="X74" s="274"/>
      <c r="Y74" s="274"/>
      <c r="Z74" s="274"/>
      <c r="EB74" s="13"/>
      <c r="EC74" s="13"/>
      <c r="ED74" s="13"/>
      <c r="EE74" s="13"/>
      <c r="EF74" s="13"/>
      <c r="EG74" s="13"/>
    </row>
    <row r="75" spans="1:137" s="4" customFormat="1" ht="30" customHeight="1" hidden="1">
      <c r="A75" s="135" t="s">
        <v>428</v>
      </c>
      <c r="B75" s="165"/>
      <c r="C75" s="165"/>
      <c r="D75" s="132">
        <v>150000</v>
      </c>
      <c r="E75" s="132">
        <v>500000</v>
      </c>
      <c r="F75" s="132">
        <f>D75+E75</f>
        <v>650000</v>
      </c>
      <c r="G75" s="132">
        <v>160000</v>
      </c>
      <c r="H75" s="132">
        <v>533500</v>
      </c>
      <c r="I75" s="132"/>
      <c r="J75" s="132">
        <f>G75+H75</f>
        <v>693500</v>
      </c>
      <c r="K75" s="132"/>
      <c r="L75" s="132"/>
      <c r="M75" s="132"/>
      <c r="N75" s="132">
        <v>169900</v>
      </c>
      <c r="O75" s="132">
        <v>565510</v>
      </c>
      <c r="P75" s="132">
        <f>N75+O75</f>
        <v>735410</v>
      </c>
      <c r="R75" s="274"/>
      <c r="S75" s="274"/>
      <c r="T75" s="274"/>
      <c r="U75" s="274"/>
      <c r="V75" s="274"/>
      <c r="W75" s="274"/>
      <c r="X75" s="274"/>
      <c r="Y75" s="274"/>
      <c r="Z75" s="274"/>
      <c r="EB75" s="13"/>
      <c r="EC75" s="13"/>
      <c r="ED75" s="13"/>
      <c r="EE75" s="13"/>
      <c r="EF75" s="13"/>
      <c r="EG75" s="13"/>
    </row>
    <row r="76" spans="1:131" s="51" customFormat="1" ht="24.75" customHeight="1" hidden="1">
      <c r="A76" s="138" t="s">
        <v>145</v>
      </c>
      <c r="B76" s="160"/>
      <c r="C76" s="160"/>
      <c r="D76" s="161">
        <f>D78</f>
        <v>1701900</v>
      </c>
      <c r="E76" s="161"/>
      <c r="F76" s="161">
        <f>D76</f>
        <v>1701900</v>
      </c>
      <c r="G76" s="161">
        <f>G78</f>
        <v>11917000</v>
      </c>
      <c r="H76" s="161"/>
      <c r="I76" s="161"/>
      <c r="J76" s="161">
        <f>G76+H76</f>
        <v>11917000</v>
      </c>
      <c r="K76" s="161"/>
      <c r="L76" s="161"/>
      <c r="M76" s="161"/>
      <c r="N76" s="161">
        <f>N78</f>
        <v>12513000</v>
      </c>
      <c r="O76" s="161"/>
      <c r="P76" s="161">
        <f>N76</f>
        <v>12513000</v>
      </c>
      <c r="Q76" s="50"/>
      <c r="R76" s="357"/>
      <c r="S76" s="357"/>
      <c r="T76" s="357"/>
      <c r="U76" s="357"/>
      <c r="V76" s="357"/>
      <c r="W76" s="357"/>
      <c r="X76" s="357"/>
      <c r="Y76" s="357"/>
      <c r="Z76" s="357"/>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row>
    <row r="77" spans="1:16" ht="12.75" hidden="1">
      <c r="A77" s="134" t="s">
        <v>184</v>
      </c>
      <c r="B77" s="8"/>
      <c r="C77" s="8"/>
      <c r="D77" s="132"/>
      <c r="E77" s="132"/>
      <c r="F77" s="132"/>
      <c r="G77" s="132"/>
      <c r="H77" s="132"/>
      <c r="I77" s="132"/>
      <c r="J77" s="132"/>
      <c r="K77" s="132"/>
      <c r="L77" s="132"/>
      <c r="M77" s="132"/>
      <c r="N77" s="132"/>
      <c r="O77" s="132"/>
      <c r="P77" s="132"/>
    </row>
    <row r="78" spans="1:16" ht="12.75" hidden="1">
      <c r="A78" s="135" t="s">
        <v>50</v>
      </c>
      <c r="B78" s="165"/>
      <c r="C78" s="165"/>
      <c r="D78" s="132">
        <f>11469000-9767100</f>
        <v>1701900</v>
      </c>
      <c r="E78" s="132"/>
      <c r="F78" s="132">
        <f>D78</f>
        <v>1701900</v>
      </c>
      <c r="G78" s="132">
        <v>11917000</v>
      </c>
      <c r="H78" s="132"/>
      <c r="I78" s="132"/>
      <c r="J78" s="132">
        <f>G78</f>
        <v>11917000</v>
      </c>
      <c r="K78" s="132"/>
      <c r="L78" s="132"/>
      <c r="M78" s="132"/>
      <c r="N78" s="132">
        <v>12513000</v>
      </c>
      <c r="O78" s="132"/>
      <c r="P78" s="132">
        <f>N78</f>
        <v>12513000</v>
      </c>
    </row>
    <row r="79" spans="1:16" ht="12.75" hidden="1">
      <c r="A79" s="134" t="s">
        <v>185</v>
      </c>
      <c r="B79" s="8"/>
      <c r="C79" s="8"/>
      <c r="D79" s="132"/>
      <c r="E79" s="132"/>
      <c r="F79" s="132"/>
      <c r="G79" s="132"/>
      <c r="H79" s="132"/>
      <c r="I79" s="132"/>
      <c r="J79" s="132"/>
      <c r="K79" s="132"/>
      <c r="L79" s="132"/>
      <c r="M79" s="132"/>
      <c r="N79" s="132"/>
      <c r="O79" s="132"/>
      <c r="P79" s="132"/>
    </row>
    <row r="80" spans="1:16" ht="12.75" hidden="1">
      <c r="A80" s="135" t="s">
        <v>146</v>
      </c>
      <c r="B80" s="8"/>
      <c r="C80" s="8"/>
      <c r="D80" s="162">
        <v>893300</v>
      </c>
      <c r="E80" s="132"/>
      <c r="F80" s="132">
        <f>D80</f>
        <v>893300</v>
      </c>
      <c r="G80" s="162">
        <v>893300</v>
      </c>
      <c r="H80" s="132"/>
      <c r="I80" s="132"/>
      <c r="J80" s="132">
        <f>G80</f>
        <v>893300</v>
      </c>
      <c r="K80" s="132"/>
      <c r="L80" s="132"/>
      <c r="M80" s="132"/>
      <c r="N80" s="162">
        <v>893300</v>
      </c>
      <c r="O80" s="132"/>
      <c r="P80" s="132">
        <f>N80</f>
        <v>893300</v>
      </c>
    </row>
    <row r="81" spans="1:16" ht="34.5" customHeight="1" hidden="1">
      <c r="A81" s="135" t="s">
        <v>51</v>
      </c>
      <c r="B81" s="165"/>
      <c r="C81" s="165"/>
      <c r="D81" s="132">
        <f>D78/D83</f>
        <v>2101.1111111111113</v>
      </c>
      <c r="E81" s="132"/>
      <c r="F81" s="132">
        <f>D81</f>
        <v>2101.1111111111113</v>
      </c>
      <c r="G81" s="132">
        <f>G78/G83</f>
        <v>13792.824074074075</v>
      </c>
      <c r="H81" s="132"/>
      <c r="I81" s="132"/>
      <c r="J81" s="132">
        <f>G81</f>
        <v>13792.824074074075</v>
      </c>
      <c r="K81" s="132"/>
      <c r="L81" s="132"/>
      <c r="M81" s="132"/>
      <c r="N81" s="132">
        <f>N78/N83</f>
        <v>13660.480349344978</v>
      </c>
      <c r="O81" s="132"/>
      <c r="P81" s="132">
        <f>N81</f>
        <v>13660.480349344978</v>
      </c>
    </row>
    <row r="82" spans="1:16" ht="12.75" hidden="1">
      <c r="A82" s="134" t="s">
        <v>187</v>
      </c>
      <c r="B82" s="8"/>
      <c r="C82" s="8"/>
      <c r="D82" s="132"/>
      <c r="E82" s="132"/>
      <c r="F82" s="132"/>
      <c r="G82" s="132"/>
      <c r="H82" s="132"/>
      <c r="I82" s="132"/>
      <c r="J82" s="132"/>
      <c r="K82" s="132"/>
      <c r="L82" s="132"/>
      <c r="M82" s="132"/>
      <c r="N82" s="132"/>
      <c r="O82" s="132"/>
      <c r="P82" s="132"/>
    </row>
    <row r="83" spans="1:16" ht="25.5" hidden="1">
      <c r="A83" s="135" t="s">
        <v>52</v>
      </c>
      <c r="B83" s="165"/>
      <c r="C83" s="165"/>
      <c r="D83" s="162">
        <v>810</v>
      </c>
      <c r="E83" s="162"/>
      <c r="F83" s="162">
        <f>D83</f>
        <v>810</v>
      </c>
      <c r="G83" s="162">
        <v>864</v>
      </c>
      <c r="H83" s="162"/>
      <c r="I83" s="162"/>
      <c r="J83" s="162">
        <f>G83</f>
        <v>864</v>
      </c>
      <c r="K83" s="162"/>
      <c r="L83" s="162"/>
      <c r="M83" s="162"/>
      <c r="N83" s="162">
        <v>916</v>
      </c>
      <c r="O83" s="162"/>
      <c r="P83" s="162">
        <f>N83</f>
        <v>916</v>
      </c>
    </row>
    <row r="84" spans="1:16" ht="12.75" hidden="1">
      <c r="A84" s="134" t="s">
        <v>186</v>
      </c>
      <c r="B84" s="8"/>
      <c r="C84" s="8"/>
      <c r="D84" s="132"/>
      <c r="E84" s="132"/>
      <c r="F84" s="132"/>
      <c r="G84" s="132"/>
      <c r="H84" s="132"/>
      <c r="I84" s="132"/>
      <c r="J84" s="132"/>
      <c r="K84" s="132"/>
      <c r="L84" s="132"/>
      <c r="M84" s="132"/>
      <c r="N84" s="132"/>
      <c r="O84" s="132"/>
      <c r="P84" s="132"/>
    </row>
    <row r="85" spans="1:16" ht="25.5" hidden="1">
      <c r="A85" s="135" t="s">
        <v>53</v>
      </c>
      <c r="B85" s="165"/>
      <c r="C85" s="165"/>
      <c r="D85" s="162">
        <f>D81/D80*100</f>
        <v>0.23520778138487758</v>
      </c>
      <c r="E85" s="132"/>
      <c r="F85" s="132">
        <f>F81/F80*100</f>
        <v>0.23520778138487758</v>
      </c>
      <c r="G85" s="132">
        <f>G81/G80*100</f>
        <v>1.5440304571895305</v>
      </c>
      <c r="H85" s="132"/>
      <c r="I85" s="132"/>
      <c r="J85" s="132">
        <f>J81/J80*100</f>
        <v>1.5440304571895305</v>
      </c>
      <c r="K85" s="132"/>
      <c r="L85" s="132"/>
      <c r="M85" s="132"/>
      <c r="N85" s="132">
        <f>N81/N80*100</f>
        <v>1.529215308333704</v>
      </c>
      <c r="O85" s="132"/>
      <c r="P85" s="132">
        <f>P81/P80*100</f>
        <v>1.529215308333704</v>
      </c>
    </row>
    <row r="86" spans="1:137" s="36" customFormat="1" ht="30.75" customHeight="1" hidden="1">
      <c r="A86" s="138" t="s">
        <v>155</v>
      </c>
      <c r="B86" s="163"/>
      <c r="C86" s="163"/>
      <c r="D86" s="161">
        <f>D88</f>
        <v>0</v>
      </c>
      <c r="E86" s="161"/>
      <c r="F86" s="161">
        <f>D86</f>
        <v>0</v>
      </c>
      <c r="G86" s="161">
        <f>G88</f>
        <v>0</v>
      </c>
      <c r="H86" s="161"/>
      <c r="I86" s="161"/>
      <c r="J86" s="161">
        <f>G86</f>
        <v>0</v>
      </c>
      <c r="K86" s="161"/>
      <c r="L86" s="161"/>
      <c r="M86" s="161"/>
      <c r="N86" s="161">
        <f>N88</f>
        <v>983100</v>
      </c>
      <c r="O86" s="161"/>
      <c r="P86" s="161">
        <f>N86</f>
        <v>983100</v>
      </c>
      <c r="R86" s="274"/>
      <c r="S86" s="274"/>
      <c r="T86" s="274"/>
      <c r="U86" s="274"/>
      <c r="V86" s="274"/>
      <c r="W86" s="274"/>
      <c r="X86" s="274"/>
      <c r="Y86" s="274"/>
      <c r="Z86" s="274"/>
      <c r="EB86" s="37"/>
      <c r="EC86" s="37"/>
      <c r="ED86" s="37"/>
      <c r="EE86" s="37"/>
      <c r="EF86" s="37"/>
      <c r="EG86" s="37"/>
    </row>
    <row r="87" spans="1:137" s="4" customFormat="1" ht="12.75" hidden="1">
      <c r="A87" s="134" t="s">
        <v>255</v>
      </c>
      <c r="B87" s="165"/>
      <c r="C87" s="165"/>
      <c r="D87" s="132"/>
      <c r="E87" s="132"/>
      <c r="F87" s="132"/>
      <c r="G87" s="132"/>
      <c r="H87" s="132"/>
      <c r="I87" s="132"/>
      <c r="J87" s="132"/>
      <c r="K87" s="132"/>
      <c r="L87" s="132"/>
      <c r="M87" s="132"/>
      <c r="N87" s="132"/>
      <c r="O87" s="132"/>
      <c r="P87" s="132"/>
      <c r="R87" s="274"/>
      <c r="S87" s="274"/>
      <c r="T87" s="274"/>
      <c r="U87" s="274"/>
      <c r="V87" s="274"/>
      <c r="W87" s="274"/>
      <c r="X87" s="274"/>
      <c r="Y87" s="274"/>
      <c r="Z87" s="274"/>
      <c r="EB87" s="13"/>
      <c r="EC87" s="13"/>
      <c r="ED87" s="13"/>
      <c r="EE87" s="13"/>
      <c r="EF87" s="13"/>
      <c r="EG87" s="13"/>
    </row>
    <row r="88" spans="1:137" s="4" customFormat="1" ht="37.5" customHeight="1" hidden="1">
      <c r="A88" s="135" t="s">
        <v>442</v>
      </c>
      <c r="B88" s="165"/>
      <c r="C88" s="165"/>
      <c r="D88" s="132">
        <f>894600-894600</f>
        <v>0</v>
      </c>
      <c r="E88" s="132"/>
      <c r="F88" s="132">
        <f>D88</f>
        <v>0</v>
      </c>
      <c r="G88" s="132">
        <f>936300-936300</f>
        <v>0</v>
      </c>
      <c r="H88" s="132"/>
      <c r="I88" s="132"/>
      <c r="J88" s="132">
        <f>G88</f>
        <v>0</v>
      </c>
      <c r="K88" s="132"/>
      <c r="L88" s="132"/>
      <c r="M88" s="132"/>
      <c r="N88" s="132">
        <v>983100</v>
      </c>
      <c r="O88" s="132"/>
      <c r="P88" s="132">
        <f>N88</f>
        <v>983100</v>
      </c>
      <c r="R88" s="274"/>
      <c r="S88" s="274"/>
      <c r="T88" s="274"/>
      <c r="U88" s="274"/>
      <c r="V88" s="274"/>
      <c r="W88" s="274"/>
      <c r="X88" s="274"/>
      <c r="Y88" s="274"/>
      <c r="Z88" s="274"/>
      <c r="EB88" s="13"/>
      <c r="EC88" s="13"/>
      <c r="ED88" s="13"/>
      <c r="EE88" s="13"/>
      <c r="EF88" s="13"/>
      <c r="EG88" s="13"/>
    </row>
    <row r="89" spans="1:137" s="4" customFormat="1" ht="12.75" hidden="1">
      <c r="A89" s="134" t="s">
        <v>378</v>
      </c>
      <c r="B89" s="165"/>
      <c r="C89" s="165"/>
      <c r="D89" s="132"/>
      <c r="E89" s="132"/>
      <c r="F89" s="132"/>
      <c r="G89" s="132"/>
      <c r="H89" s="132"/>
      <c r="I89" s="132"/>
      <c r="J89" s="132"/>
      <c r="K89" s="132"/>
      <c r="L89" s="132"/>
      <c r="M89" s="132"/>
      <c r="N89" s="132"/>
      <c r="O89" s="132"/>
      <c r="P89" s="132"/>
      <c r="R89" s="274"/>
      <c r="S89" s="274"/>
      <c r="T89" s="274"/>
      <c r="U89" s="274"/>
      <c r="V89" s="274"/>
      <c r="W89" s="274"/>
      <c r="X89" s="274"/>
      <c r="Y89" s="274"/>
      <c r="Z89" s="274"/>
      <c r="EB89" s="13"/>
      <c r="EC89" s="13"/>
      <c r="ED89" s="13"/>
      <c r="EE89" s="13"/>
      <c r="EF89" s="13"/>
      <c r="EG89" s="13"/>
    </row>
    <row r="90" spans="1:137" s="4" customFormat="1" ht="19.5" customHeight="1" hidden="1">
      <c r="A90" s="136" t="s">
        <v>444</v>
      </c>
      <c r="B90" s="165"/>
      <c r="C90" s="165"/>
      <c r="D90" s="167">
        <v>0</v>
      </c>
      <c r="E90" s="167"/>
      <c r="F90" s="167">
        <f>D90</f>
        <v>0</v>
      </c>
      <c r="G90" s="167">
        <f>G88/G92</f>
        <v>0</v>
      </c>
      <c r="H90" s="167"/>
      <c r="I90" s="167"/>
      <c r="J90" s="167">
        <f>G90</f>
        <v>0</v>
      </c>
      <c r="K90" s="167"/>
      <c r="L90" s="167"/>
      <c r="M90" s="167"/>
      <c r="N90" s="167">
        <f>N88/N92</f>
        <v>16.342474158493907</v>
      </c>
      <c r="O90" s="167"/>
      <c r="P90" s="167">
        <f>N90</f>
        <v>16.342474158493907</v>
      </c>
      <c r="R90" s="274"/>
      <c r="S90" s="274"/>
      <c r="T90" s="274"/>
      <c r="U90" s="274"/>
      <c r="V90" s="274"/>
      <c r="W90" s="274"/>
      <c r="X90" s="274"/>
      <c r="Y90" s="274"/>
      <c r="Z90" s="274"/>
      <c r="EB90" s="13"/>
      <c r="EC90" s="13"/>
      <c r="ED90" s="13"/>
      <c r="EE90" s="13"/>
      <c r="EF90" s="13"/>
      <c r="EG90" s="13"/>
    </row>
    <row r="91" spans="1:137" s="4" customFormat="1" ht="12.75" hidden="1">
      <c r="A91" s="134" t="s">
        <v>374</v>
      </c>
      <c r="B91" s="165"/>
      <c r="C91" s="165"/>
      <c r="D91" s="132"/>
      <c r="E91" s="132"/>
      <c r="F91" s="132"/>
      <c r="G91" s="132"/>
      <c r="H91" s="132"/>
      <c r="I91" s="132"/>
      <c r="J91" s="132"/>
      <c r="K91" s="132"/>
      <c r="L91" s="132"/>
      <c r="M91" s="132"/>
      <c r="N91" s="132"/>
      <c r="O91" s="132"/>
      <c r="P91" s="132"/>
      <c r="R91" s="274"/>
      <c r="S91" s="274"/>
      <c r="T91" s="274"/>
      <c r="U91" s="274"/>
      <c r="V91" s="274"/>
      <c r="W91" s="274"/>
      <c r="X91" s="274"/>
      <c r="Y91" s="274"/>
      <c r="Z91" s="274"/>
      <c r="EB91" s="13"/>
      <c r="EC91" s="13"/>
      <c r="ED91" s="13"/>
      <c r="EE91" s="13"/>
      <c r="EF91" s="13"/>
      <c r="EG91" s="13"/>
    </row>
    <row r="92" spans="1:137" s="4" customFormat="1" ht="33" customHeight="1" hidden="1">
      <c r="A92" s="135" t="s">
        <v>443</v>
      </c>
      <c r="B92" s="165"/>
      <c r="C92" s="165"/>
      <c r="D92" s="132" t="e">
        <f>D88/D90</f>
        <v>#DIV/0!</v>
      </c>
      <c r="E92" s="132"/>
      <c r="F92" s="132" t="e">
        <f>D92</f>
        <v>#DIV/0!</v>
      </c>
      <c r="G92" s="132">
        <v>56751.06</v>
      </c>
      <c r="H92" s="132"/>
      <c r="I92" s="132"/>
      <c r="J92" s="132">
        <f>G92</f>
        <v>56751.06</v>
      </c>
      <c r="K92" s="132"/>
      <c r="L92" s="132"/>
      <c r="M92" s="132"/>
      <c r="N92" s="132">
        <v>60156.13</v>
      </c>
      <c r="O92" s="132"/>
      <c r="P92" s="132">
        <f>N92</f>
        <v>60156.13</v>
      </c>
      <c r="R92" s="274"/>
      <c r="S92" s="274"/>
      <c r="T92" s="274"/>
      <c r="U92" s="274"/>
      <c r="V92" s="274"/>
      <c r="W92" s="274"/>
      <c r="X92" s="274"/>
      <c r="Y92" s="274"/>
      <c r="Z92" s="274"/>
      <c r="EB92" s="13"/>
      <c r="EC92" s="13"/>
      <c r="ED92" s="13"/>
      <c r="EE92" s="13"/>
      <c r="EF92" s="13"/>
      <c r="EG92" s="13"/>
    </row>
    <row r="93" spans="1:131" s="11" customFormat="1" ht="27" customHeight="1" hidden="1">
      <c r="A93" s="138" t="s">
        <v>156</v>
      </c>
      <c r="B93" s="160"/>
      <c r="C93" s="160"/>
      <c r="D93" s="161">
        <f>2191700-1824000</f>
        <v>367700</v>
      </c>
      <c r="E93" s="161">
        <f>21340000-18540000</f>
        <v>2800000</v>
      </c>
      <c r="F93" s="161">
        <f>E93+D93</f>
        <v>3167700</v>
      </c>
      <c r="G93" s="161">
        <v>2323100</v>
      </c>
      <c r="H93" s="161">
        <v>22620000</v>
      </c>
      <c r="I93" s="161"/>
      <c r="J93" s="161">
        <f>G93+H93</f>
        <v>24943100</v>
      </c>
      <c r="K93" s="161"/>
      <c r="L93" s="161"/>
      <c r="M93" s="161"/>
      <c r="N93" s="161">
        <v>2440000</v>
      </c>
      <c r="O93" s="161">
        <v>23751000</v>
      </c>
      <c r="P93" s="161">
        <f>O93+N93</f>
        <v>26191000</v>
      </c>
      <c r="Q93" s="10"/>
      <c r="R93" s="357"/>
      <c r="S93" s="357"/>
      <c r="T93" s="357"/>
      <c r="U93" s="357"/>
      <c r="V93" s="357"/>
      <c r="W93" s="357"/>
      <c r="X93" s="357"/>
      <c r="Y93" s="357"/>
      <c r="Z93" s="357"/>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row>
    <row r="94" spans="1:16" ht="12.75" hidden="1">
      <c r="A94" s="134" t="s">
        <v>184</v>
      </c>
      <c r="B94" s="8"/>
      <c r="C94" s="8"/>
      <c r="D94" s="132"/>
      <c r="E94" s="132"/>
      <c r="F94" s="132"/>
      <c r="G94" s="132"/>
      <c r="H94" s="132"/>
      <c r="I94" s="132"/>
      <c r="J94" s="132"/>
      <c r="K94" s="132"/>
      <c r="L94" s="132"/>
      <c r="M94" s="132"/>
      <c r="N94" s="132"/>
      <c r="O94" s="132"/>
      <c r="P94" s="132"/>
    </row>
    <row r="95" spans="1:16" ht="12.75" hidden="1">
      <c r="A95" s="135" t="s">
        <v>286</v>
      </c>
      <c r="B95" s="165"/>
      <c r="C95" s="165"/>
      <c r="D95" s="167">
        <v>4</v>
      </c>
      <c r="E95" s="167">
        <v>2</v>
      </c>
      <c r="F95" s="167">
        <f>E95+D95</f>
        <v>6</v>
      </c>
      <c r="G95" s="167">
        <v>4</v>
      </c>
      <c r="H95" s="167">
        <v>2</v>
      </c>
      <c r="I95" s="167"/>
      <c r="J95" s="167">
        <f>G95+H95</f>
        <v>6</v>
      </c>
      <c r="K95" s="167"/>
      <c r="L95" s="167"/>
      <c r="M95" s="167"/>
      <c r="N95" s="167">
        <f>N97</f>
        <v>4</v>
      </c>
      <c r="O95" s="167">
        <v>2</v>
      </c>
      <c r="P95" s="167">
        <f>O95+N95</f>
        <v>6</v>
      </c>
    </row>
    <row r="96" spans="1:16" ht="12.75" hidden="1">
      <c r="A96" s="134" t="s">
        <v>185</v>
      </c>
      <c r="B96" s="8"/>
      <c r="C96" s="8"/>
      <c r="D96" s="167"/>
      <c r="E96" s="167"/>
      <c r="F96" s="167"/>
      <c r="G96" s="167"/>
      <c r="H96" s="167"/>
      <c r="I96" s="167"/>
      <c r="J96" s="167"/>
      <c r="K96" s="167"/>
      <c r="L96" s="167"/>
      <c r="M96" s="167"/>
      <c r="N96" s="167"/>
      <c r="O96" s="167"/>
      <c r="P96" s="167"/>
    </row>
    <row r="97" spans="1:16" ht="12.75" hidden="1">
      <c r="A97" s="135" t="s">
        <v>425</v>
      </c>
      <c r="B97" s="165"/>
      <c r="C97" s="165"/>
      <c r="D97" s="167">
        <v>4</v>
      </c>
      <c r="E97" s="167">
        <v>2</v>
      </c>
      <c r="F97" s="167">
        <f>E97+D97</f>
        <v>6</v>
      </c>
      <c r="G97" s="167">
        <f>G93/G99</f>
        <v>3.728958296213898</v>
      </c>
      <c r="H97" s="167">
        <v>2</v>
      </c>
      <c r="I97" s="167"/>
      <c r="J97" s="167">
        <f>G97+H97</f>
        <v>5.728958296213898</v>
      </c>
      <c r="K97" s="167"/>
      <c r="L97" s="167"/>
      <c r="M97" s="167"/>
      <c r="N97" s="167">
        <f>N93/N99</f>
        <v>4</v>
      </c>
      <c r="O97" s="167">
        <v>2</v>
      </c>
      <c r="P97" s="167">
        <f>O97+N97</f>
        <v>6</v>
      </c>
    </row>
    <row r="98" spans="1:16" ht="12.75" hidden="1">
      <c r="A98" s="134" t="s">
        <v>187</v>
      </c>
      <c r="B98" s="8"/>
      <c r="C98" s="8"/>
      <c r="D98" s="132"/>
      <c r="E98" s="132"/>
      <c r="F98" s="132"/>
      <c r="G98" s="132"/>
      <c r="H98" s="132"/>
      <c r="I98" s="132"/>
      <c r="J98" s="132"/>
      <c r="K98" s="132"/>
      <c r="L98" s="132"/>
      <c r="M98" s="132"/>
      <c r="N98" s="132"/>
      <c r="O98" s="132"/>
      <c r="P98" s="132"/>
    </row>
    <row r="99" spans="1:16" ht="12.75" hidden="1">
      <c r="A99" s="139" t="s">
        <v>279</v>
      </c>
      <c r="B99" s="163"/>
      <c r="C99" s="163"/>
      <c r="D99" s="162">
        <v>587725</v>
      </c>
      <c r="E99" s="162">
        <f>E93/E97</f>
        <v>1400000</v>
      </c>
      <c r="F99" s="162">
        <f>E99+D99</f>
        <v>1987725</v>
      </c>
      <c r="G99" s="162">
        <v>622989</v>
      </c>
      <c r="H99" s="162">
        <f>H93/H97</f>
        <v>11310000</v>
      </c>
      <c r="I99" s="162"/>
      <c r="J99" s="162">
        <f>G99+H99</f>
        <v>11932989</v>
      </c>
      <c r="K99" s="162"/>
      <c r="L99" s="162"/>
      <c r="M99" s="162"/>
      <c r="N99" s="162">
        <v>610000</v>
      </c>
      <c r="O99" s="162">
        <f>O93/O97</f>
        <v>11875500</v>
      </c>
      <c r="P99" s="162">
        <f>N99+O99</f>
        <v>12485500</v>
      </c>
    </row>
    <row r="100" spans="1:16" ht="12.75" hidden="1">
      <c r="A100" s="140" t="s">
        <v>186</v>
      </c>
      <c r="B100" s="159"/>
      <c r="C100" s="159"/>
      <c r="D100" s="162"/>
      <c r="E100" s="162"/>
      <c r="F100" s="162"/>
      <c r="G100" s="162"/>
      <c r="H100" s="162"/>
      <c r="I100" s="162"/>
      <c r="J100" s="162"/>
      <c r="K100" s="162"/>
      <c r="L100" s="162"/>
      <c r="M100" s="162"/>
      <c r="N100" s="162"/>
      <c r="O100" s="162"/>
      <c r="P100" s="162"/>
    </row>
    <row r="101" spans="1:16" ht="12.75" hidden="1">
      <c r="A101" s="139" t="s">
        <v>287</v>
      </c>
      <c r="B101" s="163"/>
      <c r="C101" s="163"/>
      <c r="D101" s="162">
        <f>D97/D95*100</f>
        <v>100</v>
      </c>
      <c r="E101" s="162">
        <f>E97/E95*100</f>
        <v>100</v>
      </c>
      <c r="F101" s="162">
        <f>F97/F95*100</f>
        <v>100</v>
      </c>
      <c r="G101" s="162">
        <v>100</v>
      </c>
      <c r="H101" s="162">
        <f>H97/H95*100</f>
        <v>100</v>
      </c>
      <c r="I101" s="162"/>
      <c r="J101" s="162">
        <v>100</v>
      </c>
      <c r="K101" s="162"/>
      <c r="L101" s="162"/>
      <c r="M101" s="162"/>
      <c r="N101" s="162">
        <f>N97/N95*100</f>
        <v>100</v>
      </c>
      <c r="O101" s="162">
        <f>O97/O95*100</f>
        <v>100</v>
      </c>
      <c r="P101" s="162">
        <f>P97/P95*100</f>
        <v>100</v>
      </c>
    </row>
    <row r="102" spans="1:137" s="36" customFormat="1" ht="30" customHeight="1" hidden="1">
      <c r="A102" s="138" t="s">
        <v>157</v>
      </c>
      <c r="B102" s="163"/>
      <c r="C102" s="163"/>
      <c r="D102" s="161">
        <f>D104</f>
        <v>1195000</v>
      </c>
      <c r="E102" s="161">
        <f aca="true" t="shared" si="7" ref="E102:P102">E104</f>
        <v>0</v>
      </c>
      <c r="F102" s="161">
        <f t="shared" si="7"/>
        <v>1195000</v>
      </c>
      <c r="G102" s="161">
        <f t="shared" si="7"/>
        <v>2136300</v>
      </c>
      <c r="H102" s="161">
        <f t="shared" si="7"/>
        <v>2827600</v>
      </c>
      <c r="I102" s="161">
        <f t="shared" si="7"/>
        <v>0</v>
      </c>
      <c r="J102" s="161">
        <f t="shared" si="7"/>
        <v>4963900</v>
      </c>
      <c r="K102" s="161">
        <f t="shared" si="7"/>
        <v>0</v>
      </c>
      <c r="L102" s="161">
        <f t="shared" si="7"/>
        <v>0</v>
      </c>
      <c r="M102" s="161">
        <f t="shared" si="7"/>
        <v>0</v>
      </c>
      <c r="N102" s="161">
        <f t="shared" si="7"/>
        <v>1300000</v>
      </c>
      <c r="O102" s="161">
        <f t="shared" si="7"/>
        <v>2969000</v>
      </c>
      <c r="P102" s="161">
        <f t="shared" si="7"/>
        <v>4269000</v>
      </c>
      <c r="R102" s="274"/>
      <c r="S102" s="274"/>
      <c r="T102" s="274"/>
      <c r="U102" s="274"/>
      <c r="V102" s="274"/>
      <c r="W102" s="274"/>
      <c r="X102" s="274"/>
      <c r="Y102" s="274"/>
      <c r="Z102" s="274"/>
      <c r="EB102" s="37"/>
      <c r="EC102" s="37"/>
      <c r="ED102" s="37"/>
      <c r="EE102" s="37"/>
      <c r="EF102" s="37"/>
      <c r="EG102" s="37"/>
    </row>
    <row r="103" spans="1:137" s="36" customFormat="1" ht="17.25" customHeight="1" hidden="1">
      <c r="A103" s="140" t="s">
        <v>255</v>
      </c>
      <c r="B103" s="163"/>
      <c r="C103" s="163"/>
      <c r="D103" s="162"/>
      <c r="E103" s="162"/>
      <c r="F103" s="162"/>
      <c r="G103" s="162"/>
      <c r="H103" s="162"/>
      <c r="I103" s="162"/>
      <c r="J103" s="162"/>
      <c r="K103" s="162"/>
      <c r="L103" s="162"/>
      <c r="M103" s="162"/>
      <c r="N103" s="162"/>
      <c r="O103" s="162"/>
      <c r="P103" s="162"/>
      <c r="R103" s="274"/>
      <c r="S103" s="274"/>
      <c r="T103" s="274"/>
      <c r="U103" s="274"/>
      <c r="V103" s="274"/>
      <c r="W103" s="274"/>
      <c r="X103" s="274"/>
      <c r="Y103" s="274"/>
      <c r="Z103" s="274"/>
      <c r="EB103" s="37"/>
      <c r="EC103" s="37"/>
      <c r="ED103" s="37"/>
      <c r="EE103" s="37"/>
      <c r="EF103" s="37"/>
      <c r="EG103" s="37"/>
    </row>
    <row r="104" spans="1:137" s="36" customFormat="1" ht="25.5" hidden="1">
      <c r="A104" s="139" t="s">
        <v>139</v>
      </c>
      <c r="B104" s="163"/>
      <c r="C104" s="163"/>
      <c r="D104" s="162">
        <f>1100000+340000-245000</f>
        <v>1195000</v>
      </c>
      <c r="E104" s="162">
        <f>2667500-2667500</f>
        <v>0</v>
      </c>
      <c r="F104" s="162">
        <f>D104+E104</f>
        <v>1195000</v>
      </c>
      <c r="G104" s="162">
        <f>1200000+936300</f>
        <v>2136300</v>
      </c>
      <c r="H104" s="162">
        <v>2827600</v>
      </c>
      <c r="I104" s="162"/>
      <c r="J104" s="162">
        <f>G104+H104</f>
        <v>4963900</v>
      </c>
      <c r="K104" s="162"/>
      <c r="L104" s="162"/>
      <c r="M104" s="162"/>
      <c r="N104" s="162">
        <v>1300000</v>
      </c>
      <c r="O104" s="162">
        <v>2969000</v>
      </c>
      <c r="P104" s="162">
        <f>N104+O104</f>
        <v>4269000</v>
      </c>
      <c r="R104" s="274"/>
      <c r="S104" s="274"/>
      <c r="T104" s="274"/>
      <c r="U104" s="274"/>
      <c r="V104" s="274"/>
      <c r="W104" s="274"/>
      <c r="X104" s="274"/>
      <c r="Y104" s="274"/>
      <c r="Z104" s="274"/>
      <c r="EB104" s="37"/>
      <c r="EC104" s="37"/>
      <c r="ED104" s="37"/>
      <c r="EE104" s="37"/>
      <c r="EF104" s="37"/>
      <c r="EG104" s="37"/>
    </row>
    <row r="105" spans="1:137" s="36" customFormat="1" ht="12.75" hidden="1">
      <c r="A105" s="140" t="s">
        <v>378</v>
      </c>
      <c r="B105" s="163"/>
      <c r="C105" s="163"/>
      <c r="D105" s="162"/>
      <c r="E105" s="162"/>
      <c r="F105" s="162"/>
      <c r="G105" s="162"/>
      <c r="H105" s="162"/>
      <c r="I105" s="162"/>
      <c r="J105" s="162"/>
      <c r="K105" s="162"/>
      <c r="L105" s="162"/>
      <c r="M105" s="162"/>
      <c r="N105" s="162"/>
      <c r="O105" s="162"/>
      <c r="P105" s="162"/>
      <c r="R105" s="274"/>
      <c r="S105" s="274"/>
      <c r="T105" s="274"/>
      <c r="U105" s="274"/>
      <c r="V105" s="274"/>
      <c r="W105" s="274"/>
      <c r="X105" s="274"/>
      <c r="Y105" s="274"/>
      <c r="Z105" s="274"/>
      <c r="EB105" s="37"/>
      <c r="EC105" s="37"/>
      <c r="ED105" s="37"/>
      <c r="EE105" s="37"/>
      <c r="EF105" s="37"/>
      <c r="EG105" s="37"/>
    </row>
    <row r="106" spans="1:137" s="36" customFormat="1" ht="24" customHeight="1" hidden="1">
      <c r="A106" s="166" t="s">
        <v>440</v>
      </c>
      <c r="B106" s="163"/>
      <c r="C106" s="163"/>
      <c r="D106" s="170">
        <f>D104/D108+0.05</f>
        <v>12</v>
      </c>
      <c r="E106" s="170">
        <v>0</v>
      </c>
      <c r="F106" s="170">
        <f>D106+E106</f>
        <v>12</v>
      </c>
      <c r="G106" s="170">
        <v>11</v>
      </c>
      <c r="H106" s="170">
        <v>5</v>
      </c>
      <c r="I106" s="170"/>
      <c r="J106" s="170">
        <f>G106+H106</f>
        <v>16</v>
      </c>
      <c r="K106" s="170"/>
      <c r="L106" s="170"/>
      <c r="M106" s="170"/>
      <c r="N106" s="170">
        <v>11</v>
      </c>
      <c r="O106" s="170">
        <v>5</v>
      </c>
      <c r="P106" s="170">
        <f>N106+O106</f>
        <v>16</v>
      </c>
      <c r="R106" s="274"/>
      <c r="S106" s="274"/>
      <c r="T106" s="274"/>
      <c r="U106" s="274"/>
      <c r="V106" s="274"/>
      <c r="W106" s="274"/>
      <c r="X106" s="274"/>
      <c r="Y106" s="274"/>
      <c r="Z106" s="274"/>
      <c r="EB106" s="37"/>
      <c r="EC106" s="37"/>
      <c r="ED106" s="37"/>
      <c r="EE106" s="37"/>
      <c r="EF106" s="37"/>
      <c r="EG106" s="37"/>
    </row>
    <row r="107" spans="1:137" s="4" customFormat="1" ht="12.75" hidden="1">
      <c r="A107" s="134" t="s">
        <v>374</v>
      </c>
      <c r="B107" s="165"/>
      <c r="C107" s="165"/>
      <c r="D107" s="132"/>
      <c r="E107" s="132"/>
      <c r="F107" s="132"/>
      <c r="G107" s="132"/>
      <c r="H107" s="132"/>
      <c r="I107" s="132"/>
      <c r="J107" s="132"/>
      <c r="K107" s="132"/>
      <c r="L107" s="132"/>
      <c r="M107" s="132"/>
      <c r="N107" s="132"/>
      <c r="O107" s="132"/>
      <c r="P107" s="132"/>
      <c r="R107" s="274"/>
      <c r="S107" s="274"/>
      <c r="T107" s="274"/>
      <c r="U107" s="274"/>
      <c r="V107" s="274"/>
      <c r="W107" s="274"/>
      <c r="X107" s="274"/>
      <c r="Y107" s="274"/>
      <c r="Z107" s="274"/>
      <c r="EB107" s="13"/>
      <c r="EC107" s="13"/>
      <c r="ED107" s="13"/>
      <c r="EE107" s="13"/>
      <c r="EF107" s="13"/>
      <c r="EG107" s="13"/>
    </row>
    <row r="108" spans="1:137" s="4" customFormat="1" ht="25.5" hidden="1">
      <c r="A108" s="135" t="s">
        <v>441</v>
      </c>
      <c r="B108" s="165"/>
      <c r="C108" s="165"/>
      <c r="D108" s="132">
        <v>100000</v>
      </c>
      <c r="E108" s="132" t="e">
        <f>E104/E106</f>
        <v>#DIV/0!</v>
      </c>
      <c r="F108" s="132">
        <f>D108</f>
        <v>100000</v>
      </c>
      <c r="G108" s="132">
        <f>G104/G106</f>
        <v>194209.0909090909</v>
      </c>
      <c r="H108" s="132">
        <f>H104/H106</f>
        <v>565520</v>
      </c>
      <c r="I108" s="132"/>
      <c r="J108" s="132">
        <f>G108+H108</f>
        <v>759729.0909090909</v>
      </c>
      <c r="K108" s="132"/>
      <c r="L108" s="132"/>
      <c r="M108" s="132"/>
      <c r="N108" s="132">
        <f>N104/N106</f>
        <v>118181.81818181818</v>
      </c>
      <c r="O108" s="132">
        <f>O104/O106</f>
        <v>593800</v>
      </c>
      <c r="P108" s="132">
        <f>N108+O108</f>
        <v>711981.8181818181</v>
      </c>
      <c r="R108" s="274"/>
      <c r="S108" s="274"/>
      <c r="T108" s="274"/>
      <c r="U108" s="274"/>
      <c r="V108" s="274"/>
      <c r="W108" s="274"/>
      <c r="X108" s="274"/>
      <c r="Y108" s="274"/>
      <c r="Z108" s="274"/>
      <c r="EB108" s="13"/>
      <c r="EC108" s="13"/>
      <c r="ED108" s="13"/>
      <c r="EE108" s="13"/>
      <c r="EF108" s="13"/>
      <c r="EG108" s="13"/>
    </row>
    <row r="109" spans="1:131" s="51" customFormat="1" ht="29.25" customHeight="1" hidden="1">
      <c r="A109" s="138" t="s">
        <v>158</v>
      </c>
      <c r="B109" s="160"/>
      <c r="C109" s="160"/>
      <c r="D109" s="161"/>
      <c r="E109" s="161">
        <f>(E114*E117)+(E115*E118)</f>
        <v>1588399.99999525</v>
      </c>
      <c r="F109" s="161">
        <f>E109</f>
        <v>1588399.99999525</v>
      </c>
      <c r="G109" s="161"/>
      <c r="H109" s="161">
        <f>(H114*H117)+(H115*H118)</f>
        <v>21117000.00079608</v>
      </c>
      <c r="I109" s="161"/>
      <c r="J109" s="161">
        <f>H109</f>
        <v>21117000.00079608</v>
      </c>
      <c r="K109" s="161">
        <f aca="true" t="shared" si="8" ref="K109:P109">(K114*K117)+(K115*K118)</f>
        <v>0</v>
      </c>
      <c r="L109" s="161">
        <f t="shared" si="8"/>
        <v>0</v>
      </c>
      <c r="M109" s="161">
        <f t="shared" si="8"/>
        <v>0</v>
      </c>
      <c r="N109" s="161"/>
      <c r="O109" s="161">
        <f>(O114*O117)+(O115*O118)</f>
        <v>21922999.999396082</v>
      </c>
      <c r="P109" s="161">
        <f t="shared" si="8"/>
        <v>21922999.999396082</v>
      </c>
      <c r="Q109" s="50"/>
      <c r="R109" s="357"/>
      <c r="S109" s="357"/>
      <c r="T109" s="357"/>
      <c r="U109" s="357"/>
      <c r="V109" s="357"/>
      <c r="W109" s="357"/>
      <c r="X109" s="357"/>
      <c r="Y109" s="357"/>
      <c r="Z109" s="357"/>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row>
    <row r="110" spans="1:16" ht="13.5" hidden="1">
      <c r="A110" s="134" t="s">
        <v>184</v>
      </c>
      <c r="B110" s="165"/>
      <c r="C110" s="165"/>
      <c r="D110" s="132"/>
      <c r="E110" s="132"/>
      <c r="F110" s="132"/>
      <c r="G110" s="132"/>
      <c r="H110" s="132"/>
      <c r="I110" s="132"/>
      <c r="J110" s="164"/>
      <c r="K110" s="132"/>
      <c r="L110" s="132"/>
      <c r="M110" s="132"/>
      <c r="N110" s="132"/>
      <c r="O110" s="132"/>
      <c r="P110" s="132"/>
    </row>
    <row r="111" spans="1:16" ht="31.5" customHeight="1" hidden="1">
      <c r="A111" s="135" t="s">
        <v>54</v>
      </c>
      <c r="B111" s="165"/>
      <c r="C111" s="165"/>
      <c r="D111" s="132"/>
      <c r="E111" s="132">
        <v>380000</v>
      </c>
      <c r="F111" s="132">
        <f>E111</f>
        <v>380000</v>
      </c>
      <c r="G111" s="132"/>
      <c r="H111" s="132">
        <f>E111</f>
        <v>380000</v>
      </c>
      <c r="I111" s="132"/>
      <c r="J111" s="132">
        <f aca="true" t="shared" si="9" ref="J111:J117">H111</f>
        <v>380000</v>
      </c>
      <c r="K111" s="132"/>
      <c r="L111" s="132"/>
      <c r="M111" s="132"/>
      <c r="N111" s="132"/>
      <c r="O111" s="132">
        <f>H111</f>
        <v>380000</v>
      </c>
      <c r="P111" s="132">
        <f>O111</f>
        <v>380000</v>
      </c>
    </row>
    <row r="112" spans="1:16" ht="12.75" hidden="1">
      <c r="A112" s="135" t="s">
        <v>248</v>
      </c>
      <c r="B112" s="165"/>
      <c r="C112" s="165"/>
      <c r="D112" s="132"/>
      <c r="E112" s="132">
        <v>76000</v>
      </c>
      <c r="F112" s="132">
        <f>E112</f>
        <v>76000</v>
      </c>
      <c r="G112" s="132"/>
      <c r="H112" s="132">
        <f>E112</f>
        <v>76000</v>
      </c>
      <c r="I112" s="132"/>
      <c r="J112" s="132">
        <f>H112</f>
        <v>76000</v>
      </c>
      <c r="K112" s="132"/>
      <c r="L112" s="132"/>
      <c r="M112" s="132"/>
      <c r="N112" s="132"/>
      <c r="O112" s="132">
        <f>H112</f>
        <v>76000</v>
      </c>
      <c r="P112" s="132">
        <f>O112</f>
        <v>76000</v>
      </c>
    </row>
    <row r="113" spans="1:16" ht="12.75" hidden="1">
      <c r="A113" s="134" t="s">
        <v>185</v>
      </c>
      <c r="B113" s="165"/>
      <c r="C113" s="165"/>
      <c r="D113" s="132"/>
      <c r="E113" s="132"/>
      <c r="F113" s="132"/>
      <c r="G113" s="132"/>
      <c r="H113" s="132"/>
      <c r="I113" s="132"/>
      <c r="J113" s="132"/>
      <c r="K113" s="132"/>
      <c r="L113" s="132"/>
      <c r="M113" s="132"/>
      <c r="N113" s="132"/>
      <c r="O113" s="132"/>
      <c r="P113" s="132"/>
    </row>
    <row r="114" spans="1:16" ht="27" customHeight="1" hidden="1">
      <c r="A114" s="135" t="s">
        <v>55</v>
      </c>
      <c r="B114" s="165"/>
      <c r="C114" s="165"/>
      <c r="D114" s="132"/>
      <c r="E114" s="132"/>
      <c r="F114" s="132">
        <f>E114</f>
        <v>0</v>
      </c>
      <c r="G114" s="132"/>
      <c r="H114" s="132">
        <v>1483.7</v>
      </c>
      <c r="I114" s="132"/>
      <c r="J114" s="132">
        <f t="shared" si="9"/>
        <v>1483.7</v>
      </c>
      <c r="K114" s="132"/>
      <c r="L114" s="132"/>
      <c r="M114" s="132"/>
      <c r="N114" s="132"/>
      <c r="O114" s="132">
        <v>1557.99473</v>
      </c>
      <c r="P114" s="132">
        <f>O114</f>
        <v>1557.99473</v>
      </c>
    </row>
    <row r="115" spans="1:16" ht="12.75" hidden="1">
      <c r="A115" s="135" t="s">
        <v>249</v>
      </c>
      <c r="B115" s="165"/>
      <c r="C115" s="165"/>
      <c r="D115" s="132"/>
      <c r="E115" s="132">
        <v>2599.67266775</v>
      </c>
      <c r="F115" s="132">
        <f>E115</f>
        <v>2599.67266775</v>
      </c>
      <c r="G115" s="132"/>
      <c r="H115" s="132">
        <f>21712.1821+7716.04938271</f>
        <v>29428.23148271</v>
      </c>
      <c r="I115" s="132"/>
      <c r="J115" s="132">
        <f>H115</f>
        <v>29428.23148271</v>
      </c>
      <c r="K115" s="132"/>
      <c r="L115" s="132"/>
      <c r="M115" s="132"/>
      <c r="N115" s="132"/>
      <c r="O115" s="132">
        <f>22797.789+7716.04938271</f>
        <v>30513.83838271</v>
      </c>
      <c r="P115" s="132">
        <f>O115</f>
        <v>30513.83838271</v>
      </c>
    </row>
    <row r="116" spans="1:16" ht="12.75" hidden="1">
      <c r="A116" s="134" t="s">
        <v>187</v>
      </c>
      <c r="B116" s="165"/>
      <c r="C116" s="165"/>
      <c r="D116" s="132"/>
      <c r="E116" s="132"/>
      <c r="F116" s="132"/>
      <c r="G116" s="132"/>
      <c r="H116" s="132"/>
      <c r="I116" s="132"/>
      <c r="J116" s="132"/>
      <c r="K116" s="132"/>
      <c r="L116" s="132"/>
      <c r="M116" s="132"/>
      <c r="N116" s="132"/>
      <c r="O116" s="132"/>
      <c r="P116" s="132"/>
    </row>
    <row r="117" spans="1:16" ht="22.5" customHeight="1" hidden="1">
      <c r="A117" s="135" t="s">
        <v>56</v>
      </c>
      <c r="B117" s="168"/>
      <c r="C117" s="168"/>
      <c r="D117" s="132"/>
      <c r="E117" s="132">
        <v>0</v>
      </c>
      <c r="F117" s="132">
        <f>E117</f>
        <v>0</v>
      </c>
      <c r="G117" s="132"/>
      <c r="H117" s="132">
        <v>1380</v>
      </c>
      <c r="I117" s="132"/>
      <c r="J117" s="132">
        <f t="shared" si="9"/>
        <v>1380</v>
      </c>
      <c r="K117" s="132"/>
      <c r="L117" s="132"/>
      <c r="M117" s="132"/>
      <c r="N117" s="132"/>
      <c r="O117" s="132">
        <v>1380</v>
      </c>
      <c r="P117" s="132">
        <f>O117</f>
        <v>1380</v>
      </c>
    </row>
    <row r="118" spans="1:16" ht="12.75" hidden="1">
      <c r="A118" s="135" t="s">
        <v>251</v>
      </c>
      <c r="B118" s="168"/>
      <c r="C118" s="168"/>
      <c r="D118" s="132"/>
      <c r="E118" s="132">
        <v>611</v>
      </c>
      <c r="F118" s="132">
        <f>E118</f>
        <v>611</v>
      </c>
      <c r="G118" s="132"/>
      <c r="H118" s="132">
        <v>648</v>
      </c>
      <c r="I118" s="132"/>
      <c r="J118" s="132">
        <f>H118</f>
        <v>648</v>
      </c>
      <c r="K118" s="132"/>
      <c r="L118" s="132"/>
      <c r="M118" s="132"/>
      <c r="N118" s="132"/>
      <c r="O118" s="132">
        <v>648</v>
      </c>
      <c r="P118" s="132">
        <f>O118</f>
        <v>648</v>
      </c>
    </row>
    <row r="119" spans="1:16" ht="13.5" hidden="1">
      <c r="A119" s="134" t="s">
        <v>186</v>
      </c>
      <c r="B119" s="168"/>
      <c r="C119" s="168"/>
      <c r="D119" s="132"/>
      <c r="E119" s="132"/>
      <c r="F119" s="132"/>
      <c r="G119" s="132"/>
      <c r="H119" s="132"/>
      <c r="I119" s="132"/>
      <c r="J119" s="164"/>
      <c r="K119" s="132"/>
      <c r="L119" s="132"/>
      <c r="M119" s="132"/>
      <c r="N119" s="132"/>
      <c r="O119" s="132"/>
      <c r="P119" s="132"/>
    </row>
    <row r="120" spans="1:16" ht="25.5" hidden="1">
      <c r="A120" s="135" t="s">
        <v>57</v>
      </c>
      <c r="B120" s="168"/>
      <c r="C120" s="168"/>
      <c r="D120" s="132"/>
      <c r="E120" s="132">
        <f>E114/E111*100</f>
        <v>0</v>
      </c>
      <c r="F120" s="132">
        <f aca="true" t="shared" si="10" ref="F120:P120">F114/F111*100</f>
        <v>0</v>
      </c>
      <c r="G120" s="132"/>
      <c r="H120" s="132">
        <f t="shared" si="10"/>
        <v>0.3904473684210526</v>
      </c>
      <c r="I120" s="132"/>
      <c r="J120" s="132">
        <f t="shared" si="10"/>
        <v>0.3904473684210526</v>
      </c>
      <c r="K120" s="132" t="e">
        <f t="shared" si="10"/>
        <v>#DIV/0!</v>
      </c>
      <c r="L120" s="132" t="e">
        <f t="shared" si="10"/>
        <v>#DIV/0!</v>
      </c>
      <c r="M120" s="132" t="e">
        <f t="shared" si="10"/>
        <v>#DIV/0!</v>
      </c>
      <c r="N120" s="132"/>
      <c r="O120" s="132">
        <f t="shared" si="10"/>
        <v>0.4099986131578947</v>
      </c>
      <c r="P120" s="132">
        <f t="shared" si="10"/>
        <v>0.4099986131578947</v>
      </c>
    </row>
    <row r="121" spans="1:16" ht="25.5" hidden="1">
      <c r="A121" s="135" t="s">
        <v>250</v>
      </c>
      <c r="B121" s="168"/>
      <c r="C121" s="168"/>
      <c r="D121" s="132"/>
      <c r="E121" s="132">
        <f>E115/E112*100</f>
        <v>3.42062193125</v>
      </c>
      <c r="F121" s="132">
        <f aca="true" t="shared" si="11" ref="F121:P121">F115/F112*100</f>
        <v>3.42062193125</v>
      </c>
      <c r="G121" s="132"/>
      <c r="H121" s="132">
        <f>H115/H112*100</f>
        <v>38.72135721409211</v>
      </c>
      <c r="I121" s="132"/>
      <c r="J121" s="132">
        <f t="shared" si="11"/>
        <v>38.72135721409211</v>
      </c>
      <c r="K121" s="132" t="e">
        <f t="shared" si="11"/>
        <v>#DIV/0!</v>
      </c>
      <c r="L121" s="132" t="e">
        <f t="shared" si="11"/>
        <v>#DIV/0!</v>
      </c>
      <c r="M121" s="132" t="e">
        <f t="shared" si="11"/>
        <v>#DIV/0!</v>
      </c>
      <c r="N121" s="132"/>
      <c r="O121" s="132">
        <f t="shared" si="11"/>
        <v>40.14978734567105</v>
      </c>
      <c r="P121" s="132">
        <f t="shared" si="11"/>
        <v>40.14978734567105</v>
      </c>
    </row>
    <row r="122" spans="1:137" s="36" customFormat="1" ht="30.75" customHeight="1" hidden="1">
      <c r="A122" s="138" t="s">
        <v>159</v>
      </c>
      <c r="B122" s="163"/>
      <c r="C122" s="163"/>
      <c r="D122" s="161">
        <f>D124</f>
        <v>0</v>
      </c>
      <c r="E122" s="161"/>
      <c r="F122" s="161">
        <f>D122</f>
        <v>0</v>
      </c>
      <c r="G122" s="162"/>
      <c r="H122" s="162"/>
      <c r="I122" s="162"/>
      <c r="J122" s="162"/>
      <c r="K122" s="162"/>
      <c r="L122" s="162"/>
      <c r="M122" s="162"/>
      <c r="N122" s="162"/>
      <c r="O122" s="162"/>
      <c r="P122" s="162"/>
      <c r="R122" s="274"/>
      <c r="S122" s="274"/>
      <c r="T122" s="274"/>
      <c r="U122" s="274"/>
      <c r="V122" s="274"/>
      <c r="W122" s="274"/>
      <c r="X122" s="274"/>
      <c r="Y122" s="274"/>
      <c r="Z122" s="274"/>
      <c r="EB122" s="37"/>
      <c r="EC122" s="37"/>
      <c r="ED122" s="37"/>
      <c r="EE122" s="37"/>
      <c r="EF122" s="37"/>
      <c r="EG122" s="37"/>
    </row>
    <row r="123" spans="1:137" s="36" customFormat="1" ht="12.75" hidden="1">
      <c r="A123" s="140" t="s">
        <v>255</v>
      </c>
      <c r="B123" s="163"/>
      <c r="C123" s="163"/>
      <c r="D123" s="162"/>
      <c r="E123" s="162"/>
      <c r="F123" s="162"/>
      <c r="G123" s="162"/>
      <c r="H123" s="162"/>
      <c r="I123" s="162"/>
      <c r="J123" s="162"/>
      <c r="K123" s="162"/>
      <c r="L123" s="162"/>
      <c r="M123" s="162"/>
      <c r="N123" s="162"/>
      <c r="O123" s="162"/>
      <c r="P123" s="162"/>
      <c r="R123" s="274"/>
      <c r="S123" s="274"/>
      <c r="T123" s="274"/>
      <c r="U123" s="274"/>
      <c r="V123" s="274"/>
      <c r="W123" s="274"/>
      <c r="X123" s="274"/>
      <c r="Y123" s="274"/>
      <c r="Z123" s="274"/>
      <c r="EB123" s="37"/>
      <c r="EC123" s="37"/>
      <c r="ED123" s="37"/>
      <c r="EE123" s="37"/>
      <c r="EF123" s="37"/>
      <c r="EG123" s="37"/>
    </row>
    <row r="124" spans="1:137" s="36" customFormat="1" ht="25.5" hidden="1">
      <c r="A124" s="139" t="s">
        <v>429</v>
      </c>
      <c r="B124" s="163"/>
      <c r="C124" s="163"/>
      <c r="D124" s="162">
        <f>2000000-1500000-500000</f>
        <v>0</v>
      </c>
      <c r="E124" s="162"/>
      <c r="F124" s="162">
        <f>D124</f>
        <v>0</v>
      </c>
      <c r="G124" s="162"/>
      <c r="H124" s="162"/>
      <c r="I124" s="162"/>
      <c r="J124" s="162"/>
      <c r="K124" s="162"/>
      <c r="L124" s="162"/>
      <c r="M124" s="162"/>
      <c r="N124" s="162"/>
      <c r="O124" s="162"/>
      <c r="P124" s="162"/>
      <c r="R124" s="274"/>
      <c r="S124" s="274"/>
      <c r="T124" s="274"/>
      <c r="U124" s="274"/>
      <c r="V124" s="274"/>
      <c r="W124" s="274"/>
      <c r="X124" s="274"/>
      <c r="Y124" s="274"/>
      <c r="Z124" s="274"/>
      <c r="EB124" s="37"/>
      <c r="EC124" s="37"/>
      <c r="ED124" s="37"/>
      <c r="EE124" s="37"/>
      <c r="EF124" s="37"/>
      <c r="EG124" s="37"/>
    </row>
    <row r="125" spans="1:137" s="36" customFormat="1" ht="12.75" hidden="1">
      <c r="A125" s="140" t="s">
        <v>378</v>
      </c>
      <c r="B125" s="163"/>
      <c r="C125" s="163"/>
      <c r="D125" s="162"/>
      <c r="E125" s="162"/>
      <c r="F125" s="162"/>
      <c r="G125" s="162"/>
      <c r="H125" s="162"/>
      <c r="I125" s="162"/>
      <c r="J125" s="162"/>
      <c r="K125" s="162"/>
      <c r="L125" s="162"/>
      <c r="M125" s="162"/>
      <c r="N125" s="162"/>
      <c r="O125" s="162"/>
      <c r="P125" s="162"/>
      <c r="R125" s="274"/>
      <c r="S125" s="274"/>
      <c r="T125" s="274"/>
      <c r="U125" s="274"/>
      <c r="V125" s="274"/>
      <c r="W125" s="274"/>
      <c r="X125" s="274"/>
      <c r="Y125" s="274"/>
      <c r="Z125" s="274"/>
      <c r="EB125" s="37"/>
      <c r="EC125" s="37"/>
      <c r="ED125" s="37"/>
      <c r="EE125" s="37"/>
      <c r="EF125" s="37"/>
      <c r="EG125" s="37"/>
    </row>
    <row r="126" spans="1:137" s="36" customFormat="1" ht="12.75" hidden="1">
      <c r="A126" s="166" t="s">
        <v>430</v>
      </c>
      <c r="B126" s="163"/>
      <c r="C126" s="163"/>
      <c r="D126" s="162"/>
      <c r="E126" s="162"/>
      <c r="F126" s="162">
        <f>D126</f>
        <v>0</v>
      </c>
      <c r="G126" s="162"/>
      <c r="H126" s="162"/>
      <c r="I126" s="162"/>
      <c r="J126" s="162"/>
      <c r="K126" s="162"/>
      <c r="L126" s="162"/>
      <c r="M126" s="162"/>
      <c r="N126" s="162"/>
      <c r="O126" s="162"/>
      <c r="P126" s="162"/>
      <c r="R126" s="274"/>
      <c r="S126" s="274"/>
      <c r="T126" s="274"/>
      <c r="U126" s="274"/>
      <c r="V126" s="274"/>
      <c r="W126" s="274"/>
      <c r="X126" s="274"/>
      <c r="Y126" s="274"/>
      <c r="Z126" s="274"/>
      <c r="EB126" s="37"/>
      <c r="EC126" s="37"/>
      <c r="ED126" s="37"/>
      <c r="EE126" s="37"/>
      <c r="EF126" s="37"/>
      <c r="EG126" s="37"/>
    </row>
    <row r="127" spans="1:137" s="4" customFormat="1" ht="12.75" hidden="1">
      <c r="A127" s="134" t="s">
        <v>374</v>
      </c>
      <c r="B127" s="165"/>
      <c r="C127" s="165"/>
      <c r="D127" s="132"/>
      <c r="E127" s="132"/>
      <c r="F127" s="132"/>
      <c r="G127" s="132"/>
      <c r="H127" s="132"/>
      <c r="I127" s="132"/>
      <c r="J127" s="132"/>
      <c r="K127" s="132"/>
      <c r="L127" s="132"/>
      <c r="M127" s="132"/>
      <c r="N127" s="132"/>
      <c r="O127" s="132"/>
      <c r="P127" s="132"/>
      <c r="R127" s="274"/>
      <c r="S127" s="274"/>
      <c r="T127" s="274"/>
      <c r="U127" s="274"/>
      <c r="V127" s="274"/>
      <c r="W127" s="274"/>
      <c r="X127" s="274"/>
      <c r="Y127" s="274"/>
      <c r="Z127" s="274"/>
      <c r="EB127" s="13"/>
      <c r="EC127" s="13"/>
      <c r="ED127" s="13"/>
      <c r="EE127" s="13"/>
      <c r="EF127" s="13"/>
      <c r="EG127" s="13"/>
    </row>
    <row r="128" spans="1:137" s="4" customFormat="1" ht="30" customHeight="1" hidden="1">
      <c r="A128" s="135" t="s">
        <v>431</v>
      </c>
      <c r="B128" s="165"/>
      <c r="C128" s="165"/>
      <c r="D128" s="132">
        <f>2000000-1500000-500000</f>
        <v>0</v>
      </c>
      <c r="E128" s="132"/>
      <c r="F128" s="132">
        <f>D128</f>
        <v>0</v>
      </c>
      <c r="G128" s="132"/>
      <c r="H128" s="132"/>
      <c r="I128" s="132"/>
      <c r="J128" s="132"/>
      <c r="K128" s="132"/>
      <c r="L128" s="132"/>
      <c r="M128" s="132"/>
      <c r="N128" s="132"/>
      <c r="O128" s="132"/>
      <c r="P128" s="132"/>
      <c r="R128" s="274"/>
      <c r="S128" s="274"/>
      <c r="T128" s="274"/>
      <c r="U128" s="274"/>
      <c r="V128" s="274"/>
      <c r="W128" s="274"/>
      <c r="X128" s="274"/>
      <c r="Y128" s="274"/>
      <c r="Z128" s="274"/>
      <c r="EB128" s="13"/>
      <c r="EC128" s="13"/>
      <c r="ED128" s="13"/>
      <c r="EE128" s="13"/>
      <c r="EF128" s="13"/>
      <c r="EG128" s="13"/>
    </row>
    <row r="129" spans="1:137" s="36" customFormat="1" ht="27" hidden="1">
      <c r="A129" s="138" t="s">
        <v>160</v>
      </c>
      <c r="B129" s="163"/>
      <c r="C129" s="163"/>
      <c r="D129" s="161">
        <f>D131</f>
        <v>0</v>
      </c>
      <c r="E129" s="161"/>
      <c r="F129" s="161">
        <f>D129</f>
        <v>0</v>
      </c>
      <c r="G129" s="162"/>
      <c r="H129" s="162"/>
      <c r="I129" s="162"/>
      <c r="J129" s="162"/>
      <c r="K129" s="162"/>
      <c r="L129" s="162"/>
      <c r="M129" s="162"/>
      <c r="N129" s="162"/>
      <c r="O129" s="162"/>
      <c r="P129" s="162"/>
      <c r="R129" s="274"/>
      <c r="S129" s="274"/>
      <c r="T129" s="274"/>
      <c r="U129" s="274"/>
      <c r="V129" s="274"/>
      <c r="W129" s="274"/>
      <c r="X129" s="274"/>
      <c r="Y129" s="274"/>
      <c r="Z129" s="274"/>
      <c r="EB129" s="37"/>
      <c r="EC129" s="37"/>
      <c r="ED129" s="37"/>
      <c r="EE129" s="37"/>
      <c r="EF129" s="37"/>
      <c r="EG129" s="37"/>
    </row>
    <row r="130" spans="1:137" s="36" customFormat="1" ht="20.25" customHeight="1" hidden="1">
      <c r="A130" s="140" t="s">
        <v>255</v>
      </c>
      <c r="B130" s="163"/>
      <c r="C130" s="163"/>
      <c r="D130" s="162"/>
      <c r="E130" s="162"/>
      <c r="F130" s="162"/>
      <c r="G130" s="162"/>
      <c r="H130" s="162"/>
      <c r="I130" s="162"/>
      <c r="J130" s="162"/>
      <c r="K130" s="162"/>
      <c r="L130" s="162"/>
      <c r="M130" s="162"/>
      <c r="N130" s="162"/>
      <c r="O130" s="162"/>
      <c r="P130" s="162"/>
      <c r="R130" s="274"/>
      <c r="S130" s="274"/>
      <c r="T130" s="274"/>
      <c r="U130" s="274"/>
      <c r="V130" s="274"/>
      <c r="W130" s="274"/>
      <c r="X130" s="274"/>
      <c r="Y130" s="274"/>
      <c r="Z130" s="274"/>
      <c r="EB130" s="37"/>
      <c r="EC130" s="37"/>
      <c r="ED130" s="37"/>
      <c r="EE130" s="37"/>
      <c r="EF130" s="37"/>
      <c r="EG130" s="37"/>
    </row>
    <row r="131" spans="1:137" s="36" customFormat="1" ht="29.25" customHeight="1" hidden="1">
      <c r="A131" s="139" t="s">
        <v>432</v>
      </c>
      <c r="B131" s="163"/>
      <c r="C131" s="163"/>
      <c r="D131" s="162">
        <f>5000000-5000000</f>
        <v>0</v>
      </c>
      <c r="E131" s="162"/>
      <c r="F131" s="162">
        <f>D131</f>
        <v>0</v>
      </c>
      <c r="G131" s="162"/>
      <c r="H131" s="162"/>
      <c r="I131" s="162"/>
      <c r="J131" s="162"/>
      <c r="K131" s="162"/>
      <c r="L131" s="162"/>
      <c r="M131" s="162"/>
      <c r="N131" s="162"/>
      <c r="O131" s="162"/>
      <c r="P131" s="162"/>
      <c r="R131" s="274"/>
      <c r="S131" s="274"/>
      <c r="T131" s="274"/>
      <c r="U131" s="274"/>
      <c r="V131" s="274"/>
      <c r="W131" s="274"/>
      <c r="X131" s="274"/>
      <c r="Y131" s="274"/>
      <c r="Z131" s="274"/>
      <c r="EB131" s="37"/>
      <c r="EC131" s="37"/>
      <c r="ED131" s="37"/>
      <c r="EE131" s="37"/>
      <c r="EF131" s="37"/>
      <c r="EG131" s="37"/>
    </row>
    <row r="132" spans="1:137" s="36" customFormat="1" ht="20.25" customHeight="1" hidden="1">
      <c r="A132" s="140" t="s">
        <v>378</v>
      </c>
      <c r="B132" s="163"/>
      <c r="C132" s="163"/>
      <c r="D132" s="162"/>
      <c r="E132" s="162"/>
      <c r="F132" s="162"/>
      <c r="G132" s="162"/>
      <c r="H132" s="162"/>
      <c r="I132" s="162"/>
      <c r="J132" s="162"/>
      <c r="K132" s="162"/>
      <c r="L132" s="162"/>
      <c r="M132" s="162"/>
      <c r="N132" s="162"/>
      <c r="O132" s="162"/>
      <c r="P132" s="162"/>
      <c r="R132" s="274"/>
      <c r="S132" s="274"/>
      <c r="T132" s="274"/>
      <c r="U132" s="274"/>
      <c r="V132" s="274"/>
      <c r="W132" s="274"/>
      <c r="X132" s="274"/>
      <c r="Y132" s="274"/>
      <c r="Z132" s="274"/>
      <c r="EB132" s="37"/>
      <c r="EC132" s="37"/>
      <c r="ED132" s="37"/>
      <c r="EE132" s="37"/>
      <c r="EF132" s="37"/>
      <c r="EG132" s="37"/>
    </row>
    <row r="133" spans="1:137" s="36" customFormat="1" ht="12" customHeight="1" hidden="1">
      <c r="A133" s="166" t="s">
        <v>433</v>
      </c>
      <c r="B133" s="163"/>
      <c r="C133" s="163"/>
      <c r="D133" s="162">
        <v>0</v>
      </c>
      <c r="E133" s="162"/>
      <c r="F133" s="162">
        <v>1</v>
      </c>
      <c r="G133" s="162"/>
      <c r="H133" s="162"/>
      <c r="I133" s="162"/>
      <c r="J133" s="162"/>
      <c r="K133" s="162"/>
      <c r="L133" s="162"/>
      <c r="M133" s="162"/>
      <c r="N133" s="162"/>
      <c r="O133" s="162"/>
      <c r="P133" s="162"/>
      <c r="R133" s="274"/>
      <c r="S133" s="274"/>
      <c r="T133" s="274"/>
      <c r="U133" s="274"/>
      <c r="V133" s="274"/>
      <c r="W133" s="274"/>
      <c r="X133" s="274"/>
      <c r="Y133" s="274"/>
      <c r="Z133" s="274"/>
      <c r="EB133" s="37"/>
      <c r="EC133" s="37"/>
      <c r="ED133" s="37"/>
      <c r="EE133" s="37"/>
      <c r="EF133" s="37"/>
      <c r="EG133" s="37"/>
    </row>
    <row r="134" spans="1:137" s="36" customFormat="1" ht="12.75" hidden="1">
      <c r="A134" s="140" t="s">
        <v>374</v>
      </c>
      <c r="B134" s="163"/>
      <c r="C134" s="163"/>
      <c r="D134" s="162"/>
      <c r="E134" s="162"/>
      <c r="F134" s="162"/>
      <c r="G134" s="162"/>
      <c r="H134" s="162"/>
      <c r="I134" s="162"/>
      <c r="J134" s="162"/>
      <c r="K134" s="162"/>
      <c r="L134" s="162"/>
      <c r="M134" s="162"/>
      <c r="N134" s="162"/>
      <c r="O134" s="162"/>
      <c r="P134" s="162"/>
      <c r="R134" s="274"/>
      <c r="S134" s="274"/>
      <c r="T134" s="274"/>
      <c r="U134" s="274"/>
      <c r="V134" s="274"/>
      <c r="W134" s="274"/>
      <c r="X134" s="274"/>
      <c r="Y134" s="274"/>
      <c r="Z134" s="274"/>
      <c r="EB134" s="37"/>
      <c r="EC134" s="37"/>
      <c r="ED134" s="37"/>
      <c r="EE134" s="37"/>
      <c r="EF134" s="37"/>
      <c r="EG134" s="37"/>
    </row>
    <row r="135" spans="1:137" s="36" customFormat="1" ht="18" customHeight="1" hidden="1">
      <c r="A135" s="139" t="s">
        <v>434</v>
      </c>
      <c r="B135" s="163"/>
      <c r="C135" s="163"/>
      <c r="D135" s="162" t="e">
        <f>D131/D133</f>
        <v>#DIV/0!</v>
      </c>
      <c r="E135" s="162"/>
      <c r="F135" s="162" t="e">
        <f>D135</f>
        <v>#DIV/0!</v>
      </c>
      <c r="G135" s="162"/>
      <c r="H135" s="162"/>
      <c r="I135" s="162"/>
      <c r="J135" s="162"/>
      <c r="K135" s="162"/>
      <c r="L135" s="162"/>
      <c r="M135" s="162"/>
      <c r="N135" s="162"/>
      <c r="O135" s="162"/>
      <c r="P135" s="162"/>
      <c r="R135" s="274"/>
      <c r="S135" s="274"/>
      <c r="T135" s="274"/>
      <c r="U135" s="274"/>
      <c r="V135" s="274"/>
      <c r="W135" s="274"/>
      <c r="X135" s="274"/>
      <c r="Y135" s="274"/>
      <c r="Z135" s="274"/>
      <c r="EB135" s="37"/>
      <c r="EC135" s="37"/>
      <c r="ED135" s="37"/>
      <c r="EE135" s="37"/>
      <c r="EF135" s="37"/>
      <c r="EG135" s="37"/>
    </row>
    <row r="136" spans="1:137" s="36" customFormat="1" ht="25.5" customHeight="1" hidden="1">
      <c r="A136" s="138" t="s">
        <v>161</v>
      </c>
      <c r="B136" s="163"/>
      <c r="C136" s="163"/>
      <c r="D136" s="161">
        <f>D138</f>
        <v>0</v>
      </c>
      <c r="E136" s="161"/>
      <c r="F136" s="161">
        <f>D136</f>
        <v>0</v>
      </c>
      <c r="G136" s="162"/>
      <c r="H136" s="162"/>
      <c r="I136" s="162"/>
      <c r="J136" s="162"/>
      <c r="K136" s="162"/>
      <c r="L136" s="162"/>
      <c r="M136" s="162"/>
      <c r="N136" s="162"/>
      <c r="O136" s="162"/>
      <c r="P136" s="162"/>
      <c r="R136" s="274"/>
      <c r="S136" s="274"/>
      <c r="T136" s="274"/>
      <c r="U136" s="274"/>
      <c r="V136" s="274"/>
      <c r="W136" s="274"/>
      <c r="X136" s="274"/>
      <c r="Y136" s="274"/>
      <c r="Z136" s="274"/>
      <c r="EB136" s="37"/>
      <c r="EC136" s="37"/>
      <c r="ED136" s="37"/>
      <c r="EE136" s="37"/>
      <c r="EF136" s="37"/>
      <c r="EG136" s="37"/>
    </row>
    <row r="137" spans="1:137" s="4" customFormat="1" ht="17.25" customHeight="1" hidden="1">
      <c r="A137" s="134" t="s">
        <v>255</v>
      </c>
      <c r="B137" s="165"/>
      <c r="C137" s="165"/>
      <c r="D137" s="132"/>
      <c r="E137" s="132"/>
      <c r="F137" s="132"/>
      <c r="G137" s="132"/>
      <c r="H137" s="132"/>
      <c r="I137" s="132"/>
      <c r="J137" s="132"/>
      <c r="K137" s="132"/>
      <c r="L137" s="132"/>
      <c r="M137" s="132"/>
      <c r="N137" s="132"/>
      <c r="O137" s="132"/>
      <c r="P137" s="132"/>
      <c r="R137" s="274"/>
      <c r="S137" s="274"/>
      <c r="T137" s="274"/>
      <c r="U137" s="274"/>
      <c r="V137" s="274"/>
      <c r="W137" s="274"/>
      <c r="X137" s="274"/>
      <c r="Y137" s="274"/>
      <c r="Z137" s="274"/>
      <c r="EB137" s="13"/>
      <c r="EC137" s="13"/>
      <c r="ED137" s="13"/>
      <c r="EE137" s="13"/>
      <c r="EF137" s="13"/>
      <c r="EG137" s="13"/>
    </row>
    <row r="138" spans="1:137" s="4" customFormat="1" ht="12.75" hidden="1">
      <c r="A138" s="135" t="s">
        <v>435</v>
      </c>
      <c r="B138" s="165"/>
      <c r="C138" s="165"/>
      <c r="D138" s="132">
        <f>5000000-4000000-1000000</f>
        <v>0</v>
      </c>
      <c r="E138" s="132"/>
      <c r="F138" s="132">
        <f>D138</f>
        <v>0</v>
      </c>
      <c r="G138" s="132"/>
      <c r="H138" s="132"/>
      <c r="I138" s="132"/>
      <c r="J138" s="132"/>
      <c r="K138" s="132"/>
      <c r="L138" s="132"/>
      <c r="M138" s="132"/>
      <c r="N138" s="132"/>
      <c r="O138" s="132"/>
      <c r="P138" s="132"/>
      <c r="R138" s="274"/>
      <c r="S138" s="274"/>
      <c r="T138" s="274"/>
      <c r="U138" s="274"/>
      <c r="V138" s="274"/>
      <c r="W138" s="274"/>
      <c r="X138" s="274"/>
      <c r="Y138" s="274"/>
      <c r="Z138" s="274"/>
      <c r="EB138" s="13"/>
      <c r="EC138" s="13"/>
      <c r="ED138" s="13"/>
      <c r="EE138" s="13"/>
      <c r="EF138" s="13"/>
      <c r="EG138" s="13"/>
    </row>
    <row r="139" spans="1:137" s="4" customFormat="1" ht="17.25" customHeight="1" hidden="1">
      <c r="A139" s="134" t="s">
        <v>378</v>
      </c>
      <c r="B139" s="165"/>
      <c r="C139" s="165"/>
      <c r="D139" s="132"/>
      <c r="E139" s="132"/>
      <c r="F139" s="132"/>
      <c r="G139" s="132"/>
      <c r="H139" s="132"/>
      <c r="I139" s="132"/>
      <c r="J139" s="132"/>
      <c r="K139" s="132"/>
      <c r="L139" s="132"/>
      <c r="M139" s="132"/>
      <c r="N139" s="132"/>
      <c r="O139" s="132"/>
      <c r="P139" s="132"/>
      <c r="R139" s="274"/>
      <c r="S139" s="274"/>
      <c r="T139" s="274"/>
      <c r="U139" s="274"/>
      <c r="V139" s="274"/>
      <c r="W139" s="274"/>
      <c r="X139" s="274"/>
      <c r="Y139" s="274"/>
      <c r="Z139" s="274"/>
      <c r="EB139" s="13"/>
      <c r="EC139" s="13"/>
      <c r="ED139" s="13"/>
      <c r="EE139" s="13"/>
      <c r="EF139" s="13"/>
      <c r="EG139" s="13"/>
    </row>
    <row r="140" spans="1:137" s="4" customFormat="1" ht="12.75" hidden="1">
      <c r="A140" s="136" t="s">
        <v>433</v>
      </c>
      <c r="B140" s="165"/>
      <c r="C140" s="165"/>
      <c r="D140" s="132">
        <v>0</v>
      </c>
      <c r="E140" s="132"/>
      <c r="F140" s="132">
        <f>D140</f>
        <v>0</v>
      </c>
      <c r="G140" s="132"/>
      <c r="H140" s="132"/>
      <c r="I140" s="132"/>
      <c r="J140" s="132"/>
      <c r="K140" s="132"/>
      <c r="L140" s="132"/>
      <c r="M140" s="132"/>
      <c r="N140" s="132"/>
      <c r="O140" s="132"/>
      <c r="P140" s="132"/>
      <c r="R140" s="274"/>
      <c r="S140" s="274"/>
      <c r="T140" s="274"/>
      <c r="U140" s="274"/>
      <c r="V140" s="274"/>
      <c r="W140" s="274"/>
      <c r="X140" s="274"/>
      <c r="Y140" s="274"/>
      <c r="Z140" s="274"/>
      <c r="EB140" s="13"/>
      <c r="EC140" s="13"/>
      <c r="ED140" s="13"/>
      <c r="EE140" s="13"/>
      <c r="EF140" s="13"/>
      <c r="EG140" s="13"/>
    </row>
    <row r="141" spans="1:137" s="4" customFormat="1" ht="12.75" hidden="1">
      <c r="A141" s="134" t="s">
        <v>374</v>
      </c>
      <c r="B141" s="165"/>
      <c r="C141" s="165"/>
      <c r="D141" s="132"/>
      <c r="E141" s="132"/>
      <c r="F141" s="132"/>
      <c r="G141" s="132"/>
      <c r="H141" s="132"/>
      <c r="I141" s="132"/>
      <c r="J141" s="132"/>
      <c r="K141" s="132"/>
      <c r="L141" s="132"/>
      <c r="M141" s="132"/>
      <c r="N141" s="132"/>
      <c r="O141" s="132"/>
      <c r="P141" s="132"/>
      <c r="R141" s="274"/>
      <c r="S141" s="274"/>
      <c r="T141" s="274"/>
      <c r="U141" s="274"/>
      <c r="V141" s="274"/>
      <c r="W141" s="274"/>
      <c r="X141" s="274"/>
      <c r="Y141" s="274"/>
      <c r="Z141" s="274"/>
      <c r="EB141" s="13"/>
      <c r="EC141" s="13"/>
      <c r="ED141" s="13"/>
      <c r="EE141" s="13"/>
      <c r="EF141" s="13"/>
      <c r="EG141" s="13"/>
    </row>
    <row r="142" spans="1:137" s="4" customFormat="1" ht="12.75" hidden="1">
      <c r="A142" s="135" t="s">
        <v>436</v>
      </c>
      <c r="B142" s="165"/>
      <c r="C142" s="165"/>
      <c r="D142" s="132">
        <v>0</v>
      </c>
      <c r="E142" s="132"/>
      <c r="F142" s="132">
        <f>D142</f>
        <v>0</v>
      </c>
      <c r="G142" s="132"/>
      <c r="H142" s="132"/>
      <c r="I142" s="132"/>
      <c r="J142" s="132"/>
      <c r="K142" s="132"/>
      <c r="L142" s="132"/>
      <c r="M142" s="132"/>
      <c r="N142" s="132"/>
      <c r="O142" s="132"/>
      <c r="P142" s="132"/>
      <c r="R142" s="274"/>
      <c r="S142" s="274"/>
      <c r="T142" s="274"/>
      <c r="U142" s="274"/>
      <c r="V142" s="274"/>
      <c r="W142" s="274"/>
      <c r="X142" s="274"/>
      <c r="Y142" s="274"/>
      <c r="Z142" s="274"/>
      <c r="EB142" s="13"/>
      <c r="EC142" s="13"/>
      <c r="ED142" s="13"/>
      <c r="EE142" s="13"/>
      <c r="EF142" s="13"/>
      <c r="EG142" s="13"/>
    </row>
    <row r="143" spans="1:137" s="36" customFormat="1" ht="24" customHeight="1" hidden="1">
      <c r="A143" s="138" t="s">
        <v>162</v>
      </c>
      <c r="B143" s="163"/>
      <c r="C143" s="163"/>
      <c r="D143" s="161">
        <f>D145</f>
        <v>0</v>
      </c>
      <c r="E143" s="161"/>
      <c r="F143" s="161">
        <f>D143</f>
        <v>0</v>
      </c>
      <c r="G143" s="162"/>
      <c r="H143" s="162"/>
      <c r="I143" s="162"/>
      <c r="J143" s="162"/>
      <c r="K143" s="162"/>
      <c r="L143" s="162"/>
      <c r="M143" s="162"/>
      <c r="N143" s="162"/>
      <c r="O143" s="162"/>
      <c r="P143" s="162"/>
      <c r="R143" s="274"/>
      <c r="S143" s="274"/>
      <c r="T143" s="274"/>
      <c r="U143" s="274"/>
      <c r="V143" s="274"/>
      <c r="W143" s="274"/>
      <c r="X143" s="274"/>
      <c r="Y143" s="274"/>
      <c r="Z143" s="274"/>
      <c r="EB143" s="37"/>
      <c r="EC143" s="37"/>
      <c r="ED143" s="37"/>
      <c r="EE143" s="37"/>
      <c r="EF143" s="37"/>
      <c r="EG143" s="37"/>
    </row>
    <row r="144" spans="1:137" s="4" customFormat="1" ht="18.75" customHeight="1" hidden="1">
      <c r="A144" s="134" t="s">
        <v>255</v>
      </c>
      <c r="B144" s="165"/>
      <c r="C144" s="165"/>
      <c r="D144" s="132"/>
      <c r="E144" s="132"/>
      <c r="F144" s="132"/>
      <c r="G144" s="132"/>
      <c r="H144" s="132"/>
      <c r="I144" s="132"/>
      <c r="J144" s="132"/>
      <c r="K144" s="132"/>
      <c r="L144" s="132"/>
      <c r="M144" s="132"/>
      <c r="N144" s="132"/>
      <c r="O144" s="132"/>
      <c r="P144" s="132"/>
      <c r="R144" s="274"/>
      <c r="S144" s="274"/>
      <c r="T144" s="274"/>
      <c r="U144" s="274"/>
      <c r="V144" s="274"/>
      <c r="W144" s="274"/>
      <c r="X144" s="274"/>
      <c r="Y144" s="274"/>
      <c r="Z144" s="274"/>
      <c r="EB144" s="13"/>
      <c r="EC144" s="13"/>
      <c r="ED144" s="13"/>
      <c r="EE144" s="13"/>
      <c r="EF144" s="13"/>
      <c r="EG144" s="13"/>
    </row>
    <row r="145" spans="1:137" s="4" customFormat="1" ht="24" customHeight="1" hidden="1">
      <c r="A145" s="135" t="s">
        <v>437</v>
      </c>
      <c r="B145" s="165"/>
      <c r="C145" s="165"/>
      <c r="D145" s="132">
        <f>50000-50000</f>
        <v>0</v>
      </c>
      <c r="E145" s="132"/>
      <c r="F145" s="132">
        <f>D145</f>
        <v>0</v>
      </c>
      <c r="G145" s="132"/>
      <c r="H145" s="132"/>
      <c r="I145" s="132"/>
      <c r="J145" s="132"/>
      <c r="K145" s="132"/>
      <c r="L145" s="132"/>
      <c r="M145" s="132"/>
      <c r="N145" s="132"/>
      <c r="O145" s="132"/>
      <c r="P145" s="132"/>
      <c r="R145" s="274"/>
      <c r="S145" s="274"/>
      <c r="T145" s="274"/>
      <c r="U145" s="274"/>
      <c r="V145" s="274"/>
      <c r="W145" s="274"/>
      <c r="X145" s="274"/>
      <c r="Y145" s="274"/>
      <c r="Z145" s="274"/>
      <c r="EB145" s="13"/>
      <c r="EC145" s="13"/>
      <c r="ED145" s="13"/>
      <c r="EE145" s="13"/>
      <c r="EF145" s="13"/>
      <c r="EG145" s="13"/>
    </row>
    <row r="146" spans="1:137" s="4" customFormat="1" ht="12.75" hidden="1">
      <c r="A146" s="134" t="s">
        <v>378</v>
      </c>
      <c r="B146" s="165"/>
      <c r="C146" s="165"/>
      <c r="D146" s="132"/>
      <c r="E146" s="132"/>
      <c r="F146" s="132"/>
      <c r="G146" s="132"/>
      <c r="H146" s="132"/>
      <c r="I146" s="132"/>
      <c r="J146" s="132"/>
      <c r="K146" s="132"/>
      <c r="L146" s="132"/>
      <c r="M146" s="132"/>
      <c r="N146" s="132"/>
      <c r="O146" s="132"/>
      <c r="P146" s="132"/>
      <c r="R146" s="274"/>
      <c r="S146" s="274"/>
      <c r="T146" s="274"/>
      <c r="U146" s="274"/>
      <c r="V146" s="274"/>
      <c r="W146" s="274"/>
      <c r="X146" s="274"/>
      <c r="Y146" s="274"/>
      <c r="Z146" s="274"/>
      <c r="EB146" s="13"/>
      <c r="EC146" s="13"/>
      <c r="ED146" s="13"/>
      <c r="EE146" s="13"/>
      <c r="EF146" s="13"/>
      <c r="EG146" s="13"/>
    </row>
    <row r="147" spans="1:137" s="4" customFormat="1" ht="12.75" hidden="1">
      <c r="A147" s="136" t="s">
        <v>433</v>
      </c>
      <c r="B147" s="165"/>
      <c r="C147" s="165"/>
      <c r="D147" s="132">
        <v>0</v>
      </c>
      <c r="E147" s="132"/>
      <c r="F147" s="132">
        <f>D147</f>
        <v>0</v>
      </c>
      <c r="G147" s="132"/>
      <c r="H147" s="132"/>
      <c r="I147" s="132"/>
      <c r="J147" s="132"/>
      <c r="K147" s="132"/>
      <c r="L147" s="132"/>
      <c r="M147" s="132"/>
      <c r="N147" s="132"/>
      <c r="O147" s="132"/>
      <c r="P147" s="132"/>
      <c r="R147" s="274"/>
      <c r="S147" s="274"/>
      <c r="T147" s="274"/>
      <c r="U147" s="274"/>
      <c r="V147" s="274"/>
      <c r="W147" s="274"/>
      <c r="X147" s="274"/>
      <c r="Y147" s="274"/>
      <c r="Z147" s="274"/>
      <c r="EB147" s="13"/>
      <c r="EC147" s="13"/>
      <c r="ED147" s="13"/>
      <c r="EE147" s="13"/>
      <c r="EF147" s="13"/>
      <c r="EG147" s="13"/>
    </row>
    <row r="148" spans="1:137" s="4" customFormat="1" ht="12.75" hidden="1">
      <c r="A148" s="134" t="s">
        <v>374</v>
      </c>
      <c r="B148" s="165"/>
      <c r="C148" s="165"/>
      <c r="D148" s="132"/>
      <c r="E148" s="132"/>
      <c r="F148" s="132"/>
      <c r="G148" s="132"/>
      <c r="H148" s="132"/>
      <c r="I148" s="132"/>
      <c r="J148" s="132"/>
      <c r="K148" s="132"/>
      <c r="L148" s="132"/>
      <c r="M148" s="132"/>
      <c r="N148" s="132"/>
      <c r="O148" s="132"/>
      <c r="P148" s="132"/>
      <c r="R148" s="274"/>
      <c r="S148" s="274"/>
      <c r="T148" s="274"/>
      <c r="U148" s="274"/>
      <c r="V148" s="274"/>
      <c r="W148" s="274"/>
      <c r="X148" s="274"/>
      <c r="Y148" s="274"/>
      <c r="Z148" s="274"/>
      <c r="EB148" s="13"/>
      <c r="EC148" s="13"/>
      <c r="ED148" s="13"/>
      <c r="EE148" s="13"/>
      <c r="EF148" s="13"/>
      <c r="EG148" s="13"/>
    </row>
    <row r="149" spans="1:137" s="4" customFormat="1" ht="24" customHeight="1" hidden="1">
      <c r="A149" s="135" t="s">
        <v>438</v>
      </c>
      <c r="B149" s="165"/>
      <c r="C149" s="165"/>
      <c r="D149" s="132">
        <v>0</v>
      </c>
      <c r="E149" s="132"/>
      <c r="F149" s="132">
        <f>D149</f>
        <v>0</v>
      </c>
      <c r="G149" s="132"/>
      <c r="H149" s="132"/>
      <c r="I149" s="132"/>
      <c r="J149" s="132"/>
      <c r="K149" s="132"/>
      <c r="L149" s="132"/>
      <c r="M149" s="132"/>
      <c r="N149" s="132"/>
      <c r="O149" s="132"/>
      <c r="P149" s="132"/>
      <c r="R149" s="274"/>
      <c r="S149" s="274"/>
      <c r="T149" s="274"/>
      <c r="U149" s="274"/>
      <c r="V149" s="274"/>
      <c r="W149" s="274"/>
      <c r="X149" s="274"/>
      <c r="Y149" s="274"/>
      <c r="Z149" s="274"/>
      <c r="EB149" s="13"/>
      <c r="EC149" s="13"/>
      <c r="ED149" s="13"/>
      <c r="EE149" s="13"/>
      <c r="EF149" s="13"/>
      <c r="EG149" s="13"/>
    </row>
    <row r="150" spans="1:137" s="36" customFormat="1" ht="24" customHeight="1" hidden="1">
      <c r="A150" s="138" t="s">
        <v>163</v>
      </c>
      <c r="B150" s="163"/>
      <c r="C150" s="163"/>
      <c r="D150" s="162"/>
      <c r="E150" s="161">
        <f>7000000-7000000</f>
        <v>0</v>
      </c>
      <c r="F150" s="161">
        <f>E150</f>
        <v>0</v>
      </c>
      <c r="G150" s="169"/>
      <c r="H150" s="169">
        <v>7500000</v>
      </c>
      <c r="I150" s="169"/>
      <c r="J150" s="169">
        <f>H150</f>
        <v>7500000</v>
      </c>
      <c r="K150" s="169"/>
      <c r="L150" s="169"/>
      <c r="M150" s="169"/>
      <c r="N150" s="169"/>
      <c r="O150" s="169">
        <v>6000000</v>
      </c>
      <c r="P150" s="169">
        <f>O150</f>
        <v>6000000</v>
      </c>
      <c r="R150" s="274"/>
      <c r="S150" s="274"/>
      <c r="T150" s="274"/>
      <c r="U150" s="274"/>
      <c r="V150" s="274"/>
      <c r="W150" s="274"/>
      <c r="X150" s="274"/>
      <c r="Y150" s="274"/>
      <c r="Z150" s="274"/>
      <c r="EB150" s="37"/>
      <c r="EC150" s="37"/>
      <c r="ED150" s="37"/>
      <c r="EE150" s="37"/>
      <c r="EF150" s="37"/>
      <c r="EG150" s="37"/>
    </row>
    <row r="151" spans="1:137" s="4" customFormat="1" ht="12.75" hidden="1">
      <c r="A151" s="134" t="s">
        <v>255</v>
      </c>
      <c r="B151" s="165"/>
      <c r="C151" s="165"/>
      <c r="D151" s="132"/>
      <c r="E151" s="132"/>
      <c r="F151" s="132"/>
      <c r="G151" s="132"/>
      <c r="H151" s="132"/>
      <c r="I151" s="132"/>
      <c r="J151" s="162"/>
      <c r="K151" s="132"/>
      <c r="L151" s="132"/>
      <c r="M151" s="132"/>
      <c r="N151" s="132"/>
      <c r="O151" s="132"/>
      <c r="P151" s="162"/>
      <c r="R151" s="274"/>
      <c r="S151" s="274"/>
      <c r="T151" s="274"/>
      <c r="U151" s="274"/>
      <c r="V151" s="274"/>
      <c r="W151" s="274"/>
      <c r="X151" s="274"/>
      <c r="Y151" s="274"/>
      <c r="Z151" s="274"/>
      <c r="EB151" s="13"/>
      <c r="EC151" s="13"/>
      <c r="ED151" s="13"/>
      <c r="EE151" s="13"/>
      <c r="EF151" s="13"/>
      <c r="EG151" s="13"/>
    </row>
    <row r="152" spans="1:137" s="4" customFormat="1" ht="24" customHeight="1" hidden="1">
      <c r="A152" s="135" t="s">
        <v>439</v>
      </c>
      <c r="B152" s="165"/>
      <c r="C152" s="165"/>
      <c r="D152" s="132"/>
      <c r="E152" s="132">
        <f>E150</f>
        <v>0</v>
      </c>
      <c r="F152" s="132">
        <f>E152</f>
        <v>0</v>
      </c>
      <c r="G152" s="132"/>
      <c r="H152" s="132">
        <f>H150</f>
        <v>7500000</v>
      </c>
      <c r="I152" s="132"/>
      <c r="J152" s="162">
        <f>H152</f>
        <v>7500000</v>
      </c>
      <c r="K152" s="132"/>
      <c r="L152" s="132"/>
      <c r="M152" s="132"/>
      <c r="N152" s="132"/>
      <c r="O152" s="132">
        <f>O150</f>
        <v>6000000</v>
      </c>
      <c r="P152" s="162">
        <f>O152</f>
        <v>6000000</v>
      </c>
      <c r="R152" s="274"/>
      <c r="S152" s="274"/>
      <c r="T152" s="274"/>
      <c r="U152" s="274"/>
      <c r="V152" s="274"/>
      <c r="W152" s="274"/>
      <c r="X152" s="274"/>
      <c r="Y152" s="274"/>
      <c r="Z152" s="274"/>
      <c r="EB152" s="13"/>
      <c r="EC152" s="13"/>
      <c r="ED152" s="13"/>
      <c r="EE152" s="13"/>
      <c r="EF152" s="13"/>
      <c r="EG152" s="13"/>
    </row>
    <row r="153" spans="1:137" s="4" customFormat="1" ht="12.75" hidden="1">
      <c r="A153" s="134" t="s">
        <v>378</v>
      </c>
      <c r="B153" s="165"/>
      <c r="C153" s="165"/>
      <c r="D153" s="132"/>
      <c r="E153" s="132"/>
      <c r="F153" s="132"/>
      <c r="G153" s="132"/>
      <c r="H153" s="132"/>
      <c r="I153" s="132"/>
      <c r="J153" s="162"/>
      <c r="K153" s="132"/>
      <c r="L153" s="132"/>
      <c r="M153" s="132"/>
      <c r="N153" s="132"/>
      <c r="O153" s="132"/>
      <c r="P153" s="162"/>
      <c r="R153" s="274"/>
      <c r="S153" s="274"/>
      <c r="T153" s="274"/>
      <c r="U153" s="274"/>
      <c r="V153" s="274"/>
      <c r="W153" s="274"/>
      <c r="X153" s="274"/>
      <c r="Y153" s="274"/>
      <c r="Z153" s="274"/>
      <c r="EB153" s="13"/>
      <c r="EC153" s="13"/>
      <c r="ED153" s="13"/>
      <c r="EE153" s="13"/>
      <c r="EF153" s="13"/>
      <c r="EG153" s="13"/>
    </row>
    <row r="154" spans="1:137" s="4" customFormat="1" ht="29.25" customHeight="1" hidden="1">
      <c r="A154" s="136" t="s">
        <v>164</v>
      </c>
      <c r="B154" s="165"/>
      <c r="C154" s="165"/>
      <c r="D154" s="132"/>
      <c r="E154" s="167">
        <v>4</v>
      </c>
      <c r="F154" s="167">
        <f>E154</f>
        <v>4</v>
      </c>
      <c r="G154" s="167"/>
      <c r="H154" s="167">
        <v>4</v>
      </c>
      <c r="I154" s="167"/>
      <c r="J154" s="170">
        <f>H154</f>
        <v>4</v>
      </c>
      <c r="K154" s="167"/>
      <c r="L154" s="167"/>
      <c r="M154" s="167"/>
      <c r="N154" s="167"/>
      <c r="O154" s="167">
        <v>4</v>
      </c>
      <c r="P154" s="170">
        <f>O154</f>
        <v>4</v>
      </c>
      <c r="R154" s="274"/>
      <c r="S154" s="274"/>
      <c r="T154" s="274"/>
      <c r="U154" s="274"/>
      <c r="V154" s="274"/>
      <c r="W154" s="274"/>
      <c r="X154" s="274"/>
      <c r="Y154" s="274"/>
      <c r="Z154" s="274"/>
      <c r="EB154" s="13"/>
      <c r="EC154" s="13"/>
      <c r="ED154" s="13"/>
      <c r="EE154" s="13"/>
      <c r="EF154" s="13"/>
      <c r="EG154" s="13"/>
    </row>
    <row r="155" spans="1:137" s="4" customFormat="1" ht="12.75" hidden="1">
      <c r="A155" s="134" t="s">
        <v>374</v>
      </c>
      <c r="B155" s="165"/>
      <c r="C155" s="165"/>
      <c r="D155" s="132"/>
      <c r="E155" s="132"/>
      <c r="F155" s="132"/>
      <c r="G155" s="132"/>
      <c r="H155" s="132"/>
      <c r="I155" s="132"/>
      <c r="J155" s="162"/>
      <c r="K155" s="132"/>
      <c r="L155" s="132"/>
      <c r="M155" s="132"/>
      <c r="N155" s="132"/>
      <c r="O155" s="132"/>
      <c r="P155" s="162"/>
      <c r="R155" s="274"/>
      <c r="S155" s="274"/>
      <c r="T155" s="274"/>
      <c r="U155" s="274"/>
      <c r="V155" s="274"/>
      <c r="W155" s="274"/>
      <c r="X155" s="274"/>
      <c r="Y155" s="274"/>
      <c r="Z155" s="274"/>
      <c r="EB155" s="13"/>
      <c r="EC155" s="13"/>
      <c r="ED155" s="13"/>
      <c r="EE155" s="13"/>
      <c r="EF155" s="13"/>
      <c r="EG155" s="13"/>
    </row>
    <row r="156" spans="1:137" s="4" customFormat="1" ht="26.25" customHeight="1" hidden="1">
      <c r="A156" s="135" t="s">
        <v>445</v>
      </c>
      <c r="B156" s="165"/>
      <c r="C156" s="165"/>
      <c r="D156" s="132"/>
      <c r="E156" s="132">
        <f>E152/E154</f>
        <v>0</v>
      </c>
      <c r="F156" s="132">
        <f>F152/F154</f>
        <v>0</v>
      </c>
      <c r="G156" s="132"/>
      <c r="H156" s="132">
        <f>H152/H154</f>
        <v>1875000</v>
      </c>
      <c r="I156" s="132"/>
      <c r="J156" s="162">
        <f>H156</f>
        <v>1875000</v>
      </c>
      <c r="K156" s="132"/>
      <c r="L156" s="132"/>
      <c r="M156" s="132"/>
      <c r="N156" s="132"/>
      <c r="O156" s="132">
        <f>O152/O154</f>
        <v>1500000</v>
      </c>
      <c r="P156" s="162">
        <f>O156</f>
        <v>1500000</v>
      </c>
      <c r="R156" s="274"/>
      <c r="S156" s="274"/>
      <c r="T156" s="274"/>
      <c r="U156" s="274"/>
      <c r="V156" s="274"/>
      <c r="W156" s="274"/>
      <c r="X156" s="274"/>
      <c r="Y156" s="274"/>
      <c r="Z156" s="274"/>
      <c r="EB156" s="13"/>
      <c r="EC156" s="13"/>
      <c r="ED156" s="13"/>
      <c r="EE156" s="13"/>
      <c r="EF156" s="13"/>
      <c r="EG156" s="13"/>
    </row>
    <row r="157" spans="1:137" s="4" customFormat="1" ht="29.25" customHeight="1" hidden="1">
      <c r="A157" s="171" t="s">
        <v>506</v>
      </c>
      <c r="B157" s="163"/>
      <c r="C157" s="163"/>
      <c r="D157" s="169">
        <f>50000000-7900000</f>
        <v>42100000</v>
      </c>
      <c r="E157" s="161">
        <v>0</v>
      </c>
      <c r="F157" s="161">
        <f>D157+E157</f>
        <v>42100000</v>
      </c>
      <c r="G157" s="169">
        <f>0+80000000-79000000</f>
        <v>1000000</v>
      </c>
      <c r="H157" s="169"/>
      <c r="I157" s="169"/>
      <c r="J157" s="169">
        <f>G157+H157</f>
        <v>1000000</v>
      </c>
      <c r="K157" s="169"/>
      <c r="L157" s="169"/>
      <c r="M157" s="169"/>
      <c r="N157" s="169"/>
      <c r="O157" s="169"/>
      <c r="P157" s="169">
        <f>O157</f>
        <v>0</v>
      </c>
      <c r="R157" s="274"/>
      <c r="S157" s="274"/>
      <c r="T157" s="274"/>
      <c r="U157" s="274"/>
      <c r="V157" s="274"/>
      <c r="W157" s="274"/>
      <c r="X157" s="274"/>
      <c r="Y157" s="274"/>
      <c r="Z157" s="274"/>
      <c r="EB157" s="13"/>
      <c r="EC157" s="13"/>
      <c r="ED157" s="13"/>
      <c r="EE157" s="13"/>
      <c r="EF157" s="13"/>
      <c r="EG157" s="13"/>
    </row>
    <row r="158" spans="1:137" s="4" customFormat="1" ht="12.75" hidden="1">
      <c r="A158" s="134" t="s">
        <v>255</v>
      </c>
      <c r="B158" s="165"/>
      <c r="C158" s="165"/>
      <c r="D158" s="132"/>
      <c r="E158" s="132"/>
      <c r="F158" s="132"/>
      <c r="G158" s="132"/>
      <c r="H158" s="132"/>
      <c r="I158" s="132"/>
      <c r="J158" s="162"/>
      <c r="K158" s="132"/>
      <c r="L158" s="132"/>
      <c r="M158" s="132"/>
      <c r="N158" s="132"/>
      <c r="O158" s="132"/>
      <c r="P158" s="162">
        <f>O158</f>
        <v>0</v>
      </c>
      <c r="R158" s="274"/>
      <c r="S158" s="274"/>
      <c r="T158" s="274"/>
      <c r="U158" s="274"/>
      <c r="V158" s="274"/>
      <c r="W158" s="274"/>
      <c r="X158" s="274"/>
      <c r="Y158" s="274"/>
      <c r="Z158" s="274"/>
      <c r="EB158" s="13"/>
      <c r="EC158" s="13"/>
      <c r="ED158" s="13"/>
      <c r="EE158" s="13"/>
      <c r="EF158" s="13"/>
      <c r="EG158" s="13"/>
    </row>
    <row r="159" spans="1:137" s="4" customFormat="1" ht="25.5" hidden="1">
      <c r="A159" s="139" t="s">
        <v>507</v>
      </c>
      <c r="B159" s="163"/>
      <c r="C159" s="163"/>
      <c r="D159" s="162">
        <v>292000</v>
      </c>
      <c r="E159" s="162"/>
      <c r="F159" s="162">
        <f>D159</f>
        <v>292000</v>
      </c>
      <c r="G159" s="162">
        <v>292000</v>
      </c>
      <c r="H159" s="132"/>
      <c r="I159" s="132"/>
      <c r="J159" s="162">
        <f aca="true" t="shared" si="12" ref="J159:J165">G159+H159</f>
        <v>292000</v>
      </c>
      <c r="K159" s="132"/>
      <c r="L159" s="132"/>
      <c r="M159" s="132"/>
      <c r="N159" s="132"/>
      <c r="O159" s="132"/>
      <c r="P159" s="162"/>
      <c r="R159" s="274"/>
      <c r="S159" s="274"/>
      <c r="T159" s="274"/>
      <c r="U159" s="274"/>
      <c r="V159" s="274"/>
      <c r="W159" s="274"/>
      <c r="X159" s="274"/>
      <c r="Y159" s="274"/>
      <c r="Z159" s="274"/>
      <c r="EB159" s="13"/>
      <c r="EC159" s="13"/>
      <c r="ED159" s="13"/>
      <c r="EE159" s="13"/>
      <c r="EF159" s="13"/>
      <c r="EG159" s="13"/>
    </row>
    <row r="160" spans="1:137" s="4" customFormat="1" ht="12.75" hidden="1">
      <c r="A160" s="140" t="s">
        <v>185</v>
      </c>
      <c r="B160" s="159"/>
      <c r="C160" s="159"/>
      <c r="D160" s="162"/>
      <c r="E160" s="162"/>
      <c r="F160" s="162"/>
      <c r="G160" s="162"/>
      <c r="H160" s="167"/>
      <c r="I160" s="167"/>
      <c r="J160" s="162"/>
      <c r="K160" s="167"/>
      <c r="L160" s="167"/>
      <c r="M160" s="167"/>
      <c r="N160" s="167"/>
      <c r="O160" s="167"/>
      <c r="P160" s="170">
        <f>O160</f>
        <v>0</v>
      </c>
      <c r="R160" s="274"/>
      <c r="S160" s="274"/>
      <c r="T160" s="274"/>
      <c r="U160" s="274"/>
      <c r="V160" s="274"/>
      <c r="W160" s="274"/>
      <c r="X160" s="274"/>
      <c r="Y160" s="274"/>
      <c r="Z160" s="274"/>
      <c r="EB160" s="13"/>
      <c r="EC160" s="13"/>
      <c r="ED160" s="13"/>
      <c r="EE160" s="13"/>
      <c r="EF160" s="13"/>
      <c r="EG160" s="13"/>
    </row>
    <row r="161" spans="1:137" s="4" customFormat="1" ht="25.5" hidden="1">
      <c r="A161" s="139" t="s">
        <v>508</v>
      </c>
      <c r="B161" s="163"/>
      <c r="C161" s="163"/>
      <c r="D161" s="162">
        <f>D157/D163</f>
        <v>24328.791188470117</v>
      </c>
      <c r="E161" s="162"/>
      <c r="F161" s="162">
        <f>D161</f>
        <v>24328.791188470117</v>
      </c>
      <c r="G161" s="162">
        <f>G157/G163</f>
        <v>363.5173943073176</v>
      </c>
      <c r="H161" s="132"/>
      <c r="I161" s="132"/>
      <c r="J161" s="162">
        <f t="shared" si="12"/>
        <v>363.5173943073176</v>
      </c>
      <c r="K161" s="132"/>
      <c r="L161" s="132"/>
      <c r="M161" s="132"/>
      <c r="N161" s="132"/>
      <c r="O161" s="132"/>
      <c r="P161" s="162"/>
      <c r="R161" s="274"/>
      <c r="S161" s="274"/>
      <c r="T161" s="274"/>
      <c r="U161" s="274"/>
      <c r="V161" s="274"/>
      <c r="W161" s="274"/>
      <c r="X161" s="274"/>
      <c r="Y161" s="274"/>
      <c r="Z161" s="274"/>
      <c r="EB161" s="13"/>
      <c r="EC161" s="13"/>
      <c r="ED161" s="13"/>
      <c r="EE161" s="13"/>
      <c r="EF161" s="13"/>
      <c r="EG161" s="13"/>
    </row>
    <row r="162" spans="1:137" s="4" customFormat="1" ht="12.75" hidden="1">
      <c r="A162" s="140" t="s">
        <v>187</v>
      </c>
      <c r="B162" s="159"/>
      <c r="C162" s="159"/>
      <c r="D162" s="162"/>
      <c r="E162" s="162"/>
      <c r="F162" s="162"/>
      <c r="G162" s="162"/>
      <c r="H162" s="132"/>
      <c r="I162" s="132"/>
      <c r="J162" s="162"/>
      <c r="K162" s="132"/>
      <c r="L162" s="132"/>
      <c r="M162" s="132"/>
      <c r="N162" s="132"/>
      <c r="O162" s="132"/>
      <c r="P162" s="162">
        <f>O162</f>
        <v>0</v>
      </c>
      <c r="R162" s="274"/>
      <c r="S162" s="274"/>
      <c r="T162" s="274"/>
      <c r="U162" s="274"/>
      <c r="V162" s="274"/>
      <c r="W162" s="274"/>
      <c r="X162" s="274"/>
      <c r="Y162" s="274"/>
      <c r="Z162" s="274"/>
      <c r="EB162" s="13"/>
      <c r="EC162" s="13"/>
      <c r="ED162" s="13"/>
      <c r="EE162" s="13"/>
      <c r="EF162" s="13"/>
      <c r="EG162" s="13"/>
    </row>
    <row r="163" spans="1:137" s="4" customFormat="1" ht="25.5" hidden="1">
      <c r="A163" s="139" t="s">
        <v>509</v>
      </c>
      <c r="B163" s="163"/>
      <c r="C163" s="163"/>
      <c r="D163" s="162">
        <v>1730.46</v>
      </c>
      <c r="E163" s="162"/>
      <c r="F163" s="162">
        <f>D163</f>
        <v>1730.46</v>
      </c>
      <c r="G163" s="162">
        <v>2750.9</v>
      </c>
      <c r="H163" s="132"/>
      <c r="I163" s="132"/>
      <c r="J163" s="162">
        <f t="shared" si="12"/>
        <v>2750.9</v>
      </c>
      <c r="K163" s="132"/>
      <c r="L163" s="132"/>
      <c r="M163" s="132"/>
      <c r="N163" s="132"/>
      <c r="O163" s="132"/>
      <c r="P163" s="162"/>
      <c r="R163" s="274"/>
      <c r="S163" s="274"/>
      <c r="T163" s="274"/>
      <c r="U163" s="274"/>
      <c r="V163" s="274"/>
      <c r="W163" s="274"/>
      <c r="X163" s="274"/>
      <c r="Y163" s="274"/>
      <c r="Z163" s="274"/>
      <c r="EB163" s="13"/>
      <c r="EC163" s="13"/>
      <c r="ED163" s="13"/>
      <c r="EE163" s="13"/>
      <c r="EF163" s="13"/>
      <c r="EG163" s="13"/>
    </row>
    <row r="164" spans="1:137" s="4" customFormat="1" ht="12.75" hidden="1">
      <c r="A164" s="134" t="s">
        <v>186</v>
      </c>
      <c r="B164" s="8"/>
      <c r="C164" s="8"/>
      <c r="D164" s="132"/>
      <c r="E164" s="132"/>
      <c r="F164" s="132"/>
      <c r="G164" s="132"/>
      <c r="H164" s="132"/>
      <c r="I164" s="132"/>
      <c r="J164" s="162"/>
      <c r="K164" s="132"/>
      <c r="L164" s="132"/>
      <c r="M164" s="132"/>
      <c r="N164" s="132"/>
      <c r="O164" s="132"/>
      <c r="P164" s="162"/>
      <c r="R164" s="274"/>
      <c r="S164" s="274"/>
      <c r="T164" s="274"/>
      <c r="U164" s="274"/>
      <c r="V164" s="274"/>
      <c r="W164" s="274"/>
      <c r="X164" s="274"/>
      <c r="Y164" s="274"/>
      <c r="Z164" s="274"/>
      <c r="EB164" s="13"/>
      <c r="EC164" s="13"/>
      <c r="ED164" s="13"/>
      <c r="EE164" s="13"/>
      <c r="EF164" s="13"/>
      <c r="EG164" s="13"/>
    </row>
    <row r="165" spans="1:137" s="4" customFormat="1" ht="26.25" customHeight="1" hidden="1">
      <c r="A165" s="135" t="s">
        <v>510</v>
      </c>
      <c r="B165" s="165"/>
      <c r="C165" s="165"/>
      <c r="D165" s="132">
        <f>D161/D159*100</f>
        <v>8.331777804270587</v>
      </c>
      <c r="E165" s="132"/>
      <c r="F165" s="132">
        <f>F161/F159*100</f>
        <v>8.331777804270587</v>
      </c>
      <c r="G165" s="132">
        <f>G161/G159*100</f>
        <v>0.12449225832442384</v>
      </c>
      <c r="H165" s="132"/>
      <c r="I165" s="132"/>
      <c r="J165" s="162">
        <f t="shared" si="12"/>
        <v>0.12449225832442384</v>
      </c>
      <c r="K165" s="132"/>
      <c r="L165" s="132"/>
      <c r="M165" s="132"/>
      <c r="N165" s="132"/>
      <c r="O165" s="132"/>
      <c r="P165" s="162"/>
      <c r="R165" s="274"/>
      <c r="S165" s="274"/>
      <c r="T165" s="274"/>
      <c r="U165" s="274"/>
      <c r="V165" s="274"/>
      <c r="W165" s="274"/>
      <c r="X165" s="274"/>
      <c r="Y165" s="274"/>
      <c r="Z165" s="274"/>
      <c r="EB165" s="13"/>
      <c r="EC165" s="13"/>
      <c r="ED165" s="13"/>
      <c r="EE165" s="13"/>
      <c r="EF165" s="13"/>
      <c r="EG165" s="13"/>
    </row>
    <row r="166" spans="1:137" s="70" customFormat="1" ht="36" customHeight="1" hidden="1">
      <c r="A166" s="68" t="s">
        <v>102</v>
      </c>
      <c r="B166" s="69"/>
      <c r="C166" s="69"/>
      <c r="D166" s="67">
        <f>(D172*D185)+(D175*D181)+(D177*D183)+(D178*D184)-18.32</f>
        <v>57663999.99675764</v>
      </c>
      <c r="E166" s="67">
        <f>E176*E182-0.03</f>
        <v>5290000.003572009</v>
      </c>
      <c r="F166" s="67">
        <f>D166+E166</f>
        <v>62954000.00032965</v>
      </c>
      <c r="G166" s="67">
        <f>(G185*G179)+0.15+(G175*G181)+(G177*G183)+(G178*G184)</f>
        <v>80202299.99721046</v>
      </c>
      <c r="H166" s="67">
        <f>H176*H182</f>
        <v>19362999.999989998</v>
      </c>
      <c r="I166" s="67"/>
      <c r="J166" s="67">
        <f>G166+H166</f>
        <v>99565299.99720046</v>
      </c>
      <c r="K166" s="67">
        <f>(K175*K181)+(K176*K182)+(K178*K184)+(K177*K183)+(K179*K185)+100</f>
        <v>100</v>
      </c>
      <c r="L166" s="67">
        <f>(L175*L181)+(L176*L182)+(L178*L184)+(L177*L183)+(L179*L185)+100</f>
        <v>100</v>
      </c>
      <c r="M166" s="67">
        <f>(M175*M181)+(M176*M182)+(M178*M184)+(M177*M183)+(M179*M185)+100</f>
        <v>100</v>
      </c>
      <c r="N166" s="67">
        <f>(N185*N179)+(N175*N181)+(N177*N183)+(N178*N184)-0.01</f>
        <v>84212400.00022401</v>
      </c>
      <c r="O166" s="67">
        <f>O182*O176</f>
        <v>20331999.999989998</v>
      </c>
      <c r="P166" s="67">
        <f>N166+O166</f>
        <v>104544400.00021401</v>
      </c>
      <c r="R166" s="358"/>
      <c r="S166" s="358"/>
      <c r="T166" s="358"/>
      <c r="U166" s="358"/>
      <c r="V166" s="358"/>
      <c r="W166" s="358"/>
      <c r="X166" s="358"/>
      <c r="Y166" s="358"/>
      <c r="Z166" s="358"/>
      <c r="EB166" s="71"/>
      <c r="EC166" s="71"/>
      <c r="ED166" s="71"/>
      <c r="EE166" s="71"/>
      <c r="EF166" s="71"/>
      <c r="EG166" s="71"/>
    </row>
    <row r="167" spans="1:137" s="117" customFormat="1" ht="21" customHeight="1" hidden="1">
      <c r="A167" s="172" t="s">
        <v>215</v>
      </c>
      <c r="B167" s="173"/>
      <c r="C167" s="173"/>
      <c r="D167" s="174">
        <v>664.71</v>
      </c>
      <c r="E167" s="174"/>
      <c r="F167" s="174">
        <f>D167</f>
        <v>664.71</v>
      </c>
      <c r="G167" s="174">
        <v>664.71</v>
      </c>
      <c r="H167" s="174"/>
      <c r="I167" s="174"/>
      <c r="J167" s="174">
        <f>G167</f>
        <v>664.71</v>
      </c>
      <c r="K167" s="174"/>
      <c r="L167" s="174"/>
      <c r="M167" s="174"/>
      <c r="N167" s="174">
        <v>664.71</v>
      </c>
      <c r="O167" s="174"/>
      <c r="P167" s="174">
        <f>N167</f>
        <v>664.71</v>
      </c>
      <c r="R167" s="274"/>
      <c r="S167" s="274"/>
      <c r="T167" s="274"/>
      <c r="U167" s="274"/>
      <c r="V167" s="274"/>
      <c r="W167" s="274"/>
      <c r="X167" s="274"/>
      <c r="Y167" s="274"/>
      <c r="Z167" s="274"/>
      <c r="EB167" s="116"/>
      <c r="EC167" s="116"/>
      <c r="ED167" s="116"/>
      <c r="EE167" s="116"/>
      <c r="EF167" s="116"/>
      <c r="EG167" s="116"/>
    </row>
    <row r="168" spans="1:137" s="4" customFormat="1" ht="27" customHeight="1" hidden="1">
      <c r="A168" s="135" t="s">
        <v>216</v>
      </c>
      <c r="B168" s="165"/>
      <c r="C168" s="165"/>
      <c r="D168" s="162"/>
      <c r="E168" s="162">
        <v>462.13</v>
      </c>
      <c r="F168" s="162">
        <f>E168</f>
        <v>462.13</v>
      </c>
      <c r="G168" s="162"/>
      <c r="H168" s="162">
        <v>462.13</v>
      </c>
      <c r="I168" s="162"/>
      <c r="J168" s="162">
        <f>H168</f>
        <v>462.13</v>
      </c>
      <c r="K168" s="162"/>
      <c r="L168" s="162"/>
      <c r="M168" s="162"/>
      <c r="N168" s="162"/>
      <c r="O168" s="162">
        <v>462.13</v>
      </c>
      <c r="P168" s="162">
        <f>O168</f>
        <v>462.13</v>
      </c>
      <c r="R168" s="274"/>
      <c r="S168" s="274"/>
      <c r="T168" s="274"/>
      <c r="U168" s="274"/>
      <c r="V168" s="274"/>
      <c r="W168" s="274"/>
      <c r="X168" s="274"/>
      <c r="Y168" s="274"/>
      <c r="Z168" s="274"/>
      <c r="EB168" s="13"/>
      <c r="EC168" s="13"/>
      <c r="ED168" s="13"/>
      <c r="EE168" s="13"/>
      <c r="EF168" s="13"/>
      <c r="EG168" s="13"/>
    </row>
    <row r="169" spans="1:137" s="4" customFormat="1" ht="30.75" customHeight="1" hidden="1">
      <c r="A169" s="135" t="s">
        <v>217</v>
      </c>
      <c r="B169" s="165"/>
      <c r="C169" s="165"/>
      <c r="D169" s="162">
        <v>105.83</v>
      </c>
      <c r="E169" s="162"/>
      <c r="F169" s="162">
        <f>D169</f>
        <v>105.83</v>
      </c>
      <c r="G169" s="162">
        <v>105.83</v>
      </c>
      <c r="H169" s="162"/>
      <c r="I169" s="162"/>
      <c r="J169" s="162">
        <f>G169</f>
        <v>105.83</v>
      </c>
      <c r="K169" s="162"/>
      <c r="L169" s="162"/>
      <c r="M169" s="162"/>
      <c r="N169" s="162">
        <v>105.83</v>
      </c>
      <c r="O169" s="162"/>
      <c r="P169" s="162">
        <f>N169</f>
        <v>105.83</v>
      </c>
      <c r="R169" s="274"/>
      <c r="S169" s="274"/>
      <c r="T169" s="274"/>
      <c r="U169" s="274"/>
      <c r="V169" s="274"/>
      <c r="W169" s="274"/>
      <c r="X169" s="274"/>
      <c r="Y169" s="274"/>
      <c r="Z169" s="274"/>
      <c r="EB169" s="13"/>
      <c r="EC169" s="13"/>
      <c r="ED169" s="13"/>
      <c r="EE169" s="13"/>
      <c r="EF169" s="13"/>
      <c r="EG169" s="13"/>
    </row>
    <row r="170" spans="1:137" s="4" customFormat="1" ht="25.5" customHeight="1" hidden="1">
      <c r="A170" s="135" t="s">
        <v>218</v>
      </c>
      <c r="B170" s="165"/>
      <c r="C170" s="165"/>
      <c r="D170" s="170">
        <v>18995</v>
      </c>
      <c r="E170" s="170"/>
      <c r="F170" s="170">
        <f>D170</f>
        <v>18995</v>
      </c>
      <c r="G170" s="170">
        <v>18995</v>
      </c>
      <c r="H170" s="170"/>
      <c r="I170" s="170"/>
      <c r="J170" s="170">
        <f>G170</f>
        <v>18995</v>
      </c>
      <c r="K170" s="170"/>
      <c r="L170" s="170"/>
      <c r="M170" s="170"/>
      <c r="N170" s="170">
        <v>18995</v>
      </c>
      <c r="O170" s="170"/>
      <c r="P170" s="170">
        <f>N170</f>
        <v>18995</v>
      </c>
      <c r="R170" s="274"/>
      <c r="S170" s="274"/>
      <c r="T170" s="274"/>
      <c r="U170" s="274"/>
      <c r="V170" s="274"/>
      <c r="W170" s="274"/>
      <c r="X170" s="274"/>
      <c r="Y170" s="274"/>
      <c r="Z170" s="274"/>
      <c r="EB170" s="13"/>
      <c r="EC170" s="13"/>
      <c r="ED170" s="13"/>
      <c r="EE170" s="13"/>
      <c r="EF170" s="13"/>
      <c r="EG170" s="13"/>
    </row>
    <row r="171" spans="1:137" s="4" customFormat="1" ht="12.75" hidden="1">
      <c r="A171" s="135" t="s">
        <v>219</v>
      </c>
      <c r="B171" s="165"/>
      <c r="C171" s="165"/>
      <c r="D171" s="170">
        <v>8000</v>
      </c>
      <c r="E171" s="170"/>
      <c r="F171" s="170">
        <f>D171</f>
        <v>8000</v>
      </c>
      <c r="G171" s="170">
        <f>F171</f>
        <v>8000</v>
      </c>
      <c r="H171" s="170"/>
      <c r="I171" s="170"/>
      <c r="J171" s="170">
        <f>G171</f>
        <v>8000</v>
      </c>
      <c r="K171" s="170"/>
      <c r="L171" s="170"/>
      <c r="M171" s="170"/>
      <c r="N171" s="170">
        <f>G171</f>
        <v>8000</v>
      </c>
      <c r="O171" s="170"/>
      <c r="P171" s="170">
        <f>N171</f>
        <v>8000</v>
      </c>
      <c r="R171" s="274"/>
      <c r="S171" s="274"/>
      <c r="T171" s="274"/>
      <c r="U171" s="274"/>
      <c r="V171" s="274"/>
      <c r="W171" s="274"/>
      <c r="X171" s="274"/>
      <c r="Y171" s="274"/>
      <c r="Z171" s="274"/>
      <c r="EB171" s="13"/>
      <c r="EC171" s="13"/>
      <c r="ED171" s="13"/>
      <c r="EE171" s="13"/>
      <c r="EF171" s="13"/>
      <c r="EG171" s="13"/>
    </row>
    <row r="172" spans="1:137" s="4" customFormat="1" ht="29.25" customHeight="1" hidden="1">
      <c r="A172" s="135" t="s">
        <v>220</v>
      </c>
      <c r="B172" s="165"/>
      <c r="C172" s="165"/>
      <c r="D172" s="162">
        <f>10773913.04+289855.07+7003.9</f>
        <v>11070772.01</v>
      </c>
      <c r="E172" s="162"/>
      <c r="F172" s="162">
        <f>D172</f>
        <v>11070772.01</v>
      </c>
      <c r="G172" s="162">
        <f>10773913.04+289855.07</f>
        <v>11063768.11</v>
      </c>
      <c r="H172" s="162"/>
      <c r="I172" s="162"/>
      <c r="J172" s="162">
        <f>G172</f>
        <v>11063768.11</v>
      </c>
      <c r="K172" s="162"/>
      <c r="L172" s="162"/>
      <c r="M172" s="162"/>
      <c r="N172" s="162">
        <f>10773913.04+289855.07</f>
        <v>11063768.11</v>
      </c>
      <c r="O172" s="162"/>
      <c r="P172" s="162">
        <f>N172</f>
        <v>11063768.11</v>
      </c>
      <c r="R172" s="274"/>
      <c r="S172" s="274"/>
      <c r="T172" s="274"/>
      <c r="U172" s="274"/>
      <c r="V172" s="274"/>
      <c r="W172" s="274"/>
      <c r="X172" s="274"/>
      <c r="Y172" s="274"/>
      <c r="Z172" s="274"/>
      <c r="EB172" s="13"/>
      <c r="EC172" s="13"/>
      <c r="ED172" s="13"/>
      <c r="EE172" s="13"/>
      <c r="EF172" s="13"/>
      <c r="EG172" s="13"/>
    </row>
    <row r="173" spans="1:137" s="4" customFormat="1" ht="12.75" hidden="1">
      <c r="A173" s="134" t="s">
        <v>185</v>
      </c>
      <c r="B173" s="8"/>
      <c r="C173" s="8"/>
      <c r="D173" s="169"/>
      <c r="E173" s="169"/>
      <c r="F173" s="162"/>
      <c r="G173" s="169"/>
      <c r="H173" s="169"/>
      <c r="I173" s="169"/>
      <c r="J173" s="162"/>
      <c r="K173" s="162"/>
      <c r="L173" s="162"/>
      <c r="M173" s="162"/>
      <c r="N173" s="169"/>
      <c r="O173" s="169"/>
      <c r="P173" s="175"/>
      <c r="R173" s="274"/>
      <c r="S173" s="274"/>
      <c r="T173" s="274"/>
      <c r="U173" s="274"/>
      <c r="V173" s="274"/>
      <c r="W173" s="274"/>
      <c r="X173" s="274"/>
      <c r="Y173" s="274"/>
      <c r="Z173" s="274"/>
      <c r="EB173" s="13"/>
      <c r="EC173" s="13"/>
      <c r="ED173" s="13"/>
      <c r="EE173" s="13"/>
      <c r="EF173" s="13"/>
      <c r="EG173" s="13"/>
    </row>
    <row r="174" spans="1:137" s="4" customFormat="1" ht="24" customHeight="1" hidden="1">
      <c r="A174" s="135" t="s">
        <v>400</v>
      </c>
      <c r="B174" s="165"/>
      <c r="C174" s="165"/>
      <c r="D174" s="162"/>
      <c r="E174" s="162"/>
      <c r="F174" s="162"/>
      <c r="G174" s="162"/>
      <c r="H174" s="162"/>
      <c r="I174" s="162"/>
      <c r="J174" s="162">
        <f>G174</f>
        <v>0</v>
      </c>
      <c r="K174" s="162"/>
      <c r="L174" s="162"/>
      <c r="M174" s="162"/>
      <c r="N174" s="162"/>
      <c r="O174" s="162"/>
      <c r="P174" s="162">
        <f>N174</f>
        <v>0</v>
      </c>
      <c r="R174" s="274"/>
      <c r="S174" s="274"/>
      <c r="T174" s="274"/>
      <c r="U174" s="274"/>
      <c r="V174" s="274"/>
      <c r="W174" s="274"/>
      <c r="X174" s="274"/>
      <c r="Y174" s="274"/>
      <c r="Z174" s="274"/>
      <c r="EB174" s="13"/>
      <c r="EC174" s="13"/>
      <c r="ED174" s="13"/>
      <c r="EE174" s="13"/>
      <c r="EF174" s="13"/>
      <c r="EG174" s="13"/>
    </row>
    <row r="175" spans="1:137" s="4" customFormat="1" ht="29.25" customHeight="1" hidden="1">
      <c r="A175" s="135" t="s">
        <v>221</v>
      </c>
      <c r="B175" s="165"/>
      <c r="C175" s="165"/>
      <c r="D175" s="162">
        <v>30</v>
      </c>
      <c r="E175" s="162"/>
      <c r="F175" s="162">
        <f>D175</f>
        <v>30</v>
      </c>
      <c r="G175" s="162">
        <v>46</v>
      </c>
      <c r="H175" s="162"/>
      <c r="I175" s="162"/>
      <c r="J175" s="162">
        <f>G175</f>
        <v>46</v>
      </c>
      <c r="K175" s="162"/>
      <c r="L175" s="162"/>
      <c r="M175" s="162"/>
      <c r="N175" s="162">
        <v>46</v>
      </c>
      <c r="O175" s="162"/>
      <c r="P175" s="162">
        <f>N175</f>
        <v>46</v>
      </c>
      <c r="R175" s="274"/>
      <c r="S175" s="274"/>
      <c r="T175" s="274"/>
      <c r="U175" s="274"/>
      <c r="V175" s="274"/>
      <c r="W175" s="274"/>
      <c r="X175" s="274"/>
      <c r="Y175" s="274"/>
      <c r="Z175" s="274"/>
      <c r="EB175" s="13"/>
      <c r="EC175" s="13"/>
      <c r="ED175" s="13"/>
      <c r="EE175" s="13"/>
      <c r="EF175" s="13"/>
      <c r="EG175" s="13"/>
    </row>
    <row r="176" spans="1:137" s="4" customFormat="1" ht="30" customHeight="1" hidden="1">
      <c r="A176" s="135" t="s">
        <v>222</v>
      </c>
      <c r="B176" s="165"/>
      <c r="C176" s="165"/>
      <c r="D176" s="162"/>
      <c r="E176" s="162">
        <v>8.8056024831</v>
      </c>
      <c r="F176" s="162">
        <f>E176</f>
        <v>8.8056024831</v>
      </c>
      <c r="G176" s="162"/>
      <c r="H176" s="170">
        <v>30</v>
      </c>
      <c r="I176" s="162"/>
      <c r="J176" s="162">
        <f>H176</f>
        <v>30</v>
      </c>
      <c r="K176" s="162"/>
      <c r="L176" s="162"/>
      <c r="M176" s="162"/>
      <c r="N176" s="162"/>
      <c r="O176" s="162">
        <v>30</v>
      </c>
      <c r="P176" s="162">
        <f>O176</f>
        <v>30</v>
      </c>
      <c r="R176" s="274"/>
      <c r="S176" s="274"/>
      <c r="T176" s="274"/>
      <c r="U176" s="274"/>
      <c r="V176" s="274"/>
      <c r="W176" s="274"/>
      <c r="X176" s="274"/>
      <c r="Y176" s="274"/>
      <c r="Z176" s="274"/>
      <c r="EB176" s="13"/>
      <c r="EC176" s="13"/>
      <c r="ED176" s="13"/>
      <c r="EE176" s="13"/>
      <c r="EF176" s="13"/>
      <c r="EG176" s="13"/>
    </row>
    <row r="177" spans="1:137" s="4" customFormat="1" ht="19.5" customHeight="1" hidden="1">
      <c r="A177" s="135" t="s">
        <v>235</v>
      </c>
      <c r="B177" s="165"/>
      <c r="C177" s="165"/>
      <c r="D177" s="162">
        <f>D170</f>
        <v>18995</v>
      </c>
      <c r="E177" s="162"/>
      <c r="F177" s="162">
        <f>D177</f>
        <v>18995</v>
      </c>
      <c r="G177" s="162">
        <f>G170</f>
        <v>18995</v>
      </c>
      <c r="H177" s="162"/>
      <c r="I177" s="162"/>
      <c r="J177" s="162">
        <f>G177</f>
        <v>18995</v>
      </c>
      <c r="K177" s="162"/>
      <c r="L177" s="162"/>
      <c r="M177" s="162"/>
      <c r="N177" s="162">
        <f>N170</f>
        <v>18995</v>
      </c>
      <c r="O177" s="162"/>
      <c r="P177" s="162">
        <f>N177</f>
        <v>18995</v>
      </c>
      <c r="R177" s="274"/>
      <c r="S177" s="274"/>
      <c r="T177" s="274"/>
      <c r="U177" s="274"/>
      <c r="V177" s="274"/>
      <c r="W177" s="274"/>
      <c r="X177" s="274"/>
      <c r="Y177" s="274"/>
      <c r="Z177" s="274"/>
      <c r="EB177" s="13"/>
      <c r="EC177" s="13"/>
      <c r="ED177" s="13"/>
      <c r="EE177" s="13"/>
      <c r="EF177" s="13"/>
      <c r="EG177" s="13"/>
    </row>
    <row r="178" spans="1:137" s="4" customFormat="1" ht="24.75" customHeight="1" hidden="1">
      <c r="A178" s="135" t="s">
        <v>223</v>
      </c>
      <c r="B178" s="165"/>
      <c r="C178" s="165"/>
      <c r="D178" s="162">
        <f>2482-181-1460-243</f>
        <v>598</v>
      </c>
      <c r="E178" s="162"/>
      <c r="F178" s="162">
        <f>D178</f>
        <v>598</v>
      </c>
      <c r="G178" s="162">
        <f>2482-181</f>
        <v>2301</v>
      </c>
      <c r="H178" s="162"/>
      <c r="I178" s="162"/>
      <c r="J178" s="162">
        <f>G178</f>
        <v>2301</v>
      </c>
      <c r="K178" s="162"/>
      <c r="L178" s="162"/>
      <c r="M178" s="162"/>
      <c r="N178" s="162">
        <f>2482-181</f>
        <v>2301</v>
      </c>
      <c r="O178" s="162"/>
      <c r="P178" s="162">
        <f>N178</f>
        <v>2301</v>
      </c>
      <c r="R178" s="274"/>
      <c r="S178" s="274"/>
      <c r="T178" s="274"/>
      <c r="U178" s="274"/>
      <c r="V178" s="274"/>
      <c r="W178" s="274"/>
      <c r="X178" s="274"/>
      <c r="Y178" s="274"/>
      <c r="Z178" s="274"/>
      <c r="EB178" s="13"/>
      <c r="EC178" s="13"/>
      <c r="ED178" s="13"/>
      <c r="EE178" s="13"/>
      <c r="EF178" s="13"/>
      <c r="EG178" s="13"/>
    </row>
    <row r="179" spans="1:137" s="4" customFormat="1" ht="24.75" customHeight="1" hidden="1">
      <c r="A179" s="135" t="s">
        <v>224</v>
      </c>
      <c r="B179" s="165"/>
      <c r="C179" s="165"/>
      <c r="D179" s="162">
        <v>11070772.01</v>
      </c>
      <c r="E179" s="162"/>
      <c r="F179" s="162">
        <f>D179</f>
        <v>11070772.01</v>
      </c>
      <c r="G179" s="162">
        <v>11063768.11</v>
      </c>
      <c r="H179" s="162"/>
      <c r="I179" s="162"/>
      <c r="J179" s="162">
        <f>G179</f>
        <v>11063768.11</v>
      </c>
      <c r="K179" s="162"/>
      <c r="L179" s="162"/>
      <c r="M179" s="162"/>
      <c r="N179" s="162">
        <v>11063768.11</v>
      </c>
      <c r="O179" s="162"/>
      <c r="P179" s="162">
        <f>N179</f>
        <v>11063768.11</v>
      </c>
      <c r="R179" s="274"/>
      <c r="S179" s="274"/>
      <c r="T179" s="274"/>
      <c r="U179" s="274"/>
      <c r="V179" s="274"/>
      <c r="W179" s="274"/>
      <c r="X179" s="274"/>
      <c r="Y179" s="274"/>
      <c r="Z179" s="274"/>
      <c r="EB179" s="13"/>
      <c r="EC179" s="13"/>
      <c r="ED179" s="13"/>
      <c r="EE179" s="13"/>
      <c r="EF179" s="13"/>
      <c r="EG179" s="13"/>
    </row>
    <row r="180" spans="1:137" s="4" customFormat="1" ht="12.75" hidden="1">
      <c r="A180" s="134" t="s">
        <v>187</v>
      </c>
      <c r="B180" s="8"/>
      <c r="C180" s="8"/>
      <c r="D180" s="169"/>
      <c r="E180" s="169"/>
      <c r="F180" s="162"/>
      <c r="G180" s="169"/>
      <c r="H180" s="169"/>
      <c r="I180" s="169"/>
      <c r="J180" s="162"/>
      <c r="K180" s="162"/>
      <c r="L180" s="162"/>
      <c r="M180" s="162"/>
      <c r="N180" s="169"/>
      <c r="O180" s="169"/>
      <c r="P180" s="162"/>
      <c r="R180" s="274"/>
      <c r="S180" s="274"/>
      <c r="T180" s="274"/>
      <c r="U180" s="274"/>
      <c r="V180" s="274"/>
      <c r="W180" s="274"/>
      <c r="X180" s="274"/>
      <c r="Y180" s="274"/>
      <c r="Z180" s="274"/>
      <c r="EB180" s="13"/>
      <c r="EC180" s="13"/>
      <c r="ED180" s="13"/>
      <c r="EE180" s="13"/>
      <c r="EF180" s="13"/>
      <c r="EG180" s="13"/>
    </row>
    <row r="181" spans="1:137" s="4" customFormat="1" ht="30.75" customHeight="1" hidden="1">
      <c r="A181" s="135" t="s">
        <v>225</v>
      </c>
      <c r="B181" s="165"/>
      <c r="C181" s="165"/>
      <c r="D181" s="175">
        <v>63333.3333</v>
      </c>
      <c r="E181" s="162"/>
      <c r="F181" s="162">
        <f>D181</f>
        <v>63333.3333</v>
      </c>
      <c r="G181" s="162">
        <v>355287.611304</v>
      </c>
      <c r="H181" s="162"/>
      <c r="I181" s="162"/>
      <c r="J181" s="162">
        <f>G181</f>
        <v>355287.611304</v>
      </c>
      <c r="K181" s="162"/>
      <c r="L181" s="162"/>
      <c r="M181" s="162"/>
      <c r="N181" s="162">
        <v>373051.9905</v>
      </c>
      <c r="O181" s="162"/>
      <c r="P181" s="162">
        <f>N181</f>
        <v>373051.9905</v>
      </c>
      <c r="R181" s="274"/>
      <c r="S181" s="274"/>
      <c r="T181" s="274"/>
      <c r="U181" s="274"/>
      <c r="V181" s="274"/>
      <c r="W181" s="274"/>
      <c r="X181" s="274"/>
      <c r="Y181" s="274"/>
      <c r="Z181" s="274"/>
      <c r="EB181" s="13"/>
      <c r="EC181" s="13"/>
      <c r="ED181" s="13"/>
      <c r="EE181" s="13"/>
      <c r="EF181" s="13"/>
      <c r="EG181" s="13"/>
    </row>
    <row r="182" spans="1:137" s="4" customFormat="1" ht="25.5" hidden="1">
      <c r="A182" s="135" t="s">
        <v>226</v>
      </c>
      <c r="B182" s="165"/>
      <c r="C182" s="165"/>
      <c r="D182" s="162"/>
      <c r="E182" s="162">
        <v>600753.9</v>
      </c>
      <c r="F182" s="162">
        <f>E182</f>
        <v>600753.9</v>
      </c>
      <c r="G182" s="162"/>
      <c r="H182" s="162">
        <v>645433.333333</v>
      </c>
      <c r="I182" s="162"/>
      <c r="J182" s="162">
        <f>H182</f>
        <v>645433.333333</v>
      </c>
      <c r="K182" s="162"/>
      <c r="L182" s="162"/>
      <c r="M182" s="162"/>
      <c r="N182" s="162"/>
      <c r="O182" s="162">
        <v>677733.333333</v>
      </c>
      <c r="P182" s="162">
        <f>O182</f>
        <v>677733.333333</v>
      </c>
      <c r="R182" s="274"/>
      <c r="S182" s="274"/>
      <c r="T182" s="274"/>
      <c r="U182" s="274"/>
      <c r="V182" s="274"/>
      <c r="W182" s="274"/>
      <c r="X182" s="274"/>
      <c r="Y182" s="274"/>
      <c r="Z182" s="274"/>
      <c r="EB182" s="13"/>
      <c r="EC182" s="13"/>
      <c r="ED182" s="13"/>
      <c r="EE182" s="13"/>
      <c r="EF182" s="13"/>
      <c r="EG182" s="13"/>
    </row>
    <row r="183" spans="1:137" s="4" customFormat="1" ht="23.25" customHeight="1" hidden="1">
      <c r="A183" s="135" t="s">
        <v>227</v>
      </c>
      <c r="B183" s="165"/>
      <c r="C183" s="165"/>
      <c r="D183" s="162">
        <v>466.6074</v>
      </c>
      <c r="E183" s="162"/>
      <c r="F183" s="162">
        <f>D183</f>
        <v>466.6074</v>
      </c>
      <c r="G183" s="162">
        <v>536.43807</v>
      </c>
      <c r="H183" s="162"/>
      <c r="I183" s="162"/>
      <c r="J183" s="162">
        <f>G183</f>
        <v>536.43807</v>
      </c>
      <c r="K183" s="162"/>
      <c r="L183" s="162"/>
      <c r="M183" s="162"/>
      <c r="N183" s="162">
        <v>563.26</v>
      </c>
      <c r="O183" s="162"/>
      <c r="P183" s="162">
        <f>N183</f>
        <v>563.26</v>
      </c>
      <c r="R183" s="274"/>
      <c r="S183" s="274"/>
      <c r="T183" s="274"/>
      <c r="U183" s="274"/>
      <c r="V183" s="274"/>
      <c r="W183" s="274"/>
      <c r="X183" s="274"/>
      <c r="Y183" s="274"/>
      <c r="Z183" s="274"/>
      <c r="EB183" s="13"/>
      <c r="EC183" s="13"/>
      <c r="ED183" s="13"/>
      <c r="EE183" s="13"/>
      <c r="EF183" s="13"/>
      <c r="EG183" s="13"/>
    </row>
    <row r="184" spans="1:137" s="4" customFormat="1" ht="17.25" customHeight="1" hidden="1">
      <c r="A184" s="135" t="s">
        <v>228</v>
      </c>
      <c r="B184" s="165"/>
      <c r="C184" s="165"/>
      <c r="D184" s="162">
        <f>5539.2423+0.05-350-4.0057</f>
        <v>5185.2866</v>
      </c>
      <c r="E184" s="162"/>
      <c r="F184" s="162">
        <f>D184</f>
        <v>5185.2866</v>
      </c>
      <c r="G184" s="162">
        <f>5853.91968+1.184434+1.666362</f>
        <v>5856.770476</v>
      </c>
      <c r="H184" s="162"/>
      <c r="I184" s="162"/>
      <c r="J184" s="162">
        <f>G184</f>
        <v>5856.770476</v>
      </c>
      <c r="K184" s="162"/>
      <c r="L184" s="162"/>
      <c r="M184" s="162"/>
      <c r="N184" s="162">
        <f>6146.616+2.98636679704</f>
        <v>6149.60236679704</v>
      </c>
      <c r="O184" s="162"/>
      <c r="P184" s="162">
        <f>N184</f>
        <v>6149.60236679704</v>
      </c>
      <c r="R184" s="274"/>
      <c r="S184" s="274"/>
      <c r="T184" s="274"/>
      <c r="U184" s="274"/>
      <c r="V184" s="274"/>
      <c r="W184" s="274"/>
      <c r="X184" s="274"/>
      <c r="Y184" s="274"/>
      <c r="Z184" s="274"/>
      <c r="EB184" s="13"/>
      <c r="EC184" s="13"/>
      <c r="ED184" s="13"/>
      <c r="EE184" s="13"/>
      <c r="EF184" s="13"/>
      <c r="EG184" s="13"/>
    </row>
    <row r="185" spans="1:137" s="4" customFormat="1" ht="25.5" hidden="1">
      <c r="A185" s="135" t="s">
        <v>291</v>
      </c>
      <c r="B185" s="165"/>
      <c r="C185" s="165"/>
      <c r="D185" s="162">
        <v>3.9563645</v>
      </c>
      <c r="E185" s="162"/>
      <c r="F185" s="162">
        <f>D185</f>
        <v>3.9563645</v>
      </c>
      <c r="G185" s="162">
        <v>3.632849073</v>
      </c>
      <c r="H185" s="162"/>
      <c r="I185" s="162"/>
      <c r="J185" s="162">
        <f>G185</f>
        <v>3.632849073</v>
      </c>
      <c r="K185" s="162"/>
      <c r="L185" s="162"/>
      <c r="M185" s="162"/>
      <c r="N185" s="162">
        <v>3.814491526</v>
      </c>
      <c r="O185" s="162"/>
      <c r="P185" s="162">
        <f>N185</f>
        <v>3.814491526</v>
      </c>
      <c r="R185" s="274"/>
      <c r="S185" s="274"/>
      <c r="T185" s="274"/>
      <c r="U185" s="274"/>
      <c r="V185" s="274"/>
      <c r="W185" s="274"/>
      <c r="X185" s="274"/>
      <c r="Y185" s="274"/>
      <c r="Z185" s="274"/>
      <c r="EB185" s="13"/>
      <c r="EC185" s="13"/>
      <c r="ED185" s="13"/>
      <c r="EE185" s="13"/>
      <c r="EF185" s="13"/>
      <c r="EG185" s="13"/>
    </row>
    <row r="186" spans="1:137" s="4" customFormat="1" ht="12.75" hidden="1">
      <c r="A186" s="134" t="s">
        <v>186</v>
      </c>
      <c r="B186" s="8"/>
      <c r="C186" s="8"/>
      <c r="D186" s="9"/>
      <c r="E186" s="9"/>
      <c r="F186" s="132"/>
      <c r="G186" s="9"/>
      <c r="H186" s="9"/>
      <c r="I186" s="9"/>
      <c r="J186" s="132"/>
      <c r="K186" s="132"/>
      <c r="L186" s="132"/>
      <c r="M186" s="132"/>
      <c r="N186" s="9"/>
      <c r="O186" s="9"/>
      <c r="P186" s="132"/>
      <c r="R186" s="274"/>
      <c r="S186" s="274"/>
      <c r="T186" s="274"/>
      <c r="U186" s="274"/>
      <c r="V186" s="274"/>
      <c r="W186" s="274"/>
      <c r="X186" s="274"/>
      <c r="Y186" s="274"/>
      <c r="Z186" s="274"/>
      <c r="EB186" s="13"/>
      <c r="EC186" s="13"/>
      <c r="ED186" s="13"/>
      <c r="EE186" s="13"/>
      <c r="EF186" s="13"/>
      <c r="EG186" s="13"/>
    </row>
    <row r="187" spans="1:137" s="4" customFormat="1" ht="25.5" hidden="1">
      <c r="A187" s="135" t="s">
        <v>230</v>
      </c>
      <c r="B187" s="165"/>
      <c r="C187" s="165"/>
      <c r="D187" s="132"/>
      <c r="E187" s="132">
        <f>E176/E168*100</f>
        <v>1.9054384011208965</v>
      </c>
      <c r="F187" s="132">
        <f>E187</f>
        <v>1.9054384011208965</v>
      </c>
      <c r="G187" s="132"/>
      <c r="H187" s="132">
        <f>H176/H168*100</f>
        <v>6.491679830350767</v>
      </c>
      <c r="I187" s="132"/>
      <c r="J187" s="132">
        <f>H187</f>
        <v>6.491679830350767</v>
      </c>
      <c r="K187" s="132"/>
      <c r="L187" s="132"/>
      <c r="M187" s="132"/>
      <c r="N187" s="132"/>
      <c r="O187" s="132">
        <f>O176/O168*100</f>
        <v>6.491679830350767</v>
      </c>
      <c r="P187" s="132">
        <f>O187</f>
        <v>6.491679830350767</v>
      </c>
      <c r="R187" s="274"/>
      <c r="S187" s="274"/>
      <c r="T187" s="274"/>
      <c r="U187" s="274"/>
      <c r="V187" s="274"/>
      <c r="W187" s="274"/>
      <c r="X187" s="274"/>
      <c r="Y187" s="274"/>
      <c r="Z187" s="274"/>
      <c r="EB187" s="13"/>
      <c r="EC187" s="13"/>
      <c r="ED187" s="13"/>
      <c r="EE187" s="13"/>
      <c r="EF187" s="13"/>
      <c r="EG187" s="13"/>
    </row>
    <row r="188" spans="1:137" s="4" customFormat="1" ht="25.5" hidden="1">
      <c r="A188" s="135" t="s">
        <v>229</v>
      </c>
      <c r="B188" s="165"/>
      <c r="C188" s="165"/>
      <c r="D188" s="132">
        <f>D175/D169*100</f>
        <v>28.347349522819616</v>
      </c>
      <c r="E188" s="132"/>
      <c r="F188" s="132">
        <f>D188</f>
        <v>28.347349522819616</v>
      </c>
      <c r="G188" s="132">
        <f>G175/G169*100</f>
        <v>43.46593593499008</v>
      </c>
      <c r="H188" s="132"/>
      <c r="I188" s="132"/>
      <c r="J188" s="132">
        <f>G188</f>
        <v>43.46593593499008</v>
      </c>
      <c r="K188" s="132"/>
      <c r="L188" s="132"/>
      <c r="M188" s="132"/>
      <c r="N188" s="132">
        <f>N175/N169*100</f>
        <v>43.46593593499008</v>
      </c>
      <c r="O188" s="132"/>
      <c r="P188" s="132">
        <f>N188</f>
        <v>43.46593593499008</v>
      </c>
      <c r="R188" s="274"/>
      <c r="S188" s="274"/>
      <c r="T188" s="274"/>
      <c r="U188" s="274"/>
      <c r="V188" s="274"/>
      <c r="W188" s="274"/>
      <c r="X188" s="274"/>
      <c r="Y188" s="274"/>
      <c r="Z188" s="274"/>
      <c r="EB188" s="13"/>
      <c r="EC188" s="13"/>
      <c r="ED188" s="13"/>
      <c r="EE188" s="13"/>
      <c r="EF188" s="13"/>
      <c r="EG188" s="13"/>
    </row>
    <row r="189" spans="1:137" s="4" customFormat="1" ht="24" customHeight="1" hidden="1">
      <c r="A189" s="135" t="s">
        <v>231</v>
      </c>
      <c r="B189" s="165"/>
      <c r="C189" s="165"/>
      <c r="D189" s="132">
        <f>D178/D171*100</f>
        <v>7.475</v>
      </c>
      <c r="E189" s="175"/>
      <c r="F189" s="132">
        <f>D189</f>
        <v>7.475</v>
      </c>
      <c r="G189" s="132">
        <f>G178/G171*100</f>
        <v>28.762500000000003</v>
      </c>
      <c r="H189" s="132"/>
      <c r="I189" s="132"/>
      <c r="J189" s="132">
        <f>G189</f>
        <v>28.762500000000003</v>
      </c>
      <c r="K189" s="132"/>
      <c r="L189" s="132"/>
      <c r="M189" s="132"/>
      <c r="N189" s="132">
        <f>N178/N171*100</f>
        <v>28.762500000000003</v>
      </c>
      <c r="O189" s="132"/>
      <c r="P189" s="132">
        <f>N189</f>
        <v>28.762500000000003</v>
      </c>
      <c r="R189" s="274"/>
      <c r="S189" s="274"/>
      <c r="T189" s="274"/>
      <c r="U189" s="274"/>
      <c r="V189" s="274"/>
      <c r="W189" s="274"/>
      <c r="X189" s="274"/>
      <c r="Y189" s="274"/>
      <c r="Z189" s="274"/>
      <c r="EB189" s="13"/>
      <c r="EC189" s="13"/>
      <c r="ED189" s="13"/>
      <c r="EE189" s="13"/>
      <c r="EF189" s="13"/>
      <c r="EG189" s="13"/>
    </row>
    <row r="190" spans="1:137" s="4" customFormat="1" ht="48" customHeight="1" hidden="1">
      <c r="A190" s="68" t="s">
        <v>105</v>
      </c>
      <c r="B190" s="165"/>
      <c r="C190" s="165"/>
      <c r="D190" s="67">
        <f>D191+D235+D242+D249+D256</f>
        <v>25816400.004169937</v>
      </c>
      <c r="E190" s="67">
        <f>E191+E235+E242+E249+E256</f>
        <v>3361200</v>
      </c>
      <c r="F190" s="67">
        <f>D190+E190</f>
        <v>29177600.004169937</v>
      </c>
      <c r="G190" s="67">
        <f>G191+G235+G242+G249+G256</f>
        <v>35137100.001386344</v>
      </c>
      <c r="H190" s="67">
        <f aca="true" t="shared" si="13" ref="H190:O190">H191+H235+H242+H249+H256</f>
        <v>20530000</v>
      </c>
      <c r="I190" s="67">
        <f t="shared" si="13"/>
        <v>0</v>
      </c>
      <c r="J190" s="67">
        <f>G190+H190</f>
        <v>55667100.001386344</v>
      </c>
      <c r="K190" s="67">
        <f t="shared" si="13"/>
        <v>0</v>
      </c>
      <c r="L190" s="67">
        <f t="shared" si="13"/>
        <v>0</v>
      </c>
      <c r="M190" s="67">
        <f t="shared" si="13"/>
        <v>0</v>
      </c>
      <c r="N190" s="67">
        <f t="shared" si="13"/>
        <v>36497501.920780905</v>
      </c>
      <c r="O190" s="67">
        <f t="shared" si="13"/>
        <v>21056500</v>
      </c>
      <c r="P190" s="67">
        <f>N190+O190</f>
        <v>57554001.920780905</v>
      </c>
      <c r="R190" s="359"/>
      <c r="S190" s="274"/>
      <c r="T190" s="274"/>
      <c r="U190" s="274"/>
      <c r="V190" s="274"/>
      <c r="W190" s="274"/>
      <c r="X190" s="274"/>
      <c r="Y190" s="274"/>
      <c r="Z190" s="274"/>
      <c r="EB190" s="13"/>
      <c r="EC190" s="13"/>
      <c r="ED190" s="13"/>
      <c r="EE190" s="13"/>
      <c r="EF190" s="13"/>
      <c r="EG190" s="13"/>
    </row>
    <row r="191" spans="1:137" s="50" customFormat="1" ht="38.25" customHeight="1" hidden="1">
      <c r="A191" s="138" t="s">
        <v>106</v>
      </c>
      <c r="B191" s="160"/>
      <c r="C191" s="160"/>
      <c r="D191" s="161">
        <f>D203*D218+D204*D219+D205*D220+D206*D221+D207*D222+D208*D223+D209*D224+D210*D225+D211*D226+D212*D227+D213*D228+D214*D229+D215*D230+D216*D231+30.43</f>
        <v>24411800.004169937</v>
      </c>
      <c r="E191" s="161">
        <f aca="true" t="shared" si="14" ref="E191:O191">E203*E218+E204*E219+E205*E220+E206*E221+E207*E222+E208*E223+E209*E224+E210*E225+E211*E226+E212*E227+E213*E228+E214*E229+E215*E230</f>
        <v>0</v>
      </c>
      <c r="F191" s="161">
        <f>D191+E191</f>
        <v>24411800.004169937</v>
      </c>
      <c r="G191" s="164">
        <f>G203*G218+G204*G219+G205*G220+G206*G221+G207*G222+G208*G223+G209*G224+G210*G225+G211*G226+G212*G227+G213*G228+G214*G229+G215*G230+G216*G231+31.19</f>
        <v>33191200.001386344</v>
      </c>
      <c r="H191" s="164">
        <f t="shared" si="14"/>
        <v>0</v>
      </c>
      <c r="I191" s="164">
        <f t="shared" si="14"/>
        <v>0</v>
      </c>
      <c r="J191" s="164">
        <f>G191+H191</f>
        <v>33191200.001386344</v>
      </c>
      <c r="K191" s="161">
        <f t="shared" si="14"/>
        <v>0</v>
      </c>
      <c r="L191" s="161">
        <f t="shared" si="14"/>
        <v>0</v>
      </c>
      <c r="M191" s="161">
        <f t="shared" si="14"/>
        <v>0</v>
      </c>
      <c r="N191" s="161">
        <f t="shared" si="14"/>
        <v>34690501.920780905</v>
      </c>
      <c r="O191" s="161">
        <f t="shared" si="14"/>
        <v>0</v>
      </c>
      <c r="P191" s="161">
        <f>N191+O191</f>
        <v>34690501.920780905</v>
      </c>
      <c r="R191" s="357"/>
      <c r="S191" s="357"/>
      <c r="T191" s="357"/>
      <c r="U191" s="357"/>
      <c r="V191" s="357"/>
      <c r="W191" s="357"/>
      <c r="X191" s="357"/>
      <c r="Y191" s="357"/>
      <c r="Z191" s="357"/>
      <c r="EB191" s="51"/>
      <c r="EC191" s="51"/>
      <c r="ED191" s="51"/>
      <c r="EE191" s="51"/>
      <c r="EF191" s="51"/>
      <c r="EG191" s="51"/>
    </row>
    <row r="192" spans="1:137" s="4" customFormat="1" ht="12.75" hidden="1">
      <c r="A192" s="134" t="s">
        <v>184</v>
      </c>
      <c r="B192" s="8"/>
      <c r="C192" s="8"/>
      <c r="D192" s="9"/>
      <c r="E192" s="9"/>
      <c r="F192" s="9"/>
      <c r="G192" s="9"/>
      <c r="H192" s="9"/>
      <c r="I192" s="9"/>
      <c r="J192" s="9"/>
      <c r="K192" s="132"/>
      <c r="L192" s="132"/>
      <c r="M192" s="132"/>
      <c r="N192" s="9"/>
      <c r="O192" s="9"/>
      <c r="P192" s="9"/>
      <c r="R192" s="274"/>
      <c r="S192" s="274"/>
      <c r="T192" s="274"/>
      <c r="U192" s="274"/>
      <c r="V192" s="274"/>
      <c r="W192" s="274"/>
      <c r="X192" s="274"/>
      <c r="Y192" s="274"/>
      <c r="Z192" s="274"/>
      <c r="EB192" s="13"/>
      <c r="EC192" s="13"/>
      <c r="ED192" s="13"/>
      <c r="EE192" s="13"/>
      <c r="EF192" s="13"/>
      <c r="EG192" s="13"/>
    </row>
    <row r="193" spans="1:137" s="48" customFormat="1" ht="26.25" customHeight="1" hidden="1">
      <c r="A193" s="135" t="s">
        <v>530</v>
      </c>
      <c r="B193" s="165"/>
      <c r="C193" s="165"/>
      <c r="D193" s="167">
        <v>180</v>
      </c>
      <c r="E193" s="167"/>
      <c r="F193" s="167">
        <f aca="true" t="shared" si="15" ref="F193:F199">D193</f>
        <v>180</v>
      </c>
      <c r="G193" s="167">
        <v>187</v>
      </c>
      <c r="H193" s="167"/>
      <c r="I193" s="167"/>
      <c r="J193" s="167">
        <f aca="true" t="shared" si="16" ref="J193:J200">G193</f>
        <v>187</v>
      </c>
      <c r="K193" s="167"/>
      <c r="L193" s="167"/>
      <c r="M193" s="167"/>
      <c r="N193" s="167">
        <v>187</v>
      </c>
      <c r="O193" s="167"/>
      <c r="P193" s="167">
        <f aca="true" t="shared" si="17" ref="P193:P200">N193</f>
        <v>187</v>
      </c>
      <c r="R193" s="274"/>
      <c r="S193" s="274"/>
      <c r="T193" s="274"/>
      <c r="U193" s="274"/>
      <c r="V193" s="274"/>
      <c r="W193" s="274"/>
      <c r="X193" s="274"/>
      <c r="Y193" s="274"/>
      <c r="Z193" s="274"/>
      <c r="EB193" s="49"/>
      <c r="EC193" s="49"/>
      <c r="ED193" s="49"/>
      <c r="EE193" s="49"/>
      <c r="EF193" s="49"/>
      <c r="EG193" s="49"/>
    </row>
    <row r="194" spans="1:137" s="48" customFormat="1" ht="18.75" customHeight="1" hidden="1">
      <c r="A194" s="135" t="s">
        <v>471</v>
      </c>
      <c r="B194" s="165"/>
      <c r="C194" s="165"/>
      <c r="D194" s="167">
        <f>4850+8210</f>
        <v>13060</v>
      </c>
      <c r="E194" s="167"/>
      <c r="F194" s="167">
        <f t="shared" si="15"/>
        <v>13060</v>
      </c>
      <c r="G194" s="167">
        <f>F194</f>
        <v>13060</v>
      </c>
      <c r="H194" s="167"/>
      <c r="I194" s="167"/>
      <c r="J194" s="167">
        <f t="shared" si="16"/>
        <v>13060</v>
      </c>
      <c r="K194" s="167"/>
      <c r="L194" s="167"/>
      <c r="M194" s="167"/>
      <c r="N194" s="167">
        <f>4850+8210</f>
        <v>13060</v>
      </c>
      <c r="O194" s="167"/>
      <c r="P194" s="167">
        <f t="shared" si="17"/>
        <v>13060</v>
      </c>
      <c r="R194" s="274"/>
      <c r="S194" s="274"/>
      <c r="T194" s="274"/>
      <c r="U194" s="274"/>
      <c r="V194" s="274"/>
      <c r="W194" s="274"/>
      <c r="X194" s="274"/>
      <c r="Y194" s="274"/>
      <c r="Z194" s="274"/>
      <c r="EB194" s="49"/>
      <c r="EC194" s="49"/>
      <c r="ED194" s="49"/>
      <c r="EE194" s="49"/>
      <c r="EF194" s="49"/>
      <c r="EG194" s="49"/>
    </row>
    <row r="195" spans="1:137" s="48" customFormat="1" ht="20.25" customHeight="1" hidden="1">
      <c r="A195" s="135" t="s">
        <v>292</v>
      </c>
      <c r="B195" s="165"/>
      <c r="C195" s="165"/>
      <c r="D195" s="167">
        <v>2000</v>
      </c>
      <c r="E195" s="167"/>
      <c r="F195" s="167">
        <f>D195</f>
        <v>2000</v>
      </c>
      <c r="G195" s="167">
        <v>2000</v>
      </c>
      <c r="H195" s="167"/>
      <c r="I195" s="167"/>
      <c r="J195" s="167">
        <f t="shared" si="16"/>
        <v>2000</v>
      </c>
      <c r="K195" s="167"/>
      <c r="L195" s="167"/>
      <c r="M195" s="167"/>
      <c r="N195" s="167">
        <v>2000</v>
      </c>
      <c r="O195" s="167"/>
      <c r="P195" s="167">
        <f t="shared" si="17"/>
        <v>2000</v>
      </c>
      <c r="R195" s="274"/>
      <c r="S195" s="274"/>
      <c r="T195" s="274"/>
      <c r="U195" s="274"/>
      <c r="V195" s="274"/>
      <c r="W195" s="274"/>
      <c r="X195" s="274"/>
      <c r="Y195" s="274"/>
      <c r="Z195" s="274"/>
      <c r="EB195" s="49"/>
      <c r="EC195" s="49"/>
      <c r="ED195" s="49"/>
      <c r="EE195" s="49"/>
      <c r="EF195" s="49"/>
      <c r="EG195" s="49"/>
    </row>
    <row r="196" spans="1:137" s="48" customFormat="1" ht="12.75" hidden="1">
      <c r="A196" s="135" t="s">
        <v>234</v>
      </c>
      <c r="B196" s="165"/>
      <c r="C196" s="165"/>
      <c r="D196" s="167">
        <v>600</v>
      </c>
      <c r="E196" s="167"/>
      <c r="F196" s="167">
        <f t="shared" si="15"/>
        <v>600</v>
      </c>
      <c r="G196" s="167">
        <v>600</v>
      </c>
      <c r="H196" s="167"/>
      <c r="I196" s="167"/>
      <c r="J196" s="167">
        <f t="shared" si="16"/>
        <v>600</v>
      </c>
      <c r="K196" s="167"/>
      <c r="L196" s="167"/>
      <c r="M196" s="167"/>
      <c r="N196" s="167">
        <v>600</v>
      </c>
      <c r="O196" s="167"/>
      <c r="P196" s="167">
        <f t="shared" si="17"/>
        <v>600</v>
      </c>
      <c r="R196" s="274"/>
      <c r="S196" s="274"/>
      <c r="T196" s="274"/>
      <c r="U196" s="274"/>
      <c r="V196" s="274"/>
      <c r="W196" s="274"/>
      <c r="X196" s="274"/>
      <c r="Y196" s="274"/>
      <c r="Z196" s="274"/>
      <c r="EB196" s="49"/>
      <c r="EC196" s="49"/>
      <c r="ED196" s="49"/>
      <c r="EE196" s="49"/>
      <c r="EF196" s="49"/>
      <c r="EG196" s="49"/>
    </row>
    <row r="197" spans="1:137" s="48" customFormat="1" ht="12.75" hidden="1">
      <c r="A197" s="135" t="s">
        <v>475</v>
      </c>
      <c r="B197" s="165"/>
      <c r="C197" s="165"/>
      <c r="D197" s="132">
        <v>123.45</v>
      </c>
      <c r="E197" s="132"/>
      <c r="F197" s="132">
        <f t="shared" si="15"/>
        <v>123.45</v>
      </c>
      <c r="G197" s="132">
        <f>F197</f>
        <v>123.45</v>
      </c>
      <c r="H197" s="132"/>
      <c r="I197" s="132"/>
      <c r="J197" s="132">
        <f t="shared" si="16"/>
        <v>123.45</v>
      </c>
      <c r="K197" s="132"/>
      <c r="L197" s="132"/>
      <c r="M197" s="132"/>
      <c r="N197" s="132">
        <f>J197</f>
        <v>123.45</v>
      </c>
      <c r="O197" s="132"/>
      <c r="P197" s="132">
        <f t="shared" si="17"/>
        <v>123.45</v>
      </c>
      <c r="R197" s="274"/>
      <c r="S197" s="274"/>
      <c r="T197" s="274"/>
      <c r="U197" s="274"/>
      <c r="V197" s="274"/>
      <c r="W197" s="274"/>
      <c r="X197" s="274"/>
      <c r="Y197" s="274"/>
      <c r="Z197" s="274"/>
      <c r="EB197" s="49"/>
      <c r="EC197" s="49"/>
      <c r="ED197" s="49"/>
      <c r="EE197" s="49"/>
      <c r="EF197" s="49"/>
      <c r="EG197" s="49"/>
    </row>
    <row r="198" spans="1:137" s="48" customFormat="1" ht="12.75" hidden="1">
      <c r="A198" s="135" t="s">
        <v>474</v>
      </c>
      <c r="B198" s="165"/>
      <c r="C198" s="165"/>
      <c r="D198" s="132">
        <v>11.549</v>
      </c>
      <c r="E198" s="132"/>
      <c r="F198" s="132">
        <f t="shared" si="15"/>
        <v>11.549</v>
      </c>
      <c r="G198" s="132">
        <v>11.549</v>
      </c>
      <c r="H198" s="132"/>
      <c r="I198" s="132">
        <f>G198</f>
        <v>11.549</v>
      </c>
      <c r="J198" s="132">
        <f t="shared" si="16"/>
        <v>11.549</v>
      </c>
      <c r="K198" s="132"/>
      <c r="L198" s="132"/>
      <c r="M198" s="132"/>
      <c r="N198" s="132">
        <v>11.55</v>
      </c>
      <c r="O198" s="132"/>
      <c r="P198" s="132">
        <f t="shared" si="17"/>
        <v>11.55</v>
      </c>
      <c r="R198" s="274"/>
      <c r="S198" s="274"/>
      <c r="T198" s="274"/>
      <c r="U198" s="274"/>
      <c r="V198" s="274"/>
      <c r="W198" s="274"/>
      <c r="X198" s="274"/>
      <c r="Y198" s="274"/>
      <c r="Z198" s="274"/>
      <c r="EB198" s="49"/>
      <c r="EC198" s="49"/>
      <c r="ED198" s="49"/>
      <c r="EE198" s="49"/>
      <c r="EF198" s="49"/>
      <c r="EG198" s="49"/>
    </row>
    <row r="199" spans="1:137" s="48" customFormat="1" ht="12.75" hidden="1">
      <c r="A199" s="135" t="s">
        <v>476</v>
      </c>
      <c r="B199" s="165"/>
      <c r="C199" s="165"/>
      <c r="D199" s="132">
        <v>9</v>
      </c>
      <c r="E199" s="132"/>
      <c r="F199" s="132">
        <f t="shared" si="15"/>
        <v>9</v>
      </c>
      <c r="G199" s="132">
        <v>9</v>
      </c>
      <c r="H199" s="132"/>
      <c r="I199" s="132"/>
      <c r="J199" s="132">
        <f t="shared" si="16"/>
        <v>9</v>
      </c>
      <c r="K199" s="132"/>
      <c r="L199" s="132"/>
      <c r="M199" s="132"/>
      <c r="N199" s="132">
        <v>9</v>
      </c>
      <c r="O199" s="132"/>
      <c r="P199" s="132">
        <f t="shared" si="17"/>
        <v>9</v>
      </c>
      <c r="R199" s="274"/>
      <c r="S199" s="274"/>
      <c r="T199" s="274"/>
      <c r="U199" s="274"/>
      <c r="V199" s="274"/>
      <c r="W199" s="274"/>
      <c r="X199" s="274"/>
      <c r="Y199" s="274"/>
      <c r="Z199" s="274"/>
      <c r="EB199" s="49"/>
      <c r="EC199" s="49"/>
      <c r="ED199" s="49"/>
      <c r="EE199" s="49"/>
      <c r="EF199" s="49"/>
      <c r="EG199" s="49"/>
    </row>
    <row r="200" spans="1:137" s="4" customFormat="1" ht="12.75" hidden="1">
      <c r="A200" s="135" t="s">
        <v>477</v>
      </c>
      <c r="B200" s="165"/>
      <c r="C200" s="165"/>
      <c r="D200" s="132">
        <v>62633</v>
      </c>
      <c r="E200" s="132"/>
      <c r="F200" s="132">
        <f>D200</f>
        <v>62633</v>
      </c>
      <c r="G200" s="132">
        <v>62625</v>
      </c>
      <c r="H200" s="132"/>
      <c r="I200" s="132"/>
      <c r="J200" s="132">
        <f t="shared" si="16"/>
        <v>62625</v>
      </c>
      <c r="K200" s="132"/>
      <c r="L200" s="132"/>
      <c r="M200" s="132"/>
      <c r="N200" s="132">
        <v>62625</v>
      </c>
      <c r="O200" s="132"/>
      <c r="P200" s="132">
        <f t="shared" si="17"/>
        <v>62625</v>
      </c>
      <c r="R200" s="274"/>
      <c r="S200" s="274"/>
      <c r="T200" s="274"/>
      <c r="U200" s="274"/>
      <c r="V200" s="274"/>
      <c r="W200" s="274"/>
      <c r="X200" s="274"/>
      <c r="Y200" s="274"/>
      <c r="Z200" s="274"/>
      <c r="EB200" s="13"/>
      <c r="EC200" s="13"/>
      <c r="ED200" s="13"/>
      <c r="EE200" s="13"/>
      <c r="EF200" s="13"/>
      <c r="EG200" s="13"/>
    </row>
    <row r="201" spans="1:137" s="4" customFormat="1" ht="12.75" hidden="1">
      <c r="A201" s="176" t="s">
        <v>513</v>
      </c>
      <c r="B201" s="165"/>
      <c r="C201" s="165"/>
      <c r="D201" s="132">
        <v>40</v>
      </c>
      <c r="E201" s="132"/>
      <c r="F201" s="132">
        <f>D201</f>
        <v>40</v>
      </c>
      <c r="G201" s="132"/>
      <c r="H201" s="132"/>
      <c r="I201" s="132"/>
      <c r="J201" s="132"/>
      <c r="K201" s="132"/>
      <c r="L201" s="132"/>
      <c r="M201" s="132"/>
      <c r="N201" s="132"/>
      <c r="O201" s="132"/>
      <c r="P201" s="132"/>
      <c r="R201" s="274"/>
      <c r="S201" s="274"/>
      <c r="T201" s="274"/>
      <c r="U201" s="274"/>
      <c r="V201" s="274"/>
      <c r="W201" s="274"/>
      <c r="X201" s="274"/>
      <c r="Y201" s="274"/>
      <c r="Z201" s="274"/>
      <c r="EB201" s="13"/>
      <c r="EC201" s="13"/>
      <c r="ED201" s="13"/>
      <c r="EE201" s="13"/>
      <c r="EF201" s="13"/>
      <c r="EG201" s="13"/>
    </row>
    <row r="202" spans="1:137" s="4" customFormat="1" ht="12.75" hidden="1">
      <c r="A202" s="134" t="s">
        <v>185</v>
      </c>
      <c r="B202" s="8"/>
      <c r="C202" s="8"/>
      <c r="D202" s="9"/>
      <c r="E202" s="9"/>
      <c r="F202" s="9"/>
      <c r="G202" s="9"/>
      <c r="H202" s="9"/>
      <c r="I202" s="9"/>
      <c r="J202" s="132"/>
      <c r="K202" s="132"/>
      <c r="L202" s="132"/>
      <c r="M202" s="132"/>
      <c r="N202" s="9"/>
      <c r="O202" s="9"/>
      <c r="P202" s="132"/>
      <c r="R202" s="274"/>
      <c r="S202" s="274"/>
      <c r="T202" s="274"/>
      <c r="U202" s="274"/>
      <c r="V202" s="274"/>
      <c r="W202" s="274"/>
      <c r="X202" s="274"/>
      <c r="Y202" s="274"/>
      <c r="Z202" s="274"/>
      <c r="EB202" s="13"/>
      <c r="EC202" s="13"/>
      <c r="ED202" s="13"/>
      <c r="EE202" s="13"/>
      <c r="EF202" s="13"/>
      <c r="EG202" s="13"/>
    </row>
    <row r="203" spans="1:137" s="48" customFormat="1" ht="28.5" customHeight="1" hidden="1">
      <c r="A203" s="135" t="s">
        <v>531</v>
      </c>
      <c r="B203" s="165"/>
      <c r="C203" s="165"/>
      <c r="D203" s="309">
        <v>180</v>
      </c>
      <c r="E203" s="167"/>
      <c r="F203" s="167">
        <f>D203</f>
        <v>180</v>
      </c>
      <c r="G203" s="167">
        <v>187</v>
      </c>
      <c r="H203" s="167"/>
      <c r="I203" s="167"/>
      <c r="J203" s="167">
        <f aca="true" t="shared" si="18" ref="J203:J208">G203</f>
        <v>187</v>
      </c>
      <c r="K203" s="167"/>
      <c r="L203" s="167"/>
      <c r="M203" s="167"/>
      <c r="N203" s="167">
        <v>187</v>
      </c>
      <c r="O203" s="167"/>
      <c r="P203" s="167">
        <f aca="true" t="shared" si="19" ref="P203:P208">N203</f>
        <v>187</v>
      </c>
      <c r="R203" s="274"/>
      <c r="S203" s="274"/>
      <c r="T203" s="274"/>
      <c r="U203" s="274"/>
      <c r="V203" s="274"/>
      <c r="W203" s="274"/>
      <c r="X203" s="274"/>
      <c r="Y203" s="274"/>
      <c r="Z203" s="274"/>
      <c r="EB203" s="49"/>
      <c r="EC203" s="49"/>
      <c r="ED203" s="49"/>
      <c r="EE203" s="49"/>
      <c r="EF203" s="49"/>
      <c r="EG203" s="49"/>
    </row>
    <row r="204" spans="1:137" s="48" customFormat="1" ht="12.75" hidden="1">
      <c r="A204" s="135" t="s">
        <v>450</v>
      </c>
      <c r="B204" s="165"/>
      <c r="C204" s="165"/>
      <c r="D204" s="309">
        <f>1556+889-152-440</f>
        <v>1853</v>
      </c>
      <c r="E204" s="167"/>
      <c r="F204" s="167">
        <f aca="true" t="shared" si="20" ref="F204:F216">D204</f>
        <v>1853</v>
      </c>
      <c r="G204" s="167">
        <v>2292</v>
      </c>
      <c r="H204" s="167"/>
      <c r="I204" s="167"/>
      <c r="J204" s="167">
        <f t="shared" si="18"/>
        <v>2292</v>
      </c>
      <c r="K204" s="167"/>
      <c r="L204" s="167"/>
      <c r="M204" s="167"/>
      <c r="N204" s="167">
        <v>2241</v>
      </c>
      <c r="O204" s="167"/>
      <c r="P204" s="167">
        <f t="shared" si="19"/>
        <v>2241</v>
      </c>
      <c r="R204" s="274"/>
      <c r="S204" s="274"/>
      <c r="T204" s="274"/>
      <c r="U204" s="274"/>
      <c r="V204" s="274"/>
      <c r="W204" s="274"/>
      <c r="X204" s="274"/>
      <c r="Y204" s="274"/>
      <c r="Z204" s="274"/>
      <c r="EB204" s="49"/>
      <c r="EC204" s="49"/>
      <c r="ED204" s="49"/>
      <c r="EE204" s="49"/>
      <c r="EF204" s="49"/>
      <c r="EG204" s="49"/>
    </row>
    <row r="205" spans="1:137" s="48" customFormat="1" ht="12.75" hidden="1">
      <c r="A205" s="135" t="s">
        <v>469</v>
      </c>
      <c r="B205" s="165"/>
      <c r="C205" s="165"/>
      <c r="D205" s="175">
        <v>0</v>
      </c>
      <c r="E205" s="132"/>
      <c r="F205" s="132">
        <f>D205</f>
        <v>0</v>
      </c>
      <c r="G205" s="132">
        <v>7.77</v>
      </c>
      <c r="H205" s="132"/>
      <c r="I205" s="132"/>
      <c r="J205" s="132">
        <f>G205</f>
        <v>7.77</v>
      </c>
      <c r="K205" s="132"/>
      <c r="L205" s="132"/>
      <c r="M205" s="132"/>
      <c r="N205" s="132">
        <v>7.77</v>
      </c>
      <c r="O205" s="132"/>
      <c r="P205" s="132">
        <f>N205</f>
        <v>7.77</v>
      </c>
      <c r="R205" s="274"/>
      <c r="S205" s="274"/>
      <c r="T205" s="274"/>
      <c r="U205" s="274"/>
      <c r="V205" s="274"/>
      <c r="W205" s="274"/>
      <c r="X205" s="274"/>
      <c r="Y205" s="274"/>
      <c r="Z205" s="274"/>
      <c r="EB205" s="49"/>
      <c r="EC205" s="49"/>
      <c r="ED205" s="49"/>
      <c r="EE205" s="49"/>
      <c r="EF205" s="49"/>
      <c r="EG205" s="49"/>
    </row>
    <row r="206" spans="1:137" s="48" customFormat="1" ht="26.25" customHeight="1" hidden="1">
      <c r="A206" s="135" t="s">
        <v>478</v>
      </c>
      <c r="B206" s="165"/>
      <c r="C206" s="165"/>
      <c r="D206" s="175">
        <v>225</v>
      </c>
      <c r="E206" s="132"/>
      <c r="F206" s="132">
        <f>D206</f>
        <v>225</v>
      </c>
      <c r="G206" s="132">
        <v>645</v>
      </c>
      <c r="H206" s="132"/>
      <c r="I206" s="132"/>
      <c r="J206" s="132">
        <f>G206</f>
        <v>645</v>
      </c>
      <c r="K206" s="132"/>
      <c r="L206" s="132"/>
      <c r="M206" s="132"/>
      <c r="N206" s="132">
        <v>645</v>
      </c>
      <c r="O206" s="132"/>
      <c r="P206" s="132">
        <f>N206</f>
        <v>645</v>
      </c>
      <c r="R206" s="274"/>
      <c r="S206" s="274"/>
      <c r="T206" s="274"/>
      <c r="U206" s="274"/>
      <c r="V206" s="274"/>
      <c r="W206" s="274"/>
      <c r="X206" s="274"/>
      <c r="Y206" s="274"/>
      <c r="Z206" s="274"/>
      <c r="EB206" s="49"/>
      <c r="EC206" s="49"/>
      <c r="ED206" s="49"/>
      <c r="EE206" s="49"/>
      <c r="EF206" s="49"/>
      <c r="EG206" s="49"/>
    </row>
    <row r="207" spans="1:137" s="48" customFormat="1" ht="12.75" hidden="1">
      <c r="A207" s="135" t="s">
        <v>233</v>
      </c>
      <c r="B207" s="165"/>
      <c r="C207" s="165"/>
      <c r="D207" s="175">
        <v>472</v>
      </c>
      <c r="E207" s="132"/>
      <c r="F207" s="132">
        <f t="shared" si="20"/>
        <v>472</v>
      </c>
      <c r="G207" s="132">
        <v>490</v>
      </c>
      <c r="H207" s="132"/>
      <c r="I207" s="132"/>
      <c r="J207" s="132">
        <f t="shared" si="18"/>
        <v>490</v>
      </c>
      <c r="K207" s="132"/>
      <c r="L207" s="132"/>
      <c r="M207" s="132"/>
      <c r="N207" s="132">
        <v>490</v>
      </c>
      <c r="O207" s="132"/>
      <c r="P207" s="132">
        <f t="shared" si="19"/>
        <v>490</v>
      </c>
      <c r="R207" s="274"/>
      <c r="S207" s="274"/>
      <c r="T207" s="274"/>
      <c r="U207" s="274"/>
      <c r="V207" s="274"/>
      <c r="W207" s="274"/>
      <c r="X207" s="274"/>
      <c r="Y207" s="274"/>
      <c r="Z207" s="274"/>
      <c r="EB207" s="49"/>
      <c r="EC207" s="49"/>
      <c r="ED207" s="49"/>
      <c r="EE207" s="49"/>
      <c r="EF207" s="49"/>
      <c r="EG207" s="49"/>
    </row>
    <row r="208" spans="1:137" s="48" customFormat="1" ht="12.75" hidden="1">
      <c r="A208" s="135" t="s">
        <v>451</v>
      </c>
      <c r="B208" s="165"/>
      <c r="C208" s="165"/>
      <c r="D208" s="175">
        <v>76.26</v>
      </c>
      <c r="E208" s="132"/>
      <c r="F208" s="132">
        <f t="shared" si="20"/>
        <v>76.26</v>
      </c>
      <c r="G208" s="132">
        <v>76.26</v>
      </c>
      <c r="H208" s="132"/>
      <c r="I208" s="132"/>
      <c r="J208" s="132">
        <f t="shared" si="18"/>
        <v>76.26</v>
      </c>
      <c r="K208" s="132"/>
      <c r="L208" s="132"/>
      <c r="M208" s="132"/>
      <c r="N208" s="132">
        <f>J208</f>
        <v>76.26</v>
      </c>
      <c r="O208" s="132"/>
      <c r="P208" s="132">
        <f t="shared" si="19"/>
        <v>76.26</v>
      </c>
      <c r="R208" s="274"/>
      <c r="S208" s="274"/>
      <c r="T208" s="274"/>
      <c r="U208" s="274"/>
      <c r="V208" s="274"/>
      <c r="W208" s="274"/>
      <c r="X208" s="274"/>
      <c r="Y208" s="274"/>
      <c r="Z208" s="274"/>
      <c r="EB208" s="49"/>
      <c r="EC208" s="49"/>
      <c r="ED208" s="49"/>
      <c r="EE208" s="49"/>
      <c r="EF208" s="49"/>
      <c r="EG208" s="49"/>
    </row>
    <row r="209" spans="1:137" s="48" customFormat="1" ht="12.75" hidden="1">
      <c r="A209" s="135" t="s">
        <v>462</v>
      </c>
      <c r="B209" s="165"/>
      <c r="C209" s="165"/>
      <c r="D209" s="132">
        <f>11000-1143</f>
        <v>9857</v>
      </c>
      <c r="E209" s="132"/>
      <c r="F209" s="132">
        <f>D209</f>
        <v>9857</v>
      </c>
      <c r="G209" s="132">
        <v>11000</v>
      </c>
      <c r="H209" s="132"/>
      <c r="I209" s="132"/>
      <c r="J209" s="132">
        <f>G209</f>
        <v>11000</v>
      </c>
      <c r="K209" s="132"/>
      <c r="L209" s="132"/>
      <c r="M209" s="132"/>
      <c r="N209" s="132">
        <v>11000</v>
      </c>
      <c r="O209" s="132"/>
      <c r="P209" s="132">
        <f>N209</f>
        <v>11000</v>
      </c>
      <c r="R209" s="274"/>
      <c r="S209" s="274"/>
      <c r="T209" s="274"/>
      <c r="U209" s="274"/>
      <c r="V209" s="274"/>
      <c r="W209" s="274"/>
      <c r="X209" s="274"/>
      <c r="Y209" s="274"/>
      <c r="Z209" s="274"/>
      <c r="EB209" s="49"/>
      <c r="EC209" s="49"/>
      <c r="ED209" s="49"/>
      <c r="EE209" s="49"/>
      <c r="EF209" s="49"/>
      <c r="EG209" s="49"/>
    </row>
    <row r="210" spans="1:137" s="48" customFormat="1" ht="12.75" hidden="1">
      <c r="A210" s="135" t="s">
        <v>165</v>
      </c>
      <c r="B210" s="165"/>
      <c r="C210" s="165"/>
      <c r="D210" s="309">
        <v>1</v>
      </c>
      <c r="E210" s="167"/>
      <c r="F210" s="167">
        <f>D210</f>
        <v>1</v>
      </c>
      <c r="G210" s="167">
        <v>1</v>
      </c>
      <c r="H210" s="167"/>
      <c r="I210" s="167"/>
      <c r="J210" s="167">
        <f>G210</f>
        <v>1</v>
      </c>
      <c r="K210" s="167"/>
      <c r="L210" s="167"/>
      <c r="M210" s="167"/>
      <c r="N210" s="167">
        <v>1</v>
      </c>
      <c r="O210" s="167"/>
      <c r="P210" s="167">
        <f>N210</f>
        <v>1</v>
      </c>
      <c r="R210" s="274"/>
      <c r="S210" s="274"/>
      <c r="T210" s="274"/>
      <c r="U210" s="274"/>
      <c r="V210" s="274"/>
      <c r="W210" s="274"/>
      <c r="X210" s="274"/>
      <c r="Y210" s="274"/>
      <c r="Z210" s="274"/>
      <c r="EB210" s="49"/>
      <c r="EC210" s="49"/>
      <c r="ED210" s="49"/>
      <c r="EE210" s="49"/>
      <c r="EF210" s="49"/>
      <c r="EG210" s="49"/>
    </row>
    <row r="211" spans="1:137" s="48" customFormat="1" ht="12.75" hidden="1">
      <c r="A211" s="135" t="s">
        <v>252</v>
      </c>
      <c r="B211" s="165"/>
      <c r="C211" s="165"/>
      <c r="D211" s="175">
        <v>11.549</v>
      </c>
      <c r="E211" s="132"/>
      <c r="F211" s="132">
        <f t="shared" si="20"/>
        <v>11.549</v>
      </c>
      <c r="G211" s="132">
        <v>11.549</v>
      </c>
      <c r="H211" s="132"/>
      <c r="I211" s="132"/>
      <c r="J211" s="132">
        <v>11.55</v>
      </c>
      <c r="K211" s="132"/>
      <c r="L211" s="132"/>
      <c r="M211" s="132"/>
      <c r="N211" s="132">
        <v>11.549</v>
      </c>
      <c r="O211" s="132"/>
      <c r="P211" s="132">
        <v>11.55</v>
      </c>
      <c r="R211" s="274"/>
      <c r="S211" s="274"/>
      <c r="T211" s="274"/>
      <c r="U211" s="274"/>
      <c r="V211" s="274"/>
      <c r="W211" s="274"/>
      <c r="X211" s="274"/>
      <c r="Y211" s="274"/>
      <c r="Z211" s="274"/>
      <c r="EB211" s="49"/>
      <c r="EC211" s="49"/>
      <c r="ED211" s="49"/>
      <c r="EE211" s="49"/>
      <c r="EF211" s="49"/>
      <c r="EG211" s="49"/>
    </row>
    <row r="212" spans="1:137" s="48" customFormat="1" ht="20.25" customHeight="1" hidden="1">
      <c r="A212" s="135" t="s">
        <v>465</v>
      </c>
      <c r="B212" s="165"/>
      <c r="C212" s="165"/>
      <c r="D212" s="309">
        <f>14-14</f>
        <v>0</v>
      </c>
      <c r="E212" s="167"/>
      <c r="F212" s="167">
        <f t="shared" si="20"/>
        <v>0</v>
      </c>
      <c r="G212" s="167">
        <v>12</v>
      </c>
      <c r="H212" s="167"/>
      <c r="I212" s="167"/>
      <c r="J212" s="167">
        <f>G212</f>
        <v>12</v>
      </c>
      <c r="K212" s="167"/>
      <c r="L212" s="167"/>
      <c r="M212" s="167"/>
      <c r="N212" s="167">
        <v>12</v>
      </c>
      <c r="O212" s="167"/>
      <c r="P212" s="167">
        <f>N212</f>
        <v>12</v>
      </c>
      <c r="R212" s="274"/>
      <c r="S212" s="274"/>
      <c r="T212" s="274"/>
      <c r="U212" s="274"/>
      <c r="V212" s="274"/>
      <c r="W212" s="274"/>
      <c r="X212" s="274"/>
      <c r="Y212" s="274"/>
      <c r="Z212" s="274"/>
      <c r="EB212" s="49"/>
      <c r="EC212" s="49"/>
      <c r="ED212" s="49"/>
      <c r="EE212" s="49"/>
      <c r="EF212" s="49"/>
      <c r="EG212" s="49"/>
    </row>
    <row r="213" spans="1:137" s="48" customFormat="1" ht="24" customHeight="1" hidden="1">
      <c r="A213" s="135" t="s">
        <v>466</v>
      </c>
      <c r="B213" s="165"/>
      <c r="C213" s="165"/>
      <c r="D213" s="309">
        <v>19</v>
      </c>
      <c r="E213" s="167"/>
      <c r="F213" s="167">
        <f t="shared" si="20"/>
        <v>19</v>
      </c>
      <c r="G213" s="167">
        <v>18</v>
      </c>
      <c r="H213" s="167"/>
      <c r="I213" s="167"/>
      <c r="J213" s="167">
        <f>G213</f>
        <v>18</v>
      </c>
      <c r="K213" s="167"/>
      <c r="L213" s="167"/>
      <c r="M213" s="167"/>
      <c r="N213" s="167">
        <v>18</v>
      </c>
      <c r="O213" s="167"/>
      <c r="P213" s="167">
        <f>N213</f>
        <v>18</v>
      </c>
      <c r="R213" s="274"/>
      <c r="S213" s="274"/>
      <c r="T213" s="274"/>
      <c r="U213" s="274"/>
      <c r="V213" s="274"/>
      <c r="W213" s="274"/>
      <c r="X213" s="274"/>
      <c r="Y213" s="274"/>
      <c r="Z213" s="274"/>
      <c r="EB213" s="49"/>
      <c r="EC213" s="49"/>
      <c r="ED213" s="49"/>
      <c r="EE213" s="49"/>
      <c r="EF213" s="49"/>
      <c r="EG213" s="49"/>
    </row>
    <row r="214" spans="1:137" s="48" customFormat="1" ht="28.5" customHeight="1" hidden="1">
      <c r="A214" s="135" t="s">
        <v>552</v>
      </c>
      <c r="B214" s="165"/>
      <c r="C214" s="165"/>
      <c r="D214" s="309">
        <v>373.599</v>
      </c>
      <c r="E214" s="167"/>
      <c r="F214" s="167">
        <f t="shared" si="20"/>
        <v>373.599</v>
      </c>
      <c r="G214" s="167">
        <v>9296</v>
      </c>
      <c r="H214" s="167"/>
      <c r="I214" s="167"/>
      <c r="J214" s="167">
        <f>G214</f>
        <v>9296</v>
      </c>
      <c r="K214" s="167"/>
      <c r="L214" s="167"/>
      <c r="M214" s="167"/>
      <c r="N214" s="167">
        <v>9298</v>
      </c>
      <c r="O214" s="167"/>
      <c r="P214" s="167">
        <f>N214</f>
        <v>9298</v>
      </c>
      <c r="R214" s="274"/>
      <c r="S214" s="274"/>
      <c r="T214" s="274"/>
      <c r="U214" s="274"/>
      <c r="V214" s="274"/>
      <c r="W214" s="274"/>
      <c r="X214" s="274"/>
      <c r="Y214" s="274"/>
      <c r="Z214" s="274"/>
      <c r="EB214" s="49"/>
      <c r="EC214" s="49"/>
      <c r="ED214" s="49"/>
      <c r="EE214" s="49"/>
      <c r="EF214" s="49"/>
      <c r="EG214" s="49"/>
    </row>
    <row r="215" spans="1:137" s="48" customFormat="1" ht="12.75" hidden="1">
      <c r="A215" s="135" t="s">
        <v>288</v>
      </c>
      <c r="B215" s="165"/>
      <c r="C215" s="165"/>
      <c r="D215" s="175">
        <v>9</v>
      </c>
      <c r="E215" s="132"/>
      <c r="F215" s="132">
        <f t="shared" si="20"/>
        <v>9</v>
      </c>
      <c r="G215" s="132">
        <v>9</v>
      </c>
      <c r="H215" s="132"/>
      <c r="I215" s="132"/>
      <c r="J215" s="132">
        <f>G215</f>
        <v>9</v>
      </c>
      <c r="K215" s="132"/>
      <c r="L215" s="132"/>
      <c r="M215" s="132"/>
      <c r="N215" s="132">
        <v>9</v>
      </c>
      <c r="O215" s="132"/>
      <c r="P215" s="132">
        <f>N215</f>
        <v>9</v>
      </c>
      <c r="R215" s="274"/>
      <c r="S215" s="274"/>
      <c r="T215" s="274"/>
      <c r="U215" s="274"/>
      <c r="V215" s="274"/>
      <c r="W215" s="274"/>
      <c r="X215" s="274"/>
      <c r="Y215" s="274"/>
      <c r="Z215" s="274"/>
      <c r="EB215" s="49"/>
      <c r="EC215" s="49"/>
      <c r="ED215" s="49"/>
      <c r="EE215" s="49"/>
      <c r="EF215" s="49"/>
      <c r="EG215" s="49"/>
    </row>
    <row r="216" spans="1:137" s="48" customFormat="1" ht="25.5" hidden="1">
      <c r="A216" s="176" t="s">
        <v>514</v>
      </c>
      <c r="B216" s="165"/>
      <c r="C216" s="165"/>
      <c r="D216" s="175">
        <v>40</v>
      </c>
      <c r="E216" s="132"/>
      <c r="F216" s="132">
        <f t="shared" si="20"/>
        <v>40</v>
      </c>
      <c r="G216" s="132">
        <v>10.2</v>
      </c>
      <c r="H216" s="132"/>
      <c r="I216" s="132"/>
      <c r="J216" s="132">
        <f>G216</f>
        <v>10.2</v>
      </c>
      <c r="K216" s="132"/>
      <c r="L216" s="132"/>
      <c r="M216" s="132"/>
      <c r="N216" s="132"/>
      <c r="O216" s="132"/>
      <c r="P216" s="132"/>
      <c r="R216" s="274"/>
      <c r="S216" s="274"/>
      <c r="T216" s="274"/>
      <c r="U216" s="274"/>
      <c r="V216" s="274"/>
      <c r="W216" s="274"/>
      <c r="X216" s="274"/>
      <c r="Y216" s="274"/>
      <c r="Z216" s="274"/>
      <c r="EB216" s="49"/>
      <c r="EC216" s="49"/>
      <c r="ED216" s="49"/>
      <c r="EE216" s="49"/>
      <c r="EF216" s="49"/>
      <c r="EG216" s="49"/>
    </row>
    <row r="217" spans="1:137" s="4" customFormat="1" ht="12.75" hidden="1">
      <c r="A217" s="134" t="s">
        <v>187</v>
      </c>
      <c r="B217" s="8"/>
      <c r="C217" s="8"/>
      <c r="D217" s="9"/>
      <c r="E217" s="9"/>
      <c r="F217" s="132"/>
      <c r="G217" s="9"/>
      <c r="H217" s="9"/>
      <c r="I217" s="9"/>
      <c r="J217" s="132"/>
      <c r="K217" s="132"/>
      <c r="L217" s="132"/>
      <c r="M217" s="132"/>
      <c r="N217" s="9"/>
      <c r="O217" s="9"/>
      <c r="P217" s="132"/>
      <c r="R217" s="274"/>
      <c r="S217" s="274"/>
      <c r="T217" s="274"/>
      <c r="U217" s="274"/>
      <c r="V217" s="274"/>
      <c r="W217" s="274"/>
      <c r="X217" s="274"/>
      <c r="Y217" s="274"/>
      <c r="Z217" s="274"/>
      <c r="EB217" s="13"/>
      <c r="EC217" s="13"/>
      <c r="ED217" s="13"/>
      <c r="EE217" s="13"/>
      <c r="EF217" s="13"/>
      <c r="EG217" s="13"/>
    </row>
    <row r="218" spans="1:137" s="48" customFormat="1" ht="25.5" hidden="1">
      <c r="A218" s="135" t="s">
        <v>529</v>
      </c>
      <c r="B218" s="8"/>
      <c r="C218" s="8"/>
      <c r="D218" s="175">
        <v>33411.1111</v>
      </c>
      <c r="E218" s="9"/>
      <c r="F218" s="132">
        <f>D218</f>
        <v>33411.1111</v>
      </c>
      <c r="G218" s="132">
        <v>41711.2299465</v>
      </c>
      <c r="H218" s="9"/>
      <c r="I218" s="9"/>
      <c r="J218" s="132">
        <f aca="true" t="shared" si="21" ref="J218:J225">G218</f>
        <v>41711.2299465</v>
      </c>
      <c r="K218" s="132"/>
      <c r="L218" s="132"/>
      <c r="M218" s="132"/>
      <c r="N218" s="132">
        <v>68297.0012834</v>
      </c>
      <c r="O218" s="9"/>
      <c r="P218" s="132">
        <f aca="true" t="shared" si="22" ref="P218:P230">N218</f>
        <v>68297.0012834</v>
      </c>
      <c r="R218" s="274"/>
      <c r="S218" s="274"/>
      <c r="T218" s="274"/>
      <c r="U218" s="274"/>
      <c r="V218" s="274"/>
      <c r="W218" s="274"/>
      <c r="X218" s="274"/>
      <c r="Y218" s="274"/>
      <c r="Z218" s="274"/>
      <c r="EB218" s="49"/>
      <c r="EC218" s="49"/>
      <c r="ED218" s="49"/>
      <c r="EE218" s="49"/>
      <c r="EF218" s="49"/>
      <c r="EG218" s="49"/>
    </row>
    <row r="219" spans="1:137" s="48" customFormat="1" ht="12.75" hidden="1">
      <c r="A219" s="135" t="s">
        <v>449</v>
      </c>
      <c r="B219" s="165"/>
      <c r="C219" s="165"/>
      <c r="D219" s="175">
        <v>2398.812736</v>
      </c>
      <c r="E219" s="132"/>
      <c r="F219" s="132">
        <f>D219</f>
        <v>2398.812736</v>
      </c>
      <c r="G219" s="132">
        <v>2520.0698</v>
      </c>
      <c r="H219" s="132"/>
      <c r="I219" s="132"/>
      <c r="J219" s="132">
        <f t="shared" si="21"/>
        <v>2520.0698</v>
      </c>
      <c r="K219" s="132"/>
      <c r="L219" s="132"/>
      <c r="M219" s="132"/>
      <c r="N219" s="132">
        <f>2385.34+0.2</f>
        <v>2385.54</v>
      </c>
      <c r="O219" s="132"/>
      <c r="P219" s="132">
        <f t="shared" si="22"/>
        <v>2385.54</v>
      </c>
      <c r="R219" s="274"/>
      <c r="S219" s="274"/>
      <c r="T219" s="274"/>
      <c r="U219" s="274"/>
      <c r="V219" s="274"/>
      <c r="W219" s="274"/>
      <c r="X219" s="274"/>
      <c r="Y219" s="274"/>
      <c r="Z219" s="274"/>
      <c r="EB219" s="49"/>
      <c r="EC219" s="49"/>
      <c r="ED219" s="49"/>
      <c r="EE219" s="49"/>
      <c r="EF219" s="49"/>
      <c r="EG219" s="49"/>
    </row>
    <row r="220" spans="1:137" s="48" customFormat="1" ht="15" customHeight="1" hidden="1">
      <c r="A220" s="148" t="s">
        <v>470</v>
      </c>
      <c r="B220" s="165"/>
      <c r="C220" s="165"/>
      <c r="D220" s="175">
        <v>0</v>
      </c>
      <c r="E220" s="132"/>
      <c r="F220" s="132">
        <f>D220</f>
        <v>0</v>
      </c>
      <c r="G220" s="132">
        <v>62625</v>
      </c>
      <c r="H220" s="132"/>
      <c r="I220" s="132"/>
      <c r="J220" s="132">
        <f t="shared" si="21"/>
        <v>62625</v>
      </c>
      <c r="K220" s="132"/>
      <c r="L220" s="132"/>
      <c r="M220" s="132"/>
      <c r="N220" s="132">
        <v>62625</v>
      </c>
      <c r="O220" s="132"/>
      <c r="P220" s="132">
        <f t="shared" si="22"/>
        <v>62625</v>
      </c>
      <c r="R220" s="274"/>
      <c r="S220" s="274"/>
      <c r="T220" s="274"/>
      <c r="U220" s="274"/>
      <c r="V220" s="274"/>
      <c r="W220" s="274"/>
      <c r="X220" s="274"/>
      <c r="Y220" s="274"/>
      <c r="Z220" s="274"/>
      <c r="EB220" s="49"/>
      <c r="EC220" s="49"/>
      <c r="ED220" s="49"/>
      <c r="EE220" s="49"/>
      <c r="EF220" s="49"/>
      <c r="EG220" s="49"/>
    </row>
    <row r="221" spans="1:137" s="48" customFormat="1" ht="20.25" customHeight="1" hidden="1">
      <c r="A221" s="135" t="s">
        <v>324</v>
      </c>
      <c r="B221" s="165"/>
      <c r="C221" s="165"/>
      <c r="D221" s="175">
        <v>2666.666</v>
      </c>
      <c r="E221" s="132"/>
      <c r="F221" s="132">
        <f>D221</f>
        <v>2666.666</v>
      </c>
      <c r="G221" s="132">
        <v>2813.95</v>
      </c>
      <c r="H221" s="132"/>
      <c r="I221" s="132"/>
      <c r="J221" s="132">
        <f>G221</f>
        <v>2813.95</v>
      </c>
      <c r="K221" s="132"/>
      <c r="L221" s="132"/>
      <c r="M221" s="132"/>
      <c r="N221" s="132">
        <v>2813.95</v>
      </c>
      <c r="O221" s="132"/>
      <c r="P221" s="132">
        <f>N221</f>
        <v>2813.95</v>
      </c>
      <c r="R221" s="274"/>
      <c r="S221" s="274"/>
      <c r="T221" s="274"/>
      <c r="U221" s="274"/>
      <c r="V221" s="274"/>
      <c r="W221" s="274"/>
      <c r="X221" s="274"/>
      <c r="Y221" s="274"/>
      <c r="Z221" s="274"/>
      <c r="EB221" s="49"/>
      <c r="EC221" s="49"/>
      <c r="ED221" s="49"/>
      <c r="EE221" s="49"/>
      <c r="EF221" s="49"/>
      <c r="EG221" s="49"/>
    </row>
    <row r="222" spans="1:137" s="48" customFormat="1" ht="12.75" hidden="1">
      <c r="A222" s="135" t="s">
        <v>232</v>
      </c>
      <c r="B222" s="165"/>
      <c r="C222" s="165"/>
      <c r="D222" s="175">
        <v>4867.16</v>
      </c>
      <c r="E222" s="132"/>
      <c r="F222" s="132">
        <f aca="true" t="shared" si="23" ref="F222:F231">D222</f>
        <v>4867.16</v>
      </c>
      <c r="G222" s="132">
        <v>8513.67</v>
      </c>
      <c r="H222" s="132"/>
      <c r="I222" s="132"/>
      <c r="J222" s="132">
        <f t="shared" si="21"/>
        <v>8513.67</v>
      </c>
      <c r="K222" s="132"/>
      <c r="L222" s="132"/>
      <c r="M222" s="132"/>
      <c r="N222" s="132">
        <v>9024.49</v>
      </c>
      <c r="O222" s="132"/>
      <c r="P222" s="132">
        <f t="shared" si="22"/>
        <v>9024.49</v>
      </c>
      <c r="R222" s="274"/>
      <c r="S222" s="274"/>
      <c r="T222" s="274"/>
      <c r="U222" s="274"/>
      <c r="V222" s="274"/>
      <c r="W222" s="274"/>
      <c r="X222" s="274"/>
      <c r="Y222" s="274"/>
      <c r="Z222" s="274"/>
      <c r="EB222" s="49"/>
      <c r="EC222" s="49"/>
      <c r="ED222" s="49"/>
      <c r="EE222" s="49"/>
      <c r="EF222" s="49"/>
      <c r="EG222" s="49"/>
    </row>
    <row r="223" spans="1:137" s="48" customFormat="1" ht="12.75" hidden="1">
      <c r="A223" s="135" t="s">
        <v>479</v>
      </c>
      <c r="B223" s="165"/>
      <c r="C223" s="165"/>
      <c r="D223" s="175">
        <v>126345.399548</v>
      </c>
      <c r="E223" s="132"/>
      <c r="F223" s="132">
        <f t="shared" si="23"/>
        <v>126345.399548</v>
      </c>
      <c r="G223" s="132">
        <v>141956.4647</v>
      </c>
      <c r="H223" s="132"/>
      <c r="I223" s="132"/>
      <c r="J223" s="132">
        <f t="shared" si="21"/>
        <v>141956.4647</v>
      </c>
      <c r="K223" s="132"/>
      <c r="L223" s="132"/>
      <c r="M223" s="132"/>
      <c r="N223" s="132">
        <v>97758.7228612</v>
      </c>
      <c r="O223" s="132"/>
      <c r="P223" s="132">
        <f t="shared" si="22"/>
        <v>97758.7228612</v>
      </c>
      <c r="R223" s="274"/>
      <c r="S223" s="274"/>
      <c r="T223" s="274"/>
      <c r="U223" s="274"/>
      <c r="V223" s="274"/>
      <c r="W223" s="274"/>
      <c r="X223" s="274"/>
      <c r="Y223" s="274"/>
      <c r="Z223" s="274"/>
      <c r="EB223" s="49"/>
      <c r="EC223" s="49"/>
      <c r="ED223" s="49"/>
      <c r="EE223" s="49"/>
      <c r="EF223" s="49"/>
      <c r="EG223" s="49"/>
    </row>
    <row r="224" spans="1:137" s="48" customFormat="1" ht="12.75" hidden="1">
      <c r="A224" s="135" t="s">
        <v>458</v>
      </c>
      <c r="B224" s="165"/>
      <c r="C224" s="165"/>
      <c r="D224" s="175">
        <v>26.884</v>
      </c>
      <c r="E224" s="132"/>
      <c r="F224" s="132">
        <f t="shared" si="23"/>
        <v>26.884</v>
      </c>
      <c r="G224" s="132">
        <v>52.918</v>
      </c>
      <c r="H224" s="132"/>
      <c r="I224" s="132"/>
      <c r="J224" s="132">
        <f t="shared" si="21"/>
        <v>52.918</v>
      </c>
      <c r="K224" s="132"/>
      <c r="L224" s="132"/>
      <c r="M224" s="132"/>
      <c r="N224" s="132">
        <v>58.2</v>
      </c>
      <c r="O224" s="132"/>
      <c r="P224" s="132">
        <f t="shared" si="22"/>
        <v>58.2</v>
      </c>
      <c r="R224" s="274"/>
      <c r="S224" s="274"/>
      <c r="T224" s="274"/>
      <c r="U224" s="274"/>
      <c r="V224" s="274"/>
      <c r="W224" s="274"/>
      <c r="X224" s="274"/>
      <c r="Y224" s="274"/>
      <c r="Z224" s="274"/>
      <c r="EB224" s="49"/>
      <c r="EC224" s="49"/>
      <c r="ED224" s="49"/>
      <c r="EE224" s="49"/>
      <c r="EF224" s="49"/>
      <c r="EG224" s="49"/>
    </row>
    <row r="225" spans="1:137" s="48" customFormat="1" ht="12.75" hidden="1">
      <c r="A225" s="135" t="s">
        <v>463</v>
      </c>
      <c r="B225" s="165"/>
      <c r="C225" s="165"/>
      <c r="D225" s="175">
        <v>140000</v>
      </c>
      <c r="E225" s="132"/>
      <c r="F225" s="132">
        <f t="shared" si="23"/>
        <v>140000</v>
      </c>
      <c r="G225" s="132">
        <v>165700</v>
      </c>
      <c r="H225" s="132"/>
      <c r="I225" s="132"/>
      <c r="J225" s="132">
        <f t="shared" si="21"/>
        <v>165700</v>
      </c>
      <c r="K225" s="132"/>
      <c r="L225" s="132"/>
      <c r="M225" s="132"/>
      <c r="N225" s="132">
        <v>134624.7</v>
      </c>
      <c r="O225" s="132"/>
      <c r="P225" s="132">
        <f t="shared" si="22"/>
        <v>134624.7</v>
      </c>
      <c r="R225" s="274"/>
      <c r="S225" s="274"/>
      <c r="T225" s="274"/>
      <c r="U225" s="274"/>
      <c r="V225" s="274"/>
      <c r="W225" s="274"/>
      <c r="X225" s="274"/>
      <c r="Y225" s="274"/>
      <c r="Z225" s="274"/>
      <c r="EB225" s="49"/>
      <c r="EC225" s="49"/>
      <c r="ED225" s="49"/>
      <c r="EE225" s="49"/>
      <c r="EF225" s="49"/>
      <c r="EG225" s="49"/>
    </row>
    <row r="226" spans="1:137" s="48" customFormat="1" ht="28.5" customHeight="1" hidden="1">
      <c r="A226" s="135" t="s">
        <v>515</v>
      </c>
      <c r="B226" s="165"/>
      <c r="C226" s="165"/>
      <c r="D226" s="132">
        <f>21142.86+4398.26554</f>
        <v>25541.12554</v>
      </c>
      <c r="E226" s="132"/>
      <c r="F226" s="132">
        <f t="shared" si="23"/>
        <v>25541.12554</v>
      </c>
      <c r="G226" s="132">
        <v>23376.61896</v>
      </c>
      <c r="H226" s="132"/>
      <c r="I226" s="132"/>
      <c r="J226" s="132">
        <f aca="true" t="shared" si="24" ref="J226:J231">G226</f>
        <v>23376.61896</v>
      </c>
      <c r="K226" s="132"/>
      <c r="L226" s="132"/>
      <c r="M226" s="132"/>
      <c r="N226" s="132">
        <v>23760.51</v>
      </c>
      <c r="O226" s="132"/>
      <c r="P226" s="132">
        <f t="shared" si="22"/>
        <v>23760.51</v>
      </c>
      <c r="R226" s="274"/>
      <c r="S226" s="274"/>
      <c r="T226" s="274"/>
      <c r="U226" s="274"/>
      <c r="V226" s="274"/>
      <c r="W226" s="274"/>
      <c r="X226" s="274"/>
      <c r="Y226" s="274"/>
      <c r="Z226" s="274"/>
      <c r="EB226" s="49"/>
      <c r="EC226" s="49"/>
      <c r="ED226" s="49"/>
      <c r="EE226" s="49"/>
      <c r="EF226" s="49"/>
      <c r="EG226" s="49"/>
    </row>
    <row r="227" spans="1:137" s="48" customFormat="1" ht="18" customHeight="1" hidden="1">
      <c r="A227" s="135" t="s">
        <v>464</v>
      </c>
      <c r="B227" s="165"/>
      <c r="C227" s="165"/>
      <c r="D227" s="132">
        <f>2285.71-2285.71</f>
        <v>0</v>
      </c>
      <c r="E227" s="132"/>
      <c r="F227" s="132">
        <f t="shared" si="23"/>
        <v>0</v>
      </c>
      <c r="G227" s="132">
        <v>2825</v>
      </c>
      <c r="H227" s="132"/>
      <c r="I227" s="132"/>
      <c r="J227" s="132">
        <f t="shared" si="24"/>
        <v>2825</v>
      </c>
      <c r="K227" s="132"/>
      <c r="L227" s="132"/>
      <c r="M227" s="132"/>
      <c r="N227" s="132">
        <v>3491.7</v>
      </c>
      <c r="O227" s="132"/>
      <c r="P227" s="132">
        <f t="shared" si="22"/>
        <v>3491.7</v>
      </c>
      <c r="R227" s="274"/>
      <c r="S227" s="274"/>
      <c r="T227" s="274"/>
      <c r="U227" s="274"/>
      <c r="V227" s="274"/>
      <c r="W227" s="274"/>
      <c r="X227" s="274"/>
      <c r="Y227" s="274"/>
      <c r="Z227" s="274"/>
      <c r="EB227" s="49"/>
      <c r="EC227" s="49"/>
      <c r="ED227" s="49"/>
      <c r="EE227" s="49"/>
      <c r="EF227" s="49"/>
      <c r="EG227" s="49"/>
    </row>
    <row r="228" spans="1:137" s="48" customFormat="1" ht="12.75" hidden="1">
      <c r="A228" s="135" t="s">
        <v>467</v>
      </c>
      <c r="B228" s="165"/>
      <c r="C228" s="165"/>
      <c r="D228" s="132">
        <v>2631.58</v>
      </c>
      <c r="E228" s="132"/>
      <c r="F228" s="132">
        <f t="shared" si="23"/>
        <v>2631.58</v>
      </c>
      <c r="G228" s="132">
        <v>2777.78</v>
      </c>
      <c r="H228" s="132"/>
      <c r="I228" s="132"/>
      <c r="J228" s="132">
        <f t="shared" si="24"/>
        <v>2777.78</v>
      </c>
      <c r="K228" s="132"/>
      <c r="L228" s="132"/>
      <c r="M228" s="132"/>
      <c r="N228" s="132">
        <v>2930.5579</v>
      </c>
      <c r="O228" s="132"/>
      <c r="P228" s="132">
        <f t="shared" si="22"/>
        <v>2930.5579</v>
      </c>
      <c r="R228" s="274"/>
      <c r="S228" s="274"/>
      <c r="T228" s="274"/>
      <c r="U228" s="274"/>
      <c r="V228" s="274"/>
      <c r="W228" s="274"/>
      <c r="X228" s="274"/>
      <c r="Y228" s="274"/>
      <c r="Z228" s="274"/>
      <c r="EB228" s="49"/>
      <c r="EC228" s="49"/>
      <c r="ED228" s="49"/>
      <c r="EE228" s="49"/>
      <c r="EF228" s="49"/>
      <c r="EG228" s="49"/>
    </row>
    <row r="229" spans="1:137" s="48" customFormat="1" ht="33.75" customHeight="1" hidden="1">
      <c r="A229" s="135" t="s">
        <v>468</v>
      </c>
      <c r="B229" s="165"/>
      <c r="C229" s="165"/>
      <c r="D229" s="132">
        <v>8.03</v>
      </c>
      <c r="E229" s="132"/>
      <c r="F229" s="132">
        <f t="shared" si="23"/>
        <v>8.03</v>
      </c>
      <c r="G229" s="132">
        <v>8.52</v>
      </c>
      <c r="H229" s="132"/>
      <c r="I229" s="132"/>
      <c r="J229" s="132">
        <f t="shared" si="24"/>
        <v>8.52</v>
      </c>
      <c r="K229" s="132"/>
      <c r="L229" s="132"/>
      <c r="M229" s="132"/>
      <c r="N229" s="132">
        <v>9.03</v>
      </c>
      <c r="O229" s="132"/>
      <c r="P229" s="132">
        <f t="shared" si="22"/>
        <v>9.03</v>
      </c>
      <c r="R229" s="274"/>
      <c r="S229" s="274"/>
      <c r="T229" s="274"/>
      <c r="U229" s="274"/>
      <c r="V229" s="274"/>
      <c r="W229" s="274"/>
      <c r="X229" s="274"/>
      <c r="Y229" s="274"/>
      <c r="Z229" s="274"/>
      <c r="EB229" s="49"/>
      <c r="EC229" s="49"/>
      <c r="ED229" s="49"/>
      <c r="EE229" s="49"/>
      <c r="EF229" s="49"/>
      <c r="EG229" s="49"/>
    </row>
    <row r="230" spans="1:137" s="48" customFormat="1" ht="12.75" hidden="1">
      <c r="A230" s="135" t="s">
        <v>289</v>
      </c>
      <c r="B230" s="165"/>
      <c r="C230" s="165"/>
      <c r="D230" s="132">
        <f>112500-12500-41066.67</f>
        <v>58933.33</v>
      </c>
      <c r="E230" s="132"/>
      <c r="F230" s="132">
        <f t="shared" si="23"/>
        <v>58933.33</v>
      </c>
      <c r="G230" s="132">
        <v>122266.6666</v>
      </c>
      <c r="H230" s="132"/>
      <c r="I230" s="132"/>
      <c r="J230" s="132">
        <f t="shared" si="24"/>
        <v>122266.6666</v>
      </c>
      <c r="K230" s="132"/>
      <c r="L230" s="132"/>
      <c r="M230" s="132"/>
      <c r="N230" s="132">
        <v>129605.2248</v>
      </c>
      <c r="O230" s="132"/>
      <c r="P230" s="132">
        <f t="shared" si="22"/>
        <v>129605.2248</v>
      </c>
      <c r="R230" s="274"/>
      <c r="S230" s="274"/>
      <c r="T230" s="274"/>
      <c r="U230" s="274"/>
      <c r="V230" s="274"/>
      <c r="W230" s="274"/>
      <c r="X230" s="274"/>
      <c r="Y230" s="274"/>
      <c r="Z230" s="274"/>
      <c r="EB230" s="49"/>
      <c r="EC230" s="49"/>
      <c r="ED230" s="49"/>
      <c r="EE230" s="49"/>
      <c r="EF230" s="49"/>
      <c r="EG230" s="49"/>
    </row>
    <row r="231" spans="1:137" s="48" customFormat="1" ht="25.5" hidden="1">
      <c r="A231" s="176" t="s">
        <v>512</v>
      </c>
      <c r="B231" s="165"/>
      <c r="C231" s="165"/>
      <c r="D231" s="132">
        <v>3425</v>
      </c>
      <c r="E231" s="132"/>
      <c r="F231" s="132">
        <f t="shared" si="23"/>
        <v>3425</v>
      </c>
      <c r="G231" s="132">
        <v>3431.372549</v>
      </c>
      <c r="H231" s="132"/>
      <c r="I231" s="132"/>
      <c r="J231" s="132">
        <f t="shared" si="24"/>
        <v>3431.372549</v>
      </c>
      <c r="K231" s="132"/>
      <c r="L231" s="132"/>
      <c r="M231" s="132"/>
      <c r="N231" s="132"/>
      <c r="O231" s="132"/>
      <c r="P231" s="132"/>
      <c r="R231" s="274"/>
      <c r="S231" s="274"/>
      <c r="T231" s="274"/>
      <c r="U231" s="274"/>
      <c r="V231" s="274"/>
      <c r="W231" s="274"/>
      <c r="X231" s="274"/>
      <c r="Y231" s="274"/>
      <c r="Z231" s="274"/>
      <c r="EB231" s="49"/>
      <c r="EC231" s="49"/>
      <c r="ED231" s="49"/>
      <c r="EE231" s="49"/>
      <c r="EF231" s="49"/>
      <c r="EG231" s="49"/>
    </row>
    <row r="232" spans="1:137" s="4" customFormat="1" ht="12.75" hidden="1">
      <c r="A232" s="134" t="s">
        <v>186</v>
      </c>
      <c r="B232" s="8"/>
      <c r="C232" s="8"/>
      <c r="D232" s="9"/>
      <c r="E232" s="9"/>
      <c r="F232" s="132"/>
      <c r="G232" s="9"/>
      <c r="H232" s="9"/>
      <c r="I232" s="9"/>
      <c r="J232" s="132"/>
      <c r="K232" s="132"/>
      <c r="L232" s="132"/>
      <c r="M232" s="132"/>
      <c r="N232" s="9"/>
      <c r="O232" s="9"/>
      <c r="P232" s="132"/>
      <c r="R232" s="274"/>
      <c r="S232" s="274"/>
      <c r="T232" s="274"/>
      <c r="U232" s="274"/>
      <c r="V232" s="274"/>
      <c r="W232" s="274"/>
      <c r="X232" s="274"/>
      <c r="Y232" s="274"/>
      <c r="Z232" s="274"/>
      <c r="EB232" s="13"/>
      <c r="EC232" s="13"/>
      <c r="ED232" s="13"/>
      <c r="EE232" s="13"/>
      <c r="EF232" s="13"/>
      <c r="EG232" s="13"/>
    </row>
    <row r="233" spans="1:137" s="4" customFormat="1" ht="12.75" hidden="1">
      <c r="A233" s="135" t="s">
        <v>472</v>
      </c>
      <c r="B233" s="165"/>
      <c r="C233" s="165"/>
      <c r="D233" s="132">
        <f>D203/D193*100</f>
        <v>100</v>
      </c>
      <c r="E233" s="132"/>
      <c r="F233" s="132">
        <f>F203/F193*100</f>
        <v>100</v>
      </c>
      <c r="G233" s="132">
        <f>G203/G193*100</f>
        <v>100</v>
      </c>
      <c r="H233" s="132"/>
      <c r="I233" s="132"/>
      <c r="J233" s="132">
        <f aca="true" t="shared" si="25" ref="J233:N234">J203/J193*100</f>
        <v>100</v>
      </c>
      <c r="K233" s="132" t="e">
        <f t="shared" si="25"/>
        <v>#DIV/0!</v>
      </c>
      <c r="L233" s="132" t="e">
        <f t="shared" si="25"/>
        <v>#DIV/0!</v>
      </c>
      <c r="M233" s="132" t="e">
        <f t="shared" si="25"/>
        <v>#DIV/0!</v>
      </c>
      <c r="N233" s="132">
        <f t="shared" si="25"/>
        <v>100</v>
      </c>
      <c r="O233" s="132"/>
      <c r="P233" s="132">
        <f>P203/P193*100</f>
        <v>100</v>
      </c>
      <c r="R233" s="274"/>
      <c r="S233" s="274"/>
      <c r="T233" s="274"/>
      <c r="U233" s="274"/>
      <c r="V233" s="274"/>
      <c r="W233" s="274"/>
      <c r="X233" s="274"/>
      <c r="Y233" s="274"/>
      <c r="Z233" s="274"/>
      <c r="EB233" s="13"/>
      <c r="EC233" s="13"/>
      <c r="ED233" s="13"/>
      <c r="EE233" s="13"/>
      <c r="EF233" s="13"/>
      <c r="EG233" s="13"/>
    </row>
    <row r="234" spans="1:137" s="4" customFormat="1" ht="12.75" hidden="1">
      <c r="A234" s="135" t="s">
        <v>473</v>
      </c>
      <c r="B234" s="165"/>
      <c r="C234" s="165"/>
      <c r="D234" s="132">
        <f>D204/D194*100</f>
        <v>14.188361408882082</v>
      </c>
      <c r="E234" s="132"/>
      <c r="F234" s="132">
        <f>F204/F194*100</f>
        <v>14.188361408882082</v>
      </c>
      <c r="G234" s="132">
        <f>G204/G194*100</f>
        <v>17.549770290964776</v>
      </c>
      <c r="H234" s="132"/>
      <c r="I234" s="132"/>
      <c r="J234" s="132">
        <f t="shared" si="25"/>
        <v>17.549770290964776</v>
      </c>
      <c r="K234" s="132" t="e">
        <f t="shared" si="25"/>
        <v>#DIV/0!</v>
      </c>
      <c r="L234" s="132" t="e">
        <f t="shared" si="25"/>
        <v>#DIV/0!</v>
      </c>
      <c r="M234" s="132" t="e">
        <f t="shared" si="25"/>
        <v>#DIV/0!</v>
      </c>
      <c r="N234" s="132">
        <f t="shared" si="25"/>
        <v>17.15926493108729</v>
      </c>
      <c r="O234" s="132"/>
      <c r="P234" s="132">
        <f>P204/P194*100</f>
        <v>17.15926493108729</v>
      </c>
      <c r="R234" s="274"/>
      <c r="S234" s="274"/>
      <c r="T234" s="274"/>
      <c r="U234" s="274"/>
      <c r="V234" s="274"/>
      <c r="W234" s="274"/>
      <c r="X234" s="274"/>
      <c r="Y234" s="274"/>
      <c r="Z234" s="274"/>
      <c r="EB234" s="13"/>
      <c r="EC234" s="13"/>
      <c r="ED234" s="13"/>
      <c r="EE234" s="13"/>
      <c r="EF234" s="13"/>
      <c r="EG234" s="13"/>
    </row>
    <row r="235" spans="1:137" s="50" customFormat="1" ht="31.5" customHeight="1" hidden="1">
      <c r="A235" s="138" t="s">
        <v>21</v>
      </c>
      <c r="B235" s="160"/>
      <c r="C235" s="160"/>
      <c r="D235" s="161">
        <f>D237</f>
        <v>424600</v>
      </c>
      <c r="E235" s="161"/>
      <c r="F235" s="161">
        <f>D235</f>
        <v>424600</v>
      </c>
      <c r="G235" s="161">
        <f>G237</f>
        <v>735200</v>
      </c>
      <c r="H235" s="161"/>
      <c r="I235" s="161"/>
      <c r="J235" s="161">
        <f>G235</f>
        <v>735200</v>
      </c>
      <c r="K235" s="161"/>
      <c r="L235" s="161"/>
      <c r="M235" s="161"/>
      <c r="N235" s="161">
        <f>N237</f>
        <v>772000</v>
      </c>
      <c r="O235" s="161"/>
      <c r="P235" s="161">
        <f>N235</f>
        <v>772000</v>
      </c>
      <c r="R235" s="357"/>
      <c r="S235" s="357"/>
      <c r="T235" s="357"/>
      <c r="U235" s="357"/>
      <c r="V235" s="357"/>
      <c r="W235" s="357"/>
      <c r="X235" s="357"/>
      <c r="Y235" s="357"/>
      <c r="Z235" s="357"/>
      <c r="EB235" s="51"/>
      <c r="EC235" s="51"/>
      <c r="ED235" s="51"/>
      <c r="EE235" s="51"/>
      <c r="EF235" s="51"/>
      <c r="EG235" s="51"/>
    </row>
    <row r="236" spans="1:137" s="4" customFormat="1" ht="15.75" customHeight="1" hidden="1">
      <c r="A236" s="134" t="s">
        <v>255</v>
      </c>
      <c r="B236" s="165"/>
      <c r="C236" s="165"/>
      <c r="D236" s="132"/>
      <c r="E236" s="132"/>
      <c r="F236" s="132"/>
      <c r="G236" s="132"/>
      <c r="H236" s="132"/>
      <c r="I236" s="132"/>
      <c r="J236" s="132"/>
      <c r="K236" s="132"/>
      <c r="L236" s="132"/>
      <c r="M236" s="132"/>
      <c r="N236" s="132"/>
      <c r="O236" s="132"/>
      <c r="P236" s="132"/>
      <c r="R236" s="274"/>
      <c r="S236" s="274"/>
      <c r="T236" s="274"/>
      <c r="U236" s="274"/>
      <c r="V236" s="274"/>
      <c r="W236" s="274"/>
      <c r="X236" s="274"/>
      <c r="Y236" s="274"/>
      <c r="Z236" s="274"/>
      <c r="EB236" s="13"/>
      <c r="EC236" s="13"/>
      <c r="ED236" s="13"/>
      <c r="EE236" s="13"/>
      <c r="EF236" s="13"/>
      <c r="EG236" s="13"/>
    </row>
    <row r="237" spans="1:137" s="4" customFormat="1" ht="35.25" customHeight="1" hidden="1">
      <c r="A237" s="135" t="s">
        <v>452</v>
      </c>
      <c r="B237" s="165"/>
      <c r="C237" s="165"/>
      <c r="D237" s="132">
        <f>693600-269000</f>
        <v>424600</v>
      </c>
      <c r="E237" s="132"/>
      <c r="F237" s="132">
        <f>D237</f>
        <v>424600</v>
      </c>
      <c r="G237" s="132">
        <v>735200</v>
      </c>
      <c r="H237" s="132"/>
      <c r="I237" s="132"/>
      <c r="J237" s="132">
        <f>G237</f>
        <v>735200</v>
      </c>
      <c r="K237" s="132"/>
      <c r="L237" s="132"/>
      <c r="M237" s="132"/>
      <c r="N237" s="132">
        <v>772000</v>
      </c>
      <c r="O237" s="132"/>
      <c r="P237" s="132">
        <f>N237</f>
        <v>772000</v>
      </c>
      <c r="R237" s="274"/>
      <c r="S237" s="274"/>
      <c r="T237" s="274"/>
      <c r="U237" s="274"/>
      <c r="V237" s="274"/>
      <c r="W237" s="274"/>
      <c r="X237" s="274"/>
      <c r="Y237" s="274"/>
      <c r="Z237" s="274"/>
      <c r="EB237" s="13"/>
      <c r="EC237" s="13"/>
      <c r="ED237" s="13"/>
      <c r="EE237" s="13"/>
      <c r="EF237" s="13"/>
      <c r="EG237" s="13"/>
    </row>
    <row r="238" spans="1:137" s="4" customFormat="1" ht="12.75" hidden="1">
      <c r="A238" s="134" t="s">
        <v>378</v>
      </c>
      <c r="B238" s="165"/>
      <c r="C238" s="165"/>
      <c r="D238" s="132"/>
      <c r="E238" s="132"/>
      <c r="F238" s="132"/>
      <c r="G238" s="132"/>
      <c r="H238" s="132"/>
      <c r="I238" s="132"/>
      <c r="J238" s="132"/>
      <c r="K238" s="132"/>
      <c r="L238" s="132"/>
      <c r="M238" s="132"/>
      <c r="N238" s="132"/>
      <c r="O238" s="132"/>
      <c r="P238" s="132"/>
      <c r="R238" s="274"/>
      <c r="S238" s="274"/>
      <c r="T238" s="274"/>
      <c r="U238" s="274"/>
      <c r="V238" s="274"/>
      <c r="W238" s="274"/>
      <c r="X238" s="274"/>
      <c r="Y238" s="274"/>
      <c r="Z238" s="274"/>
      <c r="EB238" s="13"/>
      <c r="EC238" s="13"/>
      <c r="ED238" s="13"/>
      <c r="EE238" s="13"/>
      <c r="EF238" s="13"/>
      <c r="EG238" s="13"/>
    </row>
    <row r="239" spans="1:137" s="4" customFormat="1" ht="39" customHeight="1" hidden="1">
      <c r="A239" s="136" t="s">
        <v>453</v>
      </c>
      <c r="B239" s="165"/>
      <c r="C239" s="165"/>
      <c r="D239" s="167">
        <v>13</v>
      </c>
      <c r="E239" s="167"/>
      <c r="F239" s="167">
        <f>D239</f>
        <v>13</v>
      </c>
      <c r="G239" s="167">
        <v>13</v>
      </c>
      <c r="H239" s="167"/>
      <c r="I239" s="167"/>
      <c r="J239" s="167">
        <f>G239</f>
        <v>13</v>
      </c>
      <c r="K239" s="167"/>
      <c r="L239" s="167"/>
      <c r="M239" s="167"/>
      <c r="N239" s="167">
        <v>13</v>
      </c>
      <c r="O239" s="167"/>
      <c r="P239" s="167">
        <f>N239</f>
        <v>13</v>
      </c>
      <c r="R239" s="274"/>
      <c r="S239" s="274"/>
      <c r="T239" s="274"/>
      <c r="U239" s="274"/>
      <c r="V239" s="274"/>
      <c r="W239" s="274"/>
      <c r="X239" s="274"/>
      <c r="Y239" s="274"/>
      <c r="Z239" s="274"/>
      <c r="EB239" s="13"/>
      <c r="EC239" s="13"/>
      <c r="ED239" s="13"/>
      <c r="EE239" s="13"/>
      <c r="EF239" s="13"/>
      <c r="EG239" s="13"/>
    </row>
    <row r="240" spans="1:137" s="4" customFormat="1" ht="12.75" hidden="1">
      <c r="A240" s="134" t="s">
        <v>374</v>
      </c>
      <c r="B240" s="165"/>
      <c r="C240" s="165"/>
      <c r="D240" s="132"/>
      <c r="E240" s="132"/>
      <c r="F240" s="132"/>
      <c r="G240" s="132"/>
      <c r="H240" s="132"/>
      <c r="I240" s="132"/>
      <c r="J240" s="132"/>
      <c r="K240" s="132"/>
      <c r="L240" s="132"/>
      <c r="M240" s="132"/>
      <c r="N240" s="132"/>
      <c r="O240" s="132"/>
      <c r="P240" s="132"/>
      <c r="R240" s="274"/>
      <c r="S240" s="274"/>
      <c r="T240" s="274"/>
      <c r="U240" s="274"/>
      <c r="V240" s="274"/>
      <c r="W240" s="274"/>
      <c r="X240" s="274"/>
      <c r="Y240" s="274"/>
      <c r="Z240" s="274"/>
      <c r="EB240" s="13"/>
      <c r="EC240" s="13"/>
      <c r="ED240" s="13"/>
      <c r="EE240" s="13"/>
      <c r="EF240" s="13"/>
      <c r="EG240" s="13"/>
    </row>
    <row r="241" spans="1:137" s="4" customFormat="1" ht="35.25" customHeight="1" hidden="1">
      <c r="A241" s="135" t="s">
        <v>454</v>
      </c>
      <c r="B241" s="165"/>
      <c r="C241" s="165"/>
      <c r="D241" s="132">
        <f>D237/D239</f>
        <v>32661.53846153846</v>
      </c>
      <c r="E241" s="132"/>
      <c r="F241" s="132">
        <f>D241</f>
        <v>32661.53846153846</v>
      </c>
      <c r="G241" s="132">
        <f>G237/G239</f>
        <v>56553.846153846156</v>
      </c>
      <c r="H241" s="132"/>
      <c r="I241" s="132"/>
      <c r="J241" s="132">
        <f>G241</f>
        <v>56553.846153846156</v>
      </c>
      <c r="K241" s="132"/>
      <c r="L241" s="132"/>
      <c r="M241" s="132"/>
      <c r="N241" s="132">
        <f>N237/N239</f>
        <v>59384.61538461538</v>
      </c>
      <c r="O241" s="132"/>
      <c r="P241" s="132">
        <f>N241</f>
        <v>59384.61538461538</v>
      </c>
      <c r="R241" s="274"/>
      <c r="S241" s="274"/>
      <c r="T241" s="274"/>
      <c r="U241" s="274"/>
      <c r="V241" s="274"/>
      <c r="W241" s="274"/>
      <c r="X241" s="274"/>
      <c r="Y241" s="274"/>
      <c r="Z241" s="274"/>
      <c r="EB241" s="13"/>
      <c r="EC241" s="13"/>
      <c r="ED241" s="13"/>
      <c r="EE241" s="13"/>
      <c r="EF241" s="13"/>
      <c r="EG241" s="13"/>
    </row>
    <row r="242" spans="1:137" s="4" customFormat="1" ht="33.75" customHeight="1" hidden="1">
      <c r="A242" s="138" t="s">
        <v>22</v>
      </c>
      <c r="B242" s="163"/>
      <c r="C242" s="163"/>
      <c r="D242" s="161">
        <f>D244</f>
        <v>920000</v>
      </c>
      <c r="E242" s="161"/>
      <c r="F242" s="161">
        <f>D242</f>
        <v>920000</v>
      </c>
      <c r="G242" s="161">
        <f>G244</f>
        <v>1075000</v>
      </c>
      <c r="H242" s="161"/>
      <c r="I242" s="161"/>
      <c r="J242" s="161">
        <f>G242</f>
        <v>1075000</v>
      </c>
      <c r="K242" s="161"/>
      <c r="L242" s="161"/>
      <c r="M242" s="161"/>
      <c r="N242" s="161">
        <f>N244</f>
        <v>892500</v>
      </c>
      <c r="O242" s="161"/>
      <c r="P242" s="161">
        <f>N242</f>
        <v>892500</v>
      </c>
      <c r="R242" s="274"/>
      <c r="S242" s="274"/>
      <c r="T242" s="274"/>
      <c r="U242" s="274"/>
      <c r="V242" s="274"/>
      <c r="W242" s="274"/>
      <c r="X242" s="274"/>
      <c r="Y242" s="274"/>
      <c r="Z242" s="274"/>
      <c r="EB242" s="13"/>
      <c r="EC242" s="13"/>
      <c r="ED242" s="13"/>
      <c r="EE242" s="13"/>
      <c r="EF242" s="13"/>
      <c r="EG242" s="13"/>
    </row>
    <row r="243" spans="1:137" s="4" customFormat="1" ht="12.75" hidden="1">
      <c r="A243" s="134" t="s">
        <v>255</v>
      </c>
      <c r="B243" s="165"/>
      <c r="C243" s="165"/>
      <c r="D243" s="132"/>
      <c r="E243" s="132"/>
      <c r="F243" s="132"/>
      <c r="G243" s="132"/>
      <c r="H243" s="132"/>
      <c r="I243" s="132"/>
      <c r="J243" s="132"/>
      <c r="K243" s="132"/>
      <c r="L243" s="132"/>
      <c r="M243" s="132"/>
      <c r="N243" s="132"/>
      <c r="O243" s="132"/>
      <c r="P243" s="132"/>
      <c r="R243" s="274"/>
      <c r="S243" s="274"/>
      <c r="T243" s="274"/>
      <c r="U243" s="274"/>
      <c r="V243" s="274"/>
      <c r="W243" s="274"/>
      <c r="X243" s="274"/>
      <c r="Y243" s="274"/>
      <c r="Z243" s="274"/>
      <c r="EB243" s="13"/>
      <c r="EC243" s="13"/>
      <c r="ED243" s="13"/>
      <c r="EE243" s="13"/>
      <c r="EF243" s="13"/>
      <c r="EG243" s="13"/>
    </row>
    <row r="244" spans="1:137" s="4" customFormat="1" ht="27.75" customHeight="1" hidden="1">
      <c r="A244" s="135" t="s">
        <v>455</v>
      </c>
      <c r="B244" s="165"/>
      <c r="C244" s="165"/>
      <c r="D244" s="132">
        <f>760000+55000+105000</f>
        <v>920000</v>
      </c>
      <c r="E244" s="132"/>
      <c r="F244" s="132">
        <f>D244</f>
        <v>920000</v>
      </c>
      <c r="G244" s="132">
        <f>850000+225000</f>
        <v>1075000</v>
      </c>
      <c r="H244" s="132"/>
      <c r="I244" s="132"/>
      <c r="J244" s="132">
        <f>G244</f>
        <v>1075000</v>
      </c>
      <c r="K244" s="132"/>
      <c r="L244" s="132"/>
      <c r="M244" s="132"/>
      <c r="N244" s="132">
        <v>892500</v>
      </c>
      <c r="O244" s="132"/>
      <c r="P244" s="132">
        <f>N244</f>
        <v>892500</v>
      </c>
      <c r="R244" s="274"/>
      <c r="S244" s="274"/>
      <c r="T244" s="274"/>
      <c r="U244" s="274"/>
      <c r="V244" s="274"/>
      <c r="W244" s="274"/>
      <c r="X244" s="274"/>
      <c r="Y244" s="274"/>
      <c r="Z244" s="274"/>
      <c r="EB244" s="13"/>
      <c r="EC244" s="13"/>
      <c r="ED244" s="13"/>
      <c r="EE244" s="13"/>
      <c r="EF244" s="13"/>
      <c r="EG244" s="13"/>
    </row>
    <row r="245" spans="1:137" s="4" customFormat="1" ht="12.75" hidden="1">
      <c r="A245" s="134" t="s">
        <v>378</v>
      </c>
      <c r="B245" s="165"/>
      <c r="C245" s="165"/>
      <c r="D245" s="132"/>
      <c r="E245" s="132"/>
      <c r="F245" s="132"/>
      <c r="G245" s="132"/>
      <c r="H245" s="132"/>
      <c r="I245" s="132"/>
      <c r="J245" s="132"/>
      <c r="K245" s="132"/>
      <c r="L245" s="132"/>
      <c r="M245" s="132"/>
      <c r="N245" s="132"/>
      <c r="O245" s="132"/>
      <c r="P245" s="132"/>
      <c r="R245" s="274"/>
      <c r="S245" s="274"/>
      <c r="T245" s="274"/>
      <c r="U245" s="274"/>
      <c r="V245" s="274"/>
      <c r="W245" s="274"/>
      <c r="X245" s="274"/>
      <c r="Y245" s="274"/>
      <c r="Z245" s="274"/>
      <c r="EB245" s="13"/>
      <c r="EC245" s="13"/>
      <c r="ED245" s="13"/>
      <c r="EE245" s="13"/>
      <c r="EF245" s="13"/>
      <c r="EG245" s="13"/>
    </row>
    <row r="246" spans="1:137" s="4" customFormat="1" ht="31.5" customHeight="1" hidden="1">
      <c r="A246" s="136" t="s">
        <v>456</v>
      </c>
      <c r="B246" s="165"/>
      <c r="C246" s="165"/>
      <c r="D246" s="167">
        <v>12</v>
      </c>
      <c r="E246" s="167"/>
      <c r="F246" s="167">
        <f>D246</f>
        <v>12</v>
      </c>
      <c r="G246" s="167">
        <v>12</v>
      </c>
      <c r="H246" s="167"/>
      <c r="I246" s="167"/>
      <c r="J246" s="167">
        <f>G246</f>
        <v>12</v>
      </c>
      <c r="K246" s="167"/>
      <c r="L246" s="167"/>
      <c r="M246" s="167"/>
      <c r="N246" s="167">
        <v>12</v>
      </c>
      <c r="O246" s="167"/>
      <c r="P246" s="167">
        <f>N246</f>
        <v>12</v>
      </c>
      <c r="R246" s="274"/>
      <c r="S246" s="274"/>
      <c r="T246" s="274"/>
      <c r="U246" s="274"/>
      <c r="V246" s="274"/>
      <c r="W246" s="274"/>
      <c r="X246" s="274"/>
      <c r="Y246" s="274"/>
      <c r="Z246" s="274"/>
      <c r="EB246" s="13"/>
      <c r="EC246" s="13"/>
      <c r="ED246" s="13"/>
      <c r="EE246" s="13"/>
      <c r="EF246" s="13"/>
      <c r="EG246" s="13"/>
    </row>
    <row r="247" spans="1:137" s="4" customFormat="1" ht="12.75" hidden="1">
      <c r="A247" s="134" t="s">
        <v>374</v>
      </c>
      <c r="B247" s="165"/>
      <c r="C247" s="165"/>
      <c r="D247" s="132"/>
      <c r="E247" s="132"/>
      <c r="F247" s="132"/>
      <c r="G247" s="132"/>
      <c r="H247" s="132"/>
      <c r="I247" s="132"/>
      <c r="J247" s="132"/>
      <c r="K247" s="132"/>
      <c r="L247" s="132"/>
      <c r="M247" s="132"/>
      <c r="N247" s="132"/>
      <c r="O247" s="132"/>
      <c r="P247" s="132"/>
      <c r="R247" s="274"/>
      <c r="S247" s="274"/>
      <c r="T247" s="274"/>
      <c r="U247" s="274"/>
      <c r="V247" s="274"/>
      <c r="W247" s="274"/>
      <c r="X247" s="274"/>
      <c r="Y247" s="274"/>
      <c r="Z247" s="274"/>
      <c r="EB247" s="13"/>
      <c r="EC247" s="13"/>
      <c r="ED247" s="13"/>
      <c r="EE247" s="13"/>
      <c r="EF247" s="13"/>
      <c r="EG247" s="13"/>
    </row>
    <row r="248" spans="1:137" s="4" customFormat="1" ht="33" customHeight="1" hidden="1">
      <c r="A248" s="135" t="s">
        <v>457</v>
      </c>
      <c r="B248" s="165"/>
      <c r="C248" s="165"/>
      <c r="D248" s="132">
        <f>D244/D246</f>
        <v>76666.66666666667</v>
      </c>
      <c r="E248" s="132"/>
      <c r="F248" s="132">
        <f>D248</f>
        <v>76666.66666666667</v>
      </c>
      <c r="G248" s="132">
        <f>G244/G246</f>
        <v>89583.33333333333</v>
      </c>
      <c r="H248" s="132"/>
      <c r="I248" s="132"/>
      <c r="J248" s="132">
        <f>G248</f>
        <v>89583.33333333333</v>
      </c>
      <c r="K248" s="132"/>
      <c r="L248" s="132"/>
      <c r="M248" s="132"/>
      <c r="N248" s="132">
        <f>N244/N246</f>
        <v>74375</v>
      </c>
      <c r="O248" s="132"/>
      <c r="P248" s="132">
        <f>N248</f>
        <v>74375</v>
      </c>
      <c r="R248" s="274"/>
      <c r="S248" s="274"/>
      <c r="T248" s="274"/>
      <c r="U248" s="274"/>
      <c r="V248" s="274"/>
      <c r="W248" s="274"/>
      <c r="X248" s="274"/>
      <c r="Y248" s="274"/>
      <c r="Z248" s="274"/>
      <c r="EB248" s="13"/>
      <c r="EC248" s="13"/>
      <c r="ED248" s="13"/>
      <c r="EE248" s="13"/>
      <c r="EF248" s="13"/>
      <c r="EG248" s="13"/>
    </row>
    <row r="249" spans="1:137" s="48" customFormat="1" ht="27" hidden="1">
      <c r="A249" s="138" t="s">
        <v>23</v>
      </c>
      <c r="B249" s="163"/>
      <c r="C249" s="163"/>
      <c r="D249" s="161">
        <f>D251</f>
        <v>60000</v>
      </c>
      <c r="E249" s="161"/>
      <c r="F249" s="161">
        <f>D249</f>
        <v>60000</v>
      </c>
      <c r="G249" s="161">
        <f>G251</f>
        <v>135700</v>
      </c>
      <c r="H249" s="161"/>
      <c r="I249" s="161"/>
      <c r="J249" s="161">
        <f>G249</f>
        <v>135700</v>
      </c>
      <c r="K249" s="161"/>
      <c r="L249" s="161"/>
      <c r="M249" s="161"/>
      <c r="N249" s="161">
        <f>N251</f>
        <v>142500</v>
      </c>
      <c r="O249" s="161"/>
      <c r="P249" s="161">
        <f>N249</f>
        <v>142500</v>
      </c>
      <c r="R249" s="274"/>
      <c r="S249" s="274"/>
      <c r="T249" s="274"/>
      <c r="U249" s="274"/>
      <c r="V249" s="274"/>
      <c r="W249" s="274"/>
      <c r="X249" s="274"/>
      <c r="Y249" s="274"/>
      <c r="Z249" s="274"/>
      <c r="EB249" s="49"/>
      <c r="EC249" s="49"/>
      <c r="ED249" s="49"/>
      <c r="EE249" s="49"/>
      <c r="EF249" s="49"/>
      <c r="EG249" s="49"/>
    </row>
    <row r="250" spans="1:137" s="4" customFormat="1" ht="12.75" hidden="1">
      <c r="A250" s="134" t="s">
        <v>255</v>
      </c>
      <c r="B250" s="165"/>
      <c r="C250" s="165"/>
      <c r="D250" s="132"/>
      <c r="E250" s="132"/>
      <c r="F250" s="132"/>
      <c r="G250" s="132"/>
      <c r="H250" s="132"/>
      <c r="I250" s="132"/>
      <c r="J250" s="132"/>
      <c r="K250" s="132"/>
      <c r="L250" s="132"/>
      <c r="M250" s="132"/>
      <c r="N250" s="132"/>
      <c r="O250" s="132"/>
      <c r="P250" s="132"/>
      <c r="R250" s="274"/>
      <c r="S250" s="274"/>
      <c r="T250" s="274"/>
      <c r="U250" s="274"/>
      <c r="V250" s="274"/>
      <c r="W250" s="274"/>
      <c r="X250" s="274"/>
      <c r="Y250" s="274"/>
      <c r="Z250" s="274"/>
      <c r="EB250" s="13"/>
      <c r="EC250" s="13"/>
      <c r="ED250" s="13"/>
      <c r="EE250" s="13"/>
      <c r="EF250" s="13"/>
      <c r="EG250" s="13"/>
    </row>
    <row r="251" spans="1:137" s="4" customFormat="1" ht="12.75" hidden="1">
      <c r="A251" s="135" t="s">
        <v>459</v>
      </c>
      <c r="B251" s="165"/>
      <c r="C251" s="165"/>
      <c r="D251" s="132">
        <f>128000-68000</f>
        <v>60000</v>
      </c>
      <c r="E251" s="132"/>
      <c r="F251" s="132">
        <f>D251</f>
        <v>60000</v>
      </c>
      <c r="G251" s="132">
        <v>135700</v>
      </c>
      <c r="H251" s="132"/>
      <c r="I251" s="132"/>
      <c r="J251" s="132">
        <f>G251</f>
        <v>135700</v>
      </c>
      <c r="K251" s="132"/>
      <c r="L251" s="132"/>
      <c r="M251" s="132"/>
      <c r="N251" s="132">
        <v>142500</v>
      </c>
      <c r="O251" s="132"/>
      <c r="P251" s="132">
        <f>N251</f>
        <v>142500</v>
      </c>
      <c r="R251" s="274"/>
      <c r="S251" s="274"/>
      <c r="T251" s="274"/>
      <c r="U251" s="274"/>
      <c r="V251" s="274"/>
      <c r="W251" s="274"/>
      <c r="X251" s="274"/>
      <c r="Y251" s="274"/>
      <c r="Z251" s="274"/>
      <c r="EB251" s="13"/>
      <c r="EC251" s="13"/>
      <c r="ED251" s="13"/>
      <c r="EE251" s="13"/>
      <c r="EF251" s="13"/>
      <c r="EG251" s="13"/>
    </row>
    <row r="252" spans="1:137" s="4" customFormat="1" ht="15.75" customHeight="1" hidden="1">
      <c r="A252" s="134" t="s">
        <v>378</v>
      </c>
      <c r="B252" s="165"/>
      <c r="C252" s="165"/>
      <c r="D252" s="132"/>
      <c r="E252" s="132"/>
      <c r="F252" s="132"/>
      <c r="G252" s="132"/>
      <c r="H252" s="132"/>
      <c r="I252" s="132"/>
      <c r="J252" s="132"/>
      <c r="K252" s="132"/>
      <c r="L252" s="132"/>
      <c r="M252" s="132"/>
      <c r="N252" s="132"/>
      <c r="O252" s="132"/>
      <c r="P252" s="132"/>
      <c r="R252" s="274"/>
      <c r="S252" s="274"/>
      <c r="T252" s="274"/>
      <c r="U252" s="274"/>
      <c r="V252" s="274"/>
      <c r="W252" s="274"/>
      <c r="X252" s="274"/>
      <c r="Y252" s="274"/>
      <c r="Z252" s="274"/>
      <c r="EB252" s="13"/>
      <c r="EC252" s="13"/>
      <c r="ED252" s="13"/>
      <c r="EE252" s="13"/>
      <c r="EF252" s="13"/>
      <c r="EG252" s="13"/>
    </row>
    <row r="253" spans="1:137" s="4" customFormat="1" ht="25.5" hidden="1">
      <c r="A253" s="136" t="s">
        <v>460</v>
      </c>
      <c r="B253" s="165"/>
      <c r="C253" s="165"/>
      <c r="D253" s="167">
        <v>21</v>
      </c>
      <c r="E253" s="167"/>
      <c r="F253" s="167">
        <f>D253</f>
        <v>21</v>
      </c>
      <c r="G253" s="167">
        <v>21</v>
      </c>
      <c r="H253" s="167"/>
      <c r="I253" s="167"/>
      <c r="J253" s="167">
        <f>G253</f>
        <v>21</v>
      </c>
      <c r="K253" s="167"/>
      <c r="L253" s="167"/>
      <c r="M253" s="167"/>
      <c r="N253" s="167">
        <v>21</v>
      </c>
      <c r="O253" s="167"/>
      <c r="P253" s="167">
        <f>N253</f>
        <v>21</v>
      </c>
      <c r="R253" s="274"/>
      <c r="S253" s="274"/>
      <c r="T253" s="274"/>
      <c r="U253" s="274"/>
      <c r="V253" s="274"/>
      <c r="W253" s="274"/>
      <c r="X253" s="274"/>
      <c r="Y253" s="274"/>
      <c r="Z253" s="274"/>
      <c r="EB253" s="13"/>
      <c r="EC253" s="13"/>
      <c r="ED253" s="13"/>
      <c r="EE253" s="13"/>
      <c r="EF253" s="13"/>
      <c r="EG253" s="13"/>
    </row>
    <row r="254" spans="1:137" s="4" customFormat="1" ht="16.5" customHeight="1" hidden="1">
      <c r="A254" s="134" t="s">
        <v>374</v>
      </c>
      <c r="B254" s="165"/>
      <c r="C254" s="165"/>
      <c r="D254" s="132"/>
      <c r="E254" s="132"/>
      <c r="F254" s="132"/>
      <c r="G254" s="132"/>
      <c r="H254" s="132"/>
      <c r="I254" s="132"/>
      <c r="J254" s="132"/>
      <c r="K254" s="132"/>
      <c r="L254" s="132"/>
      <c r="M254" s="132"/>
      <c r="N254" s="132"/>
      <c r="O254" s="132"/>
      <c r="P254" s="132"/>
      <c r="R254" s="274"/>
      <c r="S254" s="274"/>
      <c r="T254" s="274"/>
      <c r="U254" s="274"/>
      <c r="V254" s="274"/>
      <c r="W254" s="274"/>
      <c r="X254" s="274"/>
      <c r="Y254" s="274"/>
      <c r="Z254" s="274"/>
      <c r="EB254" s="13"/>
      <c r="EC254" s="13"/>
      <c r="ED254" s="13"/>
      <c r="EE254" s="13"/>
      <c r="EF254" s="13"/>
      <c r="EG254" s="13"/>
    </row>
    <row r="255" spans="1:137" s="4" customFormat="1" ht="25.5" hidden="1">
      <c r="A255" s="135" t="s">
        <v>461</v>
      </c>
      <c r="B255" s="165"/>
      <c r="C255" s="165"/>
      <c r="D255" s="132">
        <f>D251/D253</f>
        <v>2857.1428571428573</v>
      </c>
      <c r="E255" s="132"/>
      <c r="F255" s="132">
        <f>D255</f>
        <v>2857.1428571428573</v>
      </c>
      <c r="G255" s="132">
        <f>G251/G253</f>
        <v>6461.9047619047615</v>
      </c>
      <c r="H255" s="132"/>
      <c r="I255" s="132"/>
      <c r="J255" s="132">
        <f>J251/J253</f>
        <v>6461.9047619047615</v>
      </c>
      <c r="K255" s="132"/>
      <c r="L255" s="132"/>
      <c r="M255" s="132"/>
      <c r="N255" s="132">
        <f>N251/N253</f>
        <v>6785.714285714285</v>
      </c>
      <c r="O255" s="132"/>
      <c r="P255" s="132">
        <f>N255</f>
        <v>6785.714285714285</v>
      </c>
      <c r="R255" s="274"/>
      <c r="S255" s="274"/>
      <c r="T255" s="274"/>
      <c r="U255" s="274"/>
      <c r="V255" s="274"/>
      <c r="W255" s="274"/>
      <c r="X255" s="274"/>
      <c r="Y255" s="274"/>
      <c r="Z255" s="274"/>
      <c r="EB255" s="13"/>
      <c r="EC255" s="13"/>
      <c r="ED255" s="13"/>
      <c r="EE255" s="13"/>
      <c r="EF255" s="13"/>
      <c r="EG255" s="13"/>
    </row>
    <row r="256" spans="1:137" s="48" customFormat="1" ht="13.5" hidden="1">
      <c r="A256" s="138" t="s">
        <v>24</v>
      </c>
      <c r="B256" s="163"/>
      <c r="C256" s="163"/>
      <c r="D256" s="162"/>
      <c r="E256" s="161">
        <f>E258</f>
        <v>3361200</v>
      </c>
      <c r="F256" s="161">
        <f>E256</f>
        <v>3361200</v>
      </c>
      <c r="G256" s="161"/>
      <c r="H256" s="161">
        <f>H258</f>
        <v>20530000</v>
      </c>
      <c r="I256" s="161"/>
      <c r="J256" s="161">
        <f>H256</f>
        <v>20530000</v>
      </c>
      <c r="K256" s="161"/>
      <c r="L256" s="161"/>
      <c r="M256" s="161"/>
      <c r="N256" s="161"/>
      <c r="O256" s="161">
        <f>O258</f>
        <v>21056500</v>
      </c>
      <c r="P256" s="161">
        <f>O256</f>
        <v>21056500</v>
      </c>
      <c r="R256" s="274"/>
      <c r="S256" s="274"/>
      <c r="T256" s="274"/>
      <c r="U256" s="274"/>
      <c r="V256" s="274"/>
      <c r="W256" s="274"/>
      <c r="X256" s="274"/>
      <c r="Y256" s="274"/>
      <c r="Z256" s="274"/>
      <c r="EB256" s="49"/>
      <c r="EC256" s="49"/>
      <c r="ED256" s="49"/>
      <c r="EE256" s="49"/>
      <c r="EF256" s="49"/>
      <c r="EG256" s="49"/>
    </row>
    <row r="257" spans="1:137" s="4" customFormat="1" ht="20.25" customHeight="1" hidden="1">
      <c r="A257" s="134" t="s">
        <v>255</v>
      </c>
      <c r="B257" s="165"/>
      <c r="C257" s="165"/>
      <c r="D257" s="132"/>
      <c r="E257" s="132"/>
      <c r="F257" s="132"/>
      <c r="G257" s="132"/>
      <c r="H257" s="132"/>
      <c r="I257" s="132"/>
      <c r="J257" s="132"/>
      <c r="K257" s="132"/>
      <c r="L257" s="132"/>
      <c r="M257" s="132"/>
      <c r="N257" s="132"/>
      <c r="O257" s="132"/>
      <c r="P257" s="132"/>
      <c r="R257" s="274"/>
      <c r="S257" s="274"/>
      <c r="T257" s="274"/>
      <c r="U257" s="274"/>
      <c r="V257" s="274"/>
      <c r="W257" s="274"/>
      <c r="X257" s="274"/>
      <c r="Y257" s="274"/>
      <c r="Z257" s="274"/>
      <c r="EB257" s="13"/>
      <c r="EC257" s="13"/>
      <c r="ED257" s="13"/>
      <c r="EE257" s="13"/>
      <c r="EF257" s="13"/>
      <c r="EG257" s="13"/>
    </row>
    <row r="258" spans="1:137" s="4" customFormat="1" ht="12.75" hidden="1">
      <c r="A258" s="135" t="s">
        <v>446</v>
      </c>
      <c r="B258" s="165"/>
      <c r="C258" s="165"/>
      <c r="D258" s="132"/>
      <c r="E258" s="132">
        <f>10000000+10000000-4000000-8238800-3000000-1400000</f>
        <v>3361200</v>
      </c>
      <c r="F258" s="132">
        <f>E258</f>
        <v>3361200</v>
      </c>
      <c r="G258" s="132"/>
      <c r="H258" s="132">
        <f>10530000+10000000</f>
        <v>20530000</v>
      </c>
      <c r="I258" s="132"/>
      <c r="J258" s="132">
        <f>H258</f>
        <v>20530000</v>
      </c>
      <c r="K258" s="132"/>
      <c r="L258" s="132"/>
      <c r="M258" s="132"/>
      <c r="N258" s="132"/>
      <c r="O258" s="132">
        <f>11056500+10000000</f>
        <v>21056500</v>
      </c>
      <c r="P258" s="132">
        <f>O258</f>
        <v>21056500</v>
      </c>
      <c r="R258" s="274"/>
      <c r="S258" s="274"/>
      <c r="T258" s="274"/>
      <c r="U258" s="274"/>
      <c r="V258" s="274"/>
      <c r="W258" s="274"/>
      <c r="X258" s="274"/>
      <c r="Y258" s="274"/>
      <c r="Z258" s="274"/>
      <c r="EB258" s="13"/>
      <c r="EC258" s="13"/>
      <c r="ED258" s="13"/>
      <c r="EE258" s="13"/>
      <c r="EF258" s="13"/>
      <c r="EG258" s="13"/>
    </row>
    <row r="259" spans="1:137" s="4" customFormat="1" ht="21" customHeight="1" hidden="1">
      <c r="A259" s="134" t="s">
        <v>378</v>
      </c>
      <c r="B259" s="165"/>
      <c r="C259" s="165"/>
      <c r="D259" s="132"/>
      <c r="E259" s="132"/>
      <c r="F259" s="132"/>
      <c r="G259" s="132"/>
      <c r="H259" s="132"/>
      <c r="I259" s="132"/>
      <c r="J259" s="132"/>
      <c r="K259" s="132"/>
      <c r="L259" s="132"/>
      <c r="M259" s="132"/>
      <c r="N259" s="132"/>
      <c r="O259" s="132"/>
      <c r="P259" s="132"/>
      <c r="R259" s="274"/>
      <c r="S259" s="274"/>
      <c r="T259" s="274"/>
      <c r="U259" s="274"/>
      <c r="V259" s="274"/>
      <c r="W259" s="274"/>
      <c r="X259" s="274"/>
      <c r="Y259" s="274"/>
      <c r="Z259" s="274"/>
      <c r="EB259" s="13"/>
      <c r="EC259" s="13"/>
      <c r="ED259" s="13"/>
      <c r="EE259" s="13"/>
      <c r="EF259" s="13"/>
      <c r="EG259" s="13"/>
    </row>
    <row r="260" spans="1:137" s="4" customFormat="1" ht="12.75" hidden="1">
      <c r="A260" s="136" t="s">
        <v>447</v>
      </c>
      <c r="B260" s="165"/>
      <c r="C260" s="165"/>
      <c r="D260" s="132"/>
      <c r="E260" s="167">
        <v>3</v>
      </c>
      <c r="F260" s="167">
        <f>E260</f>
        <v>3</v>
      </c>
      <c r="G260" s="167"/>
      <c r="H260" s="167">
        <v>2</v>
      </c>
      <c r="I260" s="167"/>
      <c r="J260" s="167">
        <f>H260</f>
        <v>2</v>
      </c>
      <c r="K260" s="167"/>
      <c r="L260" s="167"/>
      <c r="M260" s="167"/>
      <c r="N260" s="167"/>
      <c r="O260" s="167">
        <v>2</v>
      </c>
      <c r="P260" s="167">
        <v>1</v>
      </c>
      <c r="R260" s="274"/>
      <c r="S260" s="274"/>
      <c r="T260" s="274"/>
      <c r="U260" s="274"/>
      <c r="V260" s="274"/>
      <c r="W260" s="274"/>
      <c r="X260" s="274"/>
      <c r="Y260" s="274"/>
      <c r="Z260" s="274"/>
      <c r="EB260" s="13"/>
      <c r="EC260" s="13"/>
      <c r="ED260" s="13"/>
      <c r="EE260" s="13"/>
      <c r="EF260" s="13"/>
      <c r="EG260" s="13"/>
    </row>
    <row r="261" spans="1:137" s="4" customFormat="1" ht="12.75" hidden="1">
      <c r="A261" s="134" t="s">
        <v>374</v>
      </c>
      <c r="B261" s="165"/>
      <c r="C261" s="165"/>
      <c r="D261" s="132"/>
      <c r="E261" s="132"/>
      <c r="F261" s="132"/>
      <c r="G261" s="132"/>
      <c r="H261" s="132"/>
      <c r="I261" s="132"/>
      <c r="J261" s="132"/>
      <c r="K261" s="132"/>
      <c r="L261" s="132"/>
      <c r="M261" s="132"/>
      <c r="N261" s="132"/>
      <c r="O261" s="132"/>
      <c r="P261" s="132"/>
      <c r="R261" s="274"/>
      <c r="S261" s="274"/>
      <c r="T261" s="274"/>
      <c r="U261" s="274"/>
      <c r="V261" s="274"/>
      <c r="W261" s="274"/>
      <c r="X261" s="274"/>
      <c r="Y261" s="274"/>
      <c r="Z261" s="274"/>
      <c r="EB261" s="13"/>
      <c r="EC261" s="13"/>
      <c r="ED261" s="13"/>
      <c r="EE261" s="13"/>
      <c r="EF261" s="13"/>
      <c r="EG261" s="13"/>
    </row>
    <row r="262" spans="1:137" s="4" customFormat="1" ht="12.75" hidden="1">
      <c r="A262" s="135" t="s">
        <v>448</v>
      </c>
      <c r="B262" s="165"/>
      <c r="C262" s="165"/>
      <c r="D262" s="132"/>
      <c r="E262" s="132">
        <f>E258/E260</f>
        <v>1120400</v>
      </c>
      <c r="F262" s="132">
        <f>E262</f>
        <v>1120400</v>
      </c>
      <c r="G262" s="132"/>
      <c r="H262" s="132">
        <f>H258/H260</f>
        <v>10265000</v>
      </c>
      <c r="I262" s="132"/>
      <c r="J262" s="132">
        <f>H262</f>
        <v>10265000</v>
      </c>
      <c r="K262" s="132"/>
      <c r="L262" s="132"/>
      <c r="M262" s="132"/>
      <c r="N262" s="132"/>
      <c r="O262" s="132">
        <f>O258/O260</f>
        <v>10528250</v>
      </c>
      <c r="P262" s="132">
        <f>O262</f>
        <v>10528250</v>
      </c>
      <c r="R262" s="274"/>
      <c r="S262" s="274"/>
      <c r="T262" s="274"/>
      <c r="U262" s="274"/>
      <c r="V262" s="274"/>
      <c r="W262" s="274"/>
      <c r="X262" s="274"/>
      <c r="Y262" s="274"/>
      <c r="Z262" s="274"/>
      <c r="EB262" s="13"/>
      <c r="EC262" s="13"/>
      <c r="ED262" s="13"/>
      <c r="EE262" s="13"/>
      <c r="EF262" s="13"/>
      <c r="EG262" s="13"/>
    </row>
    <row r="263" spans="1:137" s="65" customFormat="1" ht="38.25" customHeight="1" hidden="1">
      <c r="A263" s="68" t="s">
        <v>25</v>
      </c>
      <c r="B263" s="64"/>
      <c r="C263" s="64"/>
      <c r="D263" s="67">
        <f>D264+D278+D271+D285+D292+D299+D313+D306</f>
        <v>17592500</v>
      </c>
      <c r="E263" s="67">
        <f aca="true" t="shared" si="26" ref="E263:O263">E264+E278+E271+E285+E292+E299+E313</f>
        <v>0</v>
      </c>
      <c r="F263" s="67">
        <f>D263+E263</f>
        <v>17592500</v>
      </c>
      <c r="G263" s="67">
        <f t="shared" si="26"/>
        <v>30023400</v>
      </c>
      <c r="H263" s="67">
        <f t="shared" si="26"/>
        <v>0</v>
      </c>
      <c r="I263" s="67">
        <f t="shared" si="26"/>
        <v>0</v>
      </c>
      <c r="J263" s="67">
        <f>G263+H263</f>
        <v>30023400</v>
      </c>
      <c r="K263" s="67">
        <f t="shared" si="26"/>
        <v>0</v>
      </c>
      <c r="L263" s="67">
        <f t="shared" si="26"/>
        <v>0</v>
      </c>
      <c r="M263" s="67">
        <f t="shared" si="26"/>
        <v>0</v>
      </c>
      <c r="N263" s="67">
        <f t="shared" si="26"/>
        <v>31525200</v>
      </c>
      <c r="O263" s="67">
        <f t="shared" si="26"/>
        <v>0</v>
      </c>
      <c r="P263" s="67">
        <f>N263+O263</f>
        <v>31525200</v>
      </c>
      <c r="R263" s="360"/>
      <c r="S263" s="360"/>
      <c r="T263" s="360"/>
      <c r="U263" s="360"/>
      <c r="V263" s="360"/>
      <c r="W263" s="360"/>
      <c r="X263" s="360"/>
      <c r="Y263" s="360"/>
      <c r="Z263" s="360"/>
      <c r="EB263" s="66"/>
      <c r="EC263" s="66"/>
      <c r="ED263" s="66"/>
      <c r="EE263" s="66"/>
      <c r="EF263" s="66"/>
      <c r="EG263" s="66"/>
    </row>
    <row r="264" spans="1:137" s="48" customFormat="1" ht="18.75" customHeight="1" hidden="1">
      <c r="A264" s="138" t="s">
        <v>26</v>
      </c>
      <c r="B264" s="163"/>
      <c r="C264" s="163"/>
      <c r="D264" s="161">
        <f>D266</f>
        <v>10689000</v>
      </c>
      <c r="E264" s="161"/>
      <c r="F264" s="161">
        <f>D264</f>
        <v>10689000</v>
      </c>
      <c r="G264" s="161">
        <f>G266</f>
        <v>17487600</v>
      </c>
      <c r="H264" s="161"/>
      <c r="I264" s="161"/>
      <c r="J264" s="161">
        <f>G264</f>
        <v>17487600</v>
      </c>
      <c r="K264" s="161"/>
      <c r="L264" s="161"/>
      <c r="M264" s="161"/>
      <c r="N264" s="161">
        <f>N266</f>
        <v>18362300</v>
      </c>
      <c r="O264" s="161"/>
      <c r="P264" s="161">
        <f>N264</f>
        <v>18362300</v>
      </c>
      <c r="R264" s="274"/>
      <c r="S264" s="274"/>
      <c r="T264" s="274"/>
      <c r="U264" s="274"/>
      <c r="V264" s="274"/>
      <c r="W264" s="274"/>
      <c r="X264" s="274"/>
      <c r="Y264" s="274"/>
      <c r="Z264" s="274"/>
      <c r="EB264" s="49"/>
      <c r="EC264" s="49"/>
      <c r="ED264" s="49"/>
      <c r="EE264" s="49"/>
      <c r="EF264" s="49"/>
      <c r="EG264" s="49"/>
    </row>
    <row r="265" spans="1:137" s="4" customFormat="1" ht="18.75" customHeight="1" hidden="1">
      <c r="A265" s="134" t="s">
        <v>255</v>
      </c>
      <c r="B265" s="165"/>
      <c r="C265" s="165"/>
      <c r="D265" s="132"/>
      <c r="E265" s="132"/>
      <c r="F265" s="132"/>
      <c r="G265" s="132"/>
      <c r="H265" s="132"/>
      <c r="I265" s="132"/>
      <c r="J265" s="132"/>
      <c r="K265" s="132"/>
      <c r="L265" s="132"/>
      <c r="M265" s="132"/>
      <c r="N265" s="132"/>
      <c r="O265" s="132"/>
      <c r="P265" s="132"/>
      <c r="R265" s="274"/>
      <c r="S265" s="274"/>
      <c r="T265" s="274"/>
      <c r="U265" s="274"/>
      <c r="V265" s="274"/>
      <c r="W265" s="274"/>
      <c r="X265" s="274"/>
      <c r="Y265" s="274"/>
      <c r="Z265" s="274"/>
      <c r="EB265" s="13"/>
      <c r="EC265" s="13"/>
      <c r="ED265" s="13"/>
      <c r="EE265" s="13"/>
      <c r="EF265" s="13"/>
      <c r="EG265" s="13"/>
    </row>
    <row r="266" spans="1:137" s="4" customFormat="1" ht="12.75" customHeight="1" hidden="1">
      <c r="A266" s="135" t="s">
        <v>401</v>
      </c>
      <c r="B266" s="165"/>
      <c r="C266" s="165"/>
      <c r="D266" s="132">
        <f>16448100+50000-50000-5759100</f>
        <v>10689000</v>
      </c>
      <c r="E266" s="132"/>
      <c r="F266" s="132">
        <f>D266</f>
        <v>10689000</v>
      </c>
      <c r="G266" s="132">
        <f>17435000+52600</f>
        <v>17487600</v>
      </c>
      <c r="H266" s="132"/>
      <c r="I266" s="132"/>
      <c r="J266" s="132">
        <f>G266</f>
        <v>17487600</v>
      </c>
      <c r="K266" s="132"/>
      <c r="L266" s="132"/>
      <c r="M266" s="132"/>
      <c r="N266" s="132">
        <f>18307000+55300</f>
        <v>18362300</v>
      </c>
      <c r="O266" s="132"/>
      <c r="P266" s="132">
        <f>N266</f>
        <v>18362300</v>
      </c>
      <c r="R266" s="274"/>
      <c r="S266" s="274"/>
      <c r="T266" s="274"/>
      <c r="U266" s="274"/>
      <c r="V266" s="274"/>
      <c r="W266" s="274"/>
      <c r="X266" s="274"/>
      <c r="Y266" s="274"/>
      <c r="Z266" s="274"/>
      <c r="EB266" s="13"/>
      <c r="EC266" s="13"/>
      <c r="ED266" s="13"/>
      <c r="EE266" s="13"/>
      <c r="EF266" s="13"/>
      <c r="EG266" s="13"/>
    </row>
    <row r="267" spans="1:137" s="4" customFormat="1" ht="17.25" customHeight="1" hidden="1">
      <c r="A267" s="134" t="s">
        <v>378</v>
      </c>
      <c r="B267" s="165"/>
      <c r="C267" s="165"/>
      <c r="D267" s="132"/>
      <c r="E267" s="132"/>
      <c r="F267" s="132"/>
      <c r="G267" s="132"/>
      <c r="H267" s="132"/>
      <c r="I267" s="132"/>
      <c r="J267" s="132"/>
      <c r="K267" s="132"/>
      <c r="L267" s="132"/>
      <c r="M267" s="132"/>
      <c r="N267" s="132"/>
      <c r="O267" s="132"/>
      <c r="P267" s="132"/>
      <c r="R267" s="274"/>
      <c r="S267" s="274"/>
      <c r="T267" s="274"/>
      <c r="U267" s="274"/>
      <c r="V267" s="274"/>
      <c r="W267" s="274"/>
      <c r="X267" s="274"/>
      <c r="Y267" s="274"/>
      <c r="Z267" s="274"/>
      <c r="EB267" s="13"/>
      <c r="EC267" s="13"/>
      <c r="ED267" s="13"/>
      <c r="EE267" s="13"/>
      <c r="EF267" s="13"/>
      <c r="EG267" s="13"/>
    </row>
    <row r="268" spans="1:137" s="4" customFormat="1" ht="12" customHeight="1" hidden="1">
      <c r="A268" s="136" t="s">
        <v>402</v>
      </c>
      <c r="B268" s="165"/>
      <c r="C268" s="165"/>
      <c r="D268" s="167">
        <v>13</v>
      </c>
      <c r="E268" s="167"/>
      <c r="F268" s="167">
        <f>D268</f>
        <v>13</v>
      </c>
      <c r="G268" s="167">
        <v>38</v>
      </c>
      <c r="H268" s="167"/>
      <c r="I268" s="167"/>
      <c r="J268" s="167">
        <f>G268</f>
        <v>38</v>
      </c>
      <c r="K268" s="167"/>
      <c r="L268" s="167"/>
      <c r="M268" s="167"/>
      <c r="N268" s="167">
        <f>J268</f>
        <v>38</v>
      </c>
      <c r="O268" s="167"/>
      <c r="P268" s="167">
        <f>N268</f>
        <v>38</v>
      </c>
      <c r="R268" s="274"/>
      <c r="S268" s="274"/>
      <c r="T268" s="274"/>
      <c r="U268" s="274"/>
      <c r="V268" s="274"/>
      <c r="W268" s="274"/>
      <c r="X268" s="274"/>
      <c r="Y268" s="274"/>
      <c r="Z268" s="274"/>
      <c r="EB268" s="13"/>
      <c r="EC268" s="13"/>
      <c r="ED268" s="13"/>
      <c r="EE268" s="13"/>
      <c r="EF268" s="13"/>
      <c r="EG268" s="13"/>
    </row>
    <row r="269" spans="1:137" s="4" customFormat="1" ht="18.75" customHeight="1" hidden="1">
      <c r="A269" s="134" t="s">
        <v>374</v>
      </c>
      <c r="B269" s="165"/>
      <c r="C269" s="165"/>
      <c r="D269" s="132"/>
      <c r="E269" s="132"/>
      <c r="F269" s="132"/>
      <c r="G269" s="132"/>
      <c r="H269" s="132"/>
      <c r="I269" s="132"/>
      <c r="J269" s="132"/>
      <c r="K269" s="132"/>
      <c r="L269" s="132"/>
      <c r="M269" s="132"/>
      <c r="N269" s="132"/>
      <c r="O269" s="132"/>
      <c r="P269" s="132"/>
      <c r="R269" s="274"/>
      <c r="S269" s="274"/>
      <c r="T269" s="274"/>
      <c r="U269" s="274"/>
      <c r="V269" s="274"/>
      <c r="W269" s="274"/>
      <c r="X269" s="274"/>
      <c r="Y269" s="274"/>
      <c r="Z269" s="274"/>
      <c r="EB269" s="13"/>
      <c r="EC269" s="13"/>
      <c r="ED269" s="13"/>
      <c r="EE269" s="13"/>
      <c r="EF269" s="13"/>
      <c r="EG269" s="13"/>
    </row>
    <row r="270" spans="1:137" s="4" customFormat="1" ht="19.5" customHeight="1" hidden="1">
      <c r="A270" s="135" t="s">
        <v>403</v>
      </c>
      <c r="B270" s="165"/>
      <c r="C270" s="165"/>
      <c r="D270" s="132">
        <f>D266/D268</f>
        <v>822230.7692307692</v>
      </c>
      <c r="E270" s="132"/>
      <c r="F270" s="132">
        <f>D270</f>
        <v>822230.7692307692</v>
      </c>
      <c r="G270" s="132">
        <f>G266/G268</f>
        <v>460200</v>
      </c>
      <c r="H270" s="132"/>
      <c r="I270" s="132"/>
      <c r="J270" s="132">
        <f>G270</f>
        <v>460200</v>
      </c>
      <c r="K270" s="132"/>
      <c r="L270" s="132"/>
      <c r="M270" s="132"/>
      <c r="N270" s="132">
        <f>N266/N268</f>
        <v>483218.4210526316</v>
      </c>
      <c r="O270" s="132"/>
      <c r="P270" s="132">
        <f>N270</f>
        <v>483218.4210526316</v>
      </c>
      <c r="R270" s="274"/>
      <c r="S270" s="274"/>
      <c r="T270" s="274"/>
      <c r="U270" s="274"/>
      <c r="V270" s="274"/>
      <c r="W270" s="274"/>
      <c r="X270" s="274"/>
      <c r="Y270" s="274"/>
      <c r="Z270" s="274"/>
      <c r="EB270" s="13"/>
      <c r="EC270" s="13"/>
      <c r="ED270" s="13"/>
      <c r="EE270" s="13"/>
      <c r="EF270" s="13"/>
      <c r="EG270" s="13"/>
    </row>
    <row r="271" spans="1:137" s="48" customFormat="1" ht="27.75" customHeight="1" hidden="1">
      <c r="A271" s="138" t="s">
        <v>27</v>
      </c>
      <c r="B271" s="163"/>
      <c r="C271" s="163"/>
      <c r="D271" s="175">
        <f>D273</f>
        <v>1905300</v>
      </c>
      <c r="E271" s="175"/>
      <c r="F271" s="175">
        <f>D271</f>
        <v>1905300</v>
      </c>
      <c r="G271" s="162">
        <f>G273</f>
        <v>5385700</v>
      </c>
      <c r="H271" s="162"/>
      <c r="I271" s="162"/>
      <c r="J271" s="162">
        <f>G271</f>
        <v>5385700</v>
      </c>
      <c r="K271" s="162"/>
      <c r="L271" s="162"/>
      <c r="M271" s="162"/>
      <c r="N271" s="162">
        <f>N273</f>
        <v>5655000</v>
      </c>
      <c r="O271" s="162"/>
      <c r="P271" s="162">
        <f>N271</f>
        <v>5655000</v>
      </c>
      <c r="R271" s="274"/>
      <c r="S271" s="274"/>
      <c r="T271" s="274"/>
      <c r="U271" s="274"/>
      <c r="V271" s="274"/>
      <c r="W271" s="274"/>
      <c r="X271" s="274"/>
      <c r="Y271" s="274"/>
      <c r="Z271" s="274"/>
      <c r="EB271" s="49"/>
      <c r="EC271" s="49"/>
      <c r="ED271" s="49"/>
      <c r="EE271" s="49"/>
      <c r="EF271" s="49"/>
      <c r="EG271" s="49"/>
    </row>
    <row r="272" spans="1:137" s="4" customFormat="1" ht="19.5" customHeight="1" hidden="1">
      <c r="A272" s="134" t="s">
        <v>255</v>
      </c>
      <c r="B272" s="165"/>
      <c r="C272" s="165"/>
      <c r="D272" s="132"/>
      <c r="E272" s="132"/>
      <c r="F272" s="132"/>
      <c r="G272" s="132"/>
      <c r="H272" s="132"/>
      <c r="I272" s="132"/>
      <c r="J272" s="132"/>
      <c r="K272" s="132"/>
      <c r="L272" s="132"/>
      <c r="M272" s="132"/>
      <c r="N272" s="132"/>
      <c r="O272" s="132"/>
      <c r="P272" s="132"/>
      <c r="R272" s="274"/>
      <c r="S272" s="274"/>
      <c r="T272" s="274"/>
      <c r="U272" s="274"/>
      <c r="V272" s="274"/>
      <c r="W272" s="274"/>
      <c r="X272" s="274"/>
      <c r="Y272" s="274"/>
      <c r="Z272" s="274"/>
      <c r="EB272" s="13"/>
      <c r="EC272" s="13"/>
      <c r="ED272" s="13"/>
      <c r="EE272" s="13"/>
      <c r="EF272" s="13"/>
      <c r="EG272" s="13"/>
    </row>
    <row r="273" spans="1:137" s="4" customFormat="1" ht="27.75" customHeight="1" hidden="1">
      <c r="A273" s="135" t="s">
        <v>404</v>
      </c>
      <c r="B273" s="165"/>
      <c r="C273" s="165"/>
      <c r="D273" s="132">
        <f>4826500-2921200</f>
        <v>1905300</v>
      </c>
      <c r="E273" s="132"/>
      <c r="F273" s="132">
        <f>D273</f>
        <v>1905300</v>
      </c>
      <c r="G273" s="132">
        <v>5385700</v>
      </c>
      <c r="H273" s="132"/>
      <c r="I273" s="132"/>
      <c r="J273" s="132">
        <f>G273</f>
        <v>5385700</v>
      </c>
      <c r="K273" s="132"/>
      <c r="L273" s="132"/>
      <c r="M273" s="132"/>
      <c r="N273" s="132">
        <v>5655000</v>
      </c>
      <c r="O273" s="132"/>
      <c r="P273" s="132">
        <f>N273</f>
        <v>5655000</v>
      </c>
      <c r="R273" s="274"/>
      <c r="S273" s="274"/>
      <c r="T273" s="274"/>
      <c r="U273" s="274"/>
      <c r="V273" s="274"/>
      <c r="W273" s="274"/>
      <c r="X273" s="274"/>
      <c r="Y273" s="274"/>
      <c r="Z273" s="274"/>
      <c r="EB273" s="13"/>
      <c r="EC273" s="13"/>
      <c r="ED273" s="13"/>
      <c r="EE273" s="13"/>
      <c r="EF273" s="13"/>
      <c r="EG273" s="13"/>
    </row>
    <row r="274" spans="1:137" s="4" customFormat="1" ht="20.25" customHeight="1" hidden="1">
      <c r="A274" s="134" t="s">
        <v>378</v>
      </c>
      <c r="B274" s="165"/>
      <c r="C274" s="165"/>
      <c r="D274" s="132"/>
      <c r="E274" s="132"/>
      <c r="F274" s="132"/>
      <c r="G274" s="132"/>
      <c r="H274" s="132"/>
      <c r="I274" s="132"/>
      <c r="J274" s="132"/>
      <c r="K274" s="132"/>
      <c r="L274" s="132"/>
      <c r="M274" s="132"/>
      <c r="N274" s="132"/>
      <c r="O274" s="132"/>
      <c r="P274" s="132"/>
      <c r="R274" s="274"/>
      <c r="S274" s="274"/>
      <c r="T274" s="274"/>
      <c r="U274" s="274"/>
      <c r="V274" s="274"/>
      <c r="W274" s="274"/>
      <c r="X274" s="274"/>
      <c r="Y274" s="274"/>
      <c r="Z274" s="274"/>
      <c r="EB274" s="13"/>
      <c r="EC274" s="13"/>
      <c r="ED274" s="13"/>
      <c r="EE274" s="13"/>
      <c r="EF274" s="13"/>
      <c r="EG274" s="13"/>
    </row>
    <row r="275" spans="1:137" s="4" customFormat="1" ht="26.25" customHeight="1" hidden="1">
      <c r="A275" s="136" t="s">
        <v>405</v>
      </c>
      <c r="B275" s="165"/>
      <c r="C275" s="165"/>
      <c r="D275" s="167">
        <v>13</v>
      </c>
      <c r="E275" s="167"/>
      <c r="F275" s="167">
        <f>D275</f>
        <v>13</v>
      </c>
      <c r="G275" s="167">
        <f>F275</f>
        <v>13</v>
      </c>
      <c r="H275" s="167"/>
      <c r="I275" s="167"/>
      <c r="J275" s="167">
        <f>G275</f>
        <v>13</v>
      </c>
      <c r="K275" s="167"/>
      <c r="L275" s="167"/>
      <c r="M275" s="167"/>
      <c r="N275" s="167">
        <v>13</v>
      </c>
      <c r="O275" s="167"/>
      <c r="P275" s="167">
        <f>N275</f>
        <v>13</v>
      </c>
      <c r="R275" s="274"/>
      <c r="S275" s="274"/>
      <c r="T275" s="274"/>
      <c r="U275" s="274"/>
      <c r="V275" s="274"/>
      <c r="W275" s="274"/>
      <c r="X275" s="274"/>
      <c r="Y275" s="274"/>
      <c r="Z275" s="274"/>
      <c r="EB275" s="13"/>
      <c r="EC275" s="13"/>
      <c r="ED275" s="13"/>
      <c r="EE275" s="13"/>
      <c r="EF275" s="13"/>
      <c r="EG275" s="13"/>
    </row>
    <row r="276" spans="1:137" s="4" customFormat="1" ht="18" customHeight="1" hidden="1">
      <c r="A276" s="134" t="s">
        <v>374</v>
      </c>
      <c r="B276" s="165"/>
      <c r="C276" s="165"/>
      <c r="D276" s="132"/>
      <c r="E276" s="132"/>
      <c r="F276" s="132"/>
      <c r="G276" s="132"/>
      <c r="H276" s="132"/>
      <c r="I276" s="132"/>
      <c r="J276" s="132"/>
      <c r="K276" s="132"/>
      <c r="L276" s="132"/>
      <c r="M276" s="132"/>
      <c r="N276" s="132"/>
      <c r="O276" s="132"/>
      <c r="P276" s="132"/>
      <c r="R276" s="274"/>
      <c r="S276" s="274"/>
      <c r="T276" s="274"/>
      <c r="U276" s="274"/>
      <c r="V276" s="274"/>
      <c r="W276" s="274"/>
      <c r="X276" s="274"/>
      <c r="Y276" s="274"/>
      <c r="Z276" s="274"/>
      <c r="EB276" s="13"/>
      <c r="EC276" s="13"/>
      <c r="ED276" s="13"/>
      <c r="EE276" s="13"/>
      <c r="EF276" s="13"/>
      <c r="EG276" s="13"/>
    </row>
    <row r="277" spans="1:137" s="4" customFormat="1" ht="27.75" customHeight="1" hidden="1">
      <c r="A277" s="135" t="s">
        <v>406</v>
      </c>
      <c r="B277" s="165"/>
      <c r="C277" s="165"/>
      <c r="D277" s="132">
        <f>D273/D275</f>
        <v>146561.53846153847</v>
      </c>
      <c r="E277" s="132"/>
      <c r="F277" s="132">
        <f>F273/F275</f>
        <v>146561.53846153847</v>
      </c>
      <c r="G277" s="132">
        <f>G273/G275</f>
        <v>414284.6153846154</v>
      </c>
      <c r="H277" s="132"/>
      <c r="I277" s="132"/>
      <c r="J277" s="132">
        <f>G277</f>
        <v>414284.6153846154</v>
      </c>
      <c r="K277" s="132"/>
      <c r="L277" s="132"/>
      <c r="M277" s="132"/>
      <c r="N277" s="132">
        <f>N273/N275</f>
        <v>435000</v>
      </c>
      <c r="O277" s="132"/>
      <c r="P277" s="132">
        <f>N277</f>
        <v>435000</v>
      </c>
      <c r="R277" s="274"/>
      <c r="S277" s="274"/>
      <c r="T277" s="274"/>
      <c r="U277" s="274"/>
      <c r="V277" s="274"/>
      <c r="W277" s="274"/>
      <c r="X277" s="274"/>
      <c r="Y277" s="274"/>
      <c r="Z277" s="274"/>
      <c r="EB277" s="13"/>
      <c r="EC277" s="13"/>
      <c r="ED277" s="13"/>
      <c r="EE277" s="13"/>
      <c r="EF277" s="13"/>
      <c r="EG277" s="13"/>
    </row>
    <row r="278" spans="1:137" s="50" customFormat="1" ht="20.25" customHeight="1" hidden="1">
      <c r="A278" s="138" t="s">
        <v>28</v>
      </c>
      <c r="B278" s="160"/>
      <c r="C278" s="160"/>
      <c r="D278" s="276">
        <f>D280</f>
        <v>4600000</v>
      </c>
      <c r="E278" s="276"/>
      <c r="F278" s="276">
        <f>D278</f>
        <v>4600000</v>
      </c>
      <c r="G278" s="161">
        <f>G280</f>
        <v>6628300</v>
      </c>
      <c r="H278" s="161"/>
      <c r="I278" s="161"/>
      <c r="J278" s="161">
        <f>G278</f>
        <v>6628300</v>
      </c>
      <c r="K278" s="161"/>
      <c r="L278" s="161"/>
      <c r="M278" s="161"/>
      <c r="N278" s="161">
        <f>N280</f>
        <v>6960000</v>
      </c>
      <c r="O278" s="161"/>
      <c r="P278" s="161">
        <f>N278</f>
        <v>6960000</v>
      </c>
      <c r="R278" s="357"/>
      <c r="S278" s="357"/>
      <c r="T278" s="357"/>
      <c r="U278" s="357"/>
      <c r="V278" s="357"/>
      <c r="W278" s="357"/>
      <c r="X278" s="357"/>
      <c r="Y278" s="357"/>
      <c r="Z278" s="357"/>
      <c r="EB278" s="51"/>
      <c r="EC278" s="51"/>
      <c r="ED278" s="51"/>
      <c r="EE278" s="51"/>
      <c r="EF278" s="51"/>
      <c r="EG278" s="51"/>
    </row>
    <row r="279" spans="1:137" s="4" customFormat="1" ht="12.75" hidden="1">
      <c r="A279" s="134" t="s">
        <v>255</v>
      </c>
      <c r="B279" s="165"/>
      <c r="C279" s="165"/>
      <c r="D279" s="132"/>
      <c r="E279" s="132"/>
      <c r="F279" s="132"/>
      <c r="G279" s="132"/>
      <c r="H279" s="132"/>
      <c r="I279" s="132"/>
      <c r="J279" s="132"/>
      <c r="K279" s="132"/>
      <c r="L279" s="132"/>
      <c r="M279" s="132"/>
      <c r="N279" s="132"/>
      <c r="O279" s="132"/>
      <c r="P279" s="132"/>
      <c r="R279" s="274"/>
      <c r="S279" s="274"/>
      <c r="T279" s="274"/>
      <c r="U279" s="274"/>
      <c r="V279" s="274"/>
      <c r="W279" s="274"/>
      <c r="X279" s="274"/>
      <c r="Y279" s="274"/>
      <c r="Z279" s="274"/>
      <c r="EB279" s="13"/>
      <c r="EC279" s="13"/>
      <c r="ED279" s="13"/>
      <c r="EE279" s="13"/>
      <c r="EF279" s="13"/>
      <c r="EG279" s="13"/>
    </row>
    <row r="280" spans="1:137" s="4" customFormat="1" ht="18" customHeight="1" hidden="1">
      <c r="A280" s="135" t="s">
        <v>407</v>
      </c>
      <c r="B280" s="165"/>
      <c r="C280" s="165"/>
      <c r="D280" s="132">
        <f>5928700-150000-1178700</f>
        <v>4600000</v>
      </c>
      <c r="E280" s="132"/>
      <c r="F280" s="132">
        <f>D280</f>
        <v>4600000</v>
      </c>
      <c r="G280" s="132">
        <v>6628300</v>
      </c>
      <c r="H280" s="132"/>
      <c r="I280" s="132"/>
      <c r="J280" s="132">
        <f>G280</f>
        <v>6628300</v>
      </c>
      <c r="K280" s="132"/>
      <c r="L280" s="132"/>
      <c r="M280" s="132"/>
      <c r="N280" s="132">
        <v>6960000</v>
      </c>
      <c r="O280" s="132"/>
      <c r="P280" s="132">
        <f>N280</f>
        <v>6960000</v>
      </c>
      <c r="R280" s="274"/>
      <c r="S280" s="274"/>
      <c r="T280" s="274"/>
      <c r="U280" s="274"/>
      <c r="V280" s="274"/>
      <c r="W280" s="274"/>
      <c r="X280" s="274"/>
      <c r="Y280" s="274"/>
      <c r="Z280" s="274"/>
      <c r="EB280" s="13"/>
      <c r="EC280" s="13"/>
      <c r="ED280" s="13"/>
      <c r="EE280" s="13"/>
      <c r="EF280" s="13"/>
      <c r="EG280" s="13"/>
    </row>
    <row r="281" spans="1:137" s="4" customFormat="1" ht="18.75" customHeight="1" hidden="1">
      <c r="A281" s="134" t="s">
        <v>378</v>
      </c>
      <c r="B281" s="165"/>
      <c r="C281" s="165"/>
      <c r="D281" s="132"/>
      <c r="E281" s="132"/>
      <c r="F281" s="132"/>
      <c r="G281" s="132"/>
      <c r="H281" s="132"/>
      <c r="I281" s="132"/>
      <c r="J281" s="132"/>
      <c r="K281" s="132"/>
      <c r="L281" s="132"/>
      <c r="M281" s="132"/>
      <c r="N281" s="132"/>
      <c r="O281" s="132"/>
      <c r="P281" s="132"/>
      <c r="R281" s="274"/>
      <c r="S281" s="274"/>
      <c r="T281" s="274"/>
      <c r="U281" s="274"/>
      <c r="V281" s="274"/>
      <c r="W281" s="274"/>
      <c r="X281" s="274"/>
      <c r="Y281" s="274"/>
      <c r="Z281" s="274"/>
      <c r="EB281" s="13"/>
      <c r="EC281" s="13"/>
      <c r="ED281" s="13"/>
      <c r="EE281" s="13"/>
      <c r="EF281" s="13"/>
      <c r="EG281" s="13"/>
    </row>
    <row r="282" spans="1:137" s="4" customFormat="1" ht="21.75" customHeight="1" hidden="1">
      <c r="A282" s="135" t="s">
        <v>275</v>
      </c>
      <c r="B282" s="165"/>
      <c r="C282" s="165"/>
      <c r="D282" s="167">
        <v>1600</v>
      </c>
      <c r="E282" s="167"/>
      <c r="F282" s="167">
        <f>D282</f>
        <v>1600</v>
      </c>
      <c r="G282" s="167">
        <v>1600</v>
      </c>
      <c r="H282" s="167"/>
      <c r="I282" s="167"/>
      <c r="J282" s="167">
        <f>G282</f>
        <v>1600</v>
      </c>
      <c r="K282" s="167"/>
      <c r="L282" s="167"/>
      <c r="M282" s="167"/>
      <c r="N282" s="167">
        <f>J282</f>
        <v>1600</v>
      </c>
      <c r="O282" s="167"/>
      <c r="P282" s="167">
        <f>N282</f>
        <v>1600</v>
      </c>
      <c r="R282" s="274"/>
      <c r="S282" s="274"/>
      <c r="T282" s="274"/>
      <c r="U282" s="274"/>
      <c r="V282" s="274"/>
      <c r="W282" s="274"/>
      <c r="X282" s="274"/>
      <c r="Y282" s="274"/>
      <c r="Z282" s="274"/>
      <c r="EB282" s="13"/>
      <c r="EC282" s="13"/>
      <c r="ED282" s="13"/>
      <c r="EE282" s="13"/>
      <c r="EF282" s="13"/>
      <c r="EG282" s="13"/>
    </row>
    <row r="283" spans="1:137" s="4" customFormat="1" ht="12.75" hidden="1">
      <c r="A283" s="134" t="s">
        <v>374</v>
      </c>
      <c r="B283" s="165"/>
      <c r="C283" s="165"/>
      <c r="D283" s="132"/>
      <c r="E283" s="132"/>
      <c r="F283" s="132"/>
      <c r="G283" s="132"/>
      <c r="H283" s="132"/>
      <c r="I283" s="132"/>
      <c r="J283" s="132"/>
      <c r="K283" s="132"/>
      <c r="L283" s="132"/>
      <c r="M283" s="132"/>
      <c r="N283" s="132"/>
      <c r="O283" s="132"/>
      <c r="P283" s="132"/>
      <c r="R283" s="274"/>
      <c r="S283" s="274"/>
      <c r="T283" s="274"/>
      <c r="U283" s="274"/>
      <c r="V283" s="274"/>
      <c r="W283" s="274"/>
      <c r="X283" s="274"/>
      <c r="Y283" s="274"/>
      <c r="Z283" s="274"/>
      <c r="EB283" s="13"/>
      <c r="EC283" s="13"/>
      <c r="ED283" s="13"/>
      <c r="EE283" s="13"/>
      <c r="EF283" s="13"/>
      <c r="EG283" s="13"/>
    </row>
    <row r="284" spans="1:137" s="4" customFormat="1" ht="18" customHeight="1" hidden="1">
      <c r="A284" s="135" t="s">
        <v>408</v>
      </c>
      <c r="B284" s="165"/>
      <c r="C284" s="165"/>
      <c r="D284" s="132">
        <f>D280/D282</f>
        <v>2875</v>
      </c>
      <c r="E284" s="132"/>
      <c r="F284" s="132">
        <f>D284</f>
        <v>2875</v>
      </c>
      <c r="G284" s="132">
        <f>G280/G282</f>
        <v>4142.6875</v>
      </c>
      <c r="H284" s="132"/>
      <c r="I284" s="132"/>
      <c r="J284" s="132">
        <f>G284</f>
        <v>4142.6875</v>
      </c>
      <c r="K284" s="132"/>
      <c r="L284" s="132"/>
      <c r="M284" s="132"/>
      <c r="N284" s="132">
        <f>N280/N282</f>
        <v>4350</v>
      </c>
      <c r="O284" s="132"/>
      <c r="P284" s="132">
        <f>N284</f>
        <v>4350</v>
      </c>
      <c r="R284" s="274"/>
      <c r="S284" s="274"/>
      <c r="T284" s="274"/>
      <c r="U284" s="274"/>
      <c r="V284" s="274"/>
      <c r="W284" s="274"/>
      <c r="X284" s="274"/>
      <c r="Y284" s="274"/>
      <c r="Z284" s="274"/>
      <c r="EB284" s="13"/>
      <c r="EC284" s="13"/>
      <c r="ED284" s="13"/>
      <c r="EE284" s="13"/>
      <c r="EF284" s="13"/>
      <c r="EG284" s="13"/>
    </row>
    <row r="285" spans="1:137" s="50" customFormat="1" ht="19.5" customHeight="1" hidden="1">
      <c r="A285" s="138" t="s">
        <v>29</v>
      </c>
      <c r="B285" s="160"/>
      <c r="C285" s="160"/>
      <c r="D285" s="276">
        <f>D287</f>
        <v>193200</v>
      </c>
      <c r="E285" s="276"/>
      <c r="F285" s="276">
        <f>D285</f>
        <v>193200</v>
      </c>
      <c r="G285" s="161">
        <f>G287</f>
        <v>454000</v>
      </c>
      <c r="H285" s="161"/>
      <c r="I285" s="161"/>
      <c r="J285" s="161">
        <f>G285</f>
        <v>454000</v>
      </c>
      <c r="K285" s="161"/>
      <c r="L285" s="161"/>
      <c r="M285" s="161"/>
      <c r="N285" s="161">
        <f>N287</f>
        <v>476700</v>
      </c>
      <c r="O285" s="161"/>
      <c r="P285" s="161">
        <f>N285</f>
        <v>476700</v>
      </c>
      <c r="R285" s="357"/>
      <c r="S285" s="357"/>
      <c r="T285" s="357"/>
      <c r="U285" s="357"/>
      <c r="V285" s="357"/>
      <c r="W285" s="357"/>
      <c r="X285" s="357"/>
      <c r="Y285" s="357"/>
      <c r="Z285" s="357"/>
      <c r="EB285" s="51"/>
      <c r="EC285" s="51"/>
      <c r="ED285" s="51"/>
      <c r="EE285" s="51"/>
      <c r="EF285" s="51"/>
      <c r="EG285" s="51"/>
    </row>
    <row r="286" spans="1:137" s="4" customFormat="1" ht="15" customHeight="1" hidden="1">
      <c r="A286" s="134" t="s">
        <v>255</v>
      </c>
      <c r="B286" s="165"/>
      <c r="C286" s="165"/>
      <c r="D286" s="132"/>
      <c r="E286" s="132"/>
      <c r="F286" s="132"/>
      <c r="G286" s="132"/>
      <c r="H286" s="132"/>
      <c r="I286" s="132"/>
      <c r="J286" s="132"/>
      <c r="K286" s="132"/>
      <c r="L286" s="132"/>
      <c r="M286" s="132"/>
      <c r="N286" s="132"/>
      <c r="O286" s="132"/>
      <c r="P286" s="132"/>
      <c r="R286" s="274"/>
      <c r="S286" s="274"/>
      <c r="T286" s="274"/>
      <c r="U286" s="274"/>
      <c r="V286" s="274"/>
      <c r="W286" s="274"/>
      <c r="X286" s="274"/>
      <c r="Y286" s="274"/>
      <c r="Z286" s="274"/>
      <c r="EB286" s="13"/>
      <c r="EC286" s="13"/>
      <c r="ED286" s="13"/>
      <c r="EE286" s="13"/>
      <c r="EF286" s="13"/>
      <c r="EG286" s="13"/>
    </row>
    <row r="287" spans="1:137" s="4" customFormat="1" ht="18.75" customHeight="1" hidden="1">
      <c r="A287" s="135" t="s">
        <v>409</v>
      </c>
      <c r="B287" s="165"/>
      <c r="C287" s="165"/>
      <c r="D287" s="132">
        <f>406100-212900</f>
        <v>193200</v>
      </c>
      <c r="E287" s="132"/>
      <c r="F287" s="132">
        <f>D287</f>
        <v>193200</v>
      </c>
      <c r="G287" s="132">
        <v>454000</v>
      </c>
      <c r="H287" s="132"/>
      <c r="I287" s="132"/>
      <c r="J287" s="132">
        <f>G287</f>
        <v>454000</v>
      </c>
      <c r="K287" s="132"/>
      <c r="L287" s="132"/>
      <c r="M287" s="132"/>
      <c r="N287" s="132">
        <v>476700</v>
      </c>
      <c r="O287" s="132"/>
      <c r="P287" s="132">
        <f>N287</f>
        <v>476700</v>
      </c>
      <c r="R287" s="274"/>
      <c r="S287" s="274"/>
      <c r="T287" s="274"/>
      <c r="U287" s="274"/>
      <c r="V287" s="274"/>
      <c r="W287" s="274"/>
      <c r="X287" s="274"/>
      <c r="Y287" s="274"/>
      <c r="Z287" s="274"/>
      <c r="EB287" s="13"/>
      <c r="EC287" s="13"/>
      <c r="ED287" s="13"/>
      <c r="EE287" s="13"/>
      <c r="EF287" s="13"/>
      <c r="EG287" s="13"/>
    </row>
    <row r="288" spans="1:137" s="4" customFormat="1" ht="12.75" hidden="1">
      <c r="A288" s="134" t="s">
        <v>378</v>
      </c>
      <c r="B288" s="165"/>
      <c r="C288" s="165"/>
      <c r="D288" s="132"/>
      <c r="E288" s="132"/>
      <c r="F288" s="132"/>
      <c r="G288" s="132"/>
      <c r="H288" s="132"/>
      <c r="I288" s="132"/>
      <c r="J288" s="132"/>
      <c r="K288" s="132"/>
      <c r="L288" s="132"/>
      <c r="M288" s="132"/>
      <c r="N288" s="132"/>
      <c r="O288" s="132"/>
      <c r="P288" s="132"/>
      <c r="R288" s="274"/>
      <c r="S288" s="274"/>
      <c r="T288" s="274"/>
      <c r="U288" s="274"/>
      <c r="V288" s="274"/>
      <c r="W288" s="274"/>
      <c r="X288" s="274"/>
      <c r="Y288" s="274"/>
      <c r="Z288" s="274"/>
      <c r="EB288" s="13"/>
      <c r="EC288" s="13"/>
      <c r="ED288" s="13"/>
      <c r="EE288" s="13"/>
      <c r="EF288" s="13"/>
      <c r="EG288" s="13"/>
    </row>
    <row r="289" spans="1:137" s="4" customFormat="1" ht="20.25" customHeight="1" hidden="1">
      <c r="A289" s="135" t="s">
        <v>327</v>
      </c>
      <c r="B289" s="165"/>
      <c r="C289" s="165"/>
      <c r="D289" s="167">
        <v>43</v>
      </c>
      <c r="E289" s="167"/>
      <c r="F289" s="167">
        <f>D289</f>
        <v>43</v>
      </c>
      <c r="G289" s="167">
        <v>90</v>
      </c>
      <c r="H289" s="167"/>
      <c r="I289" s="167"/>
      <c r="J289" s="167">
        <f>G289</f>
        <v>90</v>
      </c>
      <c r="K289" s="167"/>
      <c r="L289" s="167"/>
      <c r="M289" s="167"/>
      <c r="N289" s="167">
        <v>90</v>
      </c>
      <c r="O289" s="167"/>
      <c r="P289" s="167">
        <v>90</v>
      </c>
      <c r="R289" s="274"/>
      <c r="S289" s="274"/>
      <c r="T289" s="274"/>
      <c r="U289" s="274"/>
      <c r="V289" s="274"/>
      <c r="W289" s="274"/>
      <c r="X289" s="274"/>
      <c r="Y289" s="274"/>
      <c r="Z289" s="274"/>
      <c r="EB289" s="13"/>
      <c r="EC289" s="13"/>
      <c r="ED289" s="13"/>
      <c r="EE289" s="13"/>
      <c r="EF289" s="13"/>
      <c r="EG289" s="13"/>
    </row>
    <row r="290" spans="1:137" s="4" customFormat="1" ht="12.75" hidden="1">
      <c r="A290" s="134" t="s">
        <v>374</v>
      </c>
      <c r="B290" s="165"/>
      <c r="C290" s="165"/>
      <c r="D290" s="132"/>
      <c r="E290" s="132"/>
      <c r="F290" s="132"/>
      <c r="G290" s="132"/>
      <c r="H290" s="132"/>
      <c r="I290" s="132"/>
      <c r="J290" s="132"/>
      <c r="K290" s="132"/>
      <c r="L290" s="132"/>
      <c r="M290" s="132"/>
      <c r="N290" s="132"/>
      <c r="O290" s="132"/>
      <c r="P290" s="132"/>
      <c r="R290" s="274"/>
      <c r="S290" s="274"/>
      <c r="T290" s="274"/>
      <c r="U290" s="274"/>
      <c r="V290" s="274"/>
      <c r="W290" s="274"/>
      <c r="X290" s="274"/>
      <c r="Y290" s="274"/>
      <c r="Z290" s="274"/>
      <c r="EB290" s="13"/>
      <c r="EC290" s="13"/>
      <c r="ED290" s="13"/>
      <c r="EE290" s="13"/>
      <c r="EF290" s="13"/>
      <c r="EG290" s="13"/>
    </row>
    <row r="291" spans="1:137" s="4" customFormat="1" ht="21.75" customHeight="1" hidden="1">
      <c r="A291" s="135" t="s">
        <v>280</v>
      </c>
      <c r="B291" s="165"/>
      <c r="C291" s="165"/>
      <c r="D291" s="132">
        <f>D287/D289</f>
        <v>4493.023255813953</v>
      </c>
      <c r="E291" s="132"/>
      <c r="F291" s="132">
        <f>D291</f>
        <v>4493.023255813953</v>
      </c>
      <c r="G291" s="132">
        <f>G287/G289</f>
        <v>5044.444444444444</v>
      </c>
      <c r="H291" s="132"/>
      <c r="I291" s="132"/>
      <c r="J291" s="132">
        <f>G291</f>
        <v>5044.444444444444</v>
      </c>
      <c r="K291" s="132"/>
      <c r="L291" s="132"/>
      <c r="M291" s="132"/>
      <c r="N291" s="132">
        <f>N287/N289</f>
        <v>5296.666666666667</v>
      </c>
      <c r="O291" s="132"/>
      <c r="P291" s="132">
        <f>N291</f>
        <v>5296.666666666667</v>
      </c>
      <c r="R291" s="274"/>
      <c r="S291" s="274"/>
      <c r="T291" s="274"/>
      <c r="U291" s="274"/>
      <c r="V291" s="274"/>
      <c r="W291" s="274"/>
      <c r="X291" s="274"/>
      <c r="Y291" s="274"/>
      <c r="Z291" s="274"/>
      <c r="EB291" s="13"/>
      <c r="EC291" s="13"/>
      <c r="ED291" s="13"/>
      <c r="EE291" s="13"/>
      <c r="EF291" s="13"/>
      <c r="EG291" s="13"/>
    </row>
    <row r="292" spans="1:137" s="50" customFormat="1" ht="20.25" customHeight="1" hidden="1">
      <c r="A292" s="138" t="s">
        <v>30</v>
      </c>
      <c r="B292" s="160"/>
      <c r="C292" s="160"/>
      <c r="D292" s="276">
        <f>D294</f>
        <v>55000</v>
      </c>
      <c r="E292" s="276"/>
      <c r="F292" s="276">
        <f>D292</f>
        <v>55000</v>
      </c>
      <c r="G292" s="161">
        <f>G294</f>
        <v>67800</v>
      </c>
      <c r="H292" s="161"/>
      <c r="I292" s="161"/>
      <c r="J292" s="161">
        <f>G292</f>
        <v>67800</v>
      </c>
      <c r="K292" s="161"/>
      <c r="L292" s="161"/>
      <c r="M292" s="161"/>
      <c r="N292" s="161">
        <f>N294</f>
        <v>71200</v>
      </c>
      <c r="O292" s="161"/>
      <c r="P292" s="161">
        <f>N292</f>
        <v>71200</v>
      </c>
      <c r="R292" s="357"/>
      <c r="S292" s="357"/>
      <c r="T292" s="357"/>
      <c r="U292" s="357"/>
      <c r="V292" s="357"/>
      <c r="W292" s="357"/>
      <c r="X292" s="357"/>
      <c r="Y292" s="357"/>
      <c r="Z292" s="357"/>
      <c r="EB292" s="51"/>
      <c r="EC292" s="51"/>
      <c r="ED292" s="51"/>
      <c r="EE292" s="51"/>
      <c r="EF292" s="51"/>
      <c r="EG292" s="51"/>
    </row>
    <row r="293" spans="1:137" s="4" customFormat="1" ht="12.75" hidden="1">
      <c r="A293" s="134" t="s">
        <v>255</v>
      </c>
      <c r="B293" s="165"/>
      <c r="C293" s="165"/>
      <c r="D293" s="132"/>
      <c r="E293" s="132"/>
      <c r="F293" s="132"/>
      <c r="G293" s="132"/>
      <c r="H293" s="132"/>
      <c r="I293" s="132"/>
      <c r="J293" s="132"/>
      <c r="K293" s="132"/>
      <c r="L293" s="132"/>
      <c r="M293" s="132"/>
      <c r="N293" s="132"/>
      <c r="O293" s="132"/>
      <c r="P293" s="132"/>
      <c r="R293" s="274"/>
      <c r="S293" s="274"/>
      <c r="T293" s="274"/>
      <c r="U293" s="274"/>
      <c r="V293" s="274"/>
      <c r="W293" s="274"/>
      <c r="X293" s="274"/>
      <c r="Y293" s="274"/>
      <c r="Z293" s="274"/>
      <c r="EB293" s="13"/>
      <c r="EC293" s="13"/>
      <c r="ED293" s="13"/>
      <c r="EE293" s="13"/>
      <c r="EF293" s="13"/>
      <c r="EG293" s="13"/>
    </row>
    <row r="294" spans="1:137" s="4" customFormat="1" ht="23.25" customHeight="1" hidden="1">
      <c r="A294" s="135" t="s">
        <v>410</v>
      </c>
      <c r="B294" s="165"/>
      <c r="C294" s="165"/>
      <c r="D294" s="132">
        <f>D296*D298</f>
        <v>55000</v>
      </c>
      <c r="E294" s="132"/>
      <c r="F294" s="132">
        <f>D294</f>
        <v>55000</v>
      </c>
      <c r="G294" s="132">
        <f>G296*G298</f>
        <v>67800</v>
      </c>
      <c r="H294" s="132"/>
      <c r="I294" s="132"/>
      <c r="J294" s="132">
        <f>G294</f>
        <v>67800</v>
      </c>
      <c r="K294" s="132"/>
      <c r="L294" s="132"/>
      <c r="M294" s="132"/>
      <c r="N294" s="132">
        <f>N296*N298</f>
        <v>71200</v>
      </c>
      <c r="O294" s="132"/>
      <c r="P294" s="132">
        <f>N294</f>
        <v>71200</v>
      </c>
      <c r="R294" s="274"/>
      <c r="S294" s="274"/>
      <c r="T294" s="274"/>
      <c r="U294" s="274"/>
      <c r="V294" s="274"/>
      <c r="W294" s="274"/>
      <c r="X294" s="274"/>
      <c r="Y294" s="274"/>
      <c r="Z294" s="274"/>
      <c r="EB294" s="13"/>
      <c r="EC294" s="13"/>
      <c r="ED294" s="13"/>
      <c r="EE294" s="13"/>
      <c r="EF294" s="13"/>
      <c r="EG294" s="13"/>
    </row>
    <row r="295" spans="1:137" s="4" customFormat="1" ht="14.25" customHeight="1" hidden="1">
      <c r="A295" s="134" t="s">
        <v>378</v>
      </c>
      <c r="B295" s="165"/>
      <c r="C295" s="165"/>
      <c r="D295" s="132"/>
      <c r="E295" s="132"/>
      <c r="F295" s="132"/>
      <c r="G295" s="132"/>
      <c r="H295" s="132"/>
      <c r="I295" s="132"/>
      <c r="J295" s="132"/>
      <c r="K295" s="132"/>
      <c r="L295" s="132"/>
      <c r="M295" s="132"/>
      <c r="N295" s="132"/>
      <c r="O295" s="132"/>
      <c r="P295" s="132"/>
      <c r="R295" s="274"/>
      <c r="S295" s="274"/>
      <c r="T295" s="274"/>
      <c r="U295" s="274"/>
      <c r="V295" s="274"/>
      <c r="W295" s="274"/>
      <c r="X295" s="274"/>
      <c r="Y295" s="274"/>
      <c r="Z295" s="274"/>
      <c r="EB295" s="13"/>
      <c r="EC295" s="13"/>
      <c r="ED295" s="13"/>
      <c r="EE295" s="13"/>
      <c r="EF295" s="13"/>
      <c r="EG295" s="13"/>
    </row>
    <row r="296" spans="1:137" s="4" customFormat="1" ht="15.75" customHeight="1" hidden="1">
      <c r="A296" s="135" t="s">
        <v>137</v>
      </c>
      <c r="B296" s="165"/>
      <c r="C296" s="165"/>
      <c r="D296" s="167">
        <v>4</v>
      </c>
      <c r="E296" s="167"/>
      <c r="F296" s="167">
        <f>D296</f>
        <v>4</v>
      </c>
      <c r="G296" s="167">
        <v>4</v>
      </c>
      <c r="H296" s="167"/>
      <c r="I296" s="167"/>
      <c r="J296" s="167">
        <f>G296</f>
        <v>4</v>
      </c>
      <c r="K296" s="167"/>
      <c r="L296" s="167"/>
      <c r="M296" s="167"/>
      <c r="N296" s="167">
        <f>J296</f>
        <v>4</v>
      </c>
      <c r="O296" s="167"/>
      <c r="P296" s="167">
        <f>N296</f>
        <v>4</v>
      </c>
      <c r="R296" s="274"/>
      <c r="S296" s="274"/>
      <c r="T296" s="274"/>
      <c r="U296" s="274"/>
      <c r="V296" s="274"/>
      <c r="W296" s="274"/>
      <c r="X296" s="274"/>
      <c r="Y296" s="274"/>
      <c r="Z296" s="274"/>
      <c r="EB296" s="13"/>
      <c r="EC296" s="13"/>
      <c r="ED296" s="13"/>
      <c r="EE296" s="13"/>
      <c r="EF296" s="13"/>
      <c r="EG296" s="13"/>
    </row>
    <row r="297" spans="1:137" s="4" customFormat="1" ht="15.75" customHeight="1" hidden="1">
      <c r="A297" s="134" t="s">
        <v>374</v>
      </c>
      <c r="B297" s="165"/>
      <c r="C297" s="165"/>
      <c r="D297" s="132"/>
      <c r="E297" s="132"/>
      <c r="F297" s="132"/>
      <c r="G297" s="132"/>
      <c r="H297" s="132"/>
      <c r="I297" s="132"/>
      <c r="J297" s="132"/>
      <c r="K297" s="132"/>
      <c r="L297" s="132"/>
      <c r="M297" s="132"/>
      <c r="N297" s="132"/>
      <c r="O297" s="132"/>
      <c r="P297" s="132"/>
      <c r="R297" s="274"/>
      <c r="S297" s="274"/>
      <c r="T297" s="274"/>
      <c r="U297" s="274"/>
      <c r="V297" s="274"/>
      <c r="W297" s="274"/>
      <c r="X297" s="274"/>
      <c r="Y297" s="274"/>
      <c r="Z297" s="274"/>
      <c r="EB297" s="13"/>
      <c r="EC297" s="13"/>
      <c r="ED297" s="13"/>
      <c r="EE297" s="13"/>
      <c r="EF297" s="13"/>
      <c r="EG297" s="13"/>
    </row>
    <row r="298" spans="1:137" s="4" customFormat="1" ht="21.75" customHeight="1" hidden="1">
      <c r="A298" s="135" t="s">
        <v>411</v>
      </c>
      <c r="B298" s="165"/>
      <c r="C298" s="165"/>
      <c r="D298" s="132">
        <v>13750</v>
      </c>
      <c r="E298" s="132"/>
      <c r="F298" s="132">
        <f>D298</f>
        <v>13750</v>
      </c>
      <c r="G298" s="132">
        <v>16950</v>
      </c>
      <c r="H298" s="132"/>
      <c r="I298" s="132"/>
      <c r="J298" s="132">
        <f>G298</f>
        <v>16950</v>
      </c>
      <c r="K298" s="132"/>
      <c r="L298" s="132"/>
      <c r="M298" s="132"/>
      <c r="N298" s="132">
        <v>17800</v>
      </c>
      <c r="O298" s="132"/>
      <c r="P298" s="132">
        <f>N298</f>
        <v>17800</v>
      </c>
      <c r="R298" s="274"/>
      <c r="S298" s="274"/>
      <c r="T298" s="274"/>
      <c r="U298" s="274"/>
      <c r="V298" s="274"/>
      <c r="W298" s="274"/>
      <c r="X298" s="274"/>
      <c r="Y298" s="274"/>
      <c r="Z298" s="274"/>
      <c r="EB298" s="13"/>
      <c r="EC298" s="13"/>
      <c r="ED298" s="13"/>
      <c r="EE298" s="13"/>
      <c r="EF298" s="13"/>
      <c r="EG298" s="13"/>
    </row>
    <row r="299" spans="1:137" s="48" customFormat="1" ht="41.25" customHeight="1" hidden="1">
      <c r="A299" s="138" t="s">
        <v>176</v>
      </c>
      <c r="B299" s="177"/>
      <c r="C299" s="177"/>
      <c r="D299" s="161">
        <v>150000</v>
      </c>
      <c r="E299" s="161"/>
      <c r="F299" s="161">
        <f>D299</f>
        <v>150000</v>
      </c>
      <c r="G299" s="162"/>
      <c r="H299" s="162"/>
      <c r="I299" s="162"/>
      <c r="J299" s="162"/>
      <c r="K299" s="162"/>
      <c r="L299" s="162"/>
      <c r="M299" s="162"/>
      <c r="N299" s="162"/>
      <c r="O299" s="162"/>
      <c r="P299" s="162"/>
      <c r="R299" s="274"/>
      <c r="S299" s="274"/>
      <c r="T299" s="274"/>
      <c r="U299" s="274"/>
      <c r="V299" s="274"/>
      <c r="W299" s="274"/>
      <c r="X299" s="274"/>
      <c r="Y299" s="274"/>
      <c r="Z299" s="274"/>
      <c r="EB299" s="49"/>
      <c r="EC299" s="49"/>
      <c r="ED299" s="49"/>
      <c r="EE299" s="49"/>
      <c r="EF299" s="49"/>
      <c r="EG299" s="49"/>
    </row>
    <row r="300" spans="1:137" s="4" customFormat="1" ht="21.75" customHeight="1" hidden="1">
      <c r="A300" s="134" t="s">
        <v>255</v>
      </c>
      <c r="B300" s="168"/>
      <c r="C300" s="168"/>
      <c r="D300" s="132"/>
      <c r="E300" s="132"/>
      <c r="F300" s="132"/>
      <c r="G300" s="132"/>
      <c r="H300" s="132"/>
      <c r="I300" s="132"/>
      <c r="J300" s="132"/>
      <c r="K300" s="132"/>
      <c r="L300" s="132"/>
      <c r="M300" s="132"/>
      <c r="N300" s="132"/>
      <c r="O300" s="132"/>
      <c r="P300" s="132"/>
      <c r="R300" s="274"/>
      <c r="S300" s="274"/>
      <c r="T300" s="274"/>
      <c r="U300" s="274"/>
      <c r="V300" s="274"/>
      <c r="W300" s="274"/>
      <c r="X300" s="274"/>
      <c r="Y300" s="274"/>
      <c r="Z300" s="274"/>
      <c r="EB300" s="13"/>
      <c r="EC300" s="13"/>
      <c r="ED300" s="13"/>
      <c r="EE300" s="13"/>
      <c r="EF300" s="13"/>
      <c r="EG300" s="13"/>
    </row>
    <row r="301" spans="1:137" s="4" customFormat="1" ht="16.5" customHeight="1" hidden="1">
      <c r="A301" s="135" t="s">
        <v>177</v>
      </c>
      <c r="B301" s="168"/>
      <c r="C301" s="168"/>
      <c r="D301" s="132">
        <v>150000</v>
      </c>
      <c r="E301" s="132"/>
      <c r="F301" s="132">
        <f>D301+E301</f>
        <v>150000</v>
      </c>
      <c r="G301" s="132"/>
      <c r="H301" s="132"/>
      <c r="I301" s="132"/>
      <c r="J301" s="132"/>
      <c r="K301" s="132"/>
      <c r="L301" s="132"/>
      <c r="M301" s="132"/>
      <c r="N301" s="132"/>
      <c r="O301" s="132"/>
      <c r="P301" s="132"/>
      <c r="R301" s="274"/>
      <c r="S301" s="274"/>
      <c r="T301" s="274"/>
      <c r="U301" s="274"/>
      <c r="V301" s="274"/>
      <c r="W301" s="274"/>
      <c r="X301" s="274"/>
      <c r="Y301" s="274"/>
      <c r="Z301" s="274"/>
      <c r="EB301" s="13"/>
      <c r="EC301" s="13"/>
      <c r="ED301" s="13"/>
      <c r="EE301" s="13"/>
      <c r="EF301" s="13"/>
      <c r="EG301" s="13"/>
    </row>
    <row r="302" spans="1:137" s="4" customFormat="1" ht="21.75" customHeight="1" hidden="1">
      <c r="A302" s="134" t="s">
        <v>378</v>
      </c>
      <c r="B302" s="168"/>
      <c r="C302" s="168"/>
      <c r="D302" s="132"/>
      <c r="E302" s="132"/>
      <c r="F302" s="132"/>
      <c r="G302" s="132"/>
      <c r="H302" s="132"/>
      <c r="I302" s="132"/>
      <c r="J302" s="132"/>
      <c r="K302" s="132"/>
      <c r="L302" s="132"/>
      <c r="M302" s="132"/>
      <c r="N302" s="132"/>
      <c r="O302" s="132"/>
      <c r="P302" s="132"/>
      <c r="R302" s="274"/>
      <c r="S302" s="274"/>
      <c r="T302" s="274"/>
      <c r="U302" s="274"/>
      <c r="V302" s="274"/>
      <c r="W302" s="274"/>
      <c r="X302" s="274"/>
      <c r="Y302" s="274"/>
      <c r="Z302" s="274"/>
      <c r="EB302" s="13"/>
      <c r="EC302" s="13"/>
      <c r="ED302" s="13"/>
      <c r="EE302" s="13"/>
      <c r="EF302" s="13"/>
      <c r="EG302" s="13"/>
    </row>
    <row r="303" spans="1:137" s="4" customFormat="1" ht="21.75" customHeight="1" hidden="1">
      <c r="A303" s="135" t="s">
        <v>527</v>
      </c>
      <c r="B303" s="168"/>
      <c r="C303" s="168"/>
      <c r="D303" s="167">
        <v>42</v>
      </c>
      <c r="E303" s="132"/>
      <c r="F303" s="167">
        <v>42</v>
      </c>
      <c r="G303" s="132"/>
      <c r="H303" s="132"/>
      <c r="I303" s="132"/>
      <c r="J303" s="132"/>
      <c r="K303" s="132"/>
      <c r="L303" s="132"/>
      <c r="M303" s="132"/>
      <c r="N303" s="132"/>
      <c r="O303" s="132"/>
      <c r="P303" s="132"/>
      <c r="R303" s="274"/>
      <c r="S303" s="274"/>
      <c r="T303" s="274"/>
      <c r="U303" s="274"/>
      <c r="V303" s="274"/>
      <c r="W303" s="274"/>
      <c r="X303" s="274"/>
      <c r="Y303" s="274"/>
      <c r="Z303" s="274"/>
      <c r="EB303" s="13"/>
      <c r="EC303" s="13"/>
      <c r="ED303" s="13"/>
      <c r="EE303" s="13"/>
      <c r="EF303" s="13"/>
      <c r="EG303" s="13"/>
    </row>
    <row r="304" spans="1:137" s="4" customFormat="1" ht="15" customHeight="1" hidden="1">
      <c r="A304" s="134" t="s">
        <v>374</v>
      </c>
      <c r="B304" s="168"/>
      <c r="C304" s="168"/>
      <c r="D304" s="132"/>
      <c r="E304" s="132"/>
      <c r="F304" s="132"/>
      <c r="G304" s="132"/>
      <c r="H304" s="132"/>
      <c r="I304" s="132"/>
      <c r="J304" s="132"/>
      <c r="K304" s="132"/>
      <c r="L304" s="132"/>
      <c r="M304" s="132"/>
      <c r="N304" s="132"/>
      <c r="O304" s="132"/>
      <c r="P304" s="132"/>
      <c r="R304" s="274"/>
      <c r="S304" s="274"/>
      <c r="T304" s="274"/>
      <c r="U304" s="274"/>
      <c r="V304" s="274"/>
      <c r="W304" s="274"/>
      <c r="X304" s="274"/>
      <c r="Y304" s="274"/>
      <c r="Z304" s="274"/>
      <c r="EB304" s="13"/>
      <c r="EC304" s="13"/>
      <c r="ED304" s="13"/>
      <c r="EE304" s="13"/>
      <c r="EF304" s="13"/>
      <c r="EG304" s="13"/>
    </row>
    <row r="305" spans="1:137" s="4" customFormat="1" ht="14.25" customHeight="1" hidden="1">
      <c r="A305" s="135" t="s">
        <v>178</v>
      </c>
      <c r="B305" s="168"/>
      <c r="C305" s="168"/>
      <c r="D305" s="132">
        <v>3500</v>
      </c>
      <c r="E305" s="132"/>
      <c r="F305" s="132">
        <f>D305</f>
        <v>3500</v>
      </c>
      <c r="G305" s="132"/>
      <c r="H305" s="132"/>
      <c r="I305" s="132"/>
      <c r="J305" s="132"/>
      <c r="K305" s="132"/>
      <c r="L305" s="132"/>
      <c r="M305" s="132"/>
      <c r="N305" s="132"/>
      <c r="O305" s="132"/>
      <c r="P305" s="132"/>
      <c r="R305" s="274"/>
      <c r="S305" s="274"/>
      <c r="T305" s="274"/>
      <c r="U305" s="274"/>
      <c r="V305" s="274"/>
      <c r="W305" s="274"/>
      <c r="X305" s="274"/>
      <c r="Y305" s="274"/>
      <c r="Z305" s="274"/>
      <c r="EB305" s="13"/>
      <c r="EC305" s="13"/>
      <c r="ED305" s="13"/>
      <c r="EE305" s="13"/>
      <c r="EF305" s="13"/>
      <c r="EG305" s="13"/>
    </row>
    <row r="306" spans="1:137" s="4" customFormat="1" ht="24.75" customHeight="1" hidden="1">
      <c r="A306" s="178" t="s">
        <v>98</v>
      </c>
      <c r="B306" s="165"/>
      <c r="C306" s="165"/>
      <c r="D306" s="164">
        <f>D308</f>
        <v>0</v>
      </c>
      <c r="E306" s="164"/>
      <c r="F306" s="164">
        <f>D306+E306</f>
        <v>0</v>
      </c>
      <c r="G306" s="132"/>
      <c r="H306" s="132"/>
      <c r="I306" s="132"/>
      <c r="J306" s="132"/>
      <c r="K306" s="132"/>
      <c r="L306" s="132"/>
      <c r="M306" s="132"/>
      <c r="N306" s="132"/>
      <c r="O306" s="132"/>
      <c r="P306" s="132"/>
      <c r="R306" s="274"/>
      <c r="S306" s="274"/>
      <c r="T306" s="274"/>
      <c r="U306" s="274"/>
      <c r="V306" s="274"/>
      <c r="W306" s="274"/>
      <c r="X306" s="274"/>
      <c r="Y306" s="274"/>
      <c r="Z306" s="274"/>
      <c r="EB306" s="13"/>
      <c r="EC306" s="13"/>
      <c r="ED306" s="13"/>
      <c r="EE306" s="13"/>
      <c r="EF306" s="13"/>
      <c r="EG306" s="13"/>
    </row>
    <row r="307" spans="1:137" s="4" customFormat="1" ht="21.75" customHeight="1" hidden="1">
      <c r="A307" s="179" t="s">
        <v>255</v>
      </c>
      <c r="B307" s="165"/>
      <c r="C307" s="165"/>
      <c r="D307" s="132"/>
      <c r="E307" s="132"/>
      <c r="F307" s="132">
        <f>D307+E307</f>
        <v>0</v>
      </c>
      <c r="G307" s="132"/>
      <c r="H307" s="132"/>
      <c r="I307" s="132"/>
      <c r="J307" s="132"/>
      <c r="K307" s="132"/>
      <c r="L307" s="132"/>
      <c r="M307" s="132"/>
      <c r="N307" s="132"/>
      <c r="O307" s="132"/>
      <c r="P307" s="132"/>
      <c r="R307" s="274"/>
      <c r="S307" s="274"/>
      <c r="T307" s="274"/>
      <c r="U307" s="274"/>
      <c r="V307" s="274"/>
      <c r="W307" s="274"/>
      <c r="X307" s="274"/>
      <c r="Y307" s="274"/>
      <c r="Z307" s="274"/>
      <c r="EB307" s="13"/>
      <c r="EC307" s="13"/>
      <c r="ED307" s="13"/>
      <c r="EE307" s="13"/>
      <c r="EF307" s="13"/>
      <c r="EG307" s="13"/>
    </row>
    <row r="308" spans="1:137" s="4" customFormat="1" ht="21.75" customHeight="1" hidden="1">
      <c r="A308" s="180" t="s">
        <v>480</v>
      </c>
      <c r="B308" s="165"/>
      <c r="C308" s="165"/>
      <c r="D308" s="132"/>
      <c r="E308" s="132"/>
      <c r="F308" s="132"/>
      <c r="G308" s="132"/>
      <c r="H308" s="132"/>
      <c r="I308" s="132"/>
      <c r="J308" s="132"/>
      <c r="K308" s="132"/>
      <c r="L308" s="132"/>
      <c r="M308" s="132"/>
      <c r="N308" s="132"/>
      <c r="O308" s="132"/>
      <c r="P308" s="132"/>
      <c r="R308" s="274"/>
      <c r="S308" s="274"/>
      <c r="T308" s="274"/>
      <c r="U308" s="274"/>
      <c r="V308" s="274"/>
      <c r="W308" s="274"/>
      <c r="X308" s="274"/>
      <c r="Y308" s="274"/>
      <c r="Z308" s="274"/>
      <c r="EB308" s="13"/>
      <c r="EC308" s="13"/>
      <c r="ED308" s="13"/>
      <c r="EE308" s="13"/>
      <c r="EF308" s="13"/>
      <c r="EG308" s="13"/>
    </row>
    <row r="309" spans="1:137" s="4" customFormat="1" ht="21.75" customHeight="1" hidden="1">
      <c r="A309" s="179" t="s">
        <v>378</v>
      </c>
      <c r="B309" s="165"/>
      <c r="C309" s="165"/>
      <c r="D309" s="132"/>
      <c r="E309" s="132"/>
      <c r="F309" s="132">
        <f>D309+E309</f>
        <v>0</v>
      </c>
      <c r="G309" s="132"/>
      <c r="H309" s="132"/>
      <c r="I309" s="132"/>
      <c r="J309" s="132"/>
      <c r="K309" s="132"/>
      <c r="L309" s="132"/>
      <c r="M309" s="132"/>
      <c r="N309" s="132"/>
      <c r="O309" s="132"/>
      <c r="P309" s="132"/>
      <c r="R309" s="274"/>
      <c r="S309" s="274"/>
      <c r="T309" s="274"/>
      <c r="U309" s="274"/>
      <c r="V309" s="274"/>
      <c r="W309" s="274"/>
      <c r="X309" s="274"/>
      <c r="Y309" s="274"/>
      <c r="Z309" s="274"/>
      <c r="EB309" s="13"/>
      <c r="EC309" s="13"/>
      <c r="ED309" s="13"/>
      <c r="EE309" s="13"/>
      <c r="EF309" s="13"/>
      <c r="EG309" s="13"/>
    </row>
    <row r="310" spans="1:137" s="4" customFormat="1" ht="21.75" customHeight="1" hidden="1">
      <c r="A310" s="180" t="s">
        <v>481</v>
      </c>
      <c r="B310" s="165"/>
      <c r="C310" s="165"/>
      <c r="D310" s="132"/>
      <c r="E310" s="132"/>
      <c r="F310" s="132"/>
      <c r="G310" s="132"/>
      <c r="H310" s="132"/>
      <c r="I310" s="132"/>
      <c r="J310" s="132"/>
      <c r="K310" s="132"/>
      <c r="L310" s="132"/>
      <c r="M310" s="132"/>
      <c r="N310" s="132"/>
      <c r="O310" s="132"/>
      <c r="P310" s="132"/>
      <c r="R310" s="274"/>
      <c r="S310" s="274"/>
      <c r="T310" s="274"/>
      <c r="U310" s="274"/>
      <c r="V310" s="274"/>
      <c r="W310" s="274"/>
      <c r="X310" s="274"/>
      <c r="Y310" s="274"/>
      <c r="Z310" s="274"/>
      <c r="EB310" s="13"/>
      <c r="EC310" s="13"/>
      <c r="ED310" s="13"/>
      <c r="EE310" s="13"/>
      <c r="EF310" s="13"/>
      <c r="EG310" s="13"/>
    </row>
    <row r="311" spans="1:137" s="4" customFormat="1" ht="21.75" customHeight="1" hidden="1">
      <c r="A311" s="179" t="s">
        <v>374</v>
      </c>
      <c r="B311" s="165"/>
      <c r="C311" s="165"/>
      <c r="D311" s="132"/>
      <c r="E311" s="132"/>
      <c r="F311" s="132">
        <f>D311+E311</f>
        <v>0</v>
      </c>
      <c r="G311" s="132"/>
      <c r="H311" s="132"/>
      <c r="I311" s="132"/>
      <c r="J311" s="132"/>
      <c r="K311" s="132"/>
      <c r="L311" s="132"/>
      <c r="M311" s="132"/>
      <c r="N311" s="132"/>
      <c r="O311" s="132"/>
      <c r="P311" s="132"/>
      <c r="R311" s="274"/>
      <c r="S311" s="274"/>
      <c r="T311" s="274"/>
      <c r="U311" s="274"/>
      <c r="V311" s="274"/>
      <c r="W311" s="274"/>
      <c r="X311" s="274"/>
      <c r="Y311" s="274"/>
      <c r="Z311" s="274"/>
      <c r="EB311" s="13"/>
      <c r="EC311" s="13"/>
      <c r="ED311" s="13"/>
      <c r="EE311" s="13"/>
      <c r="EF311" s="13"/>
      <c r="EG311" s="13"/>
    </row>
    <row r="312" spans="1:137" s="4" customFormat="1" ht="21.75" customHeight="1" hidden="1">
      <c r="A312" s="180" t="s">
        <v>482</v>
      </c>
      <c r="B312" s="165"/>
      <c r="C312" s="165"/>
      <c r="D312" s="132"/>
      <c r="E312" s="132"/>
      <c r="F312" s="132"/>
      <c r="G312" s="132"/>
      <c r="H312" s="132"/>
      <c r="I312" s="132"/>
      <c r="J312" s="132"/>
      <c r="K312" s="132"/>
      <c r="L312" s="132"/>
      <c r="M312" s="132"/>
      <c r="N312" s="132"/>
      <c r="O312" s="132"/>
      <c r="P312" s="132"/>
      <c r="R312" s="274"/>
      <c r="S312" s="274"/>
      <c r="T312" s="274"/>
      <c r="U312" s="274"/>
      <c r="V312" s="274"/>
      <c r="W312" s="274"/>
      <c r="X312" s="274"/>
      <c r="Y312" s="274"/>
      <c r="Z312" s="274"/>
      <c r="EB312" s="13"/>
      <c r="EC312" s="13"/>
      <c r="ED312" s="13"/>
      <c r="EE312" s="13"/>
      <c r="EF312" s="13"/>
      <c r="EG312" s="13"/>
    </row>
    <row r="313" spans="1:137" s="50" customFormat="1" ht="24.75" customHeight="1" hidden="1">
      <c r="A313" s="178" t="s">
        <v>99</v>
      </c>
      <c r="B313" s="181"/>
      <c r="C313" s="181"/>
      <c r="D313" s="161"/>
      <c r="E313" s="161">
        <f>E315</f>
        <v>0</v>
      </c>
      <c r="F313" s="161">
        <f>E313</f>
        <v>0</v>
      </c>
      <c r="G313" s="161"/>
      <c r="H313" s="161"/>
      <c r="I313" s="161"/>
      <c r="J313" s="161"/>
      <c r="K313" s="161"/>
      <c r="L313" s="161"/>
      <c r="M313" s="161"/>
      <c r="N313" s="161"/>
      <c r="O313" s="161"/>
      <c r="P313" s="161"/>
      <c r="R313" s="357"/>
      <c r="S313" s="357"/>
      <c r="T313" s="357"/>
      <c r="U313" s="357"/>
      <c r="V313" s="357"/>
      <c r="W313" s="357"/>
      <c r="X313" s="357"/>
      <c r="Y313" s="357"/>
      <c r="Z313" s="357"/>
      <c r="EB313" s="51"/>
      <c r="EC313" s="51"/>
      <c r="ED313" s="51"/>
      <c r="EE313" s="51"/>
      <c r="EF313" s="51"/>
      <c r="EG313" s="51"/>
    </row>
    <row r="314" spans="1:137" s="4" customFormat="1" ht="21.75" customHeight="1" hidden="1">
      <c r="A314" s="179" t="s">
        <v>255</v>
      </c>
      <c r="B314" s="168"/>
      <c r="C314" s="168"/>
      <c r="D314" s="132"/>
      <c r="E314" s="132"/>
      <c r="F314" s="132"/>
      <c r="G314" s="132"/>
      <c r="H314" s="132"/>
      <c r="I314" s="132"/>
      <c r="J314" s="132"/>
      <c r="K314" s="132"/>
      <c r="L314" s="132"/>
      <c r="M314" s="132"/>
      <c r="N314" s="132"/>
      <c r="O314" s="132"/>
      <c r="P314" s="132"/>
      <c r="R314" s="274"/>
      <c r="S314" s="274"/>
      <c r="T314" s="274"/>
      <c r="U314" s="274"/>
      <c r="V314" s="274"/>
      <c r="W314" s="274"/>
      <c r="X314" s="274"/>
      <c r="Y314" s="274"/>
      <c r="Z314" s="274"/>
      <c r="EB314" s="13"/>
      <c r="EC314" s="13"/>
      <c r="ED314" s="13"/>
      <c r="EE314" s="13"/>
      <c r="EF314" s="13"/>
      <c r="EG314" s="13"/>
    </row>
    <row r="315" spans="1:137" s="4" customFormat="1" ht="21.75" customHeight="1" hidden="1">
      <c r="A315" s="180" t="s">
        <v>480</v>
      </c>
      <c r="B315" s="168"/>
      <c r="C315" s="168"/>
      <c r="D315" s="132"/>
      <c r="E315" s="132"/>
      <c r="F315" s="132"/>
      <c r="G315" s="132"/>
      <c r="H315" s="132"/>
      <c r="I315" s="132"/>
      <c r="J315" s="132"/>
      <c r="K315" s="132"/>
      <c r="L315" s="132"/>
      <c r="M315" s="132"/>
      <c r="N315" s="132"/>
      <c r="O315" s="132"/>
      <c r="P315" s="132"/>
      <c r="R315" s="274"/>
      <c r="S315" s="274"/>
      <c r="T315" s="274"/>
      <c r="U315" s="274"/>
      <c r="V315" s="274"/>
      <c r="W315" s="274"/>
      <c r="X315" s="274"/>
      <c r="Y315" s="274"/>
      <c r="Z315" s="274"/>
      <c r="EB315" s="13"/>
      <c r="EC315" s="13"/>
      <c r="ED315" s="13"/>
      <c r="EE315" s="13"/>
      <c r="EF315" s="13"/>
      <c r="EG315" s="13"/>
    </row>
    <row r="316" spans="1:137" s="4" customFormat="1" ht="21.75" customHeight="1" hidden="1">
      <c r="A316" s="179" t="s">
        <v>378</v>
      </c>
      <c r="B316" s="168"/>
      <c r="C316" s="168"/>
      <c r="D316" s="132"/>
      <c r="E316" s="132"/>
      <c r="F316" s="132"/>
      <c r="G316" s="132"/>
      <c r="H316" s="132"/>
      <c r="I316" s="132"/>
      <c r="J316" s="132"/>
      <c r="K316" s="132"/>
      <c r="L316" s="132"/>
      <c r="M316" s="132"/>
      <c r="N316" s="132"/>
      <c r="O316" s="132"/>
      <c r="P316" s="132"/>
      <c r="R316" s="274"/>
      <c r="S316" s="274"/>
      <c r="T316" s="274"/>
      <c r="U316" s="274"/>
      <c r="V316" s="274"/>
      <c r="W316" s="274"/>
      <c r="X316" s="274"/>
      <c r="Y316" s="274"/>
      <c r="Z316" s="274"/>
      <c r="EB316" s="13"/>
      <c r="EC316" s="13"/>
      <c r="ED316" s="13"/>
      <c r="EE316" s="13"/>
      <c r="EF316" s="13"/>
      <c r="EG316" s="13"/>
    </row>
    <row r="317" spans="1:137" s="4" customFormat="1" ht="21.75" customHeight="1" hidden="1">
      <c r="A317" s="180" t="s">
        <v>481</v>
      </c>
      <c r="B317" s="168"/>
      <c r="C317" s="168"/>
      <c r="D317" s="132"/>
      <c r="E317" s="132"/>
      <c r="F317" s="132"/>
      <c r="G317" s="132"/>
      <c r="H317" s="132"/>
      <c r="I317" s="132"/>
      <c r="J317" s="132"/>
      <c r="K317" s="132"/>
      <c r="L317" s="132"/>
      <c r="M317" s="132"/>
      <c r="N317" s="132"/>
      <c r="O317" s="132"/>
      <c r="P317" s="132"/>
      <c r="R317" s="274"/>
      <c r="S317" s="274"/>
      <c r="T317" s="274"/>
      <c r="U317" s="274"/>
      <c r="V317" s="274"/>
      <c r="W317" s="274"/>
      <c r="X317" s="274"/>
      <c r="Y317" s="274"/>
      <c r="Z317" s="274"/>
      <c r="EB317" s="13"/>
      <c r="EC317" s="13"/>
      <c r="ED317" s="13"/>
      <c r="EE317" s="13"/>
      <c r="EF317" s="13"/>
      <c r="EG317" s="13"/>
    </row>
    <row r="318" spans="1:137" s="4" customFormat="1" ht="21.75" customHeight="1" hidden="1">
      <c r="A318" s="179" t="s">
        <v>374</v>
      </c>
      <c r="B318" s="168"/>
      <c r="C318" s="168"/>
      <c r="D318" s="132"/>
      <c r="E318" s="132"/>
      <c r="F318" s="132"/>
      <c r="G318" s="132"/>
      <c r="H318" s="132"/>
      <c r="I318" s="132"/>
      <c r="J318" s="132"/>
      <c r="K318" s="132"/>
      <c r="L318" s="132"/>
      <c r="M318" s="132"/>
      <c r="N318" s="132"/>
      <c r="O318" s="132"/>
      <c r="P318" s="132"/>
      <c r="R318" s="274"/>
      <c r="S318" s="274"/>
      <c r="T318" s="274"/>
      <c r="U318" s="274"/>
      <c r="V318" s="274"/>
      <c r="W318" s="274"/>
      <c r="X318" s="274"/>
      <c r="Y318" s="274"/>
      <c r="Z318" s="274"/>
      <c r="EB318" s="13"/>
      <c r="EC318" s="13"/>
      <c r="ED318" s="13"/>
      <c r="EE318" s="13"/>
      <c r="EF318" s="13"/>
      <c r="EG318" s="13"/>
    </row>
    <row r="319" spans="1:137" s="4" customFormat="1" ht="24.75" customHeight="1" hidden="1">
      <c r="A319" s="180" t="s">
        <v>482</v>
      </c>
      <c r="B319" s="168"/>
      <c r="C319" s="168"/>
      <c r="D319" s="132"/>
      <c r="E319" s="132"/>
      <c r="F319" s="132"/>
      <c r="G319" s="132"/>
      <c r="H319" s="132"/>
      <c r="I319" s="132"/>
      <c r="J319" s="132"/>
      <c r="K319" s="132"/>
      <c r="L319" s="132"/>
      <c r="M319" s="132"/>
      <c r="N319" s="132"/>
      <c r="O319" s="132"/>
      <c r="P319" s="132"/>
      <c r="R319" s="274"/>
      <c r="S319" s="274"/>
      <c r="T319" s="274"/>
      <c r="U319" s="274"/>
      <c r="V319" s="274"/>
      <c r="W319" s="274"/>
      <c r="X319" s="274"/>
      <c r="Y319" s="274"/>
      <c r="Z319" s="274"/>
      <c r="EB319" s="13"/>
      <c r="EC319" s="13"/>
      <c r="ED319" s="13"/>
      <c r="EE319" s="13"/>
      <c r="EF319" s="13"/>
      <c r="EG319" s="13"/>
    </row>
    <row r="320" spans="1:137" s="70" customFormat="1" ht="32.25" customHeight="1" hidden="1">
      <c r="A320" s="68" t="s">
        <v>107</v>
      </c>
      <c r="B320" s="69"/>
      <c r="C320" s="69"/>
      <c r="D320" s="67">
        <f>D321+D328+D335+D342+D349+D356</f>
        <v>6930000</v>
      </c>
      <c r="E320" s="67">
        <f aca="true" t="shared" si="27" ref="E320:P320">E321+E328+E335+E342+E349+E356</f>
        <v>0</v>
      </c>
      <c r="F320" s="67">
        <f t="shared" si="27"/>
        <v>6930000</v>
      </c>
      <c r="G320" s="67">
        <f t="shared" si="27"/>
        <v>11812800</v>
      </c>
      <c r="H320" s="67">
        <f t="shared" si="27"/>
        <v>0</v>
      </c>
      <c r="I320" s="67">
        <f t="shared" si="27"/>
        <v>0</v>
      </c>
      <c r="J320" s="67">
        <f t="shared" si="27"/>
        <v>11812800</v>
      </c>
      <c r="K320" s="67">
        <f t="shared" si="27"/>
        <v>0</v>
      </c>
      <c r="L320" s="67">
        <f t="shared" si="27"/>
        <v>0</v>
      </c>
      <c r="M320" s="67">
        <f t="shared" si="27"/>
        <v>0</v>
      </c>
      <c r="N320" s="67">
        <f t="shared" si="27"/>
        <v>10277000</v>
      </c>
      <c r="O320" s="67">
        <f t="shared" si="27"/>
        <v>0</v>
      </c>
      <c r="P320" s="67">
        <f t="shared" si="27"/>
        <v>10277000</v>
      </c>
      <c r="R320" s="358"/>
      <c r="S320" s="358"/>
      <c r="T320" s="358"/>
      <c r="U320" s="358"/>
      <c r="V320" s="358"/>
      <c r="W320" s="358"/>
      <c r="X320" s="358"/>
      <c r="Y320" s="358"/>
      <c r="Z320" s="358"/>
      <c r="EB320" s="71"/>
      <c r="EC320" s="71"/>
      <c r="ED320" s="71"/>
      <c r="EE320" s="71"/>
      <c r="EF320" s="71"/>
      <c r="EG320" s="71"/>
    </row>
    <row r="321" spans="1:137" s="50" customFormat="1" ht="45.75" customHeight="1" hidden="1">
      <c r="A321" s="138" t="s">
        <v>31</v>
      </c>
      <c r="B321" s="160"/>
      <c r="C321" s="160"/>
      <c r="D321" s="161">
        <f>D323</f>
        <v>680000</v>
      </c>
      <c r="E321" s="161"/>
      <c r="F321" s="161">
        <f>D321</f>
        <v>680000</v>
      </c>
      <c r="G321" s="161">
        <f>G323</f>
        <v>1550800</v>
      </c>
      <c r="H321" s="161"/>
      <c r="I321" s="161"/>
      <c r="J321" s="161">
        <f>G321</f>
        <v>1550800</v>
      </c>
      <c r="K321" s="161"/>
      <c r="L321" s="161"/>
      <c r="M321" s="161"/>
      <c r="N321" s="161">
        <f>N323</f>
        <v>1638300</v>
      </c>
      <c r="O321" s="161"/>
      <c r="P321" s="161">
        <f>N321</f>
        <v>1638300</v>
      </c>
      <c r="R321" s="357"/>
      <c r="S321" s="357"/>
      <c r="T321" s="357"/>
      <c r="U321" s="357"/>
      <c r="V321" s="357"/>
      <c r="W321" s="357"/>
      <c r="X321" s="357"/>
      <c r="Y321" s="357"/>
      <c r="Z321" s="357"/>
      <c r="EB321" s="51"/>
      <c r="EC321" s="51"/>
      <c r="ED321" s="51"/>
      <c r="EE321" s="51"/>
      <c r="EF321" s="51"/>
      <c r="EG321" s="51"/>
    </row>
    <row r="322" spans="1:137" s="48" customFormat="1" ht="17.25" customHeight="1" hidden="1">
      <c r="A322" s="134" t="s">
        <v>255</v>
      </c>
      <c r="B322" s="64"/>
      <c r="C322" s="64"/>
      <c r="D322" s="162"/>
      <c r="E322" s="162"/>
      <c r="F322" s="162"/>
      <c r="G322" s="162"/>
      <c r="H322" s="162"/>
      <c r="I322" s="162"/>
      <c r="J322" s="162"/>
      <c r="K322" s="162"/>
      <c r="L322" s="162"/>
      <c r="M322" s="162"/>
      <c r="N322" s="162"/>
      <c r="O322" s="162"/>
      <c r="P322" s="162"/>
      <c r="R322" s="274"/>
      <c r="S322" s="274"/>
      <c r="T322" s="274"/>
      <c r="U322" s="274"/>
      <c r="V322" s="274"/>
      <c r="W322" s="274"/>
      <c r="X322" s="274"/>
      <c r="Y322" s="274"/>
      <c r="Z322" s="274"/>
      <c r="EB322" s="49"/>
      <c r="EC322" s="49"/>
      <c r="ED322" s="49"/>
      <c r="EE322" s="49"/>
      <c r="EF322" s="49"/>
      <c r="EG322" s="49"/>
    </row>
    <row r="323" spans="1:137" s="48" customFormat="1" ht="38.25" customHeight="1" hidden="1">
      <c r="A323" s="135" t="s">
        <v>413</v>
      </c>
      <c r="B323" s="64"/>
      <c r="C323" s="64"/>
      <c r="D323" s="162">
        <f>1651700-200000-300000-471700</f>
        <v>680000</v>
      </c>
      <c r="E323" s="162"/>
      <c r="F323" s="162">
        <f>D323</f>
        <v>680000</v>
      </c>
      <c r="G323" s="162">
        <f>1750800-200000</f>
        <v>1550800</v>
      </c>
      <c r="H323" s="162"/>
      <c r="I323" s="162"/>
      <c r="J323" s="162">
        <f>G323</f>
        <v>1550800</v>
      </c>
      <c r="K323" s="162"/>
      <c r="L323" s="162"/>
      <c r="M323" s="162"/>
      <c r="N323" s="162">
        <f>1838300-200000</f>
        <v>1638300</v>
      </c>
      <c r="O323" s="162"/>
      <c r="P323" s="162">
        <f>N323</f>
        <v>1638300</v>
      </c>
      <c r="R323" s="274"/>
      <c r="S323" s="274"/>
      <c r="T323" s="274"/>
      <c r="U323" s="274"/>
      <c r="V323" s="274"/>
      <c r="W323" s="274"/>
      <c r="X323" s="274"/>
      <c r="Y323" s="274"/>
      <c r="Z323" s="274"/>
      <c r="EB323" s="49"/>
      <c r="EC323" s="49"/>
      <c r="ED323" s="49"/>
      <c r="EE323" s="49"/>
      <c r="EF323" s="49"/>
      <c r="EG323" s="49"/>
    </row>
    <row r="324" spans="1:137" s="48" customFormat="1" ht="16.5" customHeight="1" hidden="1">
      <c r="A324" s="134" t="s">
        <v>412</v>
      </c>
      <c r="B324" s="64"/>
      <c r="C324" s="64"/>
      <c r="D324" s="162"/>
      <c r="E324" s="162"/>
      <c r="F324" s="162"/>
      <c r="G324" s="162"/>
      <c r="H324" s="162"/>
      <c r="I324" s="162"/>
      <c r="J324" s="162"/>
      <c r="K324" s="162"/>
      <c r="L324" s="162"/>
      <c r="M324" s="162"/>
      <c r="N324" s="162"/>
      <c r="O324" s="162"/>
      <c r="P324" s="162"/>
      <c r="R324" s="274"/>
      <c r="S324" s="274"/>
      <c r="T324" s="274"/>
      <c r="U324" s="274"/>
      <c r="V324" s="274"/>
      <c r="W324" s="274"/>
      <c r="X324" s="274"/>
      <c r="Y324" s="274"/>
      <c r="Z324" s="274"/>
      <c r="EB324" s="49"/>
      <c r="EC324" s="49"/>
      <c r="ED324" s="49"/>
      <c r="EE324" s="49"/>
      <c r="EF324" s="49"/>
      <c r="EG324" s="49"/>
    </row>
    <row r="325" spans="1:137" s="48" customFormat="1" ht="38.25" customHeight="1" hidden="1">
      <c r="A325" s="135" t="s">
        <v>293</v>
      </c>
      <c r="B325" s="64"/>
      <c r="C325" s="64"/>
      <c r="D325" s="162">
        <v>92016</v>
      </c>
      <c r="E325" s="162"/>
      <c r="F325" s="162">
        <f>D325</f>
        <v>92016</v>
      </c>
      <c r="G325" s="162">
        <v>155760</v>
      </c>
      <c r="H325" s="162"/>
      <c r="I325" s="162"/>
      <c r="J325" s="162">
        <f>G325</f>
        <v>155760</v>
      </c>
      <c r="K325" s="162"/>
      <c r="L325" s="162"/>
      <c r="M325" s="162"/>
      <c r="N325" s="162">
        <v>155760</v>
      </c>
      <c r="O325" s="162"/>
      <c r="P325" s="162">
        <f>N325</f>
        <v>155760</v>
      </c>
      <c r="R325" s="274"/>
      <c r="S325" s="274"/>
      <c r="T325" s="274"/>
      <c r="U325" s="274"/>
      <c r="V325" s="274"/>
      <c r="W325" s="274"/>
      <c r="X325" s="274"/>
      <c r="Y325" s="274"/>
      <c r="Z325" s="274"/>
      <c r="EB325" s="49"/>
      <c r="EC325" s="49"/>
      <c r="ED325" s="49"/>
      <c r="EE325" s="49"/>
      <c r="EF325" s="49"/>
      <c r="EG325" s="49"/>
    </row>
    <row r="326" spans="1:137" s="48" customFormat="1" ht="17.25" customHeight="1" hidden="1">
      <c r="A326" s="134" t="s">
        <v>374</v>
      </c>
      <c r="B326" s="64"/>
      <c r="C326" s="64"/>
      <c r="D326" s="162"/>
      <c r="E326" s="162"/>
      <c r="F326" s="162"/>
      <c r="G326" s="162"/>
      <c r="H326" s="162"/>
      <c r="I326" s="162"/>
      <c r="J326" s="162"/>
      <c r="K326" s="162"/>
      <c r="L326" s="162"/>
      <c r="M326" s="162"/>
      <c r="N326" s="162"/>
      <c r="O326" s="162"/>
      <c r="P326" s="162"/>
      <c r="R326" s="274"/>
      <c r="S326" s="274"/>
      <c r="T326" s="274"/>
      <c r="U326" s="274"/>
      <c r="V326" s="274"/>
      <c r="W326" s="274"/>
      <c r="X326" s="274"/>
      <c r="Y326" s="274"/>
      <c r="Z326" s="274"/>
      <c r="EB326" s="49"/>
      <c r="EC326" s="49"/>
      <c r="ED326" s="49"/>
      <c r="EE326" s="49"/>
      <c r="EF326" s="49"/>
      <c r="EG326" s="49"/>
    </row>
    <row r="327" spans="1:137" s="48" customFormat="1" ht="38.25" customHeight="1" hidden="1">
      <c r="A327" s="135" t="s">
        <v>294</v>
      </c>
      <c r="B327" s="64"/>
      <c r="C327" s="64"/>
      <c r="D327" s="162">
        <f>D323/D325</f>
        <v>7.390019127108329</v>
      </c>
      <c r="E327" s="162"/>
      <c r="F327" s="162">
        <f>D327</f>
        <v>7.390019127108329</v>
      </c>
      <c r="G327" s="162">
        <f>G323/G325</f>
        <v>9.956343091936311</v>
      </c>
      <c r="H327" s="162"/>
      <c r="I327" s="162"/>
      <c r="J327" s="162">
        <f>G327</f>
        <v>9.956343091936311</v>
      </c>
      <c r="K327" s="162"/>
      <c r="L327" s="162"/>
      <c r="M327" s="162"/>
      <c r="N327" s="162">
        <f>N321/N325</f>
        <v>10.518104776579353</v>
      </c>
      <c r="O327" s="162"/>
      <c r="P327" s="162">
        <f>N327</f>
        <v>10.518104776579353</v>
      </c>
      <c r="R327" s="274"/>
      <c r="S327" s="274"/>
      <c r="T327" s="274"/>
      <c r="U327" s="274"/>
      <c r="V327" s="274"/>
      <c r="W327" s="274"/>
      <c r="X327" s="274"/>
      <c r="Y327" s="274"/>
      <c r="Z327" s="274"/>
      <c r="EB327" s="49"/>
      <c r="EC327" s="49"/>
      <c r="ED327" s="49"/>
      <c r="EE327" s="49"/>
      <c r="EF327" s="49"/>
      <c r="EG327" s="49"/>
    </row>
    <row r="328" spans="1:137" s="50" customFormat="1" ht="33.75" customHeight="1" hidden="1">
      <c r="A328" s="138" t="s">
        <v>32</v>
      </c>
      <c r="B328" s="160"/>
      <c r="C328" s="160"/>
      <c r="D328" s="161">
        <f>D330</f>
        <v>3820000</v>
      </c>
      <c r="E328" s="161"/>
      <c r="F328" s="161">
        <f>D328</f>
        <v>3820000</v>
      </c>
      <c r="G328" s="161">
        <f>G330</f>
        <v>7000000</v>
      </c>
      <c r="H328" s="161"/>
      <c r="I328" s="161"/>
      <c r="J328" s="161">
        <f>G328</f>
        <v>7000000</v>
      </c>
      <c r="K328" s="161"/>
      <c r="L328" s="161"/>
      <c r="M328" s="161"/>
      <c r="N328" s="161">
        <f>N330</f>
        <v>5256000</v>
      </c>
      <c r="O328" s="161"/>
      <c r="P328" s="161">
        <f>N328</f>
        <v>5256000</v>
      </c>
      <c r="R328" s="357"/>
      <c r="S328" s="357"/>
      <c r="T328" s="357"/>
      <c r="U328" s="357"/>
      <c r="V328" s="357"/>
      <c r="W328" s="357"/>
      <c r="X328" s="357"/>
      <c r="Y328" s="357"/>
      <c r="Z328" s="357"/>
      <c r="EB328" s="51"/>
      <c r="EC328" s="51"/>
      <c r="ED328" s="51"/>
      <c r="EE328" s="51"/>
      <c r="EF328" s="51"/>
      <c r="EG328" s="51"/>
    </row>
    <row r="329" spans="1:137" s="48" customFormat="1" ht="19.5" customHeight="1" hidden="1">
      <c r="A329" s="134" t="s">
        <v>255</v>
      </c>
      <c r="B329" s="64"/>
      <c r="C329" s="64"/>
      <c r="D329" s="162"/>
      <c r="E329" s="162"/>
      <c r="F329" s="162"/>
      <c r="G329" s="162"/>
      <c r="H329" s="162"/>
      <c r="I329" s="162"/>
      <c r="J329" s="162"/>
      <c r="K329" s="162"/>
      <c r="L329" s="162"/>
      <c r="M329" s="162"/>
      <c r="N329" s="162"/>
      <c r="O329" s="162"/>
      <c r="P329" s="162"/>
      <c r="R329" s="274"/>
      <c r="S329" s="274"/>
      <c r="T329" s="274"/>
      <c r="U329" s="274"/>
      <c r="V329" s="274"/>
      <c r="W329" s="274"/>
      <c r="X329" s="274"/>
      <c r="Y329" s="274"/>
      <c r="Z329" s="274"/>
      <c r="EB329" s="49"/>
      <c r="EC329" s="49"/>
      <c r="ED329" s="49"/>
      <c r="EE329" s="49"/>
      <c r="EF329" s="49"/>
      <c r="EG329" s="49"/>
    </row>
    <row r="330" spans="1:137" s="48" customFormat="1" ht="38.25" customHeight="1" hidden="1">
      <c r="A330" s="135" t="s">
        <v>414</v>
      </c>
      <c r="B330" s="64"/>
      <c r="C330" s="64"/>
      <c r="D330" s="162">
        <f>6519400-2000000-1160000+460600</f>
        <v>3820000</v>
      </c>
      <c r="E330" s="162"/>
      <c r="F330" s="162">
        <f>D330</f>
        <v>3820000</v>
      </c>
      <c r="G330" s="162">
        <f>6910500-2000000+2089500</f>
        <v>7000000</v>
      </c>
      <c r="H330" s="162"/>
      <c r="I330" s="162"/>
      <c r="J330" s="162">
        <f>G330</f>
        <v>7000000</v>
      </c>
      <c r="K330" s="162"/>
      <c r="L330" s="162"/>
      <c r="M330" s="162"/>
      <c r="N330" s="162">
        <f>7256000-2000000</f>
        <v>5256000</v>
      </c>
      <c r="O330" s="162"/>
      <c r="P330" s="162">
        <f>N330</f>
        <v>5256000</v>
      </c>
      <c r="R330" s="274"/>
      <c r="S330" s="274"/>
      <c r="T330" s="274"/>
      <c r="U330" s="274"/>
      <c r="V330" s="274"/>
      <c r="W330" s="274"/>
      <c r="X330" s="274"/>
      <c r="Y330" s="274"/>
      <c r="Z330" s="274"/>
      <c r="EB330" s="49"/>
      <c r="EC330" s="49"/>
      <c r="ED330" s="49"/>
      <c r="EE330" s="49"/>
      <c r="EF330" s="49"/>
      <c r="EG330" s="49"/>
    </row>
    <row r="331" spans="1:137" s="48" customFormat="1" ht="17.25" customHeight="1" hidden="1">
      <c r="A331" s="134" t="s">
        <v>412</v>
      </c>
      <c r="B331" s="64"/>
      <c r="C331" s="64"/>
      <c r="D331" s="162"/>
      <c r="E331" s="162"/>
      <c r="F331" s="162"/>
      <c r="G331" s="162"/>
      <c r="H331" s="162"/>
      <c r="I331" s="162"/>
      <c r="J331" s="162"/>
      <c r="K331" s="162"/>
      <c r="L331" s="162"/>
      <c r="M331" s="162"/>
      <c r="N331" s="162"/>
      <c r="O331" s="162"/>
      <c r="P331" s="162"/>
      <c r="R331" s="274"/>
      <c r="S331" s="274"/>
      <c r="T331" s="274"/>
      <c r="U331" s="274"/>
      <c r="V331" s="274"/>
      <c r="W331" s="274"/>
      <c r="X331" s="274"/>
      <c r="Y331" s="274"/>
      <c r="Z331" s="274"/>
      <c r="EB331" s="49"/>
      <c r="EC331" s="49"/>
      <c r="ED331" s="49"/>
      <c r="EE331" s="49"/>
      <c r="EF331" s="49"/>
      <c r="EG331" s="49"/>
    </row>
    <row r="332" spans="1:137" s="48" customFormat="1" ht="18.75" customHeight="1" hidden="1">
      <c r="A332" s="135" t="s">
        <v>415</v>
      </c>
      <c r="B332" s="64"/>
      <c r="C332" s="64"/>
      <c r="D332" s="162">
        <v>390</v>
      </c>
      <c r="E332" s="162"/>
      <c r="F332" s="162">
        <f>D332</f>
        <v>390</v>
      </c>
      <c r="G332" s="162">
        <f>F332</f>
        <v>390</v>
      </c>
      <c r="H332" s="162"/>
      <c r="I332" s="162"/>
      <c r="J332" s="162">
        <f>G332</f>
        <v>390</v>
      </c>
      <c r="K332" s="162"/>
      <c r="L332" s="162"/>
      <c r="M332" s="162"/>
      <c r="N332" s="162">
        <f>J332</f>
        <v>390</v>
      </c>
      <c r="O332" s="162"/>
      <c r="P332" s="162">
        <f>N332</f>
        <v>390</v>
      </c>
      <c r="R332" s="274"/>
      <c r="S332" s="274"/>
      <c r="T332" s="274"/>
      <c r="U332" s="274"/>
      <c r="V332" s="274"/>
      <c r="W332" s="274"/>
      <c r="X332" s="274"/>
      <c r="Y332" s="274"/>
      <c r="Z332" s="274"/>
      <c r="EB332" s="49"/>
      <c r="EC332" s="49"/>
      <c r="ED332" s="49"/>
      <c r="EE332" s="49"/>
      <c r="EF332" s="49"/>
      <c r="EG332" s="49"/>
    </row>
    <row r="333" spans="1:137" s="48" customFormat="1" ht="21" customHeight="1" hidden="1">
      <c r="A333" s="134" t="s">
        <v>374</v>
      </c>
      <c r="B333" s="64"/>
      <c r="C333" s="64"/>
      <c r="D333" s="162"/>
      <c r="E333" s="162"/>
      <c r="F333" s="162"/>
      <c r="G333" s="162"/>
      <c r="H333" s="162"/>
      <c r="I333" s="162"/>
      <c r="J333" s="162"/>
      <c r="K333" s="162"/>
      <c r="L333" s="162"/>
      <c r="M333" s="162"/>
      <c r="N333" s="162"/>
      <c r="O333" s="162"/>
      <c r="P333" s="162"/>
      <c r="R333" s="274"/>
      <c r="S333" s="274"/>
      <c r="T333" s="274"/>
      <c r="U333" s="274"/>
      <c r="V333" s="274"/>
      <c r="W333" s="274"/>
      <c r="X333" s="274"/>
      <c r="Y333" s="274"/>
      <c r="Z333" s="274"/>
      <c r="EB333" s="49"/>
      <c r="EC333" s="49"/>
      <c r="ED333" s="49"/>
      <c r="EE333" s="49"/>
      <c r="EF333" s="49"/>
      <c r="EG333" s="49"/>
    </row>
    <row r="334" spans="1:137" s="48" customFormat="1" ht="38.25" customHeight="1" hidden="1">
      <c r="A334" s="135" t="s">
        <v>483</v>
      </c>
      <c r="B334" s="64"/>
      <c r="C334" s="64"/>
      <c r="D334" s="162">
        <f>D330/D332/12</f>
        <v>816.2393162393163</v>
      </c>
      <c r="E334" s="162"/>
      <c r="F334" s="162">
        <f>D334</f>
        <v>816.2393162393163</v>
      </c>
      <c r="G334" s="162">
        <f>G330/G332/12</f>
        <v>1495.7264957264958</v>
      </c>
      <c r="H334" s="162"/>
      <c r="I334" s="162"/>
      <c r="J334" s="162">
        <f>G334</f>
        <v>1495.7264957264958</v>
      </c>
      <c r="K334" s="162"/>
      <c r="L334" s="162"/>
      <c r="M334" s="162"/>
      <c r="N334" s="162">
        <f>N330/N332/12</f>
        <v>1123.076923076923</v>
      </c>
      <c r="O334" s="162"/>
      <c r="P334" s="162">
        <f>N334</f>
        <v>1123.076923076923</v>
      </c>
      <c r="R334" s="274"/>
      <c r="S334" s="274"/>
      <c r="T334" s="274"/>
      <c r="U334" s="274"/>
      <c r="V334" s="274"/>
      <c r="W334" s="274"/>
      <c r="X334" s="274"/>
      <c r="Y334" s="274"/>
      <c r="Z334" s="274"/>
      <c r="EB334" s="49"/>
      <c r="EC334" s="49"/>
      <c r="ED334" s="49"/>
      <c r="EE334" s="49"/>
      <c r="EF334" s="49"/>
      <c r="EG334" s="49"/>
    </row>
    <row r="335" spans="1:137" s="48" customFormat="1" ht="18.75" customHeight="1" hidden="1">
      <c r="A335" s="138" t="s">
        <v>33</v>
      </c>
      <c r="B335" s="163"/>
      <c r="C335" s="163"/>
      <c r="D335" s="161">
        <f>D337</f>
        <v>100000</v>
      </c>
      <c r="E335" s="161"/>
      <c r="F335" s="161">
        <f>D335</f>
        <v>100000</v>
      </c>
      <c r="G335" s="161">
        <f>G337</f>
        <v>316000</v>
      </c>
      <c r="H335" s="161"/>
      <c r="I335" s="161"/>
      <c r="J335" s="161">
        <f>G335</f>
        <v>316000</v>
      </c>
      <c r="K335" s="161"/>
      <c r="L335" s="161"/>
      <c r="M335" s="161"/>
      <c r="N335" s="161">
        <f>N337</f>
        <v>331700</v>
      </c>
      <c r="O335" s="161"/>
      <c r="P335" s="161">
        <f>N335</f>
        <v>331700</v>
      </c>
      <c r="R335" s="274"/>
      <c r="S335" s="274"/>
      <c r="T335" s="274"/>
      <c r="U335" s="274"/>
      <c r="V335" s="274"/>
      <c r="W335" s="274"/>
      <c r="X335" s="274"/>
      <c r="Y335" s="274"/>
      <c r="Z335" s="274"/>
      <c r="EB335" s="49"/>
      <c r="EC335" s="49"/>
      <c r="ED335" s="49"/>
      <c r="EE335" s="49"/>
      <c r="EF335" s="49"/>
      <c r="EG335" s="49"/>
    </row>
    <row r="336" spans="1:137" s="48" customFormat="1" ht="12.75" hidden="1">
      <c r="A336" s="134" t="s">
        <v>255</v>
      </c>
      <c r="B336" s="64"/>
      <c r="C336" s="64"/>
      <c r="D336" s="162"/>
      <c r="E336" s="162"/>
      <c r="F336" s="162"/>
      <c r="G336" s="162"/>
      <c r="H336" s="162"/>
      <c r="I336" s="162"/>
      <c r="J336" s="162"/>
      <c r="K336" s="162"/>
      <c r="L336" s="162"/>
      <c r="M336" s="162"/>
      <c r="N336" s="162"/>
      <c r="O336" s="162"/>
      <c r="P336" s="162"/>
      <c r="R336" s="274"/>
      <c r="S336" s="274"/>
      <c r="T336" s="274"/>
      <c r="U336" s="274"/>
      <c r="V336" s="274"/>
      <c r="W336" s="274"/>
      <c r="X336" s="274"/>
      <c r="Y336" s="274"/>
      <c r="Z336" s="274"/>
      <c r="EB336" s="49"/>
      <c r="EC336" s="49"/>
      <c r="ED336" s="49"/>
      <c r="EE336" s="49"/>
      <c r="EF336" s="49"/>
      <c r="EG336" s="49"/>
    </row>
    <row r="337" spans="1:137" s="48" customFormat="1" ht="21.75" customHeight="1" hidden="1">
      <c r="A337" s="139" t="s">
        <v>484</v>
      </c>
      <c r="B337" s="64"/>
      <c r="C337" s="64"/>
      <c r="D337" s="162">
        <f>300000-200000</f>
        <v>100000</v>
      </c>
      <c r="E337" s="162"/>
      <c r="F337" s="162">
        <f>D337</f>
        <v>100000</v>
      </c>
      <c r="G337" s="162">
        <v>316000</v>
      </c>
      <c r="H337" s="162"/>
      <c r="I337" s="162"/>
      <c r="J337" s="162">
        <f>G337</f>
        <v>316000</v>
      </c>
      <c r="K337" s="162"/>
      <c r="L337" s="162"/>
      <c r="M337" s="162"/>
      <c r="N337" s="162">
        <v>331700</v>
      </c>
      <c r="O337" s="162"/>
      <c r="P337" s="162">
        <f>N337</f>
        <v>331700</v>
      </c>
      <c r="R337" s="274"/>
      <c r="S337" s="274"/>
      <c r="T337" s="274"/>
      <c r="U337" s="274"/>
      <c r="V337" s="274"/>
      <c r="W337" s="274"/>
      <c r="X337" s="274"/>
      <c r="Y337" s="274"/>
      <c r="Z337" s="274"/>
      <c r="EB337" s="49"/>
      <c r="EC337" s="49"/>
      <c r="ED337" s="49"/>
      <c r="EE337" s="49"/>
      <c r="EF337" s="49"/>
      <c r="EG337" s="49"/>
    </row>
    <row r="338" spans="1:137" s="48" customFormat="1" ht="18.75" customHeight="1" hidden="1">
      <c r="A338" s="140" t="s">
        <v>412</v>
      </c>
      <c r="B338" s="64"/>
      <c r="C338" s="64"/>
      <c r="D338" s="162"/>
      <c r="E338" s="162"/>
      <c r="F338" s="162"/>
      <c r="G338" s="162"/>
      <c r="H338" s="162"/>
      <c r="I338" s="162"/>
      <c r="J338" s="162"/>
      <c r="K338" s="162"/>
      <c r="L338" s="162"/>
      <c r="M338" s="162"/>
      <c r="N338" s="162"/>
      <c r="O338" s="162"/>
      <c r="P338" s="162"/>
      <c r="R338" s="274"/>
      <c r="S338" s="274"/>
      <c r="T338" s="274"/>
      <c r="U338" s="274"/>
      <c r="V338" s="274"/>
      <c r="W338" s="274"/>
      <c r="X338" s="274"/>
      <c r="Y338" s="274"/>
      <c r="Z338" s="274"/>
      <c r="EB338" s="49"/>
      <c r="EC338" s="49"/>
      <c r="ED338" s="49"/>
      <c r="EE338" s="49"/>
      <c r="EF338" s="49"/>
      <c r="EG338" s="49"/>
    </row>
    <row r="339" spans="1:137" s="48" customFormat="1" ht="20.25" customHeight="1" hidden="1">
      <c r="A339" s="139" t="s">
        <v>485</v>
      </c>
      <c r="B339" s="64"/>
      <c r="C339" s="64"/>
      <c r="D339" s="162">
        <v>55</v>
      </c>
      <c r="E339" s="162"/>
      <c r="F339" s="162">
        <f>D339</f>
        <v>55</v>
      </c>
      <c r="G339" s="162">
        <v>140</v>
      </c>
      <c r="H339" s="162"/>
      <c r="I339" s="162"/>
      <c r="J339" s="162">
        <f>G339</f>
        <v>140</v>
      </c>
      <c r="K339" s="162"/>
      <c r="L339" s="162"/>
      <c r="M339" s="162"/>
      <c r="N339" s="162">
        <v>135</v>
      </c>
      <c r="O339" s="162"/>
      <c r="P339" s="162">
        <f>N339</f>
        <v>135</v>
      </c>
      <c r="R339" s="274"/>
      <c r="S339" s="274"/>
      <c r="T339" s="274"/>
      <c r="U339" s="274"/>
      <c r="V339" s="274"/>
      <c r="W339" s="274"/>
      <c r="X339" s="274"/>
      <c r="Y339" s="274"/>
      <c r="Z339" s="274"/>
      <c r="EB339" s="49"/>
      <c r="EC339" s="49"/>
      <c r="ED339" s="49"/>
      <c r="EE339" s="49"/>
      <c r="EF339" s="49"/>
      <c r="EG339" s="49"/>
    </row>
    <row r="340" spans="1:137" s="48" customFormat="1" ht="12.75" hidden="1">
      <c r="A340" s="140" t="s">
        <v>374</v>
      </c>
      <c r="B340" s="64"/>
      <c r="C340" s="64"/>
      <c r="D340" s="162"/>
      <c r="E340" s="162"/>
      <c r="F340" s="162"/>
      <c r="G340" s="162"/>
      <c r="H340" s="162"/>
      <c r="I340" s="162"/>
      <c r="J340" s="162"/>
      <c r="K340" s="162"/>
      <c r="L340" s="162"/>
      <c r="M340" s="162"/>
      <c r="N340" s="162"/>
      <c r="O340" s="162"/>
      <c r="P340" s="162"/>
      <c r="R340" s="274"/>
      <c r="S340" s="274"/>
      <c r="T340" s="274"/>
      <c r="U340" s="274"/>
      <c r="V340" s="274"/>
      <c r="W340" s="274"/>
      <c r="X340" s="274"/>
      <c r="Y340" s="274"/>
      <c r="Z340" s="274"/>
      <c r="EB340" s="49"/>
      <c r="EC340" s="49"/>
      <c r="ED340" s="49"/>
      <c r="EE340" s="49"/>
      <c r="EF340" s="49"/>
      <c r="EG340" s="49"/>
    </row>
    <row r="341" spans="1:137" s="48" customFormat="1" ht="33" customHeight="1" hidden="1">
      <c r="A341" s="139" t="s">
        <v>486</v>
      </c>
      <c r="B341" s="64"/>
      <c r="C341" s="64"/>
      <c r="D341" s="162">
        <f>D337/D339</f>
        <v>1818.1818181818182</v>
      </c>
      <c r="E341" s="162"/>
      <c r="F341" s="162">
        <f>D341</f>
        <v>1818.1818181818182</v>
      </c>
      <c r="G341" s="162">
        <f>G337/G339</f>
        <v>2257.1428571428573</v>
      </c>
      <c r="H341" s="162"/>
      <c r="I341" s="162"/>
      <c r="J341" s="162">
        <f>G341</f>
        <v>2257.1428571428573</v>
      </c>
      <c r="K341" s="162"/>
      <c r="L341" s="162"/>
      <c r="M341" s="162"/>
      <c r="N341" s="162">
        <f>N337/N339</f>
        <v>2457.037037037037</v>
      </c>
      <c r="O341" s="162"/>
      <c r="P341" s="162">
        <f>N341</f>
        <v>2457.037037037037</v>
      </c>
      <c r="R341" s="274"/>
      <c r="S341" s="274"/>
      <c r="T341" s="274"/>
      <c r="U341" s="274"/>
      <c r="V341" s="274"/>
      <c r="W341" s="274"/>
      <c r="X341" s="274"/>
      <c r="Y341" s="274"/>
      <c r="Z341" s="274"/>
      <c r="EB341" s="49"/>
      <c r="EC341" s="49"/>
      <c r="ED341" s="49"/>
      <c r="EE341" s="49"/>
      <c r="EF341" s="49"/>
      <c r="EG341" s="49"/>
    </row>
    <row r="342" spans="1:137" s="36" customFormat="1" ht="45" customHeight="1" hidden="1">
      <c r="A342" s="138" t="s">
        <v>108</v>
      </c>
      <c r="B342" s="163"/>
      <c r="C342" s="163"/>
      <c r="D342" s="161">
        <f>D344</f>
        <v>500000</v>
      </c>
      <c r="E342" s="161"/>
      <c r="F342" s="161">
        <f>D342</f>
        <v>500000</v>
      </c>
      <c r="G342" s="161">
        <f>G344</f>
        <v>516000</v>
      </c>
      <c r="H342" s="161"/>
      <c r="I342" s="161"/>
      <c r="J342" s="161">
        <f>G342</f>
        <v>516000</v>
      </c>
      <c r="K342" s="161"/>
      <c r="L342" s="161"/>
      <c r="M342" s="161"/>
      <c r="N342" s="161">
        <f>N344</f>
        <v>498000</v>
      </c>
      <c r="O342" s="161"/>
      <c r="P342" s="161">
        <f>N342</f>
        <v>498000</v>
      </c>
      <c r="R342" s="274"/>
      <c r="S342" s="274"/>
      <c r="T342" s="274"/>
      <c r="U342" s="274"/>
      <c r="V342" s="274"/>
      <c r="W342" s="274"/>
      <c r="X342" s="274"/>
      <c r="Y342" s="274"/>
      <c r="Z342" s="274"/>
      <c r="EB342" s="37"/>
      <c r="EC342" s="37"/>
      <c r="ED342" s="37"/>
      <c r="EE342" s="37"/>
      <c r="EF342" s="37"/>
      <c r="EG342" s="37"/>
    </row>
    <row r="343" spans="1:137" s="48" customFormat="1" ht="21.75" customHeight="1" hidden="1">
      <c r="A343" s="134" t="s">
        <v>255</v>
      </c>
      <c r="B343" s="64"/>
      <c r="C343" s="64"/>
      <c r="D343" s="162"/>
      <c r="E343" s="162"/>
      <c r="F343" s="162"/>
      <c r="G343" s="162"/>
      <c r="H343" s="162"/>
      <c r="I343" s="162"/>
      <c r="J343" s="162"/>
      <c r="K343" s="162"/>
      <c r="L343" s="162"/>
      <c r="M343" s="162"/>
      <c r="N343" s="162"/>
      <c r="O343" s="162"/>
      <c r="P343" s="162"/>
      <c r="R343" s="274"/>
      <c r="S343" s="274"/>
      <c r="T343" s="274"/>
      <c r="U343" s="274"/>
      <c r="V343" s="274"/>
      <c r="W343" s="274"/>
      <c r="X343" s="274"/>
      <c r="Y343" s="274"/>
      <c r="Z343" s="274"/>
      <c r="EB343" s="49"/>
      <c r="EC343" s="49"/>
      <c r="ED343" s="49"/>
      <c r="EE343" s="49"/>
      <c r="EF343" s="49"/>
      <c r="EG343" s="49"/>
    </row>
    <row r="344" spans="1:137" s="48" customFormat="1" ht="36" customHeight="1" hidden="1">
      <c r="A344" s="139" t="s">
        <v>487</v>
      </c>
      <c r="B344" s="64"/>
      <c r="C344" s="64"/>
      <c r="D344" s="162">
        <f>450000+50000</f>
        <v>500000</v>
      </c>
      <c r="E344" s="162"/>
      <c r="F344" s="162">
        <f>D344</f>
        <v>500000</v>
      </c>
      <c r="G344" s="162">
        <f>475000+41000</f>
        <v>516000</v>
      </c>
      <c r="H344" s="162"/>
      <c r="I344" s="162"/>
      <c r="J344" s="162">
        <f>G344</f>
        <v>516000</v>
      </c>
      <c r="K344" s="162"/>
      <c r="L344" s="162"/>
      <c r="M344" s="162"/>
      <c r="N344" s="162">
        <v>498000</v>
      </c>
      <c r="O344" s="162"/>
      <c r="P344" s="162">
        <f>N344</f>
        <v>498000</v>
      </c>
      <c r="R344" s="274"/>
      <c r="S344" s="274"/>
      <c r="T344" s="274"/>
      <c r="U344" s="274"/>
      <c r="V344" s="274"/>
      <c r="W344" s="274"/>
      <c r="X344" s="274"/>
      <c r="Y344" s="274"/>
      <c r="Z344" s="274"/>
      <c r="EB344" s="49"/>
      <c r="EC344" s="49"/>
      <c r="ED344" s="49"/>
      <c r="EE344" s="49"/>
      <c r="EF344" s="49"/>
      <c r="EG344" s="49"/>
    </row>
    <row r="345" spans="1:137" s="48" customFormat="1" ht="21" customHeight="1" hidden="1">
      <c r="A345" s="140" t="s">
        <v>412</v>
      </c>
      <c r="B345" s="64"/>
      <c r="C345" s="64"/>
      <c r="D345" s="162"/>
      <c r="E345" s="162"/>
      <c r="F345" s="162"/>
      <c r="G345" s="162"/>
      <c r="H345" s="162"/>
      <c r="I345" s="162"/>
      <c r="J345" s="162"/>
      <c r="K345" s="162"/>
      <c r="L345" s="162"/>
      <c r="M345" s="162"/>
      <c r="N345" s="162"/>
      <c r="O345" s="162"/>
      <c r="P345" s="162"/>
      <c r="R345" s="274"/>
      <c r="S345" s="274"/>
      <c r="T345" s="274"/>
      <c r="U345" s="274"/>
      <c r="V345" s="274"/>
      <c r="W345" s="274"/>
      <c r="X345" s="274"/>
      <c r="Y345" s="274"/>
      <c r="Z345" s="274"/>
      <c r="EB345" s="49"/>
      <c r="EC345" s="49"/>
      <c r="ED345" s="49"/>
      <c r="EE345" s="49"/>
      <c r="EF345" s="49"/>
      <c r="EG345" s="49"/>
    </row>
    <row r="346" spans="1:137" s="48" customFormat="1" ht="24" customHeight="1" hidden="1">
      <c r="A346" s="139" t="s">
        <v>488</v>
      </c>
      <c r="B346" s="64"/>
      <c r="C346" s="64"/>
      <c r="D346" s="162">
        <v>685</v>
      </c>
      <c r="E346" s="162"/>
      <c r="F346" s="162">
        <f>D346</f>
        <v>685</v>
      </c>
      <c r="G346" s="162">
        <v>802</v>
      </c>
      <c r="H346" s="162"/>
      <c r="I346" s="162"/>
      <c r="J346" s="162">
        <f>G346</f>
        <v>802</v>
      </c>
      <c r="K346" s="162"/>
      <c r="L346" s="162"/>
      <c r="M346" s="162"/>
      <c r="N346" s="162">
        <v>908</v>
      </c>
      <c r="O346" s="162"/>
      <c r="P346" s="162">
        <f>N346</f>
        <v>908</v>
      </c>
      <c r="R346" s="274"/>
      <c r="S346" s="274"/>
      <c r="T346" s="274"/>
      <c r="U346" s="274"/>
      <c r="V346" s="274"/>
      <c r="W346" s="274"/>
      <c r="X346" s="274"/>
      <c r="Y346" s="274"/>
      <c r="Z346" s="274"/>
      <c r="EB346" s="49"/>
      <c r="EC346" s="49"/>
      <c r="ED346" s="49"/>
      <c r="EE346" s="49"/>
      <c r="EF346" s="49"/>
      <c r="EG346" s="49"/>
    </row>
    <row r="347" spans="1:137" s="48" customFormat="1" ht="12.75" hidden="1">
      <c r="A347" s="140" t="s">
        <v>374</v>
      </c>
      <c r="B347" s="64"/>
      <c r="C347" s="64"/>
      <c r="D347" s="162"/>
      <c r="E347" s="162"/>
      <c r="F347" s="162"/>
      <c r="G347" s="162"/>
      <c r="H347" s="162"/>
      <c r="I347" s="162"/>
      <c r="J347" s="162"/>
      <c r="K347" s="162"/>
      <c r="L347" s="162"/>
      <c r="M347" s="162"/>
      <c r="N347" s="162"/>
      <c r="O347" s="162"/>
      <c r="P347" s="162"/>
      <c r="R347" s="274"/>
      <c r="S347" s="274"/>
      <c r="T347" s="274"/>
      <c r="U347" s="274"/>
      <c r="V347" s="274"/>
      <c r="W347" s="274"/>
      <c r="X347" s="274"/>
      <c r="Y347" s="274"/>
      <c r="Z347" s="274"/>
      <c r="EB347" s="49"/>
      <c r="EC347" s="49"/>
      <c r="ED347" s="49"/>
      <c r="EE347" s="49"/>
      <c r="EF347" s="49"/>
      <c r="EG347" s="49"/>
    </row>
    <row r="348" spans="1:137" s="48" customFormat="1" ht="12.75" hidden="1">
      <c r="A348" s="139" t="s">
        <v>489</v>
      </c>
      <c r="B348" s="64"/>
      <c r="C348" s="64"/>
      <c r="D348" s="162">
        <f>D344/D346</f>
        <v>729.92700729927</v>
      </c>
      <c r="E348" s="162"/>
      <c r="F348" s="162">
        <f>D348</f>
        <v>729.92700729927</v>
      </c>
      <c r="G348" s="162">
        <f>G344/G346</f>
        <v>643.3915211970075</v>
      </c>
      <c r="H348" s="162"/>
      <c r="I348" s="162"/>
      <c r="J348" s="162">
        <f>G348</f>
        <v>643.3915211970075</v>
      </c>
      <c r="K348" s="162"/>
      <c r="L348" s="162"/>
      <c r="M348" s="162"/>
      <c r="N348" s="162">
        <f>N344/N346</f>
        <v>548.4581497797357</v>
      </c>
      <c r="O348" s="162"/>
      <c r="P348" s="162">
        <f>N348</f>
        <v>548.4581497797357</v>
      </c>
      <c r="R348" s="274"/>
      <c r="S348" s="274"/>
      <c r="T348" s="274"/>
      <c r="U348" s="274"/>
      <c r="V348" s="274"/>
      <c r="W348" s="274"/>
      <c r="X348" s="274"/>
      <c r="Y348" s="274"/>
      <c r="Z348" s="274"/>
      <c r="EB348" s="49"/>
      <c r="EC348" s="49"/>
      <c r="ED348" s="49"/>
      <c r="EE348" s="49"/>
      <c r="EF348" s="49"/>
      <c r="EG348" s="49"/>
    </row>
    <row r="349" spans="1:137" s="48" customFormat="1" ht="45.75" customHeight="1" hidden="1">
      <c r="A349" s="138" t="s">
        <v>109</v>
      </c>
      <c r="B349" s="64"/>
      <c r="C349" s="64"/>
      <c r="D349" s="161">
        <f>D351</f>
        <v>1290000</v>
      </c>
      <c r="E349" s="161"/>
      <c r="F349" s="161">
        <f>D349</f>
        <v>1290000</v>
      </c>
      <c r="G349" s="161">
        <f>G351</f>
        <v>1580000</v>
      </c>
      <c r="H349" s="161"/>
      <c r="I349" s="161"/>
      <c r="J349" s="161">
        <f>G349</f>
        <v>1580000</v>
      </c>
      <c r="K349" s="161"/>
      <c r="L349" s="161"/>
      <c r="M349" s="161"/>
      <c r="N349" s="161">
        <f>N351</f>
        <v>1660000</v>
      </c>
      <c r="O349" s="161"/>
      <c r="P349" s="161">
        <f>N349</f>
        <v>1660000</v>
      </c>
      <c r="R349" s="274"/>
      <c r="S349" s="274"/>
      <c r="T349" s="274"/>
      <c r="U349" s="274"/>
      <c r="V349" s="274"/>
      <c r="W349" s="274"/>
      <c r="X349" s="274"/>
      <c r="Y349" s="274"/>
      <c r="Z349" s="274"/>
      <c r="EB349" s="49"/>
      <c r="EC349" s="49"/>
      <c r="ED349" s="49"/>
      <c r="EE349" s="49"/>
      <c r="EF349" s="49"/>
      <c r="EG349" s="49"/>
    </row>
    <row r="350" spans="1:137" s="48" customFormat="1" ht="12.75" hidden="1">
      <c r="A350" s="134" t="s">
        <v>255</v>
      </c>
      <c r="B350" s="64"/>
      <c r="C350" s="64"/>
      <c r="D350" s="162"/>
      <c r="E350" s="162"/>
      <c r="F350" s="162"/>
      <c r="G350" s="162"/>
      <c r="H350" s="162"/>
      <c r="I350" s="162"/>
      <c r="J350" s="162"/>
      <c r="K350" s="162"/>
      <c r="L350" s="162"/>
      <c r="M350" s="162"/>
      <c r="N350" s="162"/>
      <c r="O350" s="162"/>
      <c r="P350" s="162"/>
      <c r="R350" s="274"/>
      <c r="S350" s="274"/>
      <c r="T350" s="274"/>
      <c r="U350" s="274"/>
      <c r="V350" s="274"/>
      <c r="W350" s="274"/>
      <c r="X350" s="274"/>
      <c r="Y350" s="274"/>
      <c r="Z350" s="274"/>
      <c r="EB350" s="49"/>
      <c r="EC350" s="49"/>
      <c r="ED350" s="49"/>
      <c r="EE350" s="49"/>
      <c r="EF350" s="49"/>
      <c r="EG350" s="49"/>
    </row>
    <row r="351" spans="1:137" s="48" customFormat="1" ht="37.5" customHeight="1" hidden="1">
      <c r="A351" s="139" t="s">
        <v>490</v>
      </c>
      <c r="B351" s="64"/>
      <c r="C351" s="64"/>
      <c r="D351" s="162">
        <f>1500000-200000-10000</f>
        <v>1290000</v>
      </c>
      <c r="E351" s="162"/>
      <c r="F351" s="162">
        <f>D351</f>
        <v>1290000</v>
      </c>
      <c r="G351" s="162">
        <v>1580000</v>
      </c>
      <c r="H351" s="162"/>
      <c r="I351" s="162"/>
      <c r="J351" s="162">
        <f>G351</f>
        <v>1580000</v>
      </c>
      <c r="K351" s="162"/>
      <c r="L351" s="162"/>
      <c r="M351" s="162"/>
      <c r="N351" s="162">
        <v>1660000</v>
      </c>
      <c r="O351" s="162"/>
      <c r="P351" s="162">
        <f>N351</f>
        <v>1660000</v>
      </c>
      <c r="R351" s="274"/>
      <c r="S351" s="274"/>
      <c r="T351" s="274"/>
      <c r="U351" s="274"/>
      <c r="V351" s="274"/>
      <c r="W351" s="274"/>
      <c r="X351" s="274"/>
      <c r="Y351" s="274"/>
      <c r="Z351" s="274"/>
      <c r="EB351" s="49"/>
      <c r="EC351" s="49"/>
      <c r="ED351" s="49"/>
      <c r="EE351" s="49"/>
      <c r="EF351" s="49"/>
      <c r="EG351" s="49"/>
    </row>
    <row r="352" spans="1:137" s="48" customFormat="1" ht="12.75" hidden="1">
      <c r="A352" s="140" t="s">
        <v>412</v>
      </c>
      <c r="B352" s="64"/>
      <c r="C352" s="64"/>
      <c r="D352" s="162"/>
      <c r="E352" s="162"/>
      <c r="F352" s="162"/>
      <c r="G352" s="162"/>
      <c r="H352" s="162"/>
      <c r="I352" s="162"/>
      <c r="J352" s="162"/>
      <c r="K352" s="162"/>
      <c r="L352" s="162"/>
      <c r="M352" s="162"/>
      <c r="N352" s="162"/>
      <c r="O352" s="162"/>
      <c r="P352" s="162"/>
      <c r="R352" s="274"/>
      <c r="S352" s="274"/>
      <c r="T352" s="274"/>
      <c r="U352" s="274"/>
      <c r="V352" s="274"/>
      <c r="W352" s="274"/>
      <c r="X352" s="274"/>
      <c r="Y352" s="274"/>
      <c r="Z352" s="274"/>
      <c r="EB352" s="49"/>
      <c r="EC352" s="49"/>
      <c r="ED352" s="49"/>
      <c r="EE352" s="49"/>
      <c r="EF352" s="49"/>
      <c r="EG352" s="49"/>
    </row>
    <row r="353" spans="1:137" s="48" customFormat="1" ht="21" customHeight="1" hidden="1">
      <c r="A353" s="139" t="s">
        <v>488</v>
      </c>
      <c r="B353" s="64"/>
      <c r="C353" s="64"/>
      <c r="D353" s="162">
        <v>2969</v>
      </c>
      <c r="E353" s="162"/>
      <c r="F353" s="162">
        <f>D353</f>
        <v>2969</v>
      </c>
      <c r="G353" s="162">
        <v>4812.01</v>
      </c>
      <c r="H353" s="162"/>
      <c r="I353" s="162"/>
      <c r="J353" s="162">
        <f>G353</f>
        <v>4812.01</v>
      </c>
      <c r="K353" s="162"/>
      <c r="L353" s="162"/>
      <c r="M353" s="162"/>
      <c r="N353" s="162">
        <v>4539.95</v>
      </c>
      <c r="O353" s="162"/>
      <c r="P353" s="162">
        <f>N353</f>
        <v>4539.95</v>
      </c>
      <c r="R353" s="274"/>
      <c r="S353" s="274"/>
      <c r="T353" s="274"/>
      <c r="U353" s="274"/>
      <c r="V353" s="274"/>
      <c r="W353" s="274"/>
      <c r="X353" s="274"/>
      <c r="Y353" s="274"/>
      <c r="Z353" s="274"/>
      <c r="EB353" s="49"/>
      <c r="EC353" s="49"/>
      <c r="ED353" s="49"/>
      <c r="EE353" s="49"/>
      <c r="EF353" s="49"/>
      <c r="EG353" s="49"/>
    </row>
    <row r="354" spans="1:137" s="48" customFormat="1" ht="12.75" hidden="1">
      <c r="A354" s="140" t="s">
        <v>374</v>
      </c>
      <c r="B354" s="64"/>
      <c r="C354" s="64"/>
      <c r="D354" s="162"/>
      <c r="E354" s="162"/>
      <c r="F354" s="162"/>
      <c r="G354" s="162"/>
      <c r="H354" s="162"/>
      <c r="I354" s="162"/>
      <c r="J354" s="162"/>
      <c r="K354" s="162"/>
      <c r="L354" s="162"/>
      <c r="M354" s="162"/>
      <c r="N354" s="162"/>
      <c r="O354" s="162"/>
      <c r="P354" s="162"/>
      <c r="R354" s="274"/>
      <c r="S354" s="274"/>
      <c r="T354" s="274"/>
      <c r="U354" s="274"/>
      <c r="V354" s="274"/>
      <c r="W354" s="274"/>
      <c r="X354" s="274"/>
      <c r="Y354" s="274"/>
      <c r="Z354" s="274"/>
      <c r="EB354" s="49"/>
      <c r="EC354" s="49"/>
      <c r="ED354" s="49"/>
      <c r="EE354" s="49"/>
      <c r="EF354" s="49"/>
      <c r="EG354" s="49"/>
    </row>
    <row r="355" spans="1:137" s="48" customFormat="1" ht="22.5" customHeight="1" hidden="1">
      <c r="A355" s="139" t="s">
        <v>489</v>
      </c>
      <c r="B355" s="64"/>
      <c r="C355" s="64"/>
      <c r="D355" s="162">
        <f>D351/D353</f>
        <v>434.48972718086895</v>
      </c>
      <c r="E355" s="162"/>
      <c r="F355" s="162">
        <f>D355</f>
        <v>434.48972718086895</v>
      </c>
      <c r="G355" s="162">
        <f>G351/G353</f>
        <v>328.3451198147967</v>
      </c>
      <c r="H355" s="162"/>
      <c r="I355" s="162"/>
      <c r="J355" s="162">
        <f>G355</f>
        <v>328.3451198147967</v>
      </c>
      <c r="K355" s="162"/>
      <c r="L355" s="162"/>
      <c r="M355" s="162"/>
      <c r="N355" s="162">
        <f>N351/N353</f>
        <v>365.64279342283504</v>
      </c>
      <c r="O355" s="162"/>
      <c r="P355" s="162">
        <f>N355</f>
        <v>365.64279342283504</v>
      </c>
      <c r="R355" s="274"/>
      <c r="S355" s="274"/>
      <c r="T355" s="274"/>
      <c r="U355" s="274"/>
      <c r="V355" s="274"/>
      <c r="W355" s="274"/>
      <c r="X355" s="274"/>
      <c r="Y355" s="274"/>
      <c r="Z355" s="274"/>
      <c r="EB355" s="49"/>
      <c r="EC355" s="49"/>
      <c r="ED355" s="49"/>
      <c r="EE355" s="49"/>
      <c r="EF355" s="49"/>
      <c r="EG355" s="49"/>
    </row>
    <row r="356" spans="1:137" s="48" customFormat="1" ht="30.75" customHeight="1" hidden="1">
      <c r="A356" s="138" t="s">
        <v>34</v>
      </c>
      <c r="B356" s="64"/>
      <c r="C356" s="64"/>
      <c r="D356" s="161">
        <f>D358</f>
        <v>540000</v>
      </c>
      <c r="E356" s="161"/>
      <c r="F356" s="161">
        <f>D356</f>
        <v>540000</v>
      </c>
      <c r="G356" s="161">
        <f>G358</f>
        <v>850000</v>
      </c>
      <c r="H356" s="161"/>
      <c r="I356" s="161"/>
      <c r="J356" s="161">
        <f>G356</f>
        <v>850000</v>
      </c>
      <c r="K356" s="161"/>
      <c r="L356" s="161"/>
      <c r="M356" s="161"/>
      <c r="N356" s="161">
        <f>N358</f>
        <v>893000</v>
      </c>
      <c r="O356" s="161"/>
      <c r="P356" s="161">
        <f>N356</f>
        <v>893000</v>
      </c>
      <c r="R356" s="274"/>
      <c r="S356" s="274"/>
      <c r="T356" s="274"/>
      <c r="U356" s="274"/>
      <c r="V356" s="274"/>
      <c r="W356" s="274"/>
      <c r="X356" s="274"/>
      <c r="Y356" s="274"/>
      <c r="Z356" s="274"/>
      <c r="EB356" s="49"/>
      <c r="EC356" s="49"/>
      <c r="ED356" s="49"/>
      <c r="EE356" s="49"/>
      <c r="EF356" s="49"/>
      <c r="EG356" s="49"/>
    </row>
    <row r="357" spans="1:137" s="48" customFormat="1" ht="21" customHeight="1" hidden="1">
      <c r="A357" s="134" t="s">
        <v>255</v>
      </c>
      <c r="B357" s="64"/>
      <c r="C357" s="64"/>
      <c r="D357" s="162"/>
      <c r="E357" s="162"/>
      <c r="F357" s="162"/>
      <c r="G357" s="162"/>
      <c r="H357" s="162"/>
      <c r="I357" s="162"/>
      <c r="J357" s="162"/>
      <c r="K357" s="162"/>
      <c r="L357" s="162"/>
      <c r="M357" s="162"/>
      <c r="N357" s="162"/>
      <c r="O357" s="162"/>
      <c r="P357" s="162"/>
      <c r="R357" s="274"/>
      <c r="S357" s="274"/>
      <c r="T357" s="274"/>
      <c r="U357" s="274"/>
      <c r="V357" s="274"/>
      <c r="W357" s="274"/>
      <c r="X357" s="274"/>
      <c r="Y357" s="274"/>
      <c r="Z357" s="274"/>
      <c r="EB357" s="49"/>
      <c r="EC357" s="49"/>
      <c r="ED357" s="49"/>
      <c r="EE357" s="49"/>
      <c r="EF357" s="49"/>
      <c r="EG357" s="49"/>
    </row>
    <row r="358" spans="1:137" s="48" customFormat="1" ht="33" customHeight="1" hidden="1">
      <c r="A358" s="139" t="s">
        <v>491</v>
      </c>
      <c r="B358" s="64"/>
      <c r="C358" s="64"/>
      <c r="D358" s="162">
        <f>750000-210000</f>
        <v>540000</v>
      </c>
      <c r="E358" s="162"/>
      <c r="F358" s="162">
        <f>D358</f>
        <v>540000</v>
      </c>
      <c r="G358" s="162">
        <v>850000</v>
      </c>
      <c r="H358" s="162"/>
      <c r="I358" s="162"/>
      <c r="J358" s="162">
        <f>G358</f>
        <v>850000</v>
      </c>
      <c r="K358" s="162"/>
      <c r="L358" s="162"/>
      <c r="M358" s="162"/>
      <c r="N358" s="162">
        <v>893000</v>
      </c>
      <c r="O358" s="162"/>
      <c r="P358" s="162">
        <f>N358</f>
        <v>893000</v>
      </c>
      <c r="R358" s="274"/>
      <c r="S358" s="274"/>
      <c r="T358" s="274"/>
      <c r="U358" s="274"/>
      <c r="V358" s="274"/>
      <c r="W358" s="274"/>
      <c r="X358" s="274"/>
      <c r="Y358" s="274"/>
      <c r="Z358" s="274"/>
      <c r="EB358" s="49"/>
      <c r="EC358" s="49"/>
      <c r="ED358" s="49"/>
      <c r="EE358" s="49"/>
      <c r="EF358" s="49"/>
      <c r="EG358" s="49"/>
    </row>
    <row r="359" spans="1:137" s="48" customFormat="1" ht="21" customHeight="1" hidden="1">
      <c r="A359" s="140" t="s">
        <v>412</v>
      </c>
      <c r="B359" s="64"/>
      <c r="C359" s="64"/>
      <c r="D359" s="162"/>
      <c r="E359" s="162"/>
      <c r="F359" s="162"/>
      <c r="G359" s="162"/>
      <c r="H359" s="162"/>
      <c r="I359" s="162"/>
      <c r="J359" s="162"/>
      <c r="K359" s="162"/>
      <c r="L359" s="162"/>
      <c r="M359" s="162"/>
      <c r="N359" s="162"/>
      <c r="O359" s="162"/>
      <c r="P359" s="162"/>
      <c r="R359" s="274"/>
      <c r="S359" s="274"/>
      <c r="T359" s="274"/>
      <c r="U359" s="274"/>
      <c r="V359" s="274"/>
      <c r="W359" s="274"/>
      <c r="X359" s="274"/>
      <c r="Y359" s="274"/>
      <c r="Z359" s="274"/>
      <c r="EB359" s="49"/>
      <c r="EC359" s="49"/>
      <c r="ED359" s="49"/>
      <c r="EE359" s="49"/>
      <c r="EF359" s="49"/>
      <c r="EG359" s="49"/>
    </row>
    <row r="360" spans="1:137" s="48" customFormat="1" ht="21.75" customHeight="1" hidden="1">
      <c r="A360" s="139" t="s">
        <v>492</v>
      </c>
      <c r="B360" s="64"/>
      <c r="C360" s="64"/>
      <c r="D360" s="162">
        <v>231.6</v>
      </c>
      <c r="E360" s="162"/>
      <c r="F360" s="162">
        <f>D360</f>
        <v>231.6</v>
      </c>
      <c r="G360" s="162">
        <v>321.6</v>
      </c>
      <c r="H360" s="162"/>
      <c r="I360" s="162"/>
      <c r="J360" s="162">
        <f>G360</f>
        <v>321.6</v>
      </c>
      <c r="K360" s="162"/>
      <c r="L360" s="162"/>
      <c r="M360" s="162"/>
      <c r="N360" s="162">
        <v>321.6</v>
      </c>
      <c r="O360" s="162"/>
      <c r="P360" s="162">
        <f>N360</f>
        <v>321.6</v>
      </c>
      <c r="R360" s="274"/>
      <c r="S360" s="274"/>
      <c r="T360" s="274"/>
      <c r="U360" s="274"/>
      <c r="V360" s="274"/>
      <c r="W360" s="274"/>
      <c r="X360" s="274"/>
      <c r="Y360" s="274"/>
      <c r="Z360" s="274"/>
      <c r="EB360" s="49"/>
      <c r="EC360" s="49"/>
      <c r="ED360" s="49"/>
      <c r="EE360" s="49"/>
      <c r="EF360" s="49"/>
      <c r="EG360" s="49"/>
    </row>
    <row r="361" spans="1:137" s="48" customFormat="1" ht="12.75" hidden="1">
      <c r="A361" s="140" t="s">
        <v>374</v>
      </c>
      <c r="B361" s="64"/>
      <c r="C361" s="64"/>
      <c r="D361" s="162"/>
      <c r="E361" s="162"/>
      <c r="F361" s="162"/>
      <c r="G361" s="162"/>
      <c r="H361" s="162"/>
      <c r="I361" s="162"/>
      <c r="J361" s="162"/>
      <c r="K361" s="162"/>
      <c r="L361" s="162"/>
      <c r="M361" s="162"/>
      <c r="N361" s="162"/>
      <c r="O361" s="162"/>
      <c r="P361" s="162"/>
      <c r="R361" s="274"/>
      <c r="S361" s="274"/>
      <c r="T361" s="274"/>
      <c r="U361" s="274"/>
      <c r="V361" s="274"/>
      <c r="W361" s="274"/>
      <c r="X361" s="274"/>
      <c r="Y361" s="274"/>
      <c r="Z361" s="274"/>
      <c r="EB361" s="49"/>
      <c r="EC361" s="49"/>
      <c r="ED361" s="49"/>
      <c r="EE361" s="49"/>
      <c r="EF361" s="49"/>
      <c r="EG361" s="49"/>
    </row>
    <row r="362" spans="1:137" s="61" customFormat="1" ht="20.25" customHeight="1" hidden="1">
      <c r="A362" s="139" t="s">
        <v>493</v>
      </c>
      <c r="B362" s="97"/>
      <c r="C362" s="97"/>
      <c r="D362" s="162">
        <f>D358/D360</f>
        <v>2331.6062176165806</v>
      </c>
      <c r="E362" s="162"/>
      <c r="F362" s="162">
        <f>D362</f>
        <v>2331.6062176165806</v>
      </c>
      <c r="G362" s="162">
        <f>G358/G360</f>
        <v>2643.0348258706467</v>
      </c>
      <c r="H362" s="162"/>
      <c r="I362" s="162"/>
      <c r="J362" s="162">
        <f>G362</f>
        <v>2643.0348258706467</v>
      </c>
      <c r="K362" s="162"/>
      <c r="L362" s="162"/>
      <c r="M362" s="162"/>
      <c r="N362" s="162">
        <f>N358/N360</f>
        <v>2776.741293532338</v>
      </c>
      <c r="O362" s="162"/>
      <c r="P362" s="162">
        <f>N362</f>
        <v>2776.741293532338</v>
      </c>
      <c r="R362" s="274"/>
      <c r="S362" s="274"/>
      <c r="T362" s="274"/>
      <c r="U362" s="274"/>
      <c r="V362" s="274"/>
      <c r="W362" s="274"/>
      <c r="X362" s="274"/>
      <c r="Y362" s="274"/>
      <c r="Z362" s="274"/>
      <c r="EB362" s="62"/>
      <c r="EC362" s="62"/>
      <c r="ED362" s="62"/>
      <c r="EE362" s="62"/>
      <c r="EF362" s="62"/>
      <c r="EG362" s="62"/>
    </row>
    <row r="363" spans="1:137" s="65" customFormat="1" ht="26.25" customHeight="1" hidden="1">
      <c r="A363" s="68" t="s">
        <v>35</v>
      </c>
      <c r="B363" s="64"/>
      <c r="C363" s="64"/>
      <c r="D363" s="67">
        <f>D364+D371+D378+D385+D394+D403+D412+D421+D430+D439+D448+D455</f>
        <v>10417200</v>
      </c>
      <c r="E363" s="67">
        <f>E364+E371+E378+E385+E394+E403+E412+E421+E430+E439+E448+E455</f>
        <v>0</v>
      </c>
      <c r="F363" s="67">
        <f>F364+F371+F378+F385+F394+F403+F412+F421+F430+F439+F448+F455</f>
        <v>10417200</v>
      </c>
      <c r="G363" s="67">
        <f aca="true" t="shared" si="28" ref="G363:P363">G364+G371+G378+G385+G394+G403+G412+G421+G430+G439+G448+G455</f>
        <v>12167599.9952</v>
      </c>
      <c r="H363" s="67">
        <f t="shared" si="28"/>
        <v>0</v>
      </c>
      <c r="I363" s="67">
        <f t="shared" si="28"/>
        <v>0</v>
      </c>
      <c r="J363" s="67">
        <f t="shared" si="28"/>
        <v>12167599.9952</v>
      </c>
      <c r="K363" s="67" t="e">
        <f t="shared" si="28"/>
        <v>#REF!</v>
      </c>
      <c r="L363" s="67" t="e">
        <f t="shared" si="28"/>
        <v>#REF!</v>
      </c>
      <c r="M363" s="67" t="e">
        <f t="shared" si="28"/>
        <v>#REF!</v>
      </c>
      <c r="N363" s="67">
        <f t="shared" si="28"/>
        <v>12531605.04</v>
      </c>
      <c r="O363" s="67">
        <f t="shared" si="28"/>
        <v>0</v>
      </c>
      <c r="P363" s="67">
        <f t="shared" si="28"/>
        <v>12531605.04</v>
      </c>
      <c r="Q363" s="67" t="e">
        <f>Q364+Q371+Q378+#REF!+Q394+Q403+Q412+Q430+Q439+Q448+Q455+#REF!</f>
        <v>#REF!</v>
      </c>
      <c r="R363" s="360"/>
      <c r="S363" s="360"/>
      <c r="T363" s="360"/>
      <c r="U363" s="360"/>
      <c r="V363" s="360"/>
      <c r="W363" s="360"/>
      <c r="X363" s="360"/>
      <c r="Y363" s="360"/>
      <c r="Z363" s="360"/>
      <c r="EB363" s="66"/>
      <c r="EC363" s="66"/>
      <c r="ED363" s="66"/>
      <c r="EE363" s="66"/>
      <c r="EF363" s="66"/>
      <c r="EG363" s="66"/>
    </row>
    <row r="364" spans="1:137" s="61" customFormat="1" ht="32.25" customHeight="1" hidden="1">
      <c r="A364" s="142" t="s">
        <v>70</v>
      </c>
      <c r="B364" s="97"/>
      <c r="C364" s="97"/>
      <c r="D364" s="161">
        <f>D366</f>
        <v>507500</v>
      </c>
      <c r="E364" s="161"/>
      <c r="F364" s="161">
        <f>D364</f>
        <v>507500</v>
      </c>
      <c r="G364" s="161">
        <f>G366</f>
        <v>835000</v>
      </c>
      <c r="H364" s="161"/>
      <c r="I364" s="161"/>
      <c r="J364" s="161">
        <f>G364</f>
        <v>835000</v>
      </c>
      <c r="K364" s="161"/>
      <c r="L364" s="161"/>
      <c r="M364" s="161"/>
      <c r="N364" s="161">
        <f>N366</f>
        <v>877000</v>
      </c>
      <c r="O364" s="161"/>
      <c r="P364" s="161">
        <f>N364</f>
        <v>877000</v>
      </c>
      <c r="R364" s="274"/>
      <c r="S364" s="274"/>
      <c r="T364" s="274"/>
      <c r="U364" s="274"/>
      <c r="V364" s="274"/>
      <c r="W364" s="274"/>
      <c r="X364" s="274"/>
      <c r="Y364" s="274"/>
      <c r="Z364" s="274"/>
      <c r="EB364" s="62"/>
      <c r="EC364" s="62"/>
      <c r="ED364" s="62"/>
      <c r="EE364" s="62"/>
      <c r="EF364" s="62"/>
      <c r="EG364" s="62"/>
    </row>
    <row r="365" spans="1:137" s="61" customFormat="1" ht="12.75" hidden="1">
      <c r="A365" s="134" t="s">
        <v>255</v>
      </c>
      <c r="B365" s="97"/>
      <c r="C365" s="97"/>
      <c r="D365" s="162"/>
      <c r="E365" s="162"/>
      <c r="F365" s="162"/>
      <c r="G365" s="162"/>
      <c r="H365" s="162"/>
      <c r="I365" s="162"/>
      <c r="J365" s="162"/>
      <c r="K365" s="162"/>
      <c r="L365" s="162"/>
      <c r="M365" s="162"/>
      <c r="N365" s="162"/>
      <c r="O365" s="162"/>
      <c r="P365" s="162"/>
      <c r="R365" s="274"/>
      <c r="S365" s="274"/>
      <c r="T365" s="274"/>
      <c r="U365" s="274"/>
      <c r="V365" s="274"/>
      <c r="W365" s="274"/>
      <c r="X365" s="274"/>
      <c r="Y365" s="274"/>
      <c r="Z365" s="274"/>
      <c r="EB365" s="62"/>
      <c r="EC365" s="62"/>
      <c r="ED365" s="62"/>
      <c r="EE365" s="62"/>
      <c r="EF365" s="62"/>
      <c r="EG365" s="62"/>
    </row>
    <row r="366" spans="1:137" s="61" customFormat="1" ht="33" customHeight="1" hidden="1">
      <c r="A366" s="139" t="s">
        <v>494</v>
      </c>
      <c r="B366" s="97"/>
      <c r="C366" s="97"/>
      <c r="D366" s="162">
        <f>755300-247800</f>
        <v>507500</v>
      </c>
      <c r="E366" s="162"/>
      <c r="F366" s="162">
        <f>D366</f>
        <v>507500</v>
      </c>
      <c r="G366" s="162">
        <v>835000</v>
      </c>
      <c r="H366" s="162"/>
      <c r="I366" s="162"/>
      <c r="J366" s="162">
        <f>G366</f>
        <v>835000</v>
      </c>
      <c r="K366" s="162"/>
      <c r="L366" s="162"/>
      <c r="M366" s="162"/>
      <c r="N366" s="162">
        <v>877000</v>
      </c>
      <c r="O366" s="162"/>
      <c r="P366" s="162">
        <f>N366</f>
        <v>877000</v>
      </c>
      <c r="R366" s="274"/>
      <c r="S366" s="274"/>
      <c r="T366" s="274"/>
      <c r="U366" s="274"/>
      <c r="V366" s="274"/>
      <c r="W366" s="274"/>
      <c r="X366" s="274"/>
      <c r="Y366" s="274"/>
      <c r="Z366" s="274"/>
      <c r="EB366" s="62"/>
      <c r="EC366" s="62"/>
      <c r="ED366" s="62"/>
      <c r="EE366" s="62"/>
      <c r="EF366" s="62"/>
      <c r="EG366" s="62"/>
    </row>
    <row r="367" spans="1:137" s="61" customFormat="1" ht="12.75" hidden="1">
      <c r="A367" s="140" t="s">
        <v>412</v>
      </c>
      <c r="B367" s="97"/>
      <c r="C367" s="97"/>
      <c r="D367" s="162"/>
      <c r="E367" s="162"/>
      <c r="F367" s="162"/>
      <c r="G367" s="162"/>
      <c r="H367" s="162"/>
      <c r="I367" s="162"/>
      <c r="J367" s="162"/>
      <c r="K367" s="162"/>
      <c r="L367" s="162"/>
      <c r="M367" s="162"/>
      <c r="N367" s="162"/>
      <c r="O367" s="162"/>
      <c r="P367" s="162"/>
      <c r="R367" s="274"/>
      <c r="S367" s="274"/>
      <c r="T367" s="274"/>
      <c r="U367" s="274"/>
      <c r="V367" s="274"/>
      <c r="W367" s="274"/>
      <c r="X367" s="274"/>
      <c r="Y367" s="274"/>
      <c r="Z367" s="274"/>
      <c r="EB367" s="62"/>
      <c r="EC367" s="62"/>
      <c r="ED367" s="62"/>
      <c r="EE367" s="62"/>
      <c r="EF367" s="62"/>
      <c r="EG367" s="62"/>
    </row>
    <row r="368" spans="1:137" s="61" customFormat="1" ht="25.5" hidden="1">
      <c r="A368" s="139" t="s">
        <v>166</v>
      </c>
      <c r="B368" s="97"/>
      <c r="C368" s="97"/>
      <c r="D368" s="162">
        <v>12</v>
      </c>
      <c r="E368" s="162"/>
      <c r="F368" s="162">
        <f>D368</f>
        <v>12</v>
      </c>
      <c r="G368" s="162">
        <v>12</v>
      </c>
      <c r="H368" s="162"/>
      <c r="I368" s="162"/>
      <c r="J368" s="162">
        <f>G368</f>
        <v>12</v>
      </c>
      <c r="K368" s="162"/>
      <c r="L368" s="162"/>
      <c r="M368" s="162"/>
      <c r="N368" s="162">
        <v>12</v>
      </c>
      <c r="O368" s="162"/>
      <c r="P368" s="162">
        <f>N368</f>
        <v>12</v>
      </c>
      <c r="R368" s="274"/>
      <c r="S368" s="274"/>
      <c r="T368" s="274"/>
      <c r="U368" s="274"/>
      <c r="V368" s="274"/>
      <c r="W368" s="274"/>
      <c r="X368" s="274"/>
      <c r="Y368" s="274"/>
      <c r="Z368" s="274"/>
      <c r="EB368" s="62"/>
      <c r="EC368" s="62"/>
      <c r="ED368" s="62"/>
      <c r="EE368" s="62"/>
      <c r="EF368" s="62"/>
      <c r="EG368" s="62"/>
    </row>
    <row r="369" spans="1:137" s="61" customFormat="1" ht="12.75" hidden="1">
      <c r="A369" s="140" t="s">
        <v>374</v>
      </c>
      <c r="B369" s="97"/>
      <c r="C369" s="97"/>
      <c r="D369" s="162"/>
      <c r="E369" s="162"/>
      <c r="F369" s="162"/>
      <c r="G369" s="162"/>
      <c r="H369" s="162"/>
      <c r="I369" s="162"/>
      <c r="J369" s="162"/>
      <c r="K369" s="162"/>
      <c r="L369" s="162"/>
      <c r="M369" s="162"/>
      <c r="N369" s="162"/>
      <c r="O369" s="162"/>
      <c r="P369" s="162"/>
      <c r="R369" s="274"/>
      <c r="S369" s="274"/>
      <c r="T369" s="274"/>
      <c r="U369" s="274"/>
      <c r="V369" s="274"/>
      <c r="W369" s="274"/>
      <c r="X369" s="274"/>
      <c r="Y369" s="274"/>
      <c r="Z369" s="274"/>
      <c r="EB369" s="62"/>
      <c r="EC369" s="62"/>
      <c r="ED369" s="62"/>
      <c r="EE369" s="62"/>
      <c r="EF369" s="62"/>
      <c r="EG369" s="62"/>
    </row>
    <row r="370" spans="1:137" s="61" customFormat="1" ht="24.75" customHeight="1" hidden="1">
      <c r="A370" s="144" t="s">
        <v>495</v>
      </c>
      <c r="B370" s="97"/>
      <c r="C370" s="97"/>
      <c r="D370" s="162">
        <f>D366/D368</f>
        <v>42291.666666666664</v>
      </c>
      <c r="E370" s="162"/>
      <c r="F370" s="162">
        <f>D370</f>
        <v>42291.666666666664</v>
      </c>
      <c r="G370" s="162">
        <f>G366/G368</f>
        <v>69583.33333333333</v>
      </c>
      <c r="H370" s="162"/>
      <c r="I370" s="162"/>
      <c r="J370" s="162">
        <f>G370</f>
        <v>69583.33333333333</v>
      </c>
      <c r="K370" s="162"/>
      <c r="L370" s="162"/>
      <c r="M370" s="162"/>
      <c r="N370" s="162">
        <f>N366/N368</f>
        <v>73083.33333333333</v>
      </c>
      <c r="O370" s="162"/>
      <c r="P370" s="162">
        <f>N370</f>
        <v>73083.33333333333</v>
      </c>
      <c r="R370" s="274"/>
      <c r="S370" s="274"/>
      <c r="T370" s="274"/>
      <c r="U370" s="274"/>
      <c r="V370" s="274"/>
      <c r="W370" s="274"/>
      <c r="X370" s="274"/>
      <c r="Y370" s="274"/>
      <c r="Z370" s="274"/>
      <c r="EB370" s="62"/>
      <c r="EC370" s="62"/>
      <c r="ED370" s="62"/>
      <c r="EE370" s="62"/>
      <c r="EF370" s="62"/>
      <c r="EG370" s="62"/>
    </row>
    <row r="371" spans="1:137" s="61" customFormat="1" ht="42.75" customHeight="1" hidden="1">
      <c r="A371" s="271" t="s">
        <v>36</v>
      </c>
      <c r="B371" s="97"/>
      <c r="C371" s="97"/>
      <c r="D371" s="161">
        <f>D373</f>
        <v>110000</v>
      </c>
      <c r="E371" s="161"/>
      <c r="F371" s="161">
        <f>D371</f>
        <v>110000</v>
      </c>
      <c r="G371" s="161">
        <f>G373</f>
        <v>167700</v>
      </c>
      <c r="H371" s="161"/>
      <c r="I371" s="161"/>
      <c r="J371" s="161">
        <f>G371</f>
        <v>167700</v>
      </c>
      <c r="K371" s="161"/>
      <c r="L371" s="161"/>
      <c r="M371" s="161"/>
      <c r="N371" s="161">
        <f>N373</f>
        <v>176100</v>
      </c>
      <c r="O371" s="161"/>
      <c r="P371" s="161">
        <f>N371</f>
        <v>176100</v>
      </c>
      <c r="R371" s="274"/>
      <c r="S371" s="274"/>
      <c r="T371" s="274"/>
      <c r="U371" s="274"/>
      <c r="V371" s="274"/>
      <c r="W371" s="274"/>
      <c r="X371" s="274"/>
      <c r="Y371" s="274"/>
      <c r="Z371" s="274"/>
      <c r="EB371" s="62"/>
      <c r="EC371" s="62"/>
      <c r="ED371" s="62"/>
      <c r="EE371" s="62"/>
      <c r="EF371" s="62"/>
      <c r="EG371" s="62"/>
    </row>
    <row r="372" spans="1:137" s="61" customFormat="1" ht="12.75" hidden="1">
      <c r="A372" s="134" t="s">
        <v>255</v>
      </c>
      <c r="B372" s="97"/>
      <c r="C372" s="97"/>
      <c r="D372" s="162"/>
      <c r="E372" s="162"/>
      <c r="F372" s="162"/>
      <c r="G372" s="162"/>
      <c r="H372" s="162"/>
      <c r="I372" s="162"/>
      <c r="J372" s="162"/>
      <c r="K372" s="162"/>
      <c r="L372" s="162"/>
      <c r="M372" s="162"/>
      <c r="N372" s="162"/>
      <c r="O372" s="162"/>
      <c r="P372" s="162"/>
      <c r="R372" s="274"/>
      <c r="S372" s="274"/>
      <c r="T372" s="274"/>
      <c r="U372" s="274"/>
      <c r="V372" s="274"/>
      <c r="W372" s="274"/>
      <c r="X372" s="274"/>
      <c r="Y372" s="274"/>
      <c r="Z372" s="274"/>
      <c r="EB372" s="62"/>
      <c r="EC372" s="62"/>
      <c r="ED372" s="62"/>
      <c r="EE372" s="62"/>
      <c r="EF372" s="62"/>
      <c r="EG372" s="62"/>
    </row>
    <row r="373" spans="1:137" s="61" customFormat="1" ht="45.75" customHeight="1" hidden="1">
      <c r="A373" s="139" t="s">
        <v>496</v>
      </c>
      <c r="B373" s="97"/>
      <c r="C373" s="97"/>
      <c r="D373" s="162">
        <f>159300-49300</f>
        <v>110000</v>
      </c>
      <c r="E373" s="162"/>
      <c r="F373" s="162">
        <f>D373</f>
        <v>110000</v>
      </c>
      <c r="G373" s="162">
        <v>167700</v>
      </c>
      <c r="H373" s="162"/>
      <c r="I373" s="162"/>
      <c r="J373" s="162">
        <f>G373</f>
        <v>167700</v>
      </c>
      <c r="K373" s="162"/>
      <c r="L373" s="162"/>
      <c r="M373" s="162"/>
      <c r="N373" s="162">
        <v>176100</v>
      </c>
      <c r="O373" s="162"/>
      <c r="P373" s="162">
        <f>N373</f>
        <v>176100</v>
      </c>
      <c r="R373" s="274"/>
      <c r="S373" s="274"/>
      <c r="T373" s="274"/>
      <c r="U373" s="274"/>
      <c r="V373" s="274"/>
      <c r="W373" s="274"/>
      <c r="X373" s="274"/>
      <c r="Y373" s="274"/>
      <c r="Z373" s="274"/>
      <c r="EB373" s="62"/>
      <c r="EC373" s="62"/>
      <c r="ED373" s="62"/>
      <c r="EE373" s="62"/>
      <c r="EF373" s="62"/>
      <c r="EG373" s="62"/>
    </row>
    <row r="374" spans="1:137" s="61" customFormat="1" ht="12.75" hidden="1">
      <c r="A374" s="140" t="s">
        <v>412</v>
      </c>
      <c r="B374" s="97"/>
      <c r="C374" s="97"/>
      <c r="D374" s="162"/>
      <c r="E374" s="162"/>
      <c r="F374" s="162"/>
      <c r="G374" s="162"/>
      <c r="H374" s="162"/>
      <c r="I374" s="162"/>
      <c r="J374" s="162"/>
      <c r="K374" s="162"/>
      <c r="L374" s="162"/>
      <c r="M374" s="162"/>
      <c r="N374" s="162"/>
      <c r="O374" s="162"/>
      <c r="P374" s="162"/>
      <c r="R374" s="274"/>
      <c r="S374" s="274"/>
      <c r="T374" s="274"/>
      <c r="U374" s="274"/>
      <c r="V374" s="274"/>
      <c r="W374" s="274"/>
      <c r="X374" s="274"/>
      <c r="Y374" s="274"/>
      <c r="Z374" s="274"/>
      <c r="EB374" s="62"/>
      <c r="EC374" s="62"/>
      <c r="ED374" s="62"/>
      <c r="EE374" s="62"/>
      <c r="EF374" s="62"/>
      <c r="EG374" s="62"/>
    </row>
    <row r="375" spans="1:137" s="61" customFormat="1" ht="38.25" customHeight="1" hidden="1">
      <c r="A375" s="139" t="s">
        <v>147</v>
      </c>
      <c r="B375" s="97"/>
      <c r="C375" s="97"/>
      <c r="D375" s="162">
        <v>12</v>
      </c>
      <c r="E375" s="162"/>
      <c r="F375" s="162">
        <f>D375</f>
        <v>12</v>
      </c>
      <c r="G375" s="162">
        <v>12</v>
      </c>
      <c r="H375" s="162"/>
      <c r="I375" s="162"/>
      <c r="J375" s="162">
        <f>G375</f>
        <v>12</v>
      </c>
      <c r="K375" s="162"/>
      <c r="L375" s="162"/>
      <c r="M375" s="162"/>
      <c r="N375" s="162">
        <v>12</v>
      </c>
      <c r="O375" s="162"/>
      <c r="P375" s="162">
        <f>N375</f>
        <v>12</v>
      </c>
      <c r="R375" s="274"/>
      <c r="S375" s="274"/>
      <c r="T375" s="274"/>
      <c r="U375" s="274"/>
      <c r="V375" s="274"/>
      <c r="W375" s="274"/>
      <c r="X375" s="274"/>
      <c r="Y375" s="274"/>
      <c r="Z375" s="274"/>
      <c r="EB375" s="62"/>
      <c r="EC375" s="62"/>
      <c r="ED375" s="62"/>
      <c r="EE375" s="62"/>
      <c r="EF375" s="62"/>
      <c r="EG375" s="62"/>
    </row>
    <row r="376" spans="1:137" s="61" customFormat="1" ht="12.75" hidden="1">
      <c r="A376" s="140" t="s">
        <v>374</v>
      </c>
      <c r="B376" s="97"/>
      <c r="C376" s="97"/>
      <c r="D376" s="162"/>
      <c r="E376" s="162"/>
      <c r="F376" s="162"/>
      <c r="G376" s="162"/>
      <c r="H376" s="162"/>
      <c r="I376" s="162"/>
      <c r="J376" s="162"/>
      <c r="K376" s="162"/>
      <c r="L376" s="162"/>
      <c r="M376" s="162"/>
      <c r="N376" s="162"/>
      <c r="O376" s="162"/>
      <c r="P376" s="162"/>
      <c r="R376" s="274"/>
      <c r="S376" s="274"/>
      <c r="T376" s="274"/>
      <c r="U376" s="274"/>
      <c r="V376" s="274"/>
      <c r="W376" s="274"/>
      <c r="X376" s="274"/>
      <c r="Y376" s="274"/>
      <c r="Z376" s="274"/>
      <c r="EB376" s="62"/>
      <c r="EC376" s="62"/>
      <c r="ED376" s="62"/>
      <c r="EE376" s="62"/>
      <c r="EF376" s="62"/>
      <c r="EG376" s="62"/>
    </row>
    <row r="377" spans="1:137" s="61" customFormat="1" ht="39.75" customHeight="1" hidden="1">
      <c r="A377" s="144" t="s">
        <v>497</v>
      </c>
      <c r="B377" s="97"/>
      <c r="C377" s="97"/>
      <c r="D377" s="162">
        <f>D373/D375</f>
        <v>9166.666666666666</v>
      </c>
      <c r="E377" s="162"/>
      <c r="F377" s="162">
        <f>D377</f>
        <v>9166.666666666666</v>
      </c>
      <c r="G377" s="162">
        <f>G373/G375</f>
        <v>13975</v>
      </c>
      <c r="H377" s="162"/>
      <c r="I377" s="162"/>
      <c r="J377" s="162">
        <f>G377</f>
        <v>13975</v>
      </c>
      <c r="K377" s="162"/>
      <c r="L377" s="162"/>
      <c r="M377" s="162"/>
      <c r="N377" s="162">
        <f>N373/N375</f>
        <v>14675</v>
      </c>
      <c r="O377" s="162"/>
      <c r="P377" s="162">
        <f>N377</f>
        <v>14675</v>
      </c>
      <c r="R377" s="274"/>
      <c r="S377" s="274"/>
      <c r="T377" s="274"/>
      <c r="U377" s="274"/>
      <c r="V377" s="274"/>
      <c r="W377" s="274"/>
      <c r="X377" s="274"/>
      <c r="Y377" s="274"/>
      <c r="Z377" s="274"/>
      <c r="EB377" s="62"/>
      <c r="EC377" s="62"/>
      <c r="ED377" s="62"/>
      <c r="EE377" s="62"/>
      <c r="EF377" s="62"/>
      <c r="EG377" s="62"/>
    </row>
    <row r="378" spans="1:137" s="61" customFormat="1" ht="27" hidden="1">
      <c r="A378" s="138" t="s">
        <v>71</v>
      </c>
      <c r="B378" s="97"/>
      <c r="C378" s="97"/>
      <c r="D378" s="161">
        <f>D380</f>
        <v>0</v>
      </c>
      <c r="E378" s="161"/>
      <c r="F378" s="161">
        <f>D378</f>
        <v>0</v>
      </c>
      <c r="G378" s="161">
        <f>G380</f>
        <v>84200</v>
      </c>
      <c r="H378" s="161"/>
      <c r="I378" s="161"/>
      <c r="J378" s="161">
        <f>G378</f>
        <v>84200</v>
      </c>
      <c r="K378" s="161"/>
      <c r="L378" s="161"/>
      <c r="M378" s="161"/>
      <c r="N378" s="161">
        <f>N380</f>
        <v>88400</v>
      </c>
      <c r="O378" s="161"/>
      <c r="P378" s="161">
        <f>N378</f>
        <v>88400</v>
      </c>
      <c r="R378" s="274"/>
      <c r="S378" s="274"/>
      <c r="T378" s="274"/>
      <c r="U378" s="274"/>
      <c r="V378" s="274"/>
      <c r="W378" s="274"/>
      <c r="X378" s="274"/>
      <c r="Y378" s="274"/>
      <c r="Z378" s="274"/>
      <c r="EB378" s="62"/>
      <c r="EC378" s="62"/>
      <c r="ED378" s="62"/>
      <c r="EE378" s="62"/>
      <c r="EF378" s="62"/>
      <c r="EG378" s="62"/>
    </row>
    <row r="379" spans="1:137" s="61" customFormat="1" ht="18" customHeight="1" hidden="1">
      <c r="A379" s="134" t="s">
        <v>255</v>
      </c>
      <c r="B379" s="97"/>
      <c r="C379" s="97"/>
      <c r="D379" s="162"/>
      <c r="E379" s="162"/>
      <c r="F379" s="162"/>
      <c r="G379" s="162"/>
      <c r="H379" s="162"/>
      <c r="I379" s="162"/>
      <c r="J379" s="162"/>
      <c r="K379" s="162"/>
      <c r="L379" s="162"/>
      <c r="M379" s="162"/>
      <c r="N379" s="162"/>
      <c r="O379" s="162"/>
      <c r="P379" s="162"/>
      <c r="R379" s="274"/>
      <c r="S379" s="274"/>
      <c r="T379" s="274"/>
      <c r="U379" s="274"/>
      <c r="V379" s="274"/>
      <c r="W379" s="274"/>
      <c r="X379" s="274"/>
      <c r="Y379" s="274"/>
      <c r="Z379" s="274"/>
      <c r="EB379" s="62"/>
      <c r="EC379" s="62"/>
      <c r="ED379" s="62"/>
      <c r="EE379" s="62"/>
      <c r="EF379" s="62"/>
      <c r="EG379" s="62"/>
    </row>
    <row r="380" spans="1:137" s="61" customFormat="1" ht="26.25" customHeight="1" hidden="1">
      <c r="A380" s="139" t="s">
        <v>58</v>
      </c>
      <c r="B380" s="97"/>
      <c r="C380" s="97"/>
      <c r="D380" s="162">
        <f>79400-79400</f>
        <v>0</v>
      </c>
      <c r="E380" s="162"/>
      <c r="F380" s="162">
        <f>D380</f>
        <v>0</v>
      </c>
      <c r="G380" s="162">
        <v>84200</v>
      </c>
      <c r="H380" s="162"/>
      <c r="I380" s="162"/>
      <c r="J380" s="162">
        <f>G380</f>
        <v>84200</v>
      </c>
      <c r="K380" s="162"/>
      <c r="L380" s="162"/>
      <c r="M380" s="162"/>
      <c r="N380" s="162">
        <v>88400</v>
      </c>
      <c r="O380" s="162"/>
      <c r="P380" s="162">
        <f>N380</f>
        <v>88400</v>
      </c>
      <c r="R380" s="274"/>
      <c r="S380" s="274"/>
      <c r="T380" s="274"/>
      <c r="U380" s="274"/>
      <c r="V380" s="274"/>
      <c r="W380" s="274"/>
      <c r="X380" s="274"/>
      <c r="Y380" s="274"/>
      <c r="Z380" s="274"/>
      <c r="EB380" s="62"/>
      <c r="EC380" s="62"/>
      <c r="ED380" s="62"/>
      <c r="EE380" s="62"/>
      <c r="EF380" s="62"/>
      <c r="EG380" s="62"/>
    </row>
    <row r="381" spans="1:137" s="61" customFormat="1" ht="15.75" customHeight="1" hidden="1">
      <c r="A381" s="140" t="s">
        <v>412</v>
      </c>
      <c r="B381" s="97"/>
      <c r="C381" s="97"/>
      <c r="D381" s="162"/>
      <c r="E381" s="162"/>
      <c r="F381" s="162"/>
      <c r="G381" s="162"/>
      <c r="H381" s="162"/>
      <c r="I381" s="162"/>
      <c r="J381" s="162"/>
      <c r="K381" s="162"/>
      <c r="L381" s="162"/>
      <c r="M381" s="162"/>
      <c r="N381" s="162"/>
      <c r="O381" s="162"/>
      <c r="P381" s="162"/>
      <c r="R381" s="274"/>
      <c r="S381" s="274"/>
      <c r="T381" s="274"/>
      <c r="U381" s="274"/>
      <c r="V381" s="274"/>
      <c r="W381" s="274"/>
      <c r="X381" s="274"/>
      <c r="Y381" s="274"/>
      <c r="Z381" s="274"/>
      <c r="EB381" s="62"/>
      <c r="EC381" s="62"/>
      <c r="ED381" s="62"/>
      <c r="EE381" s="62"/>
      <c r="EF381" s="62"/>
      <c r="EG381" s="62"/>
    </row>
    <row r="382" spans="1:137" s="61" customFormat="1" ht="32.25" customHeight="1" hidden="1">
      <c r="A382" s="139" t="s">
        <v>148</v>
      </c>
      <c r="B382" s="97"/>
      <c r="C382" s="97"/>
      <c r="D382" s="170" t="e">
        <f>D380/D384</f>
        <v>#DIV/0!</v>
      </c>
      <c r="E382" s="162"/>
      <c r="F382" s="170" t="e">
        <f>D382</f>
        <v>#DIV/0!</v>
      </c>
      <c r="G382" s="170">
        <f>G380/G384</f>
        <v>24405.797101449272</v>
      </c>
      <c r="H382" s="170"/>
      <c r="I382" s="170"/>
      <c r="J382" s="170">
        <f>G382</f>
        <v>24405.797101449272</v>
      </c>
      <c r="K382" s="170"/>
      <c r="L382" s="170"/>
      <c r="M382" s="170"/>
      <c r="N382" s="170">
        <f>N380/N384</f>
        <v>24219.178082191782</v>
      </c>
      <c r="O382" s="170"/>
      <c r="P382" s="170">
        <f>N382</f>
        <v>24219.178082191782</v>
      </c>
      <c r="R382" s="274"/>
      <c r="S382" s="274"/>
      <c r="T382" s="274"/>
      <c r="U382" s="274"/>
      <c r="V382" s="274"/>
      <c r="W382" s="274"/>
      <c r="X382" s="274"/>
      <c r="Y382" s="274"/>
      <c r="Z382" s="274"/>
      <c r="EB382" s="62"/>
      <c r="EC382" s="62"/>
      <c r="ED382" s="62"/>
      <c r="EE382" s="62"/>
      <c r="EF382" s="62"/>
      <c r="EG382" s="62"/>
    </row>
    <row r="383" spans="1:137" s="61" customFormat="1" ht="16.5" customHeight="1" hidden="1">
      <c r="A383" s="140" t="s">
        <v>374</v>
      </c>
      <c r="B383" s="97"/>
      <c r="C383" s="97"/>
      <c r="D383" s="162"/>
      <c r="E383" s="162"/>
      <c r="F383" s="162"/>
      <c r="G383" s="162"/>
      <c r="H383" s="162"/>
      <c r="I383" s="162"/>
      <c r="J383" s="162"/>
      <c r="K383" s="162"/>
      <c r="L383" s="162"/>
      <c r="M383" s="162"/>
      <c r="N383" s="162"/>
      <c r="O383" s="162"/>
      <c r="P383" s="162"/>
      <c r="R383" s="274"/>
      <c r="S383" s="274"/>
      <c r="T383" s="274"/>
      <c r="U383" s="274"/>
      <c r="V383" s="274"/>
      <c r="W383" s="274"/>
      <c r="X383" s="274"/>
      <c r="Y383" s="274"/>
      <c r="Z383" s="274"/>
      <c r="EB383" s="62"/>
      <c r="EC383" s="62"/>
      <c r="ED383" s="62"/>
      <c r="EE383" s="62"/>
      <c r="EF383" s="62"/>
      <c r="EG383" s="62"/>
    </row>
    <row r="384" spans="1:137" s="61" customFormat="1" ht="27.75" customHeight="1" hidden="1">
      <c r="A384" s="139" t="s">
        <v>59</v>
      </c>
      <c r="B384" s="97"/>
      <c r="C384" s="97"/>
      <c r="D384" s="162">
        <v>0</v>
      </c>
      <c r="E384" s="162"/>
      <c r="F384" s="162">
        <f>D384</f>
        <v>0</v>
      </c>
      <c r="G384" s="162">
        <v>3.45</v>
      </c>
      <c r="H384" s="162"/>
      <c r="I384" s="162"/>
      <c r="J384" s="162">
        <f>G384</f>
        <v>3.45</v>
      </c>
      <c r="K384" s="162"/>
      <c r="L384" s="162"/>
      <c r="M384" s="162"/>
      <c r="N384" s="162">
        <v>3.65</v>
      </c>
      <c r="O384" s="162"/>
      <c r="P384" s="162">
        <f>N384</f>
        <v>3.65</v>
      </c>
      <c r="R384" s="274"/>
      <c r="S384" s="274"/>
      <c r="T384" s="274"/>
      <c r="U384" s="274"/>
      <c r="V384" s="274"/>
      <c r="W384" s="274"/>
      <c r="X384" s="274"/>
      <c r="Y384" s="274"/>
      <c r="Z384" s="274"/>
      <c r="EB384" s="62"/>
      <c r="EC384" s="62"/>
      <c r="ED384" s="62"/>
      <c r="EE384" s="62"/>
      <c r="EF384" s="62"/>
      <c r="EG384" s="62"/>
    </row>
    <row r="385" spans="1:137" s="52" customFormat="1" ht="13.5" hidden="1">
      <c r="A385" s="138" t="s">
        <v>60</v>
      </c>
      <c r="B385" s="160"/>
      <c r="C385" s="160"/>
      <c r="D385" s="161">
        <f>D386*D389+D387*D390-0.04</f>
        <v>2199200</v>
      </c>
      <c r="E385" s="161">
        <f>E386*E389+E387*E390</f>
        <v>0</v>
      </c>
      <c r="F385" s="161">
        <f>D385</f>
        <v>2199200</v>
      </c>
      <c r="G385" s="161">
        <f>G386*G389+G387*G390</f>
        <v>4072099.9952</v>
      </c>
      <c r="H385" s="161">
        <f>H386*H389+H387*H390</f>
        <v>0</v>
      </c>
      <c r="I385" s="161">
        <v>0</v>
      </c>
      <c r="J385" s="161">
        <f>G385+H385</f>
        <v>4072099.9952</v>
      </c>
      <c r="K385" s="161" t="e">
        <f>(K386*K389)+(K387*K390)+(#REF!*#REF!)</f>
        <v>#REF!</v>
      </c>
      <c r="L385" s="161" t="e">
        <f>(L386*L389)+(L387*L390)+(#REF!*#REF!)</f>
        <v>#REF!</v>
      </c>
      <c r="M385" s="161" t="e">
        <f>(M386*M389)+(M387*M390)+(#REF!*#REF!)</f>
        <v>#REF!</v>
      </c>
      <c r="N385" s="161">
        <f>N386*N389+N387*N390</f>
        <v>4275705.04</v>
      </c>
      <c r="O385" s="161">
        <f>O386*O389+O387*O390</f>
        <v>0</v>
      </c>
      <c r="P385" s="161">
        <f>N385+O385</f>
        <v>4275705.04</v>
      </c>
      <c r="Q385" s="41" t="e">
        <f>(Q386*Q389)+(Q387*Q390)+(#REF!*#REF!)</f>
        <v>#REF!</v>
      </c>
      <c r="R385" s="357"/>
      <c r="S385" s="357"/>
      <c r="T385" s="357"/>
      <c r="U385" s="357"/>
      <c r="V385" s="357"/>
      <c r="W385" s="357"/>
      <c r="X385" s="357"/>
      <c r="Y385" s="357"/>
      <c r="Z385" s="357"/>
      <c r="EB385" s="43"/>
      <c r="EC385" s="43"/>
      <c r="ED385" s="43"/>
      <c r="EE385" s="43"/>
      <c r="EF385" s="43"/>
      <c r="EG385" s="43"/>
    </row>
    <row r="386" spans="1:137" s="61" customFormat="1" ht="12.75" hidden="1">
      <c r="A386" s="139" t="s">
        <v>236</v>
      </c>
      <c r="B386" s="163"/>
      <c r="C386" s="163"/>
      <c r="D386" s="162">
        <v>8</v>
      </c>
      <c r="E386" s="162"/>
      <c r="F386" s="162">
        <f>D386+E386</f>
        <v>8</v>
      </c>
      <c r="G386" s="162">
        <v>8</v>
      </c>
      <c r="H386" s="162"/>
      <c r="I386" s="162"/>
      <c r="J386" s="162">
        <f>G386+H386</f>
        <v>8</v>
      </c>
      <c r="K386" s="162"/>
      <c r="L386" s="162"/>
      <c r="M386" s="162"/>
      <c r="N386" s="162">
        <v>8</v>
      </c>
      <c r="O386" s="162"/>
      <c r="P386" s="162">
        <f>N386+O386</f>
        <v>8</v>
      </c>
      <c r="R386" s="274"/>
      <c r="S386" s="274"/>
      <c r="T386" s="274"/>
      <c r="U386" s="274"/>
      <c r="V386" s="274"/>
      <c r="W386" s="274"/>
      <c r="X386" s="274"/>
      <c r="Y386" s="274"/>
      <c r="Z386" s="274"/>
      <c r="EB386" s="62"/>
      <c r="EC386" s="62"/>
      <c r="ED386" s="62"/>
      <c r="EE386" s="62"/>
      <c r="EF386" s="62"/>
      <c r="EG386" s="62"/>
    </row>
    <row r="387" spans="1:137" s="61" customFormat="1" ht="22.5" customHeight="1" hidden="1">
      <c r="A387" s="139" t="s">
        <v>237</v>
      </c>
      <c r="B387" s="163"/>
      <c r="C387" s="163"/>
      <c r="D387" s="162">
        <v>5</v>
      </c>
      <c r="E387" s="162"/>
      <c r="F387" s="162">
        <f>D387+E387</f>
        <v>5</v>
      </c>
      <c r="G387" s="162">
        <f>D387</f>
        <v>5</v>
      </c>
      <c r="H387" s="162"/>
      <c r="I387" s="162"/>
      <c r="J387" s="162">
        <f>G387+H387</f>
        <v>5</v>
      </c>
      <c r="K387" s="162"/>
      <c r="L387" s="162"/>
      <c r="M387" s="162"/>
      <c r="N387" s="162">
        <v>5</v>
      </c>
      <c r="O387" s="162"/>
      <c r="P387" s="162">
        <f>N387+O387</f>
        <v>5</v>
      </c>
      <c r="R387" s="274"/>
      <c r="S387" s="274"/>
      <c r="T387" s="274"/>
      <c r="U387" s="274"/>
      <c r="V387" s="274"/>
      <c r="W387" s="274"/>
      <c r="X387" s="274"/>
      <c r="Y387" s="274"/>
      <c r="Z387" s="274"/>
      <c r="EB387" s="62"/>
      <c r="EC387" s="62"/>
      <c r="ED387" s="62"/>
      <c r="EE387" s="62"/>
      <c r="EF387" s="62"/>
      <c r="EG387" s="62"/>
    </row>
    <row r="388" spans="1:137" s="61" customFormat="1" ht="12" customHeight="1" hidden="1">
      <c r="A388" s="140" t="s">
        <v>187</v>
      </c>
      <c r="B388" s="159"/>
      <c r="C388" s="159"/>
      <c r="D388" s="169"/>
      <c r="E388" s="169"/>
      <c r="F388" s="162"/>
      <c r="G388" s="169"/>
      <c r="H388" s="169"/>
      <c r="I388" s="162"/>
      <c r="J388" s="162"/>
      <c r="K388" s="162"/>
      <c r="L388" s="162"/>
      <c r="M388" s="162"/>
      <c r="N388" s="169"/>
      <c r="O388" s="169"/>
      <c r="P388" s="162"/>
      <c r="R388" s="274"/>
      <c r="S388" s="274"/>
      <c r="T388" s="274"/>
      <c r="U388" s="274"/>
      <c r="V388" s="274"/>
      <c r="W388" s="274"/>
      <c r="X388" s="274"/>
      <c r="Y388" s="274"/>
      <c r="Z388" s="274"/>
      <c r="EB388" s="62"/>
      <c r="EC388" s="62"/>
      <c r="ED388" s="62"/>
      <c r="EE388" s="62"/>
      <c r="EF388" s="62"/>
      <c r="EG388" s="62"/>
    </row>
    <row r="389" spans="1:137" s="61" customFormat="1" ht="22.5" customHeight="1" hidden="1">
      <c r="A389" s="139" t="s">
        <v>498</v>
      </c>
      <c r="B389" s="163"/>
      <c r="C389" s="163"/>
      <c r="D389" s="162">
        <v>162290.63</v>
      </c>
      <c r="E389" s="162"/>
      <c r="F389" s="162">
        <f>D389+E389</f>
        <v>162290.63</v>
      </c>
      <c r="G389" s="162">
        <v>321687.3119</v>
      </c>
      <c r="H389" s="162"/>
      <c r="I389" s="162"/>
      <c r="J389" s="162">
        <f>G389+H389</f>
        <v>321687.3119</v>
      </c>
      <c r="K389" s="162"/>
      <c r="L389" s="162"/>
      <c r="M389" s="162"/>
      <c r="N389" s="162">
        <v>337771.68</v>
      </c>
      <c r="O389" s="162"/>
      <c r="P389" s="162">
        <f>N389+O389</f>
        <v>337771.68</v>
      </c>
      <c r="R389" s="274"/>
      <c r="S389" s="274"/>
      <c r="T389" s="274"/>
      <c r="U389" s="274"/>
      <c r="V389" s="274"/>
      <c r="W389" s="274"/>
      <c r="X389" s="274"/>
      <c r="Y389" s="274"/>
      <c r="Z389" s="274"/>
      <c r="EB389" s="62"/>
      <c r="EC389" s="62"/>
      <c r="ED389" s="62"/>
      <c r="EE389" s="62"/>
      <c r="EF389" s="62"/>
      <c r="EG389" s="62"/>
    </row>
    <row r="390" spans="1:137" s="61" customFormat="1" ht="22.5" customHeight="1" hidden="1">
      <c r="A390" s="139" t="s">
        <v>499</v>
      </c>
      <c r="B390" s="163"/>
      <c r="C390" s="163"/>
      <c r="D390" s="162">
        <v>180175</v>
      </c>
      <c r="E390" s="162"/>
      <c r="F390" s="162">
        <f>D390+E390</f>
        <v>180175</v>
      </c>
      <c r="G390" s="162">
        <v>299720.3</v>
      </c>
      <c r="H390" s="162"/>
      <c r="I390" s="162"/>
      <c r="J390" s="162">
        <f>G390+H390</f>
        <v>299720.3</v>
      </c>
      <c r="K390" s="162"/>
      <c r="L390" s="162"/>
      <c r="M390" s="162"/>
      <c r="N390" s="162">
        <v>314706.32</v>
      </c>
      <c r="O390" s="162"/>
      <c r="P390" s="162">
        <f>N390+O390</f>
        <v>314706.32</v>
      </c>
      <c r="R390" s="274"/>
      <c r="S390" s="274"/>
      <c r="T390" s="274"/>
      <c r="U390" s="274"/>
      <c r="V390" s="274"/>
      <c r="W390" s="274"/>
      <c r="X390" s="274"/>
      <c r="Y390" s="274"/>
      <c r="Z390" s="274"/>
      <c r="EB390" s="62"/>
      <c r="EC390" s="62"/>
      <c r="ED390" s="62"/>
      <c r="EE390" s="62"/>
      <c r="EF390" s="62"/>
      <c r="EG390" s="62"/>
    </row>
    <row r="391" spans="1:137" s="61" customFormat="1" ht="12.75" hidden="1">
      <c r="A391" s="140" t="s">
        <v>186</v>
      </c>
      <c r="B391" s="163"/>
      <c r="C391" s="163"/>
      <c r="D391" s="162"/>
      <c r="E391" s="162"/>
      <c r="F391" s="162"/>
      <c r="G391" s="162"/>
      <c r="H391" s="162"/>
      <c r="I391" s="162"/>
      <c r="J391" s="162"/>
      <c r="K391" s="162"/>
      <c r="L391" s="162"/>
      <c r="M391" s="162"/>
      <c r="N391" s="162"/>
      <c r="O391" s="162"/>
      <c r="P391" s="162"/>
      <c r="R391" s="274"/>
      <c r="S391" s="274"/>
      <c r="T391" s="274"/>
      <c r="U391" s="274"/>
      <c r="V391" s="274"/>
      <c r="W391" s="274"/>
      <c r="X391" s="274"/>
      <c r="Y391" s="274"/>
      <c r="Z391" s="274"/>
      <c r="EB391" s="62"/>
      <c r="EC391" s="62"/>
      <c r="ED391" s="62"/>
      <c r="EE391" s="62"/>
      <c r="EF391" s="62"/>
      <c r="EG391" s="62"/>
    </row>
    <row r="392" spans="1:137" s="61" customFormat="1" ht="28.5" customHeight="1" hidden="1">
      <c r="A392" s="139" t="s">
        <v>238</v>
      </c>
      <c r="B392" s="163"/>
      <c r="C392" s="163"/>
      <c r="D392" s="162"/>
      <c r="E392" s="162"/>
      <c r="F392" s="162">
        <f>D392+E392</f>
        <v>0</v>
      </c>
      <c r="G392" s="162">
        <f>G389/F389*100</f>
        <v>198.2168113464098</v>
      </c>
      <c r="H392" s="162"/>
      <c r="I392" s="162"/>
      <c r="J392" s="162">
        <f>G392+H392</f>
        <v>198.2168113464098</v>
      </c>
      <c r="K392" s="162"/>
      <c r="L392" s="162"/>
      <c r="M392" s="162"/>
      <c r="N392" s="162">
        <f>N389/J389*100</f>
        <v>105.00000077870651</v>
      </c>
      <c r="O392" s="162"/>
      <c r="P392" s="162">
        <f>N392+O392</f>
        <v>105.00000077870651</v>
      </c>
      <c r="R392" s="274"/>
      <c r="S392" s="274"/>
      <c r="T392" s="274"/>
      <c r="U392" s="274"/>
      <c r="V392" s="274"/>
      <c r="W392" s="274"/>
      <c r="X392" s="274"/>
      <c r="Y392" s="274"/>
      <c r="Z392" s="274"/>
      <c r="EB392" s="62"/>
      <c r="EC392" s="62"/>
      <c r="ED392" s="62"/>
      <c r="EE392" s="62"/>
      <c r="EF392" s="62"/>
      <c r="EG392" s="62"/>
    </row>
    <row r="393" spans="1:137" s="61" customFormat="1" ht="30" customHeight="1" hidden="1">
      <c r="A393" s="139" t="s">
        <v>239</v>
      </c>
      <c r="B393" s="163"/>
      <c r="C393" s="163"/>
      <c r="D393" s="162"/>
      <c r="E393" s="162"/>
      <c r="F393" s="162">
        <f>D393+E393</f>
        <v>0</v>
      </c>
      <c r="G393" s="162">
        <f>G390/D390*100</f>
        <v>166.34954904953517</v>
      </c>
      <c r="H393" s="162"/>
      <c r="I393" s="162"/>
      <c r="J393" s="162">
        <f>G393+H393</f>
        <v>166.34954904953517</v>
      </c>
      <c r="K393" s="162"/>
      <c r="L393" s="162"/>
      <c r="M393" s="162"/>
      <c r="N393" s="162">
        <f>N390/G390*100</f>
        <v>105.00000166822201</v>
      </c>
      <c r="O393" s="162"/>
      <c r="P393" s="162">
        <f>N393+O393</f>
        <v>105.00000166822201</v>
      </c>
      <c r="R393" s="274"/>
      <c r="S393" s="274"/>
      <c r="T393" s="274"/>
      <c r="U393" s="274"/>
      <c r="V393" s="274"/>
      <c r="W393" s="274"/>
      <c r="X393" s="274"/>
      <c r="Y393" s="274"/>
      <c r="Z393" s="274"/>
      <c r="EB393" s="62"/>
      <c r="EC393" s="62"/>
      <c r="ED393" s="62"/>
      <c r="EE393" s="62"/>
      <c r="EF393" s="62"/>
      <c r="EG393" s="62"/>
    </row>
    <row r="394" spans="1:137" s="36" customFormat="1" ht="13.5" hidden="1">
      <c r="A394" s="138" t="s">
        <v>37</v>
      </c>
      <c r="B394" s="163"/>
      <c r="C394" s="163"/>
      <c r="D394" s="161">
        <f>D396</f>
        <v>1636600</v>
      </c>
      <c r="E394" s="161"/>
      <c r="F394" s="161">
        <f>D394</f>
        <v>1636600</v>
      </c>
      <c r="G394" s="161">
        <f>G396</f>
        <v>2289700</v>
      </c>
      <c r="H394" s="161"/>
      <c r="I394" s="161"/>
      <c r="J394" s="161">
        <f>G394</f>
        <v>2289700</v>
      </c>
      <c r="K394" s="161"/>
      <c r="L394" s="161"/>
      <c r="M394" s="161"/>
      <c r="N394" s="161">
        <f>N396</f>
        <v>2404200</v>
      </c>
      <c r="O394" s="161"/>
      <c r="P394" s="161">
        <f>N394</f>
        <v>2404200</v>
      </c>
      <c r="R394" s="274"/>
      <c r="S394" s="274"/>
      <c r="T394" s="274"/>
      <c r="U394" s="274"/>
      <c r="V394" s="274"/>
      <c r="W394" s="274"/>
      <c r="X394" s="274"/>
      <c r="Y394" s="274"/>
      <c r="Z394" s="274"/>
      <c r="EB394" s="37"/>
      <c r="EC394" s="37"/>
      <c r="ED394" s="37"/>
      <c r="EE394" s="37"/>
      <c r="EF394" s="37"/>
      <c r="EG394" s="37"/>
    </row>
    <row r="395" spans="1:137" s="61" customFormat="1" ht="19.5" customHeight="1" hidden="1">
      <c r="A395" s="134" t="s">
        <v>255</v>
      </c>
      <c r="B395" s="97"/>
      <c r="C395" s="97"/>
      <c r="D395" s="162"/>
      <c r="E395" s="162"/>
      <c r="F395" s="162"/>
      <c r="G395" s="162"/>
      <c r="H395" s="162"/>
      <c r="I395" s="162"/>
      <c r="J395" s="162"/>
      <c r="K395" s="162"/>
      <c r="L395" s="162"/>
      <c r="M395" s="162"/>
      <c r="N395" s="162"/>
      <c r="O395" s="162"/>
      <c r="P395" s="162"/>
      <c r="R395" s="274"/>
      <c r="S395" s="274"/>
      <c r="T395" s="274"/>
      <c r="U395" s="274"/>
      <c r="V395" s="274"/>
      <c r="W395" s="274"/>
      <c r="X395" s="274"/>
      <c r="Y395" s="274"/>
      <c r="Z395" s="274"/>
      <c r="EB395" s="62"/>
      <c r="EC395" s="62"/>
      <c r="ED395" s="62"/>
      <c r="EE395" s="62"/>
      <c r="EF395" s="62"/>
      <c r="EG395" s="62"/>
    </row>
    <row r="396" spans="1:137" s="61" customFormat="1" ht="29.25" customHeight="1" hidden="1">
      <c r="A396" s="139" t="s">
        <v>502</v>
      </c>
      <c r="B396" s="97"/>
      <c r="C396" s="97"/>
      <c r="D396" s="162">
        <f>2216400-579800</f>
        <v>1636600</v>
      </c>
      <c r="E396" s="162"/>
      <c r="F396" s="162">
        <f>D396</f>
        <v>1636600</v>
      </c>
      <c r="G396" s="162">
        <v>2289700</v>
      </c>
      <c r="H396" s="162"/>
      <c r="I396" s="162"/>
      <c r="J396" s="162">
        <f>G396</f>
        <v>2289700</v>
      </c>
      <c r="K396" s="162"/>
      <c r="L396" s="162"/>
      <c r="M396" s="162"/>
      <c r="N396" s="162">
        <v>2404200</v>
      </c>
      <c r="O396" s="162"/>
      <c r="P396" s="162">
        <f>N396</f>
        <v>2404200</v>
      </c>
      <c r="R396" s="274"/>
      <c r="S396" s="274"/>
      <c r="T396" s="274"/>
      <c r="U396" s="274"/>
      <c r="V396" s="274"/>
      <c r="W396" s="274"/>
      <c r="X396" s="274"/>
      <c r="Y396" s="274"/>
      <c r="Z396" s="274"/>
      <c r="EB396" s="62"/>
      <c r="EC396" s="62"/>
      <c r="ED396" s="62"/>
      <c r="EE396" s="62"/>
      <c r="EF396" s="62"/>
      <c r="EG396" s="62"/>
    </row>
    <row r="397" spans="1:137" s="61" customFormat="1" ht="12.75" hidden="1">
      <c r="A397" s="140" t="s">
        <v>412</v>
      </c>
      <c r="B397" s="97"/>
      <c r="C397" s="97"/>
      <c r="D397" s="162"/>
      <c r="E397" s="162"/>
      <c r="F397" s="162"/>
      <c r="G397" s="162"/>
      <c r="H397" s="162"/>
      <c r="I397" s="162"/>
      <c r="J397" s="162"/>
      <c r="K397" s="162"/>
      <c r="L397" s="162"/>
      <c r="M397" s="162"/>
      <c r="N397" s="162"/>
      <c r="O397" s="162"/>
      <c r="P397" s="162"/>
      <c r="R397" s="274"/>
      <c r="S397" s="274"/>
      <c r="T397" s="274"/>
      <c r="U397" s="274"/>
      <c r="V397" s="274"/>
      <c r="W397" s="274"/>
      <c r="X397" s="274"/>
      <c r="Y397" s="274"/>
      <c r="Z397" s="274"/>
      <c r="EB397" s="62"/>
      <c r="EC397" s="62"/>
      <c r="ED397" s="62"/>
      <c r="EE397" s="62"/>
      <c r="EF397" s="62"/>
      <c r="EG397" s="62"/>
    </row>
    <row r="398" spans="1:137" s="61" customFormat="1" ht="12.75" hidden="1">
      <c r="A398" s="139" t="s">
        <v>0</v>
      </c>
      <c r="B398" s="97"/>
      <c r="C398" s="97"/>
      <c r="D398" s="162">
        <v>7</v>
      </c>
      <c r="E398" s="162"/>
      <c r="F398" s="162">
        <f>D398</f>
        <v>7</v>
      </c>
      <c r="G398" s="162">
        <v>7</v>
      </c>
      <c r="H398" s="162"/>
      <c r="I398" s="162"/>
      <c r="J398" s="162">
        <f>G398</f>
        <v>7</v>
      </c>
      <c r="K398" s="162"/>
      <c r="L398" s="162"/>
      <c r="M398" s="162"/>
      <c r="N398" s="162">
        <v>7</v>
      </c>
      <c r="O398" s="162"/>
      <c r="P398" s="162">
        <f>N398</f>
        <v>7</v>
      </c>
      <c r="R398" s="274"/>
      <c r="S398" s="274"/>
      <c r="T398" s="274"/>
      <c r="U398" s="274"/>
      <c r="V398" s="274"/>
      <c r="W398" s="274"/>
      <c r="X398" s="274"/>
      <c r="Y398" s="274"/>
      <c r="Z398" s="274"/>
      <c r="EB398" s="62"/>
      <c r="EC398" s="62"/>
      <c r="ED398" s="62"/>
      <c r="EE398" s="62"/>
      <c r="EF398" s="62"/>
      <c r="EG398" s="62"/>
    </row>
    <row r="399" spans="1:137" s="61" customFormat="1" ht="20.25" customHeight="1" hidden="1">
      <c r="A399" s="140" t="s">
        <v>374</v>
      </c>
      <c r="B399" s="97"/>
      <c r="C399" s="97"/>
      <c r="D399" s="162"/>
      <c r="E399" s="162"/>
      <c r="F399" s="162"/>
      <c r="G399" s="162"/>
      <c r="H399" s="162"/>
      <c r="I399" s="162"/>
      <c r="J399" s="162"/>
      <c r="K399" s="162"/>
      <c r="L399" s="162"/>
      <c r="M399" s="162"/>
      <c r="N399" s="162"/>
      <c r="O399" s="162"/>
      <c r="P399" s="162"/>
      <c r="R399" s="274"/>
      <c r="S399" s="274"/>
      <c r="T399" s="274"/>
      <c r="U399" s="274"/>
      <c r="V399" s="274"/>
      <c r="W399" s="274"/>
      <c r="X399" s="274"/>
      <c r="Y399" s="274"/>
      <c r="Z399" s="274"/>
      <c r="EB399" s="62"/>
      <c r="EC399" s="62"/>
      <c r="ED399" s="62"/>
      <c r="EE399" s="62"/>
      <c r="EF399" s="62"/>
      <c r="EG399" s="62"/>
    </row>
    <row r="400" spans="1:137" s="61" customFormat="1" ht="26.25" customHeight="1" hidden="1">
      <c r="A400" s="139" t="s">
        <v>503</v>
      </c>
      <c r="B400" s="97"/>
      <c r="C400" s="97"/>
      <c r="D400" s="162">
        <f>D396/D398</f>
        <v>233800</v>
      </c>
      <c r="E400" s="162"/>
      <c r="F400" s="162">
        <f>D400</f>
        <v>233800</v>
      </c>
      <c r="G400" s="162">
        <f>G396/G398</f>
        <v>327100</v>
      </c>
      <c r="H400" s="162"/>
      <c r="I400" s="162"/>
      <c r="J400" s="162">
        <f>G400</f>
        <v>327100</v>
      </c>
      <c r="K400" s="162"/>
      <c r="L400" s="162"/>
      <c r="M400" s="162"/>
      <c r="N400" s="162">
        <f>N396/N398</f>
        <v>343457.14285714284</v>
      </c>
      <c r="O400" s="162"/>
      <c r="P400" s="162">
        <f>N400</f>
        <v>343457.14285714284</v>
      </c>
      <c r="R400" s="274"/>
      <c r="S400" s="274"/>
      <c r="T400" s="274"/>
      <c r="U400" s="274"/>
      <c r="V400" s="274"/>
      <c r="W400" s="274"/>
      <c r="X400" s="274"/>
      <c r="Y400" s="274"/>
      <c r="Z400" s="274"/>
      <c r="EB400" s="62"/>
      <c r="EC400" s="62"/>
      <c r="ED400" s="62"/>
      <c r="EE400" s="62"/>
      <c r="EF400" s="62"/>
      <c r="EG400" s="62"/>
    </row>
    <row r="401" spans="1:137" s="61" customFormat="1" ht="16.5" customHeight="1" hidden="1">
      <c r="A401" s="140" t="s">
        <v>501</v>
      </c>
      <c r="B401" s="97"/>
      <c r="C401" s="97"/>
      <c r="D401" s="162"/>
      <c r="E401" s="162"/>
      <c r="F401" s="162"/>
      <c r="G401" s="162"/>
      <c r="H401" s="162"/>
      <c r="I401" s="162"/>
      <c r="J401" s="162"/>
      <c r="K401" s="162"/>
      <c r="L401" s="162"/>
      <c r="M401" s="162"/>
      <c r="N401" s="162"/>
      <c r="O401" s="162"/>
      <c r="P401" s="162"/>
      <c r="R401" s="274"/>
      <c r="S401" s="274"/>
      <c r="T401" s="274"/>
      <c r="U401" s="274"/>
      <c r="V401" s="274"/>
      <c r="W401" s="274"/>
      <c r="X401" s="274"/>
      <c r="Y401" s="274"/>
      <c r="Z401" s="274"/>
      <c r="EB401" s="62"/>
      <c r="EC401" s="62"/>
      <c r="ED401" s="62"/>
      <c r="EE401" s="62"/>
      <c r="EF401" s="62"/>
      <c r="EG401" s="62"/>
    </row>
    <row r="402" spans="1:137" s="61" customFormat="1" ht="33" customHeight="1" hidden="1">
      <c r="A402" s="139" t="s">
        <v>504</v>
      </c>
      <c r="B402" s="97"/>
      <c r="C402" s="97"/>
      <c r="D402" s="162"/>
      <c r="E402" s="162"/>
      <c r="F402" s="162"/>
      <c r="G402" s="162">
        <f>G400/D400*100</f>
        <v>139.9059024807528</v>
      </c>
      <c r="H402" s="162"/>
      <c r="I402" s="162"/>
      <c r="J402" s="162">
        <f>G402</f>
        <v>139.9059024807528</v>
      </c>
      <c r="K402" s="162"/>
      <c r="L402" s="162"/>
      <c r="M402" s="162"/>
      <c r="N402" s="162">
        <f>N400/G400*100</f>
        <v>105.00065510765602</v>
      </c>
      <c r="O402" s="162"/>
      <c r="P402" s="162">
        <f>N402</f>
        <v>105.00065510765602</v>
      </c>
      <c r="R402" s="274"/>
      <c r="S402" s="274"/>
      <c r="T402" s="274"/>
      <c r="U402" s="274"/>
      <c r="V402" s="274"/>
      <c r="W402" s="274"/>
      <c r="X402" s="274"/>
      <c r="Y402" s="274"/>
      <c r="Z402" s="274"/>
      <c r="EB402" s="62"/>
      <c r="EC402" s="62"/>
      <c r="ED402" s="62"/>
      <c r="EE402" s="62"/>
      <c r="EF402" s="62"/>
      <c r="EG402" s="62"/>
    </row>
    <row r="403" spans="1:137" s="61" customFormat="1" ht="21" customHeight="1" hidden="1">
      <c r="A403" s="138" t="s">
        <v>38</v>
      </c>
      <c r="B403" s="97"/>
      <c r="C403" s="97"/>
      <c r="D403" s="161">
        <f>D405</f>
        <v>510000</v>
      </c>
      <c r="E403" s="161"/>
      <c r="F403" s="161">
        <f>D403</f>
        <v>510000</v>
      </c>
      <c r="G403" s="161">
        <f>G405</f>
        <v>600000</v>
      </c>
      <c r="H403" s="161"/>
      <c r="I403" s="161"/>
      <c r="J403" s="161">
        <f>G403</f>
        <v>600000</v>
      </c>
      <c r="K403" s="161"/>
      <c r="L403" s="161"/>
      <c r="M403" s="161"/>
      <c r="N403" s="161">
        <f>N405</f>
        <v>630000</v>
      </c>
      <c r="O403" s="161"/>
      <c r="P403" s="161">
        <f>N403</f>
        <v>630000</v>
      </c>
      <c r="R403" s="274"/>
      <c r="S403" s="274"/>
      <c r="T403" s="274"/>
      <c r="U403" s="274"/>
      <c r="V403" s="274"/>
      <c r="W403" s="274"/>
      <c r="X403" s="274"/>
      <c r="Y403" s="274"/>
      <c r="Z403" s="274"/>
      <c r="EB403" s="62"/>
      <c r="EC403" s="62"/>
      <c r="ED403" s="62"/>
      <c r="EE403" s="62"/>
      <c r="EF403" s="62"/>
      <c r="EG403" s="62"/>
    </row>
    <row r="404" spans="1:137" s="61" customFormat="1" ht="16.5" customHeight="1" hidden="1">
      <c r="A404" s="134" t="s">
        <v>255</v>
      </c>
      <c r="B404" s="97"/>
      <c r="C404" s="97"/>
      <c r="D404" s="162"/>
      <c r="E404" s="162"/>
      <c r="F404" s="162"/>
      <c r="G404" s="162"/>
      <c r="H404" s="162"/>
      <c r="I404" s="162"/>
      <c r="J404" s="162"/>
      <c r="K404" s="162"/>
      <c r="L404" s="162"/>
      <c r="M404" s="162"/>
      <c r="N404" s="162"/>
      <c r="O404" s="162"/>
      <c r="P404" s="162"/>
      <c r="R404" s="274"/>
      <c r="S404" s="274"/>
      <c r="T404" s="274"/>
      <c r="U404" s="274"/>
      <c r="V404" s="274"/>
      <c r="W404" s="274"/>
      <c r="X404" s="274"/>
      <c r="Y404" s="274"/>
      <c r="Z404" s="274"/>
      <c r="EB404" s="62"/>
      <c r="EC404" s="62"/>
      <c r="ED404" s="62"/>
      <c r="EE404" s="62"/>
      <c r="EF404" s="62"/>
      <c r="EG404" s="62"/>
    </row>
    <row r="405" spans="1:137" s="61" customFormat="1" ht="17.25" customHeight="1" hidden="1">
      <c r="A405" s="139" t="s">
        <v>1</v>
      </c>
      <c r="B405" s="97"/>
      <c r="C405" s="97"/>
      <c r="D405" s="162">
        <f>550000-40000</f>
        <v>510000</v>
      </c>
      <c r="E405" s="162"/>
      <c r="F405" s="162">
        <f>D405</f>
        <v>510000</v>
      </c>
      <c r="G405" s="162">
        <v>600000</v>
      </c>
      <c r="H405" s="162"/>
      <c r="I405" s="162"/>
      <c r="J405" s="162">
        <f>G405</f>
        <v>600000</v>
      </c>
      <c r="K405" s="162"/>
      <c r="L405" s="162"/>
      <c r="M405" s="162"/>
      <c r="N405" s="162">
        <v>630000</v>
      </c>
      <c r="O405" s="162"/>
      <c r="P405" s="162">
        <f>N405</f>
        <v>630000</v>
      </c>
      <c r="R405" s="274"/>
      <c r="S405" s="274"/>
      <c r="T405" s="274"/>
      <c r="U405" s="274"/>
      <c r="V405" s="274"/>
      <c r="W405" s="274"/>
      <c r="X405" s="274"/>
      <c r="Y405" s="274"/>
      <c r="Z405" s="274"/>
      <c r="EB405" s="62"/>
      <c r="EC405" s="62"/>
      <c r="ED405" s="62"/>
      <c r="EE405" s="62"/>
      <c r="EF405" s="62"/>
      <c r="EG405" s="62"/>
    </row>
    <row r="406" spans="1:137" s="61" customFormat="1" ht="18.75" customHeight="1" hidden="1">
      <c r="A406" s="140" t="s">
        <v>412</v>
      </c>
      <c r="B406" s="97"/>
      <c r="C406" s="97"/>
      <c r="D406" s="162"/>
      <c r="E406" s="162"/>
      <c r="F406" s="162"/>
      <c r="G406" s="162"/>
      <c r="H406" s="162"/>
      <c r="I406" s="162"/>
      <c r="J406" s="162"/>
      <c r="K406" s="162"/>
      <c r="L406" s="162"/>
      <c r="M406" s="162"/>
      <c r="N406" s="162"/>
      <c r="O406" s="162"/>
      <c r="P406" s="162"/>
      <c r="R406" s="274"/>
      <c r="S406" s="274"/>
      <c r="T406" s="274"/>
      <c r="U406" s="274"/>
      <c r="V406" s="274"/>
      <c r="W406" s="274"/>
      <c r="X406" s="274"/>
      <c r="Y406" s="274"/>
      <c r="Z406" s="274"/>
      <c r="EB406" s="62"/>
      <c r="EC406" s="62"/>
      <c r="ED406" s="62"/>
      <c r="EE406" s="62"/>
      <c r="EF406" s="62"/>
      <c r="EG406" s="62"/>
    </row>
    <row r="407" spans="1:137" s="61" customFormat="1" ht="16.5" customHeight="1" hidden="1">
      <c r="A407" s="139" t="s">
        <v>4</v>
      </c>
      <c r="B407" s="97"/>
      <c r="C407" s="97"/>
      <c r="D407" s="162">
        <f>D405/D409</f>
        <v>36690.647482014385</v>
      </c>
      <c r="E407" s="162"/>
      <c r="F407" s="162">
        <f>D407</f>
        <v>36690.647482014385</v>
      </c>
      <c r="G407" s="162">
        <v>35971.22</v>
      </c>
      <c r="H407" s="162"/>
      <c r="I407" s="162"/>
      <c r="J407" s="162">
        <f>G407</f>
        <v>35971.22</v>
      </c>
      <c r="K407" s="162"/>
      <c r="L407" s="162"/>
      <c r="M407" s="162"/>
      <c r="N407" s="162">
        <v>35971.22</v>
      </c>
      <c r="O407" s="162"/>
      <c r="P407" s="162">
        <f>N407</f>
        <v>35971.22</v>
      </c>
      <c r="R407" s="274"/>
      <c r="S407" s="274"/>
      <c r="T407" s="274"/>
      <c r="U407" s="274"/>
      <c r="V407" s="274"/>
      <c r="W407" s="274"/>
      <c r="X407" s="274"/>
      <c r="Y407" s="274"/>
      <c r="Z407" s="274"/>
      <c r="EB407" s="62"/>
      <c r="EC407" s="62"/>
      <c r="ED407" s="62"/>
      <c r="EE407" s="62"/>
      <c r="EF407" s="62"/>
      <c r="EG407" s="62"/>
    </row>
    <row r="408" spans="1:137" s="61" customFormat="1" ht="21" customHeight="1" hidden="1">
      <c r="A408" s="140" t="s">
        <v>374</v>
      </c>
      <c r="B408" s="97"/>
      <c r="C408" s="97"/>
      <c r="D408" s="162"/>
      <c r="E408" s="162"/>
      <c r="F408" s="162"/>
      <c r="G408" s="162"/>
      <c r="H408" s="162"/>
      <c r="I408" s="162"/>
      <c r="J408" s="162"/>
      <c r="K408" s="162"/>
      <c r="L408" s="162"/>
      <c r="M408" s="162"/>
      <c r="N408" s="162"/>
      <c r="O408" s="162"/>
      <c r="P408" s="162"/>
      <c r="R408" s="274"/>
      <c r="S408" s="274"/>
      <c r="T408" s="274"/>
      <c r="U408" s="274"/>
      <c r="V408" s="274"/>
      <c r="W408" s="274"/>
      <c r="X408" s="274"/>
      <c r="Y408" s="274"/>
      <c r="Z408" s="274"/>
      <c r="EB408" s="62"/>
      <c r="EC408" s="62"/>
      <c r="ED408" s="62"/>
      <c r="EE408" s="62"/>
      <c r="EF408" s="62"/>
      <c r="EG408" s="62"/>
    </row>
    <row r="409" spans="1:137" s="61" customFormat="1" ht="12.75" hidden="1">
      <c r="A409" s="139" t="s">
        <v>2</v>
      </c>
      <c r="B409" s="97"/>
      <c r="C409" s="97"/>
      <c r="D409" s="162">
        <v>13.9</v>
      </c>
      <c r="E409" s="162"/>
      <c r="F409" s="162">
        <f>D409</f>
        <v>13.9</v>
      </c>
      <c r="G409" s="162">
        <f>G405/G407</f>
        <v>16.680001401120116</v>
      </c>
      <c r="H409" s="162"/>
      <c r="I409" s="162"/>
      <c r="J409" s="162">
        <f>G409</f>
        <v>16.680001401120116</v>
      </c>
      <c r="K409" s="162"/>
      <c r="L409" s="162"/>
      <c r="M409" s="162"/>
      <c r="N409" s="162">
        <f>N405/N407</f>
        <v>17.514001471176122</v>
      </c>
      <c r="O409" s="162"/>
      <c r="P409" s="162">
        <f>N409</f>
        <v>17.514001471176122</v>
      </c>
      <c r="R409" s="274"/>
      <c r="S409" s="274"/>
      <c r="T409" s="274"/>
      <c r="U409" s="274"/>
      <c r="V409" s="274"/>
      <c r="W409" s="274"/>
      <c r="X409" s="274"/>
      <c r="Y409" s="274"/>
      <c r="Z409" s="274"/>
      <c r="EB409" s="62"/>
      <c r="EC409" s="62"/>
      <c r="ED409" s="62"/>
      <c r="EE409" s="62"/>
      <c r="EF409" s="62"/>
      <c r="EG409" s="62"/>
    </row>
    <row r="410" spans="1:137" s="61" customFormat="1" ht="12.75" hidden="1">
      <c r="A410" s="140" t="s">
        <v>501</v>
      </c>
      <c r="B410" s="97"/>
      <c r="C410" s="97"/>
      <c r="D410" s="162"/>
      <c r="E410" s="162"/>
      <c r="F410" s="162"/>
      <c r="G410" s="162"/>
      <c r="H410" s="162"/>
      <c r="I410" s="162"/>
      <c r="J410" s="162"/>
      <c r="K410" s="162"/>
      <c r="L410" s="162"/>
      <c r="M410" s="162"/>
      <c r="N410" s="162"/>
      <c r="O410" s="162"/>
      <c r="P410" s="162"/>
      <c r="R410" s="274"/>
      <c r="S410" s="274"/>
      <c r="T410" s="274"/>
      <c r="U410" s="274"/>
      <c r="V410" s="274"/>
      <c r="W410" s="274"/>
      <c r="X410" s="274"/>
      <c r="Y410" s="274"/>
      <c r="Z410" s="274"/>
      <c r="EB410" s="62"/>
      <c r="EC410" s="62"/>
      <c r="ED410" s="62"/>
      <c r="EE410" s="62"/>
      <c r="EF410" s="62"/>
      <c r="EG410" s="62"/>
    </row>
    <row r="411" spans="1:137" s="61" customFormat="1" ht="29.25" customHeight="1" hidden="1">
      <c r="A411" s="139" t="s">
        <v>3</v>
      </c>
      <c r="B411" s="97"/>
      <c r="C411" s="97"/>
      <c r="D411" s="162"/>
      <c r="E411" s="162"/>
      <c r="F411" s="162"/>
      <c r="G411" s="162">
        <f>G409/D409*100</f>
        <v>120.00001008000083</v>
      </c>
      <c r="H411" s="162"/>
      <c r="I411" s="162"/>
      <c r="J411" s="162">
        <f>G411</f>
        <v>120.00001008000083</v>
      </c>
      <c r="K411" s="162"/>
      <c r="L411" s="162"/>
      <c r="M411" s="162"/>
      <c r="N411" s="162">
        <f>N409/G409*100</f>
        <v>105</v>
      </c>
      <c r="O411" s="162"/>
      <c r="P411" s="162">
        <f>N411</f>
        <v>105</v>
      </c>
      <c r="R411" s="274"/>
      <c r="S411" s="274"/>
      <c r="T411" s="274"/>
      <c r="U411" s="274"/>
      <c r="V411" s="274"/>
      <c r="W411" s="274"/>
      <c r="X411" s="274"/>
      <c r="Y411" s="274"/>
      <c r="Z411" s="274"/>
      <c r="EB411" s="62"/>
      <c r="EC411" s="62"/>
      <c r="ED411" s="62"/>
      <c r="EE411" s="62"/>
      <c r="EF411" s="62"/>
      <c r="EG411" s="62"/>
    </row>
    <row r="412" spans="1:137" s="36" customFormat="1" ht="29.25" customHeight="1" hidden="1">
      <c r="A412" s="138" t="s">
        <v>39</v>
      </c>
      <c r="B412" s="163"/>
      <c r="C412" s="163"/>
      <c r="D412" s="161">
        <f>D414</f>
        <v>4569000</v>
      </c>
      <c r="E412" s="161"/>
      <c r="F412" s="161">
        <f>D412</f>
        <v>4569000</v>
      </c>
      <c r="G412" s="161">
        <f>G414</f>
        <v>2568600</v>
      </c>
      <c r="H412" s="161"/>
      <c r="I412" s="161"/>
      <c r="J412" s="161">
        <f>G412</f>
        <v>2568600</v>
      </c>
      <c r="K412" s="161"/>
      <c r="L412" s="161"/>
      <c r="M412" s="161"/>
      <c r="N412" s="161">
        <f>N414</f>
        <v>2697000</v>
      </c>
      <c r="O412" s="161"/>
      <c r="P412" s="161">
        <f>N412</f>
        <v>2697000</v>
      </c>
      <c r="R412" s="274"/>
      <c r="S412" s="274"/>
      <c r="T412" s="274"/>
      <c r="U412" s="274"/>
      <c r="V412" s="274"/>
      <c r="W412" s="274"/>
      <c r="X412" s="274"/>
      <c r="Y412" s="274"/>
      <c r="Z412" s="274"/>
      <c r="EB412" s="37"/>
      <c r="EC412" s="37"/>
      <c r="ED412" s="37"/>
      <c r="EE412" s="37"/>
      <c r="EF412" s="37"/>
      <c r="EG412" s="37"/>
    </row>
    <row r="413" spans="1:137" s="61" customFormat="1" ht="12.75" hidden="1">
      <c r="A413" s="134" t="s">
        <v>255</v>
      </c>
      <c r="B413" s="97"/>
      <c r="C413" s="97"/>
      <c r="D413" s="162"/>
      <c r="E413" s="162"/>
      <c r="F413" s="162"/>
      <c r="G413" s="162"/>
      <c r="H413" s="162"/>
      <c r="I413" s="162"/>
      <c r="J413" s="162"/>
      <c r="K413" s="162"/>
      <c r="L413" s="162"/>
      <c r="M413" s="162"/>
      <c r="N413" s="162"/>
      <c r="O413" s="162"/>
      <c r="P413" s="162"/>
      <c r="R413" s="274"/>
      <c r="S413" s="274"/>
      <c r="T413" s="274"/>
      <c r="U413" s="274"/>
      <c r="V413" s="274"/>
      <c r="W413" s="274"/>
      <c r="X413" s="274"/>
      <c r="Y413" s="274"/>
      <c r="Z413" s="274"/>
      <c r="EB413" s="62"/>
      <c r="EC413" s="62"/>
      <c r="ED413" s="62"/>
      <c r="EE413" s="62"/>
      <c r="EF413" s="62"/>
      <c r="EG413" s="62"/>
    </row>
    <row r="414" spans="1:137" s="61" customFormat="1" ht="29.25" customHeight="1" hidden="1">
      <c r="A414" s="139" t="s">
        <v>5</v>
      </c>
      <c r="B414" s="97"/>
      <c r="C414" s="97"/>
      <c r="D414" s="162">
        <f>2423200+2100000+45800</f>
        <v>4569000</v>
      </c>
      <c r="E414" s="162"/>
      <c r="F414" s="162">
        <f>D414</f>
        <v>4569000</v>
      </c>
      <c r="G414" s="162">
        <v>2568600</v>
      </c>
      <c r="H414" s="162"/>
      <c r="I414" s="162"/>
      <c r="J414" s="162">
        <f>G414</f>
        <v>2568600</v>
      </c>
      <c r="K414" s="162"/>
      <c r="L414" s="162"/>
      <c r="M414" s="162"/>
      <c r="N414" s="162">
        <v>2697000</v>
      </c>
      <c r="O414" s="162"/>
      <c r="P414" s="162">
        <f>N414</f>
        <v>2697000</v>
      </c>
      <c r="R414" s="274"/>
      <c r="S414" s="274"/>
      <c r="T414" s="274"/>
      <c r="U414" s="274"/>
      <c r="V414" s="274"/>
      <c r="W414" s="274"/>
      <c r="X414" s="274"/>
      <c r="Y414" s="274"/>
      <c r="Z414" s="274"/>
      <c r="EB414" s="62"/>
      <c r="EC414" s="62"/>
      <c r="ED414" s="62"/>
      <c r="EE414" s="62"/>
      <c r="EF414" s="62"/>
      <c r="EG414" s="62"/>
    </row>
    <row r="415" spans="1:137" s="61" customFormat="1" ht="12.75" hidden="1">
      <c r="A415" s="140" t="s">
        <v>412</v>
      </c>
      <c r="B415" s="97"/>
      <c r="C415" s="97"/>
      <c r="D415" s="162"/>
      <c r="E415" s="162"/>
      <c r="F415" s="162"/>
      <c r="G415" s="162"/>
      <c r="H415" s="162"/>
      <c r="I415" s="162"/>
      <c r="J415" s="162"/>
      <c r="K415" s="162"/>
      <c r="L415" s="162"/>
      <c r="M415" s="162"/>
      <c r="N415" s="162"/>
      <c r="O415" s="162"/>
      <c r="P415" s="162"/>
      <c r="R415" s="274"/>
      <c r="S415" s="274"/>
      <c r="T415" s="274"/>
      <c r="U415" s="274"/>
      <c r="V415" s="274"/>
      <c r="W415" s="274"/>
      <c r="X415" s="274"/>
      <c r="Y415" s="274"/>
      <c r="Z415" s="274"/>
      <c r="EB415" s="62"/>
      <c r="EC415" s="62"/>
      <c r="ED415" s="62"/>
      <c r="EE415" s="62"/>
      <c r="EF415" s="62"/>
      <c r="EG415" s="62"/>
    </row>
    <row r="416" spans="1:137" s="61" customFormat="1" ht="29.25" customHeight="1" hidden="1">
      <c r="A416" s="139" t="s">
        <v>6</v>
      </c>
      <c r="B416" s="97"/>
      <c r="C416" s="97"/>
      <c r="D416" s="162">
        <v>250</v>
      </c>
      <c r="E416" s="162"/>
      <c r="F416" s="162">
        <f>D416</f>
        <v>250</v>
      </c>
      <c r="G416" s="162">
        <v>186</v>
      </c>
      <c r="H416" s="162"/>
      <c r="I416" s="162"/>
      <c r="J416" s="162">
        <f>G416</f>
        <v>186</v>
      </c>
      <c r="K416" s="162"/>
      <c r="L416" s="162"/>
      <c r="M416" s="162"/>
      <c r="N416" s="162">
        <v>186</v>
      </c>
      <c r="O416" s="162"/>
      <c r="P416" s="162">
        <f>N416</f>
        <v>186</v>
      </c>
      <c r="R416" s="274"/>
      <c r="S416" s="274"/>
      <c r="T416" s="274"/>
      <c r="U416" s="274"/>
      <c r="V416" s="274"/>
      <c r="W416" s="274"/>
      <c r="X416" s="274"/>
      <c r="Y416" s="274"/>
      <c r="Z416" s="274"/>
      <c r="EB416" s="62"/>
      <c r="EC416" s="62"/>
      <c r="ED416" s="62"/>
      <c r="EE416" s="62"/>
      <c r="EF416" s="62"/>
      <c r="EG416" s="62"/>
    </row>
    <row r="417" spans="1:137" s="61" customFormat="1" ht="12.75" hidden="1">
      <c r="A417" s="140" t="s">
        <v>374</v>
      </c>
      <c r="B417" s="97"/>
      <c r="C417" s="97"/>
      <c r="D417" s="162"/>
      <c r="E417" s="162"/>
      <c r="F417" s="162"/>
      <c r="G417" s="162"/>
      <c r="H417" s="162"/>
      <c r="I417" s="162"/>
      <c r="J417" s="162"/>
      <c r="K417" s="162"/>
      <c r="L417" s="162"/>
      <c r="M417" s="162"/>
      <c r="N417" s="162"/>
      <c r="O417" s="162"/>
      <c r="P417" s="162"/>
      <c r="R417" s="274"/>
      <c r="S417" s="274"/>
      <c r="T417" s="274"/>
      <c r="U417" s="274"/>
      <c r="V417" s="274"/>
      <c r="W417" s="274"/>
      <c r="X417" s="274"/>
      <c r="Y417" s="274"/>
      <c r="Z417" s="274"/>
      <c r="EB417" s="62"/>
      <c r="EC417" s="62"/>
      <c r="ED417" s="62"/>
      <c r="EE417" s="62"/>
      <c r="EF417" s="62"/>
      <c r="EG417" s="62"/>
    </row>
    <row r="418" spans="1:137" s="61" customFormat="1" ht="29.25" customHeight="1" hidden="1">
      <c r="A418" s="139" t="s">
        <v>7</v>
      </c>
      <c r="B418" s="97"/>
      <c r="C418" s="97"/>
      <c r="D418" s="162">
        <f>D414/D416</f>
        <v>18276</v>
      </c>
      <c r="E418" s="162"/>
      <c r="F418" s="162">
        <f>D418</f>
        <v>18276</v>
      </c>
      <c r="G418" s="162">
        <f>G414/G416</f>
        <v>13809.677419354839</v>
      </c>
      <c r="H418" s="162"/>
      <c r="I418" s="162"/>
      <c r="J418" s="162">
        <f>G418</f>
        <v>13809.677419354839</v>
      </c>
      <c r="K418" s="162"/>
      <c r="L418" s="162"/>
      <c r="M418" s="162"/>
      <c r="N418" s="162">
        <f>N414/N416</f>
        <v>14500</v>
      </c>
      <c r="O418" s="162"/>
      <c r="P418" s="162">
        <f>N418</f>
        <v>14500</v>
      </c>
      <c r="R418" s="274"/>
      <c r="S418" s="274"/>
      <c r="T418" s="274"/>
      <c r="U418" s="274"/>
      <c r="V418" s="274"/>
      <c r="W418" s="274"/>
      <c r="X418" s="274"/>
      <c r="Y418" s="274"/>
      <c r="Z418" s="274"/>
      <c r="EB418" s="62"/>
      <c r="EC418" s="62"/>
      <c r="ED418" s="62"/>
      <c r="EE418" s="62"/>
      <c r="EF418" s="62"/>
      <c r="EG418" s="62"/>
    </row>
    <row r="419" spans="1:137" s="61" customFormat="1" ht="12.75" hidden="1">
      <c r="A419" s="140" t="s">
        <v>501</v>
      </c>
      <c r="B419" s="97"/>
      <c r="C419" s="97"/>
      <c r="D419" s="162"/>
      <c r="E419" s="162"/>
      <c r="F419" s="162"/>
      <c r="G419" s="162"/>
      <c r="H419" s="162"/>
      <c r="I419" s="162"/>
      <c r="J419" s="162"/>
      <c r="K419" s="162"/>
      <c r="L419" s="162"/>
      <c r="M419" s="162"/>
      <c r="N419" s="162"/>
      <c r="O419" s="162"/>
      <c r="P419" s="162"/>
      <c r="R419" s="274"/>
      <c r="S419" s="274"/>
      <c r="T419" s="274"/>
      <c r="U419" s="274"/>
      <c r="V419" s="274"/>
      <c r="W419" s="274"/>
      <c r="X419" s="274"/>
      <c r="Y419" s="274"/>
      <c r="Z419" s="274"/>
      <c r="EB419" s="62"/>
      <c r="EC419" s="62"/>
      <c r="ED419" s="62"/>
      <c r="EE419" s="62"/>
      <c r="EF419" s="62"/>
      <c r="EG419" s="62"/>
    </row>
    <row r="420" spans="1:137" s="61" customFormat="1" ht="42" customHeight="1" hidden="1">
      <c r="A420" s="139" t="s">
        <v>8</v>
      </c>
      <c r="B420" s="97"/>
      <c r="C420" s="97"/>
      <c r="D420" s="162"/>
      <c r="E420" s="162"/>
      <c r="F420" s="162"/>
      <c r="G420" s="162">
        <f>G418/D418*100</f>
        <v>75.56181560163515</v>
      </c>
      <c r="H420" s="162"/>
      <c r="I420" s="162"/>
      <c r="J420" s="162">
        <f>G420</f>
        <v>75.56181560163515</v>
      </c>
      <c r="K420" s="162"/>
      <c r="L420" s="162"/>
      <c r="M420" s="162"/>
      <c r="N420" s="162">
        <f>N418/G418*100</f>
        <v>104.99883204858678</v>
      </c>
      <c r="O420" s="162"/>
      <c r="P420" s="162">
        <f>N420</f>
        <v>104.99883204858678</v>
      </c>
      <c r="R420" s="274"/>
      <c r="S420" s="274"/>
      <c r="T420" s="274"/>
      <c r="U420" s="274"/>
      <c r="V420" s="274"/>
      <c r="W420" s="274"/>
      <c r="X420" s="274"/>
      <c r="Y420" s="274"/>
      <c r="Z420" s="274"/>
      <c r="EB420" s="62"/>
      <c r="EC420" s="62"/>
      <c r="ED420" s="62"/>
      <c r="EE420" s="62"/>
      <c r="EF420" s="62"/>
      <c r="EG420" s="62"/>
    </row>
    <row r="421" spans="1:137" s="61" customFormat="1" ht="13.5" hidden="1">
      <c r="A421" s="138" t="s">
        <v>61</v>
      </c>
      <c r="B421" s="97"/>
      <c r="C421" s="97"/>
      <c r="D421" s="161">
        <f>D423</f>
        <v>423000</v>
      </c>
      <c r="E421" s="161"/>
      <c r="F421" s="161">
        <f>D421</f>
        <v>423000</v>
      </c>
      <c r="G421" s="161">
        <f>G423</f>
        <v>400000</v>
      </c>
      <c r="H421" s="161"/>
      <c r="I421" s="161"/>
      <c r="J421" s="161">
        <f>G421</f>
        <v>400000</v>
      </c>
      <c r="K421" s="161"/>
      <c r="L421" s="161"/>
      <c r="M421" s="161"/>
      <c r="N421" s="161">
        <f>N423</f>
        <v>390000</v>
      </c>
      <c r="O421" s="161"/>
      <c r="P421" s="161">
        <f>N421</f>
        <v>390000</v>
      </c>
      <c r="Q421" s="36"/>
      <c r="R421" s="274"/>
      <c r="S421" s="274"/>
      <c r="T421" s="274"/>
      <c r="U421" s="274"/>
      <c r="V421" s="274"/>
      <c r="W421" s="274"/>
      <c r="X421" s="274"/>
      <c r="Y421" s="274"/>
      <c r="Z421" s="274"/>
      <c r="EB421" s="62"/>
      <c r="EC421" s="62"/>
      <c r="ED421" s="62"/>
      <c r="EE421" s="62"/>
      <c r="EF421" s="62"/>
      <c r="EG421" s="62"/>
    </row>
    <row r="422" spans="1:137" s="61" customFormat="1" ht="12.75" hidden="1">
      <c r="A422" s="134" t="s">
        <v>255</v>
      </c>
      <c r="B422" s="97"/>
      <c r="C422" s="97"/>
      <c r="D422" s="162"/>
      <c r="E422" s="162"/>
      <c r="F422" s="162"/>
      <c r="G422" s="162"/>
      <c r="H422" s="162"/>
      <c r="I422" s="162"/>
      <c r="J422" s="162"/>
      <c r="K422" s="162"/>
      <c r="L422" s="162"/>
      <c r="M422" s="162"/>
      <c r="N422" s="162"/>
      <c r="O422" s="162"/>
      <c r="P422" s="162"/>
      <c r="R422" s="274"/>
      <c r="S422" s="274"/>
      <c r="T422" s="274"/>
      <c r="U422" s="274"/>
      <c r="V422" s="274"/>
      <c r="W422" s="274"/>
      <c r="X422" s="274"/>
      <c r="Y422" s="274"/>
      <c r="Z422" s="274"/>
      <c r="EB422" s="62"/>
      <c r="EC422" s="62"/>
      <c r="ED422" s="62"/>
      <c r="EE422" s="62"/>
      <c r="EF422" s="62"/>
      <c r="EG422" s="62"/>
    </row>
    <row r="423" spans="1:137" s="61" customFormat="1" ht="21" customHeight="1" hidden="1">
      <c r="A423" s="139" t="s">
        <v>500</v>
      </c>
      <c r="B423" s="97"/>
      <c r="C423" s="97"/>
      <c r="D423" s="162">
        <f>350000+73000</f>
        <v>423000</v>
      </c>
      <c r="E423" s="162"/>
      <c r="F423" s="162">
        <f>D423</f>
        <v>423000</v>
      </c>
      <c r="G423" s="162">
        <f>370000+30000</f>
        <v>400000</v>
      </c>
      <c r="H423" s="162"/>
      <c r="I423" s="162"/>
      <c r="J423" s="162">
        <f>G423</f>
        <v>400000</v>
      </c>
      <c r="K423" s="162"/>
      <c r="L423" s="162"/>
      <c r="M423" s="162"/>
      <c r="N423" s="162">
        <v>390000</v>
      </c>
      <c r="O423" s="162"/>
      <c r="P423" s="162">
        <f>N423</f>
        <v>390000</v>
      </c>
      <c r="R423" s="274"/>
      <c r="S423" s="274"/>
      <c r="T423" s="274"/>
      <c r="U423" s="274"/>
      <c r="V423" s="274"/>
      <c r="W423" s="274"/>
      <c r="X423" s="274"/>
      <c r="Y423" s="274"/>
      <c r="Z423" s="274"/>
      <c r="EB423" s="62"/>
      <c r="EC423" s="62"/>
      <c r="ED423" s="62"/>
      <c r="EE423" s="62"/>
      <c r="EF423" s="62"/>
      <c r="EG423" s="62"/>
    </row>
    <row r="424" spans="1:137" s="61" customFormat="1" ht="12.75" hidden="1">
      <c r="A424" s="140" t="s">
        <v>412</v>
      </c>
      <c r="B424" s="97"/>
      <c r="C424" s="97"/>
      <c r="D424" s="162"/>
      <c r="E424" s="162"/>
      <c r="F424" s="162"/>
      <c r="G424" s="162"/>
      <c r="H424" s="162"/>
      <c r="I424" s="162"/>
      <c r="J424" s="162"/>
      <c r="K424" s="162"/>
      <c r="L424" s="162"/>
      <c r="M424" s="162"/>
      <c r="N424" s="162"/>
      <c r="O424" s="162"/>
      <c r="P424" s="162"/>
      <c r="R424" s="274"/>
      <c r="S424" s="274"/>
      <c r="T424" s="274"/>
      <c r="U424" s="274"/>
      <c r="V424" s="274"/>
      <c r="W424" s="274"/>
      <c r="X424" s="274"/>
      <c r="Y424" s="274"/>
      <c r="Z424" s="274"/>
      <c r="EB424" s="62"/>
      <c r="EC424" s="62"/>
      <c r="ED424" s="62"/>
      <c r="EE424" s="62"/>
      <c r="EF424" s="62"/>
      <c r="EG424" s="62"/>
    </row>
    <row r="425" spans="1:137" s="61" customFormat="1" ht="23.25" customHeight="1" hidden="1">
      <c r="A425" s="139" t="s">
        <v>258</v>
      </c>
      <c r="B425" s="97"/>
      <c r="C425" s="97"/>
      <c r="D425" s="162">
        <v>117</v>
      </c>
      <c r="E425" s="162"/>
      <c r="F425" s="162">
        <f>D425</f>
        <v>117</v>
      </c>
      <c r="G425" s="162">
        <v>90</v>
      </c>
      <c r="H425" s="162"/>
      <c r="I425" s="162"/>
      <c r="J425" s="162">
        <f>G425</f>
        <v>90</v>
      </c>
      <c r="K425" s="162"/>
      <c r="L425" s="162"/>
      <c r="M425" s="162"/>
      <c r="N425" s="162">
        <v>85</v>
      </c>
      <c r="O425" s="162"/>
      <c r="P425" s="162">
        <f>N425</f>
        <v>85</v>
      </c>
      <c r="R425" s="274"/>
      <c r="S425" s="274"/>
      <c r="T425" s="274"/>
      <c r="U425" s="274"/>
      <c r="V425" s="274"/>
      <c r="W425" s="274"/>
      <c r="X425" s="274"/>
      <c r="Y425" s="274"/>
      <c r="Z425" s="274"/>
      <c r="EB425" s="62"/>
      <c r="EC425" s="62"/>
      <c r="ED425" s="62"/>
      <c r="EE425" s="62"/>
      <c r="EF425" s="62"/>
      <c r="EG425" s="62"/>
    </row>
    <row r="426" spans="1:137" s="61" customFormat="1" ht="15.75" customHeight="1" hidden="1">
      <c r="A426" s="140" t="s">
        <v>374</v>
      </c>
      <c r="B426" s="97"/>
      <c r="C426" s="97"/>
      <c r="D426" s="162"/>
      <c r="E426" s="162"/>
      <c r="F426" s="162"/>
      <c r="G426" s="162"/>
      <c r="H426" s="162"/>
      <c r="I426" s="162"/>
      <c r="J426" s="162"/>
      <c r="K426" s="162"/>
      <c r="L426" s="162"/>
      <c r="M426" s="162"/>
      <c r="N426" s="162"/>
      <c r="O426" s="162"/>
      <c r="P426" s="162"/>
      <c r="R426" s="274"/>
      <c r="S426" s="274"/>
      <c r="T426" s="274"/>
      <c r="U426" s="274"/>
      <c r="V426" s="274"/>
      <c r="W426" s="274"/>
      <c r="X426" s="274"/>
      <c r="Y426" s="274"/>
      <c r="Z426" s="274"/>
      <c r="EB426" s="62"/>
      <c r="EC426" s="62"/>
      <c r="ED426" s="62"/>
      <c r="EE426" s="62"/>
      <c r="EF426" s="62"/>
      <c r="EG426" s="62"/>
    </row>
    <row r="427" spans="1:137" s="61" customFormat="1" ht="29.25" customHeight="1" hidden="1">
      <c r="A427" s="139" t="s">
        <v>276</v>
      </c>
      <c r="B427" s="97"/>
      <c r="C427" s="97"/>
      <c r="D427" s="162">
        <f>D423/D425</f>
        <v>3615.3846153846152</v>
      </c>
      <c r="E427" s="162"/>
      <c r="F427" s="162">
        <f>D427</f>
        <v>3615.3846153846152</v>
      </c>
      <c r="G427" s="162">
        <f>G423/G425</f>
        <v>4444.444444444444</v>
      </c>
      <c r="H427" s="162"/>
      <c r="I427" s="162"/>
      <c r="J427" s="162">
        <f>G427</f>
        <v>4444.444444444444</v>
      </c>
      <c r="K427" s="162"/>
      <c r="L427" s="162"/>
      <c r="M427" s="162"/>
      <c r="N427" s="162">
        <f>N423/N425</f>
        <v>4588.235294117647</v>
      </c>
      <c r="O427" s="162"/>
      <c r="P427" s="162">
        <f>N427</f>
        <v>4588.235294117647</v>
      </c>
      <c r="R427" s="274"/>
      <c r="S427" s="274"/>
      <c r="T427" s="274"/>
      <c r="U427" s="274"/>
      <c r="V427" s="274"/>
      <c r="W427" s="274"/>
      <c r="X427" s="274"/>
      <c r="Y427" s="274"/>
      <c r="Z427" s="274"/>
      <c r="EB427" s="62"/>
      <c r="EC427" s="62"/>
      <c r="ED427" s="62"/>
      <c r="EE427" s="62"/>
      <c r="EF427" s="62"/>
      <c r="EG427" s="62"/>
    </row>
    <row r="428" spans="1:137" s="61" customFormat="1" ht="15.75" customHeight="1" hidden="1">
      <c r="A428" s="140" t="s">
        <v>501</v>
      </c>
      <c r="B428" s="97"/>
      <c r="C428" s="97"/>
      <c r="D428" s="162"/>
      <c r="E428" s="162"/>
      <c r="F428" s="162"/>
      <c r="G428" s="162"/>
      <c r="H428" s="162"/>
      <c r="I428" s="162"/>
      <c r="J428" s="162"/>
      <c r="K428" s="162"/>
      <c r="L428" s="162"/>
      <c r="M428" s="162"/>
      <c r="N428" s="162"/>
      <c r="O428" s="162"/>
      <c r="P428" s="162"/>
      <c r="R428" s="274"/>
      <c r="S428" s="274"/>
      <c r="T428" s="274"/>
      <c r="U428" s="274"/>
      <c r="V428" s="274"/>
      <c r="W428" s="274"/>
      <c r="X428" s="274"/>
      <c r="Y428" s="274"/>
      <c r="Z428" s="274"/>
      <c r="EB428" s="62"/>
      <c r="EC428" s="62"/>
      <c r="ED428" s="62"/>
      <c r="EE428" s="62"/>
      <c r="EF428" s="62"/>
      <c r="EG428" s="62"/>
    </row>
    <row r="429" spans="1:137" s="61" customFormat="1" ht="29.25" customHeight="1" hidden="1">
      <c r="A429" s="139" t="s">
        <v>290</v>
      </c>
      <c r="B429" s="97"/>
      <c r="C429" s="97"/>
      <c r="D429" s="162"/>
      <c r="E429" s="162"/>
      <c r="F429" s="162"/>
      <c r="G429" s="162">
        <f>G427/D427*100</f>
        <v>122.93144208037825</v>
      </c>
      <c r="H429" s="162"/>
      <c r="I429" s="162"/>
      <c r="J429" s="162">
        <f>G429</f>
        <v>122.93144208037825</v>
      </c>
      <c r="K429" s="162"/>
      <c r="L429" s="162"/>
      <c r="M429" s="162"/>
      <c r="N429" s="162">
        <f>N427/G427*100</f>
        <v>103.23529411764704</v>
      </c>
      <c r="O429" s="162"/>
      <c r="P429" s="162">
        <f>N429</f>
        <v>103.23529411764704</v>
      </c>
      <c r="R429" s="274"/>
      <c r="S429" s="274"/>
      <c r="T429" s="274"/>
      <c r="U429" s="274"/>
      <c r="V429" s="274"/>
      <c r="W429" s="274"/>
      <c r="X429" s="274"/>
      <c r="Y429" s="274"/>
      <c r="Z429" s="274"/>
      <c r="EB429" s="62"/>
      <c r="EC429" s="62"/>
      <c r="ED429" s="62"/>
      <c r="EE429" s="62"/>
      <c r="EF429" s="62"/>
      <c r="EG429" s="62"/>
    </row>
    <row r="430" spans="1:137" s="36" customFormat="1" ht="33" customHeight="1" hidden="1">
      <c r="A430" s="138"/>
      <c r="B430" s="163"/>
      <c r="C430" s="163"/>
      <c r="D430" s="169"/>
      <c r="E430" s="169"/>
      <c r="F430" s="169"/>
      <c r="G430" s="169"/>
      <c r="H430" s="169"/>
      <c r="I430" s="169"/>
      <c r="J430" s="169"/>
      <c r="K430" s="169"/>
      <c r="L430" s="169"/>
      <c r="M430" s="169"/>
      <c r="N430" s="169"/>
      <c r="O430" s="169"/>
      <c r="P430" s="169"/>
      <c r="R430" s="274"/>
      <c r="S430" s="274"/>
      <c r="T430" s="274"/>
      <c r="U430" s="274"/>
      <c r="V430" s="274"/>
      <c r="W430" s="274"/>
      <c r="X430" s="274"/>
      <c r="Y430" s="274"/>
      <c r="Z430" s="274"/>
      <c r="EB430" s="37"/>
      <c r="EC430" s="37"/>
      <c r="ED430" s="37"/>
      <c r="EE430" s="37"/>
      <c r="EF430" s="37"/>
      <c r="EG430" s="37"/>
    </row>
    <row r="431" spans="1:137" s="61" customFormat="1" ht="23.25" customHeight="1" hidden="1">
      <c r="A431" s="134"/>
      <c r="B431" s="97"/>
      <c r="C431" s="97"/>
      <c r="D431" s="162"/>
      <c r="E431" s="162"/>
      <c r="F431" s="162"/>
      <c r="G431" s="162"/>
      <c r="H431" s="162"/>
      <c r="I431" s="162"/>
      <c r="J431" s="162"/>
      <c r="K431" s="162"/>
      <c r="L431" s="162"/>
      <c r="M431" s="162"/>
      <c r="N431" s="162"/>
      <c r="O431" s="162"/>
      <c r="P431" s="162"/>
      <c r="R431" s="274"/>
      <c r="S431" s="274"/>
      <c r="T431" s="274"/>
      <c r="U431" s="274"/>
      <c r="V431" s="274"/>
      <c r="W431" s="274"/>
      <c r="X431" s="274"/>
      <c r="Y431" s="274"/>
      <c r="Z431" s="274"/>
      <c r="EB431" s="62"/>
      <c r="EC431" s="62"/>
      <c r="ED431" s="62"/>
      <c r="EE431" s="62"/>
      <c r="EF431" s="62"/>
      <c r="EG431" s="62"/>
    </row>
    <row r="432" spans="1:137" s="61" customFormat="1" ht="37.5" customHeight="1" hidden="1">
      <c r="A432" s="139"/>
      <c r="B432" s="97"/>
      <c r="C432" s="97"/>
      <c r="D432" s="162"/>
      <c r="E432" s="162"/>
      <c r="F432" s="162"/>
      <c r="G432" s="162"/>
      <c r="H432" s="162"/>
      <c r="I432" s="162"/>
      <c r="J432" s="162"/>
      <c r="K432" s="162"/>
      <c r="L432" s="162"/>
      <c r="M432" s="162"/>
      <c r="N432" s="162"/>
      <c r="O432" s="162"/>
      <c r="P432" s="162"/>
      <c r="R432" s="274"/>
      <c r="S432" s="274"/>
      <c r="T432" s="274"/>
      <c r="U432" s="274"/>
      <c r="V432" s="274"/>
      <c r="W432" s="274"/>
      <c r="X432" s="274"/>
      <c r="Y432" s="274"/>
      <c r="Z432" s="274"/>
      <c r="EB432" s="62"/>
      <c r="EC432" s="62"/>
      <c r="ED432" s="62"/>
      <c r="EE432" s="62"/>
      <c r="EF432" s="62"/>
      <c r="EG432" s="62"/>
    </row>
    <row r="433" spans="1:137" s="61" customFormat="1" ht="21" customHeight="1" hidden="1">
      <c r="A433" s="140"/>
      <c r="B433" s="97"/>
      <c r="C433" s="97"/>
      <c r="D433" s="162"/>
      <c r="E433" s="162"/>
      <c r="F433" s="162"/>
      <c r="G433" s="162"/>
      <c r="H433" s="162"/>
      <c r="I433" s="162"/>
      <c r="J433" s="162"/>
      <c r="K433" s="162"/>
      <c r="L433" s="162"/>
      <c r="M433" s="162"/>
      <c r="N433" s="162"/>
      <c r="O433" s="162"/>
      <c r="P433" s="162"/>
      <c r="R433" s="274"/>
      <c r="S433" s="274"/>
      <c r="T433" s="274"/>
      <c r="U433" s="274"/>
      <c r="V433" s="274"/>
      <c r="W433" s="274"/>
      <c r="X433" s="274"/>
      <c r="Y433" s="274"/>
      <c r="Z433" s="274"/>
      <c r="EB433" s="62"/>
      <c r="EC433" s="62"/>
      <c r="ED433" s="62"/>
      <c r="EE433" s="62"/>
      <c r="EF433" s="62"/>
      <c r="EG433" s="62"/>
    </row>
    <row r="434" spans="1:137" s="61" customFormat="1" ht="32.25" customHeight="1" hidden="1">
      <c r="A434" s="139"/>
      <c r="B434" s="97"/>
      <c r="C434" s="97"/>
      <c r="D434" s="162"/>
      <c r="E434" s="162"/>
      <c r="F434" s="162"/>
      <c r="G434" s="162"/>
      <c r="H434" s="162"/>
      <c r="I434" s="162"/>
      <c r="J434" s="162"/>
      <c r="K434" s="162"/>
      <c r="L434" s="162"/>
      <c r="M434" s="162"/>
      <c r="N434" s="162"/>
      <c r="O434" s="162"/>
      <c r="P434" s="162"/>
      <c r="R434" s="274"/>
      <c r="S434" s="274"/>
      <c r="T434" s="274"/>
      <c r="U434" s="274"/>
      <c r="V434" s="274"/>
      <c r="W434" s="274"/>
      <c r="X434" s="274"/>
      <c r="Y434" s="274"/>
      <c r="Z434" s="274"/>
      <c r="EB434" s="62"/>
      <c r="EC434" s="62"/>
      <c r="ED434" s="62"/>
      <c r="EE434" s="62"/>
      <c r="EF434" s="62"/>
      <c r="EG434" s="62"/>
    </row>
    <row r="435" spans="1:137" s="61" customFormat="1" ht="19.5" customHeight="1" hidden="1">
      <c r="A435" s="140"/>
      <c r="B435" s="97"/>
      <c r="C435" s="97"/>
      <c r="D435" s="162"/>
      <c r="E435" s="162"/>
      <c r="F435" s="162"/>
      <c r="G435" s="162"/>
      <c r="H435" s="162"/>
      <c r="I435" s="162"/>
      <c r="J435" s="162"/>
      <c r="K435" s="162"/>
      <c r="L435" s="162"/>
      <c r="M435" s="162"/>
      <c r="N435" s="162"/>
      <c r="O435" s="162"/>
      <c r="P435" s="162"/>
      <c r="R435" s="274"/>
      <c r="S435" s="274"/>
      <c r="T435" s="274"/>
      <c r="U435" s="274"/>
      <c r="V435" s="274"/>
      <c r="W435" s="274"/>
      <c r="X435" s="274"/>
      <c r="Y435" s="274"/>
      <c r="Z435" s="274"/>
      <c r="EB435" s="62"/>
      <c r="EC435" s="62"/>
      <c r="ED435" s="62"/>
      <c r="EE435" s="62"/>
      <c r="EF435" s="62"/>
      <c r="EG435" s="62"/>
    </row>
    <row r="436" spans="1:137" s="61" customFormat="1" ht="32.25" customHeight="1" hidden="1">
      <c r="A436" s="139"/>
      <c r="B436" s="97"/>
      <c r="C436" s="97"/>
      <c r="D436" s="162"/>
      <c r="E436" s="162"/>
      <c r="F436" s="162"/>
      <c r="G436" s="162"/>
      <c r="H436" s="162"/>
      <c r="I436" s="162"/>
      <c r="J436" s="162"/>
      <c r="K436" s="162"/>
      <c r="L436" s="162"/>
      <c r="M436" s="162"/>
      <c r="N436" s="162"/>
      <c r="O436" s="162"/>
      <c r="P436" s="162"/>
      <c r="R436" s="274"/>
      <c r="S436" s="274"/>
      <c r="T436" s="274"/>
      <c r="U436" s="274"/>
      <c r="V436" s="274"/>
      <c r="W436" s="274"/>
      <c r="X436" s="274"/>
      <c r="Y436" s="274"/>
      <c r="Z436" s="274"/>
      <c r="EB436" s="62"/>
      <c r="EC436" s="62"/>
      <c r="ED436" s="62"/>
      <c r="EE436" s="62"/>
      <c r="EF436" s="62"/>
      <c r="EG436" s="62"/>
    </row>
    <row r="437" spans="1:137" s="61" customFormat="1" ht="21" customHeight="1" hidden="1">
      <c r="A437" s="140"/>
      <c r="B437" s="97"/>
      <c r="C437" s="97"/>
      <c r="D437" s="162"/>
      <c r="E437" s="162"/>
      <c r="F437" s="162"/>
      <c r="G437" s="162"/>
      <c r="H437" s="162"/>
      <c r="I437" s="162"/>
      <c r="J437" s="162"/>
      <c r="K437" s="162"/>
      <c r="L437" s="162"/>
      <c r="M437" s="162"/>
      <c r="N437" s="162"/>
      <c r="O437" s="162"/>
      <c r="P437" s="162"/>
      <c r="R437" s="274"/>
      <c r="S437" s="274"/>
      <c r="T437" s="274"/>
      <c r="U437" s="274"/>
      <c r="V437" s="274"/>
      <c r="W437" s="274"/>
      <c r="X437" s="274"/>
      <c r="Y437" s="274"/>
      <c r="Z437" s="274"/>
      <c r="EB437" s="62"/>
      <c r="EC437" s="62"/>
      <c r="ED437" s="62"/>
      <c r="EE437" s="62"/>
      <c r="EF437" s="62"/>
      <c r="EG437" s="62"/>
    </row>
    <row r="438" spans="1:137" s="61" customFormat="1" ht="45.75" customHeight="1" hidden="1">
      <c r="A438" s="139"/>
      <c r="B438" s="97"/>
      <c r="C438" s="97"/>
      <c r="D438" s="162"/>
      <c r="E438" s="162"/>
      <c r="F438" s="162"/>
      <c r="G438" s="162"/>
      <c r="H438" s="162"/>
      <c r="I438" s="162"/>
      <c r="J438" s="162"/>
      <c r="K438" s="162"/>
      <c r="L438" s="162"/>
      <c r="M438" s="162"/>
      <c r="N438" s="162"/>
      <c r="O438" s="162"/>
      <c r="P438" s="162"/>
      <c r="R438" s="274"/>
      <c r="S438" s="274"/>
      <c r="T438" s="274"/>
      <c r="U438" s="274"/>
      <c r="V438" s="274"/>
      <c r="W438" s="274"/>
      <c r="X438" s="274"/>
      <c r="Y438" s="274"/>
      <c r="Z438" s="274"/>
      <c r="EB438" s="62"/>
      <c r="EC438" s="62"/>
      <c r="ED438" s="62"/>
      <c r="EE438" s="62"/>
      <c r="EF438" s="62"/>
      <c r="EG438" s="62"/>
    </row>
    <row r="439" spans="1:137" s="36" customFormat="1" ht="13.5" hidden="1">
      <c r="A439" s="138" t="s">
        <v>95</v>
      </c>
      <c r="B439" s="163"/>
      <c r="C439" s="163"/>
      <c r="D439" s="161">
        <f>D441</f>
        <v>121900</v>
      </c>
      <c r="E439" s="161"/>
      <c r="F439" s="161">
        <f>D439</f>
        <v>121900</v>
      </c>
      <c r="G439" s="161">
        <f>G441</f>
        <v>564300</v>
      </c>
      <c r="H439" s="161"/>
      <c r="I439" s="161"/>
      <c r="J439" s="161">
        <f>G439</f>
        <v>564300</v>
      </c>
      <c r="K439" s="161"/>
      <c r="L439" s="161"/>
      <c r="M439" s="161"/>
      <c r="N439" s="161">
        <f>N441</f>
        <v>592000</v>
      </c>
      <c r="O439" s="161"/>
      <c r="P439" s="161">
        <f>N439</f>
        <v>592000</v>
      </c>
      <c r="R439" s="274"/>
      <c r="S439" s="274"/>
      <c r="T439" s="274"/>
      <c r="U439" s="274"/>
      <c r="V439" s="274"/>
      <c r="W439" s="274"/>
      <c r="X439" s="274"/>
      <c r="Y439" s="274"/>
      <c r="Z439" s="274"/>
      <c r="EB439" s="37"/>
      <c r="EC439" s="37"/>
      <c r="ED439" s="37"/>
      <c r="EE439" s="37"/>
      <c r="EF439" s="37"/>
      <c r="EG439" s="37"/>
    </row>
    <row r="440" spans="1:137" s="61" customFormat="1" ht="12.75" hidden="1">
      <c r="A440" s="134" t="s">
        <v>255</v>
      </c>
      <c r="B440" s="97"/>
      <c r="C440" s="97"/>
      <c r="D440" s="162"/>
      <c r="E440" s="162"/>
      <c r="F440" s="162"/>
      <c r="G440" s="162"/>
      <c r="H440" s="162"/>
      <c r="I440" s="162"/>
      <c r="J440" s="162"/>
      <c r="K440" s="162"/>
      <c r="L440" s="162"/>
      <c r="M440" s="162"/>
      <c r="N440" s="162"/>
      <c r="O440" s="162"/>
      <c r="P440" s="162"/>
      <c r="R440" s="274"/>
      <c r="S440" s="274"/>
      <c r="T440" s="274"/>
      <c r="U440" s="274"/>
      <c r="V440" s="274"/>
      <c r="W440" s="274"/>
      <c r="X440" s="274"/>
      <c r="Y440" s="274"/>
      <c r="Z440" s="274"/>
      <c r="EB440" s="62"/>
      <c r="EC440" s="62"/>
      <c r="ED440" s="62"/>
      <c r="EE440" s="62"/>
      <c r="EF440" s="62"/>
      <c r="EG440" s="62"/>
    </row>
    <row r="441" spans="1:137" s="61" customFormat="1" ht="12.75" hidden="1">
      <c r="A441" s="139" t="s">
        <v>12</v>
      </c>
      <c r="B441" s="97"/>
      <c r="C441" s="97"/>
      <c r="D441" s="162">
        <f>504700-73000-309800</f>
        <v>121900</v>
      </c>
      <c r="E441" s="162"/>
      <c r="F441" s="162">
        <f>D441</f>
        <v>121900</v>
      </c>
      <c r="G441" s="162">
        <v>564300</v>
      </c>
      <c r="H441" s="162"/>
      <c r="I441" s="162"/>
      <c r="J441" s="162">
        <f>G441</f>
        <v>564300</v>
      </c>
      <c r="K441" s="162"/>
      <c r="L441" s="162"/>
      <c r="M441" s="162"/>
      <c r="N441" s="162">
        <v>592000</v>
      </c>
      <c r="O441" s="162"/>
      <c r="P441" s="162">
        <f>N441</f>
        <v>592000</v>
      </c>
      <c r="R441" s="274"/>
      <c r="S441" s="274"/>
      <c r="T441" s="274"/>
      <c r="U441" s="274"/>
      <c r="V441" s="274"/>
      <c r="W441" s="274"/>
      <c r="X441" s="274"/>
      <c r="Y441" s="274"/>
      <c r="Z441" s="274"/>
      <c r="EB441" s="62"/>
      <c r="EC441" s="62"/>
      <c r="ED441" s="62"/>
      <c r="EE441" s="62"/>
      <c r="EF441" s="62"/>
      <c r="EG441" s="62"/>
    </row>
    <row r="442" spans="1:137" s="61" customFormat="1" ht="12.75" hidden="1">
      <c r="A442" s="140" t="s">
        <v>412</v>
      </c>
      <c r="B442" s="97"/>
      <c r="C442" s="97"/>
      <c r="D442" s="162"/>
      <c r="E442" s="162"/>
      <c r="F442" s="162"/>
      <c r="G442" s="162"/>
      <c r="H442" s="162"/>
      <c r="I442" s="162"/>
      <c r="J442" s="162"/>
      <c r="K442" s="162"/>
      <c r="L442" s="162"/>
      <c r="M442" s="162"/>
      <c r="N442" s="162"/>
      <c r="O442" s="162"/>
      <c r="P442" s="162"/>
      <c r="R442" s="274"/>
      <c r="S442" s="274"/>
      <c r="T442" s="274"/>
      <c r="U442" s="274"/>
      <c r="V442" s="274"/>
      <c r="W442" s="274"/>
      <c r="X442" s="274"/>
      <c r="Y442" s="274"/>
      <c r="Z442" s="274"/>
      <c r="EB442" s="62"/>
      <c r="EC442" s="62"/>
      <c r="ED442" s="62"/>
      <c r="EE442" s="62"/>
      <c r="EF442" s="62"/>
      <c r="EG442" s="62"/>
    </row>
    <row r="443" spans="1:137" s="61" customFormat="1" ht="17.25" customHeight="1" hidden="1">
      <c r="A443" s="135" t="s">
        <v>13</v>
      </c>
      <c r="B443" s="97"/>
      <c r="C443" s="97"/>
      <c r="D443" s="162">
        <v>1</v>
      </c>
      <c r="E443" s="162"/>
      <c r="F443" s="162">
        <f>D443</f>
        <v>1</v>
      </c>
      <c r="G443" s="162">
        <v>1</v>
      </c>
      <c r="H443" s="162"/>
      <c r="I443" s="162"/>
      <c r="J443" s="162">
        <f>G443</f>
        <v>1</v>
      </c>
      <c r="K443" s="162"/>
      <c r="L443" s="162"/>
      <c r="M443" s="162"/>
      <c r="N443" s="162">
        <v>1</v>
      </c>
      <c r="O443" s="162"/>
      <c r="P443" s="162">
        <f>N443</f>
        <v>1</v>
      </c>
      <c r="R443" s="274"/>
      <c r="S443" s="274"/>
      <c r="T443" s="274"/>
      <c r="U443" s="274"/>
      <c r="V443" s="274"/>
      <c r="W443" s="274"/>
      <c r="X443" s="274"/>
      <c r="Y443" s="274"/>
      <c r="Z443" s="274"/>
      <c r="EB443" s="62"/>
      <c r="EC443" s="62"/>
      <c r="ED443" s="62"/>
      <c r="EE443" s="62"/>
      <c r="EF443" s="62"/>
      <c r="EG443" s="62"/>
    </row>
    <row r="444" spans="1:137" s="61" customFormat="1" ht="12.75" hidden="1">
      <c r="A444" s="140" t="s">
        <v>374</v>
      </c>
      <c r="B444" s="97"/>
      <c r="C444" s="97"/>
      <c r="D444" s="162"/>
      <c r="E444" s="162"/>
      <c r="F444" s="162"/>
      <c r="G444" s="162"/>
      <c r="H444" s="162"/>
      <c r="I444" s="162"/>
      <c r="J444" s="162"/>
      <c r="K444" s="162"/>
      <c r="L444" s="162"/>
      <c r="M444" s="162"/>
      <c r="N444" s="162"/>
      <c r="O444" s="162"/>
      <c r="P444" s="162"/>
      <c r="R444" s="274"/>
      <c r="S444" s="274"/>
      <c r="T444" s="274"/>
      <c r="U444" s="274"/>
      <c r="V444" s="274"/>
      <c r="W444" s="274"/>
      <c r="X444" s="274"/>
      <c r="Y444" s="274"/>
      <c r="Z444" s="274"/>
      <c r="EB444" s="62"/>
      <c r="EC444" s="62"/>
      <c r="ED444" s="62"/>
      <c r="EE444" s="62"/>
      <c r="EF444" s="62"/>
      <c r="EG444" s="62"/>
    </row>
    <row r="445" spans="1:137" s="61" customFormat="1" ht="18.75" customHeight="1" hidden="1">
      <c r="A445" s="139" t="s">
        <v>528</v>
      </c>
      <c r="B445" s="97"/>
      <c r="C445" s="97"/>
      <c r="D445" s="162">
        <f>D441/D443/12</f>
        <v>10158.333333333334</v>
      </c>
      <c r="E445" s="162"/>
      <c r="F445" s="162">
        <f>D445</f>
        <v>10158.333333333334</v>
      </c>
      <c r="G445" s="162">
        <f>G441/G443/12</f>
        <v>47025</v>
      </c>
      <c r="H445" s="162"/>
      <c r="I445" s="162"/>
      <c r="J445" s="162">
        <f>G445</f>
        <v>47025</v>
      </c>
      <c r="K445" s="162"/>
      <c r="L445" s="162"/>
      <c r="M445" s="162"/>
      <c r="N445" s="162">
        <f>N441/N443/12</f>
        <v>49333.333333333336</v>
      </c>
      <c r="O445" s="162"/>
      <c r="P445" s="162">
        <f>N445</f>
        <v>49333.333333333336</v>
      </c>
      <c r="R445" s="274"/>
      <c r="S445" s="274"/>
      <c r="T445" s="274"/>
      <c r="U445" s="274"/>
      <c r="V445" s="274"/>
      <c r="W445" s="274"/>
      <c r="X445" s="274"/>
      <c r="Y445" s="274"/>
      <c r="Z445" s="274"/>
      <c r="EB445" s="62"/>
      <c r="EC445" s="62"/>
      <c r="ED445" s="62"/>
      <c r="EE445" s="62"/>
      <c r="EF445" s="62"/>
      <c r="EG445" s="62"/>
    </row>
    <row r="446" spans="1:137" s="61" customFormat="1" ht="12.75" hidden="1">
      <c r="A446" s="140" t="s">
        <v>501</v>
      </c>
      <c r="B446" s="97"/>
      <c r="C446" s="97"/>
      <c r="D446" s="162"/>
      <c r="E446" s="162"/>
      <c r="F446" s="162"/>
      <c r="G446" s="162"/>
      <c r="H446" s="162"/>
      <c r="I446" s="162"/>
      <c r="J446" s="162"/>
      <c r="K446" s="162"/>
      <c r="L446" s="162"/>
      <c r="M446" s="162"/>
      <c r="N446" s="162"/>
      <c r="O446" s="162"/>
      <c r="P446" s="162"/>
      <c r="R446" s="274"/>
      <c r="S446" s="274"/>
      <c r="T446" s="274"/>
      <c r="U446" s="274"/>
      <c r="V446" s="274"/>
      <c r="W446" s="274"/>
      <c r="X446" s="274"/>
      <c r="Y446" s="274"/>
      <c r="Z446" s="274"/>
      <c r="EB446" s="62"/>
      <c r="EC446" s="62"/>
      <c r="ED446" s="62"/>
      <c r="EE446" s="62"/>
      <c r="EF446" s="62"/>
      <c r="EG446" s="62"/>
    </row>
    <row r="447" spans="1:137" s="61" customFormat="1" ht="34.5" customHeight="1" hidden="1">
      <c r="A447" s="139" t="s">
        <v>14</v>
      </c>
      <c r="B447" s="97"/>
      <c r="C447" s="97"/>
      <c r="D447" s="162"/>
      <c r="E447" s="162"/>
      <c r="F447" s="162"/>
      <c r="G447" s="162">
        <f>G445/D445*100</f>
        <v>462.9204265791632</v>
      </c>
      <c r="H447" s="162"/>
      <c r="I447" s="162"/>
      <c r="J447" s="162">
        <f>G447</f>
        <v>462.9204265791632</v>
      </c>
      <c r="K447" s="162"/>
      <c r="L447" s="162"/>
      <c r="M447" s="162"/>
      <c r="N447" s="162">
        <f>N445/G445*100</f>
        <v>104.90873648768387</v>
      </c>
      <c r="O447" s="162"/>
      <c r="P447" s="162">
        <f>N447</f>
        <v>104.90873648768387</v>
      </c>
      <c r="R447" s="274"/>
      <c r="S447" s="274"/>
      <c r="T447" s="274"/>
      <c r="U447" s="274"/>
      <c r="V447" s="274"/>
      <c r="W447" s="274"/>
      <c r="X447" s="274"/>
      <c r="Y447" s="274"/>
      <c r="Z447" s="274"/>
      <c r="EB447" s="62"/>
      <c r="EC447" s="62"/>
      <c r="ED447" s="62"/>
      <c r="EE447" s="62"/>
      <c r="EF447" s="62"/>
      <c r="EG447" s="62"/>
    </row>
    <row r="448" spans="1:137" s="36" customFormat="1" ht="34.5" customHeight="1" hidden="1">
      <c r="A448" s="138" t="s">
        <v>96</v>
      </c>
      <c r="B448" s="163"/>
      <c r="C448" s="163"/>
      <c r="D448" s="161">
        <f>D450</f>
        <v>340000</v>
      </c>
      <c r="E448" s="161"/>
      <c r="F448" s="161">
        <f>D448</f>
        <v>340000</v>
      </c>
      <c r="G448" s="161">
        <f>G450</f>
        <v>586000</v>
      </c>
      <c r="H448" s="161"/>
      <c r="I448" s="161"/>
      <c r="J448" s="161">
        <f>G448+H448</f>
        <v>586000</v>
      </c>
      <c r="K448" s="161"/>
      <c r="L448" s="161"/>
      <c r="M448" s="161"/>
      <c r="N448" s="161">
        <f>N450</f>
        <v>401200</v>
      </c>
      <c r="O448" s="161"/>
      <c r="P448" s="161">
        <f>N448+O448</f>
        <v>401200</v>
      </c>
      <c r="R448" s="274"/>
      <c r="S448" s="274"/>
      <c r="T448" s="274"/>
      <c r="U448" s="274"/>
      <c r="V448" s="274"/>
      <c r="W448" s="274"/>
      <c r="X448" s="274"/>
      <c r="Y448" s="274"/>
      <c r="Z448" s="274"/>
      <c r="EB448" s="37"/>
      <c r="EC448" s="37"/>
      <c r="ED448" s="37"/>
      <c r="EE448" s="37"/>
      <c r="EF448" s="37"/>
      <c r="EG448" s="37"/>
    </row>
    <row r="449" spans="1:137" s="61" customFormat="1" ht="12.75" hidden="1">
      <c r="A449" s="134" t="s">
        <v>255</v>
      </c>
      <c r="B449" s="97"/>
      <c r="C449" s="97"/>
      <c r="D449" s="162"/>
      <c r="E449" s="162"/>
      <c r="F449" s="162"/>
      <c r="G449" s="162"/>
      <c r="H449" s="162"/>
      <c r="I449" s="162"/>
      <c r="J449" s="182">
        <f aca="true" t="shared" si="29" ref="J449:J454">G449+H449</f>
        <v>0</v>
      </c>
      <c r="K449" s="162"/>
      <c r="L449" s="162"/>
      <c r="M449" s="162"/>
      <c r="N449" s="162"/>
      <c r="O449" s="162"/>
      <c r="P449" s="182">
        <f aca="true" t="shared" si="30" ref="P449:P454">N449+O449</f>
        <v>0</v>
      </c>
      <c r="R449" s="274"/>
      <c r="S449" s="274"/>
      <c r="T449" s="274"/>
      <c r="U449" s="274"/>
      <c r="V449" s="274"/>
      <c r="W449" s="274"/>
      <c r="X449" s="274"/>
      <c r="Y449" s="274"/>
      <c r="Z449" s="274"/>
      <c r="EB449" s="62"/>
      <c r="EC449" s="62"/>
      <c r="ED449" s="62"/>
      <c r="EE449" s="62"/>
      <c r="EF449" s="62"/>
      <c r="EG449" s="62"/>
    </row>
    <row r="450" spans="1:137" s="61" customFormat="1" ht="34.5" customHeight="1" hidden="1">
      <c r="A450" s="139" t="s">
        <v>15</v>
      </c>
      <c r="B450" s="97"/>
      <c r="C450" s="97"/>
      <c r="D450" s="162">
        <f>363000-23000</f>
        <v>340000</v>
      </c>
      <c r="E450" s="162"/>
      <c r="F450" s="162">
        <f>D450</f>
        <v>340000</v>
      </c>
      <c r="G450" s="162">
        <f>382100+3900+100000+100000</f>
        <v>586000</v>
      </c>
      <c r="H450" s="162"/>
      <c r="I450" s="162"/>
      <c r="J450" s="182">
        <f t="shared" si="29"/>
        <v>586000</v>
      </c>
      <c r="K450" s="162"/>
      <c r="L450" s="162"/>
      <c r="M450" s="162"/>
      <c r="N450" s="162">
        <v>401200</v>
      </c>
      <c r="O450" s="162"/>
      <c r="P450" s="182">
        <f t="shared" si="30"/>
        <v>401200</v>
      </c>
      <c r="R450" s="274"/>
      <c r="S450" s="274"/>
      <c r="T450" s="274"/>
      <c r="U450" s="274"/>
      <c r="V450" s="274"/>
      <c r="W450" s="274"/>
      <c r="X450" s="274"/>
      <c r="Y450" s="274"/>
      <c r="Z450" s="274"/>
      <c r="EB450" s="62"/>
      <c r="EC450" s="62"/>
      <c r="ED450" s="62"/>
      <c r="EE450" s="62"/>
      <c r="EF450" s="62"/>
      <c r="EG450" s="62"/>
    </row>
    <row r="451" spans="1:137" s="61" customFormat="1" ht="12.75" hidden="1">
      <c r="A451" s="140" t="s">
        <v>412</v>
      </c>
      <c r="B451" s="97"/>
      <c r="C451" s="97"/>
      <c r="D451" s="162"/>
      <c r="E451" s="162"/>
      <c r="F451" s="162"/>
      <c r="G451" s="162"/>
      <c r="H451" s="162"/>
      <c r="I451" s="162"/>
      <c r="J451" s="182">
        <f t="shared" si="29"/>
        <v>0</v>
      </c>
      <c r="K451" s="162"/>
      <c r="L451" s="162"/>
      <c r="M451" s="162"/>
      <c r="N451" s="162"/>
      <c r="O451" s="162"/>
      <c r="P451" s="182">
        <f t="shared" si="30"/>
        <v>0</v>
      </c>
      <c r="R451" s="274"/>
      <c r="S451" s="274"/>
      <c r="T451" s="274"/>
      <c r="U451" s="274"/>
      <c r="V451" s="274"/>
      <c r="W451" s="274"/>
      <c r="X451" s="274"/>
      <c r="Y451" s="274"/>
      <c r="Z451" s="274"/>
      <c r="EB451" s="62"/>
      <c r="EC451" s="62"/>
      <c r="ED451" s="62"/>
      <c r="EE451" s="62"/>
      <c r="EF451" s="62"/>
      <c r="EG451" s="62"/>
    </row>
    <row r="452" spans="1:137" s="61" customFormat="1" ht="18.75" customHeight="1" hidden="1">
      <c r="A452" s="135" t="s">
        <v>16</v>
      </c>
      <c r="B452" s="97"/>
      <c r="C452" s="97"/>
      <c r="D452" s="162">
        <v>7</v>
      </c>
      <c r="E452" s="162"/>
      <c r="F452" s="162"/>
      <c r="G452" s="162">
        <v>10</v>
      </c>
      <c r="H452" s="162"/>
      <c r="I452" s="162"/>
      <c r="J452" s="182">
        <f t="shared" si="29"/>
        <v>10</v>
      </c>
      <c r="K452" s="162"/>
      <c r="L452" s="162"/>
      <c r="M452" s="162"/>
      <c r="N452" s="162">
        <v>7</v>
      </c>
      <c r="O452" s="162"/>
      <c r="P452" s="182">
        <f t="shared" si="30"/>
        <v>7</v>
      </c>
      <c r="R452" s="274"/>
      <c r="S452" s="274"/>
      <c r="T452" s="274"/>
      <c r="U452" s="274"/>
      <c r="V452" s="274"/>
      <c r="W452" s="274"/>
      <c r="X452" s="274"/>
      <c r="Y452" s="274"/>
      <c r="Z452" s="274"/>
      <c r="EB452" s="62"/>
      <c r="EC452" s="62"/>
      <c r="ED452" s="62"/>
      <c r="EE452" s="62"/>
      <c r="EF452" s="62"/>
      <c r="EG452" s="62"/>
    </row>
    <row r="453" spans="1:137" s="61" customFormat="1" ht="12.75" hidden="1">
      <c r="A453" s="140" t="s">
        <v>374</v>
      </c>
      <c r="B453" s="97"/>
      <c r="C453" s="97"/>
      <c r="D453" s="162"/>
      <c r="E453" s="162"/>
      <c r="F453" s="162"/>
      <c r="G453" s="162"/>
      <c r="H453" s="162"/>
      <c r="I453" s="162"/>
      <c r="J453" s="182">
        <f t="shared" si="29"/>
        <v>0</v>
      </c>
      <c r="K453" s="162"/>
      <c r="L453" s="162"/>
      <c r="M453" s="162"/>
      <c r="N453" s="162"/>
      <c r="O453" s="162"/>
      <c r="P453" s="182">
        <f t="shared" si="30"/>
        <v>0</v>
      </c>
      <c r="R453" s="274"/>
      <c r="S453" s="274"/>
      <c r="T453" s="274"/>
      <c r="U453" s="274"/>
      <c r="V453" s="274"/>
      <c r="W453" s="274"/>
      <c r="X453" s="274"/>
      <c r="Y453" s="274"/>
      <c r="Z453" s="274"/>
      <c r="EB453" s="62"/>
      <c r="EC453" s="62"/>
      <c r="ED453" s="62"/>
      <c r="EE453" s="62"/>
      <c r="EF453" s="62"/>
      <c r="EG453" s="62"/>
    </row>
    <row r="454" spans="1:137" s="61" customFormat="1" ht="24" customHeight="1" hidden="1">
      <c r="A454" s="139" t="s">
        <v>17</v>
      </c>
      <c r="B454" s="97"/>
      <c r="C454" s="97"/>
      <c r="D454" s="132">
        <f>D450/D452</f>
        <v>48571.42857142857</v>
      </c>
      <c r="E454" s="132"/>
      <c r="F454" s="132">
        <f>D454</f>
        <v>48571.42857142857</v>
      </c>
      <c r="G454" s="132">
        <f>G450/G452</f>
        <v>58600</v>
      </c>
      <c r="H454" s="132"/>
      <c r="I454" s="132"/>
      <c r="J454" s="182">
        <f t="shared" si="29"/>
        <v>58600</v>
      </c>
      <c r="K454" s="132"/>
      <c r="L454" s="132"/>
      <c r="M454" s="132"/>
      <c r="N454" s="132">
        <f>N450/N452</f>
        <v>57314.28571428572</v>
      </c>
      <c r="O454" s="132"/>
      <c r="P454" s="182">
        <f t="shared" si="30"/>
        <v>57314.28571428572</v>
      </c>
      <c r="R454" s="274"/>
      <c r="S454" s="274"/>
      <c r="T454" s="274"/>
      <c r="U454" s="274"/>
      <c r="V454" s="274"/>
      <c r="W454" s="274"/>
      <c r="X454" s="274"/>
      <c r="Y454" s="274"/>
      <c r="Z454" s="274"/>
      <c r="EB454" s="62"/>
      <c r="EC454" s="62"/>
      <c r="ED454" s="62"/>
      <c r="EE454" s="62"/>
      <c r="EF454" s="62"/>
      <c r="EG454" s="62"/>
    </row>
    <row r="455" spans="1:137" s="61" customFormat="1" ht="21.75" customHeight="1" hidden="1">
      <c r="A455" s="138" t="s">
        <v>97</v>
      </c>
      <c r="B455" s="97"/>
      <c r="C455" s="97"/>
      <c r="D455" s="169">
        <f>D457</f>
        <v>0</v>
      </c>
      <c r="E455" s="169"/>
      <c r="F455" s="169">
        <f>D455</f>
        <v>0</v>
      </c>
      <c r="G455" s="162"/>
      <c r="H455" s="162"/>
      <c r="I455" s="162"/>
      <c r="J455" s="162"/>
      <c r="K455" s="162"/>
      <c r="L455" s="162"/>
      <c r="M455" s="162"/>
      <c r="N455" s="162"/>
      <c r="O455" s="162"/>
      <c r="P455" s="162"/>
      <c r="R455" s="274"/>
      <c r="S455" s="274"/>
      <c r="T455" s="274"/>
      <c r="U455" s="274"/>
      <c r="V455" s="274"/>
      <c r="W455" s="274"/>
      <c r="X455" s="274"/>
      <c r="Y455" s="274"/>
      <c r="Z455" s="274"/>
      <c r="EB455" s="62"/>
      <c r="EC455" s="62"/>
      <c r="ED455" s="62"/>
      <c r="EE455" s="62"/>
      <c r="EF455" s="62"/>
      <c r="EG455" s="62"/>
    </row>
    <row r="456" spans="1:137" s="61" customFormat="1" ht="12.75" hidden="1">
      <c r="A456" s="134" t="s">
        <v>255</v>
      </c>
      <c r="B456" s="97"/>
      <c r="C456" s="97"/>
      <c r="D456" s="162"/>
      <c r="E456" s="162"/>
      <c r="F456" s="162"/>
      <c r="G456" s="162"/>
      <c r="H456" s="162"/>
      <c r="I456" s="162"/>
      <c r="J456" s="162"/>
      <c r="K456" s="162"/>
      <c r="L456" s="162"/>
      <c r="M456" s="162"/>
      <c r="N456" s="162"/>
      <c r="O456" s="162"/>
      <c r="P456" s="162"/>
      <c r="R456" s="274"/>
      <c r="S456" s="274"/>
      <c r="T456" s="274"/>
      <c r="U456" s="274"/>
      <c r="V456" s="274"/>
      <c r="W456" s="274"/>
      <c r="X456" s="274"/>
      <c r="Y456" s="274"/>
      <c r="Z456" s="274"/>
      <c r="EB456" s="62"/>
      <c r="EC456" s="62"/>
      <c r="ED456" s="62"/>
      <c r="EE456" s="62"/>
      <c r="EF456" s="62"/>
      <c r="EG456" s="62"/>
    </row>
    <row r="457" spans="1:137" s="61" customFormat="1" ht="21" customHeight="1" hidden="1">
      <c r="A457" s="139" t="s">
        <v>18</v>
      </c>
      <c r="B457" s="97"/>
      <c r="C457" s="97"/>
      <c r="D457" s="162">
        <f>1000000-1000000</f>
        <v>0</v>
      </c>
      <c r="E457" s="162"/>
      <c r="F457" s="162">
        <f>D457</f>
        <v>0</v>
      </c>
      <c r="G457" s="162"/>
      <c r="H457" s="162"/>
      <c r="I457" s="162"/>
      <c r="J457" s="162"/>
      <c r="K457" s="162"/>
      <c r="L457" s="162"/>
      <c r="M457" s="162"/>
      <c r="N457" s="162"/>
      <c r="O457" s="162"/>
      <c r="P457" s="162"/>
      <c r="R457" s="274"/>
      <c r="S457" s="274"/>
      <c r="T457" s="274"/>
      <c r="U457" s="274"/>
      <c r="V457" s="274"/>
      <c r="W457" s="274"/>
      <c r="X457" s="274"/>
      <c r="Y457" s="274"/>
      <c r="Z457" s="274"/>
      <c r="EB457" s="62"/>
      <c r="EC457" s="62"/>
      <c r="ED457" s="62"/>
      <c r="EE457" s="62"/>
      <c r="EF457" s="62"/>
      <c r="EG457" s="62"/>
    </row>
    <row r="458" spans="1:137" s="61" customFormat="1" ht="12.75" hidden="1">
      <c r="A458" s="140" t="s">
        <v>412</v>
      </c>
      <c r="B458" s="97"/>
      <c r="C458" s="97"/>
      <c r="D458" s="162"/>
      <c r="E458" s="162"/>
      <c r="F458" s="162"/>
      <c r="G458" s="162"/>
      <c r="H458" s="162"/>
      <c r="I458" s="162"/>
      <c r="J458" s="162"/>
      <c r="K458" s="162"/>
      <c r="L458" s="162"/>
      <c r="M458" s="162"/>
      <c r="N458" s="162"/>
      <c r="O458" s="162"/>
      <c r="P458" s="162"/>
      <c r="R458" s="274"/>
      <c r="S458" s="274"/>
      <c r="T458" s="274"/>
      <c r="U458" s="274"/>
      <c r="V458" s="274"/>
      <c r="W458" s="274"/>
      <c r="X458" s="274"/>
      <c r="Y458" s="274"/>
      <c r="Z458" s="274"/>
      <c r="EB458" s="62"/>
      <c r="EC458" s="62"/>
      <c r="ED458" s="62"/>
      <c r="EE458" s="62"/>
      <c r="EF458" s="62"/>
      <c r="EG458" s="62"/>
    </row>
    <row r="459" spans="1:137" s="61" customFormat="1" ht="21" customHeight="1" hidden="1">
      <c r="A459" s="135" t="s">
        <v>19</v>
      </c>
      <c r="B459" s="97"/>
      <c r="C459" s="97"/>
      <c r="D459" s="162">
        <v>0</v>
      </c>
      <c r="E459" s="162"/>
      <c r="F459" s="162">
        <f>D459</f>
        <v>0</v>
      </c>
      <c r="G459" s="162"/>
      <c r="H459" s="162"/>
      <c r="I459" s="162"/>
      <c r="J459" s="162"/>
      <c r="K459" s="162"/>
      <c r="L459" s="162"/>
      <c r="M459" s="162"/>
      <c r="N459" s="162"/>
      <c r="O459" s="162"/>
      <c r="P459" s="162"/>
      <c r="R459" s="274"/>
      <c r="S459" s="274"/>
      <c r="T459" s="274"/>
      <c r="U459" s="274"/>
      <c r="V459" s="274"/>
      <c r="W459" s="274"/>
      <c r="X459" s="274"/>
      <c r="Y459" s="274"/>
      <c r="Z459" s="274"/>
      <c r="EB459" s="62"/>
      <c r="EC459" s="62"/>
      <c r="ED459" s="62"/>
      <c r="EE459" s="62"/>
      <c r="EF459" s="62"/>
      <c r="EG459" s="62"/>
    </row>
    <row r="460" spans="1:137" s="61" customFormat="1" ht="12.75" hidden="1">
      <c r="A460" s="140" t="s">
        <v>374</v>
      </c>
      <c r="B460" s="97"/>
      <c r="C460" s="97"/>
      <c r="D460" s="162"/>
      <c r="E460" s="162"/>
      <c r="F460" s="162"/>
      <c r="G460" s="162"/>
      <c r="H460" s="162"/>
      <c r="I460" s="162"/>
      <c r="J460" s="162"/>
      <c r="K460" s="162"/>
      <c r="L460" s="162"/>
      <c r="M460" s="162"/>
      <c r="N460" s="162"/>
      <c r="O460" s="162"/>
      <c r="P460" s="162"/>
      <c r="R460" s="274"/>
      <c r="S460" s="274"/>
      <c r="T460" s="274"/>
      <c r="U460" s="274"/>
      <c r="V460" s="274"/>
      <c r="W460" s="274"/>
      <c r="X460" s="274"/>
      <c r="Y460" s="274"/>
      <c r="Z460" s="274"/>
      <c r="EB460" s="62"/>
      <c r="EC460" s="62"/>
      <c r="ED460" s="62"/>
      <c r="EE460" s="62"/>
      <c r="EF460" s="62"/>
      <c r="EG460" s="62"/>
    </row>
    <row r="461" spans="1:137" s="61" customFormat="1" ht="12.75" hidden="1">
      <c r="A461" s="139" t="s">
        <v>20</v>
      </c>
      <c r="B461" s="97"/>
      <c r="C461" s="97"/>
      <c r="D461" s="162" t="e">
        <f>D457/D459</f>
        <v>#DIV/0!</v>
      </c>
      <c r="E461" s="162"/>
      <c r="F461" s="162" t="e">
        <f>D461</f>
        <v>#DIV/0!</v>
      </c>
      <c r="G461" s="162"/>
      <c r="H461" s="162"/>
      <c r="I461" s="162"/>
      <c r="J461" s="162"/>
      <c r="K461" s="162"/>
      <c r="L461" s="162"/>
      <c r="M461" s="162"/>
      <c r="N461" s="162"/>
      <c r="O461" s="162"/>
      <c r="P461" s="162"/>
      <c r="R461" s="274"/>
      <c r="S461" s="274"/>
      <c r="T461" s="274"/>
      <c r="U461" s="274"/>
      <c r="V461" s="274"/>
      <c r="W461" s="274"/>
      <c r="X461" s="274"/>
      <c r="Y461" s="274"/>
      <c r="Z461" s="274"/>
      <c r="EB461" s="62"/>
      <c r="EC461" s="62"/>
      <c r="ED461" s="62"/>
      <c r="EE461" s="62"/>
      <c r="EF461" s="62"/>
      <c r="EG461" s="62"/>
    </row>
    <row r="462" spans="1:137" s="50" customFormat="1" ht="22.5" customHeight="1" hidden="1">
      <c r="A462" s="68" t="s">
        <v>40</v>
      </c>
      <c r="B462" s="183"/>
      <c r="C462" s="183"/>
      <c r="D462" s="67">
        <f>1894300-400000-326100</f>
        <v>1168200</v>
      </c>
      <c r="E462" s="67"/>
      <c r="F462" s="67">
        <f>D462</f>
        <v>1168200</v>
      </c>
      <c r="G462" s="67">
        <f>2007900-400000</f>
        <v>1607900</v>
      </c>
      <c r="H462" s="67"/>
      <c r="I462" s="67"/>
      <c r="J462" s="67">
        <f>G462</f>
        <v>1607900</v>
      </c>
      <c r="K462" s="67">
        <f>(K464*K466)</f>
        <v>0</v>
      </c>
      <c r="L462" s="67">
        <f>(L464*L466)</f>
        <v>0</v>
      </c>
      <c r="M462" s="67">
        <f>(M464*M466)</f>
        <v>0</v>
      </c>
      <c r="N462" s="67">
        <f>2108300-400000</f>
        <v>1708300</v>
      </c>
      <c r="O462" s="67"/>
      <c r="P462" s="67">
        <f>N462</f>
        <v>1708300</v>
      </c>
      <c r="R462" s="357"/>
      <c r="S462" s="357"/>
      <c r="T462" s="357"/>
      <c r="U462" s="357"/>
      <c r="V462" s="357"/>
      <c r="W462" s="357"/>
      <c r="X462" s="357"/>
      <c r="Y462" s="357"/>
      <c r="Z462" s="357"/>
      <c r="EB462" s="51"/>
      <c r="EC462" s="51"/>
      <c r="ED462" s="51"/>
      <c r="EE462" s="51"/>
      <c r="EF462" s="51"/>
      <c r="EG462" s="51"/>
    </row>
    <row r="463" spans="1:137" s="4" customFormat="1" ht="12.75" hidden="1">
      <c r="A463" s="134" t="s">
        <v>185</v>
      </c>
      <c r="B463" s="165"/>
      <c r="C463" s="165"/>
      <c r="D463" s="132"/>
      <c r="E463" s="132"/>
      <c r="F463" s="132"/>
      <c r="G463" s="132"/>
      <c r="H463" s="132"/>
      <c r="I463" s="132"/>
      <c r="J463" s="132"/>
      <c r="K463" s="132"/>
      <c r="L463" s="132"/>
      <c r="M463" s="132"/>
      <c r="N463" s="132"/>
      <c r="O463" s="132"/>
      <c r="P463" s="132"/>
      <c r="R463" s="274"/>
      <c r="S463" s="274"/>
      <c r="T463" s="274"/>
      <c r="U463" s="274"/>
      <c r="V463" s="274"/>
      <c r="W463" s="274"/>
      <c r="X463" s="274"/>
      <c r="Y463" s="274"/>
      <c r="Z463" s="274"/>
      <c r="EB463" s="13"/>
      <c r="EC463" s="13"/>
      <c r="ED463" s="13"/>
      <c r="EE463" s="13"/>
      <c r="EF463" s="13"/>
      <c r="EG463" s="13"/>
    </row>
    <row r="464" spans="1:137" s="4" customFormat="1" ht="29.25" customHeight="1" hidden="1">
      <c r="A464" s="135" t="s">
        <v>295</v>
      </c>
      <c r="B464" s="165"/>
      <c r="C464" s="165"/>
      <c r="D464" s="132">
        <v>750</v>
      </c>
      <c r="E464" s="132"/>
      <c r="F464" s="132">
        <f>D464</f>
        <v>750</v>
      </c>
      <c r="G464" s="132">
        <v>700</v>
      </c>
      <c r="H464" s="132"/>
      <c r="I464" s="132"/>
      <c r="J464" s="132">
        <f>G464</f>
        <v>700</v>
      </c>
      <c r="K464" s="132"/>
      <c r="L464" s="132"/>
      <c r="M464" s="132"/>
      <c r="N464" s="132">
        <v>650</v>
      </c>
      <c r="O464" s="132"/>
      <c r="P464" s="132">
        <f>N464</f>
        <v>650</v>
      </c>
      <c r="R464" s="274"/>
      <c r="S464" s="274"/>
      <c r="T464" s="274"/>
      <c r="U464" s="274"/>
      <c r="V464" s="274"/>
      <c r="W464" s="274"/>
      <c r="X464" s="274"/>
      <c r="Y464" s="274"/>
      <c r="Z464" s="274"/>
      <c r="EB464" s="13"/>
      <c r="EC464" s="13"/>
      <c r="ED464" s="13"/>
      <c r="EE464" s="13"/>
      <c r="EF464" s="13"/>
      <c r="EG464" s="13"/>
    </row>
    <row r="465" spans="1:137" s="4" customFormat="1" ht="12.75" hidden="1">
      <c r="A465" s="134" t="s">
        <v>187</v>
      </c>
      <c r="B465" s="165"/>
      <c r="C465" s="165"/>
      <c r="D465" s="132"/>
      <c r="E465" s="132"/>
      <c r="F465" s="132"/>
      <c r="G465" s="132"/>
      <c r="H465" s="132"/>
      <c r="I465" s="132"/>
      <c r="J465" s="132"/>
      <c r="K465" s="132"/>
      <c r="L465" s="132"/>
      <c r="M465" s="132"/>
      <c r="N465" s="132"/>
      <c r="O465" s="132"/>
      <c r="P465" s="132"/>
      <c r="R465" s="274"/>
      <c r="S465" s="274"/>
      <c r="T465" s="274"/>
      <c r="U465" s="274"/>
      <c r="V465" s="274"/>
      <c r="W465" s="274"/>
      <c r="X465" s="274"/>
      <c r="Y465" s="274"/>
      <c r="Z465" s="274"/>
      <c r="EB465" s="13"/>
      <c r="EC465" s="13"/>
      <c r="ED465" s="13"/>
      <c r="EE465" s="13"/>
      <c r="EF465" s="13"/>
      <c r="EG465" s="13"/>
    </row>
    <row r="466" spans="1:137" s="4" customFormat="1" ht="22.5" customHeight="1" hidden="1">
      <c r="A466" s="135" t="s">
        <v>296</v>
      </c>
      <c r="B466" s="165"/>
      <c r="C466" s="165"/>
      <c r="D466" s="132">
        <f>D462/D464</f>
        <v>1557.6</v>
      </c>
      <c r="E466" s="132"/>
      <c r="F466" s="132">
        <f>D466</f>
        <v>1557.6</v>
      </c>
      <c r="G466" s="132">
        <f>G462/G464</f>
        <v>2297</v>
      </c>
      <c r="H466" s="132"/>
      <c r="I466" s="132"/>
      <c r="J466" s="132">
        <f>G466</f>
        <v>2297</v>
      </c>
      <c r="K466" s="132"/>
      <c r="L466" s="132"/>
      <c r="M466" s="132"/>
      <c r="N466" s="132">
        <f>N462/N464</f>
        <v>2628.153846153846</v>
      </c>
      <c r="O466" s="132"/>
      <c r="P466" s="132">
        <f>N466</f>
        <v>2628.153846153846</v>
      </c>
      <c r="R466" s="274"/>
      <c r="S466" s="274"/>
      <c r="T466" s="274"/>
      <c r="U466" s="274"/>
      <c r="V466" s="274"/>
      <c r="W466" s="274"/>
      <c r="X466" s="274"/>
      <c r="Y466" s="274"/>
      <c r="Z466" s="274"/>
      <c r="EB466" s="13"/>
      <c r="EC466" s="13"/>
      <c r="ED466" s="13"/>
      <c r="EE466" s="13"/>
      <c r="EF466" s="13"/>
      <c r="EG466" s="13"/>
    </row>
    <row r="467" spans="1:137" s="4" customFormat="1" ht="12.75" hidden="1">
      <c r="A467" s="134" t="s">
        <v>186</v>
      </c>
      <c r="B467" s="165"/>
      <c r="C467" s="165"/>
      <c r="D467" s="132"/>
      <c r="E467" s="132"/>
      <c r="F467" s="132"/>
      <c r="G467" s="132"/>
      <c r="H467" s="132"/>
      <c r="I467" s="132"/>
      <c r="J467" s="132"/>
      <c r="K467" s="132"/>
      <c r="L467" s="132"/>
      <c r="M467" s="132"/>
      <c r="N467" s="132"/>
      <c r="O467" s="132"/>
      <c r="P467" s="132"/>
      <c r="R467" s="274"/>
      <c r="S467" s="274"/>
      <c r="T467" s="274"/>
      <c r="U467" s="274"/>
      <c r="V467" s="274"/>
      <c r="W467" s="274"/>
      <c r="X467" s="274"/>
      <c r="Y467" s="274"/>
      <c r="Z467" s="274"/>
      <c r="EB467" s="13"/>
      <c r="EC467" s="13"/>
      <c r="ED467" s="13"/>
      <c r="EE467" s="13"/>
      <c r="EF467" s="13"/>
      <c r="EG467" s="13"/>
    </row>
    <row r="468" spans="1:137" s="4" customFormat="1" ht="24" customHeight="1" hidden="1">
      <c r="A468" s="135" t="s">
        <v>271</v>
      </c>
      <c r="B468" s="165"/>
      <c r="C468" s="165"/>
      <c r="D468" s="132"/>
      <c r="E468" s="132"/>
      <c r="F468" s="132"/>
      <c r="G468" s="132">
        <f>G464/D464*100</f>
        <v>93.33333333333333</v>
      </c>
      <c r="H468" s="132"/>
      <c r="I468" s="132"/>
      <c r="J468" s="132">
        <f>G468</f>
        <v>93.33333333333333</v>
      </c>
      <c r="K468" s="132"/>
      <c r="L468" s="132"/>
      <c r="M468" s="132"/>
      <c r="N468" s="132">
        <f>N464/G464*100</f>
        <v>92.85714285714286</v>
      </c>
      <c r="O468" s="132"/>
      <c r="P468" s="132">
        <f>N468</f>
        <v>92.85714285714286</v>
      </c>
      <c r="R468" s="274"/>
      <c r="S468" s="274"/>
      <c r="T468" s="274"/>
      <c r="U468" s="274"/>
      <c r="V468" s="274"/>
      <c r="W468" s="274"/>
      <c r="X468" s="274"/>
      <c r="Y468" s="274"/>
      <c r="Z468" s="274"/>
      <c r="EB468" s="13"/>
      <c r="EC468" s="13"/>
      <c r="ED468" s="13"/>
      <c r="EE468" s="13"/>
      <c r="EF468" s="13"/>
      <c r="EG468" s="13"/>
    </row>
    <row r="469" spans="1:137" s="4" customFormat="1" ht="31.5" customHeight="1" hidden="1">
      <c r="A469" s="135" t="s">
        <v>272</v>
      </c>
      <c r="B469" s="165"/>
      <c r="C469" s="165"/>
      <c r="D469" s="132"/>
      <c r="E469" s="132"/>
      <c r="F469" s="132"/>
      <c r="G469" s="132">
        <f>G466/D466*100</f>
        <v>147.47046738572163</v>
      </c>
      <c r="H469" s="132"/>
      <c r="I469" s="132"/>
      <c r="J469" s="132">
        <f>G469</f>
        <v>147.47046738572163</v>
      </c>
      <c r="K469" s="132"/>
      <c r="L469" s="132"/>
      <c r="M469" s="132"/>
      <c r="N469" s="132">
        <f>N466/G466*100</f>
        <v>114.41679782994541</v>
      </c>
      <c r="O469" s="132"/>
      <c r="P469" s="132">
        <f>N469</f>
        <v>114.41679782994541</v>
      </c>
      <c r="R469" s="274"/>
      <c r="S469" s="274"/>
      <c r="T469" s="274"/>
      <c r="U469" s="274"/>
      <c r="V469" s="274"/>
      <c r="W469" s="274"/>
      <c r="X469" s="274"/>
      <c r="Y469" s="274"/>
      <c r="Z469" s="274"/>
      <c r="EB469" s="13"/>
      <c r="EC469" s="13"/>
      <c r="ED469" s="13"/>
      <c r="EE469" s="13"/>
      <c r="EF469" s="13"/>
      <c r="EG469" s="13"/>
    </row>
    <row r="470" spans="1:137" s="70" customFormat="1" ht="36" customHeight="1" hidden="1">
      <c r="A470" s="68" t="s">
        <v>41</v>
      </c>
      <c r="B470" s="69"/>
      <c r="C470" s="69"/>
      <c r="D470" s="67"/>
      <c r="E470" s="67">
        <f>21112400-6000000-6000000-8012400</f>
        <v>1100000</v>
      </c>
      <c r="F470" s="67">
        <f>E470</f>
        <v>1100000</v>
      </c>
      <c r="G470" s="67">
        <f>G472*G474</f>
        <v>0</v>
      </c>
      <c r="H470" s="67">
        <f>22379100-6000000</f>
        <v>16379100</v>
      </c>
      <c r="I470" s="67">
        <f>I472*I474</f>
        <v>0</v>
      </c>
      <c r="J470" s="67">
        <f>G470+H470</f>
        <v>16379100</v>
      </c>
      <c r="K470" s="67">
        <f>K472*K474</f>
        <v>0</v>
      </c>
      <c r="L470" s="67">
        <f>L472*L474</f>
        <v>0</v>
      </c>
      <c r="M470" s="67">
        <f>M472*M474</f>
        <v>0</v>
      </c>
      <c r="N470" s="67">
        <f>N472*N474</f>
        <v>0</v>
      </c>
      <c r="O470" s="67">
        <f>23498000-6000000</f>
        <v>17498000</v>
      </c>
      <c r="P470" s="67">
        <f>N470+O470</f>
        <v>17498000</v>
      </c>
      <c r="R470" s="358"/>
      <c r="S470" s="358"/>
      <c r="T470" s="358"/>
      <c r="U470" s="358"/>
      <c r="V470" s="358"/>
      <c r="W470" s="358"/>
      <c r="X470" s="358"/>
      <c r="Y470" s="358"/>
      <c r="Z470" s="358"/>
      <c r="EB470" s="71"/>
      <c r="EC470" s="71"/>
      <c r="ED470" s="71"/>
      <c r="EE470" s="71"/>
      <c r="EF470" s="71"/>
      <c r="EG470" s="71"/>
    </row>
    <row r="471" spans="1:137" s="4" customFormat="1" ht="12.75" hidden="1">
      <c r="A471" s="134" t="s">
        <v>185</v>
      </c>
      <c r="B471" s="8"/>
      <c r="C471" s="8"/>
      <c r="D471" s="9"/>
      <c r="E471" s="9"/>
      <c r="F471" s="132"/>
      <c r="G471" s="9"/>
      <c r="H471" s="9"/>
      <c r="I471" s="9"/>
      <c r="J471" s="132"/>
      <c r="K471" s="132"/>
      <c r="L471" s="132"/>
      <c r="M471" s="132"/>
      <c r="N471" s="9"/>
      <c r="O471" s="9"/>
      <c r="P471" s="132"/>
      <c r="R471" s="274"/>
      <c r="S471" s="274"/>
      <c r="T471" s="274"/>
      <c r="U471" s="274"/>
      <c r="V471" s="274"/>
      <c r="W471" s="274"/>
      <c r="X471" s="274"/>
      <c r="Y471" s="274"/>
      <c r="Z471" s="274"/>
      <c r="EB471" s="13"/>
      <c r="EC471" s="13"/>
      <c r="ED471" s="13"/>
      <c r="EE471" s="13"/>
      <c r="EF471" s="13"/>
      <c r="EG471" s="13"/>
    </row>
    <row r="472" spans="1:137" s="4" customFormat="1" ht="21.75" customHeight="1" hidden="1">
      <c r="A472" s="135" t="s">
        <v>240</v>
      </c>
      <c r="B472" s="165"/>
      <c r="C472" s="165"/>
      <c r="D472" s="132"/>
      <c r="E472" s="132">
        <v>5</v>
      </c>
      <c r="F472" s="132">
        <f>E472</f>
        <v>5</v>
      </c>
      <c r="G472" s="132"/>
      <c r="H472" s="132">
        <v>16</v>
      </c>
      <c r="I472" s="132"/>
      <c r="J472" s="132">
        <f>G472+H472</f>
        <v>16</v>
      </c>
      <c r="K472" s="132"/>
      <c r="L472" s="132"/>
      <c r="M472" s="132"/>
      <c r="N472" s="132"/>
      <c r="O472" s="132">
        <v>15</v>
      </c>
      <c r="P472" s="132">
        <f>O472</f>
        <v>15</v>
      </c>
      <c r="R472" s="274"/>
      <c r="S472" s="274"/>
      <c r="T472" s="274"/>
      <c r="U472" s="274"/>
      <c r="V472" s="274"/>
      <c r="W472" s="274"/>
      <c r="X472" s="274"/>
      <c r="Y472" s="274"/>
      <c r="Z472" s="274"/>
      <c r="EB472" s="13"/>
      <c r="EC472" s="13"/>
      <c r="ED472" s="13"/>
      <c r="EE472" s="13"/>
      <c r="EF472" s="13"/>
      <c r="EG472" s="13"/>
    </row>
    <row r="473" spans="1:137" s="4" customFormat="1" ht="12.75" hidden="1">
      <c r="A473" s="134" t="s">
        <v>187</v>
      </c>
      <c r="B473" s="8"/>
      <c r="C473" s="8"/>
      <c r="D473" s="9"/>
      <c r="E473" s="9"/>
      <c r="F473" s="132"/>
      <c r="G473" s="9"/>
      <c r="H473" s="9"/>
      <c r="I473" s="9"/>
      <c r="J473" s="132"/>
      <c r="K473" s="132"/>
      <c r="L473" s="132"/>
      <c r="M473" s="132"/>
      <c r="N473" s="9"/>
      <c r="O473" s="9"/>
      <c r="P473" s="132"/>
      <c r="R473" s="274"/>
      <c r="S473" s="274"/>
      <c r="T473" s="274"/>
      <c r="U473" s="274"/>
      <c r="V473" s="274"/>
      <c r="W473" s="274"/>
      <c r="X473" s="274"/>
      <c r="Y473" s="274"/>
      <c r="Z473" s="274"/>
      <c r="EB473" s="13"/>
      <c r="EC473" s="13"/>
      <c r="ED473" s="13"/>
      <c r="EE473" s="13"/>
      <c r="EF473" s="13"/>
      <c r="EG473" s="13"/>
    </row>
    <row r="474" spans="1:137" s="4" customFormat="1" ht="23.25" customHeight="1" hidden="1">
      <c r="A474" s="135" t="s">
        <v>241</v>
      </c>
      <c r="B474" s="165"/>
      <c r="C474" s="165"/>
      <c r="D474" s="132"/>
      <c r="E474" s="132">
        <f>E470/E472</f>
        <v>220000</v>
      </c>
      <c r="F474" s="132">
        <f>E474</f>
        <v>220000</v>
      </c>
      <c r="G474" s="132"/>
      <c r="H474" s="132">
        <f>H470/H472</f>
        <v>1023693.75</v>
      </c>
      <c r="I474" s="132"/>
      <c r="J474" s="132">
        <f>G474+H474</f>
        <v>1023693.75</v>
      </c>
      <c r="K474" s="132"/>
      <c r="L474" s="132"/>
      <c r="M474" s="132"/>
      <c r="N474" s="132"/>
      <c r="O474" s="132">
        <f>O470/O472</f>
        <v>1166533.3333333333</v>
      </c>
      <c r="P474" s="132">
        <f>O474</f>
        <v>1166533.3333333333</v>
      </c>
      <c r="R474" s="274"/>
      <c r="S474" s="274"/>
      <c r="T474" s="274"/>
      <c r="U474" s="274"/>
      <c r="V474" s="274"/>
      <c r="W474" s="274"/>
      <c r="X474" s="274"/>
      <c r="Y474" s="274"/>
      <c r="Z474" s="274"/>
      <c r="EB474" s="13"/>
      <c r="EC474" s="13"/>
      <c r="ED474" s="13"/>
      <c r="EE474" s="13"/>
      <c r="EF474" s="13"/>
      <c r="EG474" s="13"/>
    </row>
    <row r="475" spans="1:137" s="4" customFormat="1" ht="12.75" hidden="1">
      <c r="A475" s="134" t="s">
        <v>186</v>
      </c>
      <c r="B475" s="165"/>
      <c r="C475" s="165"/>
      <c r="D475" s="132"/>
      <c r="E475" s="132"/>
      <c r="F475" s="132"/>
      <c r="G475" s="132"/>
      <c r="H475" s="132"/>
      <c r="I475" s="132"/>
      <c r="J475" s="132"/>
      <c r="K475" s="132"/>
      <c r="L475" s="132"/>
      <c r="M475" s="132"/>
      <c r="N475" s="132"/>
      <c r="O475" s="132"/>
      <c r="P475" s="132"/>
      <c r="R475" s="274"/>
      <c r="S475" s="274"/>
      <c r="T475" s="274"/>
      <c r="U475" s="274"/>
      <c r="V475" s="274"/>
      <c r="W475" s="274"/>
      <c r="X475" s="274"/>
      <c r="Y475" s="274"/>
      <c r="Z475" s="274"/>
      <c r="EB475" s="13"/>
      <c r="EC475" s="13"/>
      <c r="ED475" s="13"/>
      <c r="EE475" s="13"/>
      <c r="EF475" s="13"/>
      <c r="EG475" s="13"/>
    </row>
    <row r="476" spans="1:137" s="4" customFormat="1" ht="35.25" customHeight="1" hidden="1">
      <c r="A476" s="135" t="s">
        <v>242</v>
      </c>
      <c r="B476" s="165"/>
      <c r="C476" s="165"/>
      <c r="D476" s="132"/>
      <c r="E476" s="132">
        <v>0</v>
      </c>
      <c r="F476" s="132">
        <v>0</v>
      </c>
      <c r="G476" s="132"/>
      <c r="H476" s="132">
        <f>H474/E474*100</f>
        <v>465.31534090909093</v>
      </c>
      <c r="I476" s="132"/>
      <c r="J476" s="132">
        <f>G476+H476</f>
        <v>465.31534090909093</v>
      </c>
      <c r="K476" s="132"/>
      <c r="L476" s="132"/>
      <c r="M476" s="132"/>
      <c r="N476" s="132"/>
      <c r="O476" s="132">
        <f>O474/H474*100</f>
        <v>113.95335112022842</v>
      </c>
      <c r="P476" s="132">
        <f>O476</f>
        <v>113.95335112022842</v>
      </c>
      <c r="R476" s="274"/>
      <c r="S476" s="274"/>
      <c r="T476" s="274"/>
      <c r="U476" s="274"/>
      <c r="V476" s="274"/>
      <c r="W476" s="274"/>
      <c r="X476" s="274"/>
      <c r="Y476" s="274"/>
      <c r="Z476" s="274"/>
      <c r="EB476" s="13"/>
      <c r="EC476" s="13"/>
      <c r="ED476" s="13"/>
      <c r="EE476" s="13"/>
      <c r="EF476" s="13"/>
      <c r="EG476" s="13"/>
    </row>
    <row r="477" spans="1:131" s="76" customFormat="1" ht="30" customHeight="1" hidden="1">
      <c r="A477" s="73" t="s">
        <v>390</v>
      </c>
      <c r="B477" s="73"/>
      <c r="C477" s="73"/>
      <c r="D477" s="74">
        <f>D479</f>
        <v>0</v>
      </c>
      <c r="E477" s="74">
        <f aca="true" t="shared" si="31" ref="E477:P477">E479</f>
        <v>2060000</v>
      </c>
      <c r="F477" s="74">
        <f t="shared" si="31"/>
        <v>2060000</v>
      </c>
      <c r="G477" s="74">
        <f t="shared" si="31"/>
        <v>0</v>
      </c>
      <c r="H477" s="74">
        <f t="shared" si="31"/>
        <v>20850600</v>
      </c>
      <c r="I477" s="74">
        <f t="shared" si="31"/>
        <v>0</v>
      </c>
      <c r="J477" s="74">
        <f t="shared" si="31"/>
        <v>20850600</v>
      </c>
      <c r="K477" s="74">
        <f t="shared" si="31"/>
        <v>75446.60846035449</v>
      </c>
      <c r="L477" s="74">
        <f t="shared" si="31"/>
        <v>1</v>
      </c>
      <c r="M477" s="74">
        <f t="shared" si="31"/>
        <v>1</v>
      </c>
      <c r="N477" s="74">
        <f t="shared" si="31"/>
        <v>0</v>
      </c>
      <c r="O477" s="74">
        <f t="shared" si="31"/>
        <v>21893300</v>
      </c>
      <c r="P477" s="74">
        <f t="shared" si="31"/>
        <v>21893300</v>
      </c>
      <c r="Q477" s="75"/>
      <c r="R477" s="360"/>
      <c r="S477" s="360"/>
      <c r="T477" s="360"/>
      <c r="U477" s="360"/>
      <c r="V477" s="360"/>
      <c r="W477" s="360"/>
      <c r="X477" s="360"/>
      <c r="Y477" s="360"/>
      <c r="Z477" s="360"/>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5"/>
      <c r="BX477" s="75"/>
      <c r="BY477" s="75"/>
      <c r="BZ477" s="75"/>
      <c r="CA477" s="75"/>
      <c r="CB477" s="75"/>
      <c r="CC477" s="75"/>
      <c r="CD477" s="75"/>
      <c r="CE477" s="75"/>
      <c r="CF477" s="75"/>
      <c r="CG477" s="75"/>
      <c r="CH477" s="75"/>
      <c r="CI477" s="75"/>
      <c r="CJ477" s="75"/>
      <c r="CK477" s="75"/>
      <c r="CL477" s="75"/>
      <c r="CM477" s="75"/>
      <c r="CN477" s="75"/>
      <c r="CO477" s="75"/>
      <c r="CP477" s="75"/>
      <c r="CQ477" s="75"/>
      <c r="CR477" s="75"/>
      <c r="CS477" s="75"/>
      <c r="CT477" s="75"/>
      <c r="CU477" s="75"/>
      <c r="CV477" s="75"/>
      <c r="CW477" s="75"/>
      <c r="CX477" s="75"/>
      <c r="CY477" s="75"/>
      <c r="CZ477" s="75"/>
      <c r="DA477" s="75"/>
      <c r="DB477" s="75"/>
      <c r="DC477" s="75"/>
      <c r="DD477" s="75"/>
      <c r="DE477" s="75"/>
      <c r="DF477" s="75"/>
      <c r="DG477" s="75"/>
      <c r="DH477" s="75"/>
      <c r="DI477" s="75"/>
      <c r="DJ477" s="75"/>
      <c r="DK477" s="75"/>
      <c r="DL477" s="75"/>
      <c r="DM477" s="75"/>
      <c r="DN477" s="75"/>
      <c r="DO477" s="75"/>
      <c r="DP477" s="75"/>
      <c r="DQ477" s="75"/>
      <c r="DR477" s="75"/>
      <c r="DS477" s="75"/>
      <c r="DT477" s="75"/>
      <c r="DU477" s="75"/>
      <c r="DV477" s="75"/>
      <c r="DW477" s="75"/>
      <c r="DX477" s="75"/>
      <c r="DY477" s="75"/>
      <c r="DZ477" s="75"/>
      <c r="EA477" s="75"/>
    </row>
    <row r="478" spans="1:16" ht="42.75" customHeight="1" hidden="1">
      <c r="A478" s="133" t="s">
        <v>391</v>
      </c>
      <c r="B478" s="165"/>
      <c r="C478" s="165"/>
      <c r="D478" s="132"/>
      <c r="E478" s="164"/>
      <c r="F478" s="164"/>
      <c r="G478" s="132"/>
      <c r="H478" s="164"/>
      <c r="I478" s="164"/>
      <c r="J478" s="164"/>
      <c r="K478" s="132" t="e">
        <f>H478/E478*100</f>
        <v>#DIV/0!</v>
      </c>
      <c r="L478" s="164"/>
      <c r="M478" s="164"/>
      <c r="N478" s="132"/>
      <c r="O478" s="164"/>
      <c r="P478" s="164"/>
    </row>
    <row r="479" spans="1:16" ht="23.25" customHeight="1" hidden="1">
      <c r="A479" s="68" t="s">
        <v>62</v>
      </c>
      <c r="B479" s="165"/>
      <c r="C479" s="165"/>
      <c r="D479" s="67">
        <f>D480+D489</f>
        <v>0</v>
      </c>
      <c r="E479" s="67">
        <f aca="true" t="shared" si="32" ref="E479:O479">E480+E489</f>
        <v>2060000</v>
      </c>
      <c r="F479" s="67">
        <f>D479+E479</f>
        <v>2060000</v>
      </c>
      <c r="G479" s="67">
        <f t="shared" si="32"/>
        <v>0</v>
      </c>
      <c r="H479" s="67">
        <f>H480+H489</f>
        <v>20850600</v>
      </c>
      <c r="I479" s="67">
        <f t="shared" si="32"/>
        <v>0</v>
      </c>
      <c r="J479" s="67">
        <f>G479+H479</f>
        <v>20850600</v>
      </c>
      <c r="K479" s="67">
        <f t="shared" si="32"/>
        <v>75446.60846035449</v>
      </c>
      <c r="L479" s="67">
        <f t="shared" si="32"/>
        <v>1</v>
      </c>
      <c r="M479" s="67">
        <f t="shared" si="32"/>
        <v>1</v>
      </c>
      <c r="N479" s="67">
        <f t="shared" si="32"/>
        <v>0</v>
      </c>
      <c r="O479" s="67">
        <f t="shared" si="32"/>
        <v>21893300</v>
      </c>
      <c r="P479" s="67">
        <f>N479+O479</f>
        <v>21893300</v>
      </c>
    </row>
    <row r="480" spans="1:131" s="43" customFormat="1" ht="18" customHeight="1" hidden="1">
      <c r="A480" s="138" t="s">
        <v>42</v>
      </c>
      <c r="B480" s="160"/>
      <c r="C480" s="160"/>
      <c r="D480" s="161"/>
      <c r="E480" s="161">
        <f>14335400-14321300+1400000+600000</f>
        <v>2014100</v>
      </c>
      <c r="F480" s="161">
        <f>E480</f>
        <v>2014100</v>
      </c>
      <c r="G480" s="161"/>
      <c r="H480" s="161">
        <v>15195500</v>
      </c>
      <c r="I480" s="161"/>
      <c r="J480" s="161">
        <f>H480</f>
        <v>15195500</v>
      </c>
      <c r="K480" s="161">
        <f>K484*K486</f>
        <v>75445.60846035449</v>
      </c>
      <c r="L480" s="161">
        <f>L484*L486</f>
        <v>0</v>
      </c>
      <c r="M480" s="161">
        <f>M484*M486</f>
        <v>0</v>
      </c>
      <c r="N480" s="161"/>
      <c r="O480" s="161">
        <v>15955300</v>
      </c>
      <c r="P480" s="161">
        <f>N480+O480</f>
        <v>15955300</v>
      </c>
      <c r="Q480" s="52"/>
      <c r="R480" s="357"/>
      <c r="S480" s="357"/>
      <c r="T480" s="357"/>
      <c r="U480" s="357"/>
      <c r="V480" s="357"/>
      <c r="W480" s="357"/>
      <c r="X480" s="357"/>
      <c r="Y480" s="357"/>
      <c r="Z480" s="357"/>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52"/>
      <c r="CD480" s="52"/>
      <c r="CE480" s="52"/>
      <c r="CF480" s="52"/>
      <c r="CG480" s="52"/>
      <c r="CH480" s="52"/>
      <c r="CI480" s="52"/>
      <c r="CJ480" s="52"/>
      <c r="CK480" s="52"/>
      <c r="CL480" s="52"/>
      <c r="CM480" s="52"/>
      <c r="CN480" s="52"/>
      <c r="CO480" s="52"/>
      <c r="CP480" s="52"/>
      <c r="CQ480" s="52"/>
      <c r="CR480" s="52"/>
      <c r="CS480" s="52"/>
      <c r="CT480" s="52"/>
      <c r="CU480" s="52"/>
      <c r="CV480" s="52"/>
      <c r="CW480" s="52"/>
      <c r="CX480" s="52"/>
      <c r="CY480" s="52"/>
      <c r="CZ480" s="52"/>
      <c r="DA480" s="52"/>
      <c r="DB480" s="52"/>
      <c r="DC480" s="52"/>
      <c r="DD480" s="52"/>
      <c r="DE480" s="52"/>
      <c r="DF480" s="52"/>
      <c r="DG480" s="52"/>
      <c r="DH480" s="52"/>
      <c r="DI480" s="52"/>
      <c r="DJ480" s="52"/>
      <c r="DK480" s="52"/>
      <c r="DL480" s="52"/>
      <c r="DM480" s="52"/>
      <c r="DN480" s="52"/>
      <c r="DO480" s="52"/>
      <c r="DP480" s="52"/>
      <c r="DQ480" s="52"/>
      <c r="DR480" s="52"/>
      <c r="DS480" s="52"/>
      <c r="DT480" s="52"/>
      <c r="DU480" s="52"/>
      <c r="DV480" s="52"/>
      <c r="DW480" s="52"/>
      <c r="DX480" s="52"/>
      <c r="DY480" s="52"/>
      <c r="DZ480" s="52"/>
      <c r="EA480" s="52"/>
    </row>
    <row r="481" spans="1:16" ht="13.5" hidden="1">
      <c r="A481" s="134" t="s">
        <v>184</v>
      </c>
      <c r="B481" s="8"/>
      <c r="C481" s="8"/>
      <c r="D481" s="132"/>
      <c r="E481" s="164"/>
      <c r="F481" s="164"/>
      <c r="G481" s="132"/>
      <c r="H481" s="164"/>
      <c r="I481" s="164"/>
      <c r="J481" s="164"/>
      <c r="K481" s="132"/>
      <c r="L481" s="164"/>
      <c r="M481" s="164"/>
      <c r="N481" s="132"/>
      <c r="O481" s="164"/>
      <c r="P481" s="164"/>
    </row>
    <row r="482" spans="1:16" ht="20.25" customHeight="1" hidden="1">
      <c r="A482" s="135" t="s">
        <v>150</v>
      </c>
      <c r="B482" s="165"/>
      <c r="C482" s="165"/>
      <c r="D482" s="132"/>
      <c r="E482" s="162">
        <v>1012</v>
      </c>
      <c r="F482" s="162">
        <f>E482</f>
        <v>1012</v>
      </c>
      <c r="G482" s="162"/>
      <c r="H482" s="162">
        <v>992</v>
      </c>
      <c r="I482" s="162"/>
      <c r="J482" s="162">
        <f>H482</f>
        <v>992</v>
      </c>
      <c r="K482" s="104"/>
      <c r="L482" s="184"/>
      <c r="M482" s="184"/>
      <c r="N482" s="162"/>
      <c r="O482" s="162">
        <v>972</v>
      </c>
      <c r="P482" s="162">
        <f>O482</f>
        <v>972</v>
      </c>
    </row>
    <row r="483" spans="1:16" ht="12.75" hidden="1">
      <c r="A483" s="134" t="s">
        <v>185</v>
      </c>
      <c r="B483" s="8"/>
      <c r="C483" s="8"/>
      <c r="D483" s="132"/>
      <c r="E483" s="9"/>
      <c r="F483" s="9"/>
      <c r="G483" s="132"/>
      <c r="H483" s="9"/>
      <c r="I483" s="9"/>
      <c r="J483" s="9"/>
      <c r="K483" s="132" t="e">
        <f>H483/E483*100</f>
        <v>#DIV/0!</v>
      </c>
      <c r="L483" s="9"/>
      <c r="M483" s="9"/>
      <c r="N483" s="132"/>
      <c r="O483" s="9"/>
      <c r="P483" s="9"/>
    </row>
    <row r="484" spans="1:16" ht="25.5" hidden="1">
      <c r="A484" s="135" t="s">
        <v>149</v>
      </c>
      <c r="B484" s="165"/>
      <c r="C484" s="165"/>
      <c r="D484" s="132"/>
      <c r="E484" s="132">
        <v>2</v>
      </c>
      <c r="F484" s="132">
        <f>E484</f>
        <v>2</v>
      </c>
      <c r="G484" s="132"/>
      <c r="H484" s="132">
        <v>20</v>
      </c>
      <c r="I484" s="132"/>
      <c r="J484" s="132">
        <f>H484</f>
        <v>20</v>
      </c>
      <c r="K484" s="132">
        <f>H484/E484*100</f>
        <v>1000</v>
      </c>
      <c r="L484" s="132"/>
      <c r="M484" s="132"/>
      <c r="N484" s="132"/>
      <c r="O484" s="132">
        <v>20</v>
      </c>
      <c r="P484" s="132">
        <f>O484</f>
        <v>20</v>
      </c>
    </row>
    <row r="485" spans="1:16" ht="12.75" hidden="1">
      <c r="A485" s="134" t="s">
        <v>187</v>
      </c>
      <c r="B485" s="8"/>
      <c r="C485" s="8"/>
      <c r="D485" s="132"/>
      <c r="E485" s="9"/>
      <c r="F485" s="9"/>
      <c r="G485" s="132"/>
      <c r="H485" s="9"/>
      <c r="I485" s="9"/>
      <c r="J485" s="9"/>
      <c r="K485" s="132" t="e">
        <f>H485/E485*100</f>
        <v>#DIV/0!</v>
      </c>
      <c r="L485" s="9"/>
      <c r="M485" s="9"/>
      <c r="N485" s="132"/>
      <c r="O485" s="9"/>
      <c r="P485" s="9"/>
    </row>
    <row r="486" spans="1:16" ht="24" customHeight="1" hidden="1">
      <c r="A486" s="135" t="s">
        <v>244</v>
      </c>
      <c r="B486" s="165"/>
      <c r="C486" s="165"/>
      <c r="D486" s="132"/>
      <c r="E486" s="132">
        <f>E480/E484</f>
        <v>1007050</v>
      </c>
      <c r="F486" s="132">
        <f>E486</f>
        <v>1007050</v>
      </c>
      <c r="G486" s="132"/>
      <c r="H486" s="132">
        <f>H480/H484</f>
        <v>759775</v>
      </c>
      <c r="I486" s="132"/>
      <c r="J486" s="132">
        <f>H486</f>
        <v>759775</v>
      </c>
      <c r="K486" s="132">
        <f>H486/E486*100</f>
        <v>75.44560846035449</v>
      </c>
      <c r="L486" s="132"/>
      <c r="M486" s="132"/>
      <c r="N486" s="132"/>
      <c r="O486" s="132">
        <f>O480/O484</f>
        <v>797765</v>
      </c>
      <c r="P486" s="132">
        <f>O486</f>
        <v>797765</v>
      </c>
    </row>
    <row r="487" spans="1:16" ht="12.75" hidden="1">
      <c r="A487" s="134" t="s">
        <v>186</v>
      </c>
      <c r="B487" s="8"/>
      <c r="C487" s="8"/>
      <c r="D487" s="132"/>
      <c r="E487" s="132"/>
      <c r="F487" s="132"/>
      <c r="G487" s="132"/>
      <c r="H487" s="132"/>
      <c r="I487" s="132"/>
      <c r="J487" s="132"/>
      <c r="K487" s="132"/>
      <c r="L487" s="132"/>
      <c r="M487" s="132"/>
      <c r="N487" s="132"/>
      <c r="O487" s="132"/>
      <c r="P487" s="132"/>
    </row>
    <row r="488" spans="1:16" ht="36" customHeight="1" hidden="1">
      <c r="A488" s="135" t="s">
        <v>245</v>
      </c>
      <c r="B488" s="165"/>
      <c r="C488" s="165"/>
      <c r="D488" s="132"/>
      <c r="E488" s="132">
        <f>E484/E482*100</f>
        <v>0.1976284584980237</v>
      </c>
      <c r="F488" s="132">
        <f>D488+E488</f>
        <v>0.1976284584980237</v>
      </c>
      <c r="G488" s="132"/>
      <c r="H488" s="132">
        <f>H484/H482*100</f>
        <v>2.0161290322580645</v>
      </c>
      <c r="I488" s="132"/>
      <c r="J488" s="132">
        <f>J484/J482*100</f>
        <v>2.0161290322580645</v>
      </c>
      <c r="K488" s="132" t="e">
        <f>K484/K482*100</f>
        <v>#DIV/0!</v>
      </c>
      <c r="L488" s="132" t="e">
        <f>L484/L482*100</f>
        <v>#DIV/0!</v>
      </c>
      <c r="M488" s="132" t="e">
        <f>M484/M482*100</f>
        <v>#DIV/0!</v>
      </c>
      <c r="N488" s="132"/>
      <c r="O488" s="132">
        <f>O484/O482*100</f>
        <v>2.05761316872428</v>
      </c>
      <c r="P488" s="132">
        <f>P484/P482*100</f>
        <v>2.05761316872428</v>
      </c>
    </row>
    <row r="489" spans="1:131" s="43" customFormat="1" ht="19.5" customHeight="1" hidden="1">
      <c r="A489" s="138" t="s">
        <v>43</v>
      </c>
      <c r="B489" s="160"/>
      <c r="C489" s="160"/>
      <c r="D489" s="161"/>
      <c r="E489" s="161">
        <f>E493*E495</f>
        <v>45900</v>
      </c>
      <c r="F489" s="161">
        <f>F493*F495</f>
        <v>45900</v>
      </c>
      <c r="G489" s="161"/>
      <c r="H489" s="161">
        <f>H493*H495</f>
        <v>5655100</v>
      </c>
      <c r="I489" s="161"/>
      <c r="J489" s="161">
        <f>H489</f>
        <v>5655100</v>
      </c>
      <c r="K489" s="161">
        <f>K493*K495+1</f>
        <v>1</v>
      </c>
      <c r="L489" s="161">
        <f>L493*L495+1</f>
        <v>1</v>
      </c>
      <c r="M489" s="161">
        <f>M493*M495+1</f>
        <v>1</v>
      </c>
      <c r="N489" s="161"/>
      <c r="O489" s="161">
        <f>O491</f>
        <v>5938000</v>
      </c>
      <c r="P489" s="161">
        <f>O489</f>
        <v>5938000</v>
      </c>
      <c r="Q489" s="52"/>
      <c r="R489" s="357"/>
      <c r="S489" s="357"/>
      <c r="T489" s="357"/>
      <c r="U489" s="357"/>
      <c r="V489" s="357"/>
      <c r="W489" s="357"/>
      <c r="X489" s="357"/>
      <c r="Y489" s="357"/>
      <c r="Z489" s="357"/>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52"/>
      <c r="CD489" s="52"/>
      <c r="CE489" s="52"/>
      <c r="CF489" s="52"/>
      <c r="CG489" s="52"/>
      <c r="CH489" s="52"/>
      <c r="CI489" s="52"/>
      <c r="CJ489" s="52"/>
      <c r="CK489" s="52"/>
      <c r="CL489" s="52"/>
      <c r="CM489" s="52"/>
      <c r="CN489" s="52"/>
      <c r="CO489" s="52"/>
      <c r="CP489" s="52"/>
      <c r="CQ489" s="52"/>
      <c r="CR489" s="52"/>
      <c r="CS489" s="52"/>
      <c r="CT489" s="52"/>
      <c r="CU489" s="52"/>
      <c r="CV489" s="52"/>
      <c r="CW489" s="52"/>
      <c r="CX489" s="52"/>
      <c r="CY489" s="52"/>
      <c r="CZ489" s="52"/>
      <c r="DA489" s="52"/>
      <c r="DB489" s="52"/>
      <c r="DC489" s="52"/>
      <c r="DD489" s="52"/>
      <c r="DE489" s="52"/>
      <c r="DF489" s="52"/>
      <c r="DG489" s="52"/>
      <c r="DH489" s="52"/>
      <c r="DI489" s="52"/>
      <c r="DJ489" s="52"/>
      <c r="DK489" s="52"/>
      <c r="DL489" s="52"/>
      <c r="DM489" s="52"/>
      <c r="DN489" s="52"/>
      <c r="DO489" s="52"/>
      <c r="DP489" s="52"/>
      <c r="DQ489" s="52"/>
      <c r="DR489" s="52"/>
      <c r="DS489" s="52"/>
      <c r="DT489" s="52"/>
      <c r="DU489" s="52"/>
      <c r="DV489" s="52"/>
      <c r="DW489" s="52"/>
      <c r="DX489" s="52"/>
      <c r="DY489" s="52"/>
      <c r="DZ489" s="52"/>
      <c r="EA489" s="52"/>
    </row>
    <row r="490" spans="1:131" s="37" customFormat="1" ht="12.75" hidden="1">
      <c r="A490" s="140" t="s">
        <v>184</v>
      </c>
      <c r="B490" s="163"/>
      <c r="C490" s="163"/>
      <c r="D490" s="162"/>
      <c r="E490" s="162"/>
      <c r="F490" s="162"/>
      <c r="G490" s="162"/>
      <c r="H490" s="162"/>
      <c r="I490" s="162"/>
      <c r="J490" s="162"/>
      <c r="K490" s="162"/>
      <c r="L490" s="162"/>
      <c r="M490" s="162"/>
      <c r="N490" s="162"/>
      <c r="O490" s="162"/>
      <c r="P490" s="162"/>
      <c r="Q490" s="36"/>
      <c r="R490" s="274"/>
      <c r="S490" s="274"/>
      <c r="T490" s="274"/>
      <c r="U490" s="274"/>
      <c r="V490" s="274"/>
      <c r="W490" s="274"/>
      <c r="X490" s="274"/>
      <c r="Y490" s="274"/>
      <c r="Z490" s="274"/>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c r="DL490" s="36"/>
      <c r="DM490" s="36"/>
      <c r="DN490" s="36"/>
      <c r="DO490" s="36"/>
      <c r="DP490" s="36"/>
      <c r="DQ490" s="36"/>
      <c r="DR490" s="36"/>
      <c r="DS490" s="36"/>
      <c r="DT490" s="36"/>
      <c r="DU490" s="36"/>
      <c r="DV490" s="36"/>
      <c r="DW490" s="36"/>
      <c r="DX490" s="36"/>
      <c r="DY490" s="36"/>
      <c r="DZ490" s="36"/>
      <c r="EA490" s="36"/>
    </row>
    <row r="491" spans="1:131" s="37" customFormat="1" ht="15.75" customHeight="1" hidden="1">
      <c r="A491" s="139" t="s">
        <v>392</v>
      </c>
      <c r="B491" s="163"/>
      <c r="C491" s="163"/>
      <c r="D491" s="162"/>
      <c r="E491" s="162">
        <f>5335000-5289100</f>
        <v>45900</v>
      </c>
      <c r="F491" s="162">
        <f>E491</f>
        <v>45900</v>
      </c>
      <c r="G491" s="162"/>
      <c r="H491" s="162">
        <v>5655100</v>
      </c>
      <c r="I491" s="162"/>
      <c r="J491" s="162">
        <f>H491</f>
        <v>5655100</v>
      </c>
      <c r="K491" s="162"/>
      <c r="L491" s="162"/>
      <c r="M491" s="162"/>
      <c r="N491" s="162"/>
      <c r="O491" s="162">
        <v>5938000</v>
      </c>
      <c r="P491" s="162">
        <f>O491</f>
        <v>5938000</v>
      </c>
      <c r="Q491" s="36"/>
      <c r="R491" s="274"/>
      <c r="S491" s="274"/>
      <c r="T491" s="274"/>
      <c r="U491" s="274"/>
      <c r="V491" s="274"/>
      <c r="W491" s="274"/>
      <c r="X491" s="274"/>
      <c r="Y491" s="274"/>
      <c r="Z491" s="274"/>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c r="DL491" s="36"/>
      <c r="DM491" s="36"/>
      <c r="DN491" s="36"/>
      <c r="DO491" s="36"/>
      <c r="DP491" s="36"/>
      <c r="DQ491" s="36"/>
      <c r="DR491" s="36"/>
      <c r="DS491" s="36"/>
      <c r="DT491" s="36"/>
      <c r="DU491" s="36"/>
      <c r="DV491" s="36"/>
      <c r="DW491" s="36"/>
      <c r="DX491" s="36"/>
      <c r="DY491" s="36"/>
      <c r="DZ491" s="36"/>
      <c r="EA491" s="36"/>
    </row>
    <row r="492" spans="1:131" s="37" customFormat="1" ht="12.75" hidden="1">
      <c r="A492" s="140" t="s">
        <v>185</v>
      </c>
      <c r="B492" s="163"/>
      <c r="C492" s="163"/>
      <c r="D492" s="162"/>
      <c r="E492" s="162"/>
      <c r="F492" s="162"/>
      <c r="G492" s="162"/>
      <c r="H492" s="162"/>
      <c r="I492" s="162"/>
      <c r="J492" s="162"/>
      <c r="K492" s="162"/>
      <c r="L492" s="162"/>
      <c r="M492" s="162"/>
      <c r="N492" s="162"/>
      <c r="O492" s="162"/>
      <c r="P492" s="162"/>
      <c r="Q492" s="36"/>
      <c r="R492" s="274"/>
      <c r="S492" s="274"/>
      <c r="T492" s="274"/>
      <c r="U492" s="274"/>
      <c r="V492" s="274"/>
      <c r="W492" s="274"/>
      <c r="X492" s="274"/>
      <c r="Y492" s="274"/>
      <c r="Z492" s="274"/>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c r="DL492" s="36"/>
      <c r="DM492" s="36"/>
      <c r="DN492" s="36"/>
      <c r="DO492" s="36"/>
      <c r="DP492" s="36"/>
      <c r="DQ492" s="36"/>
      <c r="DR492" s="36"/>
      <c r="DS492" s="36"/>
      <c r="DT492" s="36"/>
      <c r="DU492" s="36"/>
      <c r="DV492" s="36"/>
      <c r="DW492" s="36"/>
      <c r="DX492" s="36"/>
      <c r="DY492" s="36"/>
      <c r="DZ492" s="36"/>
      <c r="EA492" s="36"/>
    </row>
    <row r="493" spans="1:131" s="37" customFormat="1" ht="25.5" hidden="1">
      <c r="A493" s="139" t="s">
        <v>281</v>
      </c>
      <c r="B493" s="163"/>
      <c r="C493" s="163"/>
      <c r="D493" s="162"/>
      <c r="E493" s="162">
        <v>1</v>
      </c>
      <c r="F493" s="162">
        <f>E493</f>
        <v>1</v>
      </c>
      <c r="G493" s="162"/>
      <c r="H493" s="162">
        <f>H491/H495</f>
        <v>20</v>
      </c>
      <c r="I493" s="162"/>
      <c r="J493" s="162">
        <f>H493</f>
        <v>20</v>
      </c>
      <c r="K493" s="162"/>
      <c r="L493" s="162"/>
      <c r="M493" s="162"/>
      <c r="N493" s="162"/>
      <c r="O493" s="162">
        <f>O491/O495</f>
        <v>20</v>
      </c>
      <c r="P493" s="162">
        <f>O493</f>
        <v>20</v>
      </c>
      <c r="Q493" s="36"/>
      <c r="R493" s="274"/>
      <c r="S493" s="274"/>
      <c r="T493" s="274"/>
      <c r="U493" s="274"/>
      <c r="V493" s="274"/>
      <c r="W493" s="274"/>
      <c r="X493" s="274"/>
      <c r="Y493" s="274"/>
      <c r="Z493" s="274"/>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c r="DL493" s="36"/>
      <c r="DM493" s="36"/>
      <c r="DN493" s="36"/>
      <c r="DO493" s="36"/>
      <c r="DP493" s="36"/>
      <c r="DQ493" s="36"/>
      <c r="DR493" s="36"/>
      <c r="DS493" s="36"/>
      <c r="DT493" s="36"/>
      <c r="DU493" s="36"/>
      <c r="DV493" s="36"/>
      <c r="DW493" s="36"/>
      <c r="DX493" s="36"/>
      <c r="DY493" s="36"/>
      <c r="DZ493" s="36"/>
      <c r="EA493" s="36"/>
    </row>
    <row r="494" spans="1:131" s="37" customFormat="1" ht="12.75" hidden="1">
      <c r="A494" s="140" t="s">
        <v>187</v>
      </c>
      <c r="B494" s="163"/>
      <c r="C494" s="163"/>
      <c r="D494" s="162"/>
      <c r="E494" s="162"/>
      <c r="F494" s="162"/>
      <c r="G494" s="162"/>
      <c r="H494" s="162"/>
      <c r="I494" s="162"/>
      <c r="J494" s="162"/>
      <c r="K494" s="162"/>
      <c r="L494" s="162"/>
      <c r="M494" s="162"/>
      <c r="N494" s="162"/>
      <c r="O494" s="162"/>
      <c r="P494" s="162"/>
      <c r="Q494" s="36"/>
      <c r="R494" s="274"/>
      <c r="S494" s="274"/>
      <c r="T494" s="274"/>
      <c r="U494" s="274"/>
      <c r="V494" s="274"/>
      <c r="W494" s="274"/>
      <c r="X494" s="274"/>
      <c r="Y494" s="274"/>
      <c r="Z494" s="274"/>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c r="DL494" s="36"/>
      <c r="DM494" s="36"/>
      <c r="DN494" s="36"/>
      <c r="DO494" s="36"/>
      <c r="DP494" s="36"/>
      <c r="DQ494" s="36"/>
      <c r="DR494" s="36"/>
      <c r="DS494" s="36"/>
      <c r="DT494" s="36"/>
      <c r="DU494" s="36"/>
      <c r="DV494" s="36"/>
      <c r="DW494" s="36"/>
      <c r="DX494" s="36"/>
      <c r="DY494" s="36"/>
      <c r="DZ494" s="36"/>
      <c r="EA494" s="36"/>
    </row>
    <row r="495" spans="1:131" s="37" customFormat="1" ht="32.25" customHeight="1" hidden="1">
      <c r="A495" s="139" t="s">
        <v>244</v>
      </c>
      <c r="B495" s="163"/>
      <c r="C495" s="163"/>
      <c r="D495" s="162"/>
      <c r="E495" s="162">
        <f>E491/E493</f>
        <v>45900</v>
      </c>
      <c r="F495" s="162">
        <f>E495</f>
        <v>45900</v>
      </c>
      <c r="G495" s="162"/>
      <c r="H495" s="162">
        <v>282755</v>
      </c>
      <c r="I495" s="162"/>
      <c r="J495" s="162">
        <f>H495</f>
        <v>282755</v>
      </c>
      <c r="K495" s="162"/>
      <c r="L495" s="162"/>
      <c r="M495" s="162"/>
      <c r="N495" s="162"/>
      <c r="O495" s="162">
        <v>296900</v>
      </c>
      <c r="P495" s="162">
        <f>O495</f>
        <v>296900</v>
      </c>
      <c r="Q495" s="36"/>
      <c r="R495" s="274"/>
      <c r="S495" s="274"/>
      <c r="T495" s="274"/>
      <c r="U495" s="274"/>
      <c r="V495" s="274"/>
      <c r="W495" s="274"/>
      <c r="X495" s="274"/>
      <c r="Y495" s="274"/>
      <c r="Z495" s="274"/>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c r="DL495" s="36"/>
      <c r="DM495" s="36"/>
      <c r="DN495" s="36"/>
      <c r="DO495" s="36"/>
      <c r="DP495" s="36"/>
      <c r="DQ495" s="36"/>
      <c r="DR495" s="36"/>
      <c r="DS495" s="36"/>
      <c r="DT495" s="36"/>
      <c r="DU495" s="36"/>
      <c r="DV495" s="36"/>
      <c r="DW495" s="36"/>
      <c r="DX495" s="36"/>
      <c r="DY495" s="36"/>
      <c r="DZ495" s="36"/>
      <c r="EA495" s="36"/>
    </row>
    <row r="496" spans="1:131" s="76" customFormat="1" ht="33" customHeight="1" hidden="1">
      <c r="A496" s="73" t="s">
        <v>533</v>
      </c>
      <c r="B496" s="73"/>
      <c r="C496" s="73"/>
      <c r="D496" s="74">
        <f>D497+D498</f>
        <v>6789144</v>
      </c>
      <c r="E496" s="74">
        <f aca="true" t="shared" si="33" ref="E496:P496">E497+E498</f>
        <v>2416370</v>
      </c>
      <c r="F496" s="74">
        <f t="shared" si="33"/>
        <v>9205514</v>
      </c>
      <c r="G496" s="74">
        <f>G497+G498</f>
        <v>18201732</v>
      </c>
      <c r="H496" s="74">
        <f t="shared" si="33"/>
        <v>19152640</v>
      </c>
      <c r="I496" s="74">
        <f t="shared" si="33"/>
        <v>0</v>
      </c>
      <c r="J496" s="74">
        <f t="shared" si="33"/>
        <v>37354372</v>
      </c>
      <c r="K496" s="74" t="e">
        <f t="shared" si="33"/>
        <v>#REF!</v>
      </c>
      <c r="L496" s="74" t="e">
        <f t="shared" si="33"/>
        <v>#REF!</v>
      </c>
      <c r="M496" s="74" t="e">
        <f t="shared" si="33"/>
        <v>#REF!</v>
      </c>
      <c r="N496" s="74">
        <f t="shared" si="33"/>
        <v>8188460</v>
      </c>
      <c r="O496" s="74">
        <f t="shared" si="33"/>
        <v>733240</v>
      </c>
      <c r="P496" s="74">
        <f t="shared" si="33"/>
        <v>8921700</v>
      </c>
      <c r="Q496" s="75"/>
      <c r="R496" s="360"/>
      <c r="S496" s="360"/>
      <c r="T496" s="360"/>
      <c r="U496" s="360"/>
      <c r="V496" s="360"/>
      <c r="W496" s="360"/>
      <c r="X496" s="360"/>
      <c r="Y496" s="360"/>
      <c r="Z496" s="360"/>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c r="AY496" s="75"/>
      <c r="AZ496" s="75"/>
      <c r="BA496" s="75"/>
      <c r="BB496" s="75"/>
      <c r="BC496" s="75"/>
      <c r="BD496" s="75"/>
      <c r="BE496" s="75"/>
      <c r="BF496" s="75"/>
      <c r="BG496" s="75"/>
      <c r="BH496" s="75"/>
      <c r="BI496" s="75"/>
      <c r="BJ496" s="75"/>
      <c r="BK496" s="75"/>
      <c r="BL496" s="75"/>
      <c r="BM496" s="75"/>
      <c r="BN496" s="75"/>
      <c r="BO496" s="75"/>
      <c r="BP496" s="75"/>
      <c r="BQ496" s="75"/>
      <c r="BR496" s="75"/>
      <c r="BS496" s="75"/>
      <c r="BT496" s="75"/>
      <c r="BU496" s="75"/>
      <c r="BV496" s="75"/>
      <c r="BW496" s="75"/>
      <c r="BX496" s="75"/>
      <c r="BY496" s="75"/>
      <c r="BZ496" s="75"/>
      <c r="CA496" s="75"/>
      <c r="CB496" s="75"/>
      <c r="CC496" s="75"/>
      <c r="CD496" s="75"/>
      <c r="CE496" s="75"/>
      <c r="CF496" s="75"/>
      <c r="CG496" s="75"/>
      <c r="CH496" s="75"/>
      <c r="CI496" s="75"/>
      <c r="CJ496" s="75"/>
      <c r="CK496" s="75"/>
      <c r="CL496" s="75"/>
      <c r="CM496" s="75"/>
      <c r="CN496" s="75"/>
      <c r="CO496" s="75"/>
      <c r="CP496" s="75"/>
      <c r="CQ496" s="75"/>
      <c r="CR496" s="75"/>
      <c r="CS496" s="75"/>
      <c r="CT496" s="75"/>
      <c r="CU496" s="75"/>
      <c r="CV496" s="75"/>
      <c r="CW496" s="75"/>
      <c r="CX496" s="75"/>
      <c r="CY496" s="75"/>
      <c r="CZ496" s="75"/>
      <c r="DA496" s="75"/>
      <c r="DB496" s="75"/>
      <c r="DC496" s="75"/>
      <c r="DD496" s="75"/>
      <c r="DE496" s="75"/>
      <c r="DF496" s="75"/>
      <c r="DG496" s="75"/>
      <c r="DH496" s="75"/>
      <c r="DI496" s="75"/>
      <c r="DJ496" s="75"/>
      <c r="DK496" s="75"/>
      <c r="DL496" s="75"/>
      <c r="DM496" s="75"/>
      <c r="DN496" s="75"/>
      <c r="DO496" s="75"/>
      <c r="DP496" s="75"/>
      <c r="DQ496" s="75"/>
      <c r="DR496" s="75"/>
      <c r="DS496" s="75"/>
      <c r="DT496" s="75"/>
      <c r="DU496" s="75"/>
      <c r="DV496" s="75"/>
      <c r="DW496" s="75"/>
      <c r="DX496" s="75"/>
      <c r="DY496" s="75"/>
      <c r="DZ496" s="75"/>
      <c r="EA496" s="75"/>
    </row>
    <row r="497" spans="1:16" ht="13.5" customHeight="1" hidden="1">
      <c r="A497" s="8" t="s">
        <v>212</v>
      </c>
      <c r="B497" s="8"/>
      <c r="C497" s="8"/>
      <c r="D497" s="9">
        <f>D500+D507</f>
        <v>6470414</v>
      </c>
      <c r="E497" s="9">
        <f aca="true" t="shared" si="34" ref="E497:O497">E500+E507</f>
        <v>1780000</v>
      </c>
      <c r="F497" s="9">
        <f>D497+E497</f>
        <v>8250414</v>
      </c>
      <c r="G497" s="9">
        <f>G500+G507</f>
        <v>17873280</v>
      </c>
      <c r="H497" s="9">
        <f t="shared" si="34"/>
        <v>18476260</v>
      </c>
      <c r="I497" s="9">
        <f t="shared" si="34"/>
        <v>0</v>
      </c>
      <c r="J497" s="9">
        <f>G497+H497</f>
        <v>36349540</v>
      </c>
      <c r="K497" s="9" t="e">
        <f t="shared" si="34"/>
        <v>#REF!</v>
      </c>
      <c r="L497" s="9" t="e">
        <f t="shared" si="34"/>
        <v>#REF!</v>
      </c>
      <c r="M497" s="9" t="e">
        <f t="shared" si="34"/>
        <v>#REF!</v>
      </c>
      <c r="N497" s="9">
        <f t="shared" si="34"/>
        <v>7844100</v>
      </c>
      <c r="O497" s="9">
        <f t="shared" si="34"/>
        <v>0</v>
      </c>
      <c r="P497" s="9">
        <f>N497+O497</f>
        <v>7844100</v>
      </c>
    </row>
    <row r="498" spans="1:131" s="37" customFormat="1" ht="12.75" hidden="1">
      <c r="A498" s="159" t="s">
        <v>557</v>
      </c>
      <c r="B498" s="159"/>
      <c r="C498" s="159"/>
      <c r="D498" s="169">
        <f>D655</f>
        <v>318730</v>
      </c>
      <c r="E498" s="169">
        <f>E655</f>
        <v>636370</v>
      </c>
      <c r="F498" s="169">
        <f aca="true" t="shared" si="35" ref="F498:P498">F655</f>
        <v>955100</v>
      </c>
      <c r="G498" s="169">
        <f t="shared" si="35"/>
        <v>328452</v>
      </c>
      <c r="H498" s="169">
        <f t="shared" si="35"/>
        <v>676380</v>
      </c>
      <c r="I498" s="169">
        <f t="shared" si="35"/>
        <v>0</v>
      </c>
      <c r="J498" s="169">
        <f t="shared" si="35"/>
        <v>1004832</v>
      </c>
      <c r="K498" s="169" t="e">
        <f t="shared" si="35"/>
        <v>#REF!</v>
      </c>
      <c r="L498" s="169" t="e">
        <f t="shared" si="35"/>
        <v>#REF!</v>
      </c>
      <c r="M498" s="169" t="e">
        <f t="shared" si="35"/>
        <v>#REF!</v>
      </c>
      <c r="N498" s="169">
        <f t="shared" si="35"/>
        <v>344360</v>
      </c>
      <c r="O498" s="169">
        <f t="shared" si="35"/>
        <v>733240</v>
      </c>
      <c r="P498" s="169">
        <f t="shared" si="35"/>
        <v>1077600</v>
      </c>
      <c r="Q498" s="36"/>
      <c r="R498" s="274"/>
      <c r="S498" s="274"/>
      <c r="T498" s="274"/>
      <c r="U498" s="274"/>
      <c r="V498" s="274"/>
      <c r="W498" s="274"/>
      <c r="X498" s="274"/>
      <c r="Y498" s="274"/>
      <c r="Z498" s="274"/>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c r="DL498" s="36"/>
      <c r="DM498" s="36"/>
      <c r="DN498" s="36"/>
      <c r="DO498" s="36"/>
      <c r="DP498" s="36"/>
      <c r="DQ498" s="36"/>
      <c r="DR498" s="36"/>
      <c r="DS498" s="36"/>
      <c r="DT498" s="36"/>
      <c r="DU498" s="36"/>
      <c r="DV498" s="36"/>
      <c r="DW498" s="36"/>
      <c r="DX498" s="36"/>
      <c r="DY498" s="36"/>
      <c r="DZ498" s="36"/>
      <c r="EA498" s="36"/>
    </row>
    <row r="499" spans="1:16" ht="41.25" customHeight="1" hidden="1">
      <c r="A499" s="135" t="s">
        <v>389</v>
      </c>
      <c r="B499" s="165"/>
      <c r="C499" s="165"/>
      <c r="D499" s="164"/>
      <c r="E499" s="164"/>
      <c r="F499" s="164"/>
      <c r="G499" s="164"/>
      <c r="H499" s="164"/>
      <c r="I499" s="164"/>
      <c r="J499" s="164"/>
      <c r="K499" s="132"/>
      <c r="L499" s="164"/>
      <c r="M499" s="164"/>
      <c r="N499" s="164"/>
      <c r="O499" s="164"/>
      <c r="P499" s="164"/>
    </row>
    <row r="500" spans="1:131" s="71" customFormat="1" ht="45" customHeight="1" hidden="1">
      <c r="A500" s="68" t="s">
        <v>44</v>
      </c>
      <c r="B500" s="69"/>
      <c r="C500" s="69"/>
      <c r="D500" s="67">
        <f>D502</f>
        <v>2964000</v>
      </c>
      <c r="E500" s="67">
        <f>E502</f>
        <v>0</v>
      </c>
      <c r="F500" s="67">
        <f>D500+E500</f>
        <v>2964000</v>
      </c>
      <c r="G500" s="67">
        <f>G502</f>
        <v>5167700</v>
      </c>
      <c r="H500" s="67"/>
      <c r="I500" s="67"/>
      <c r="J500" s="67">
        <f>J502</f>
        <v>5167700</v>
      </c>
      <c r="K500" s="67"/>
      <c r="L500" s="67"/>
      <c r="M500" s="67"/>
      <c r="N500" s="67">
        <f>N502</f>
        <v>5377100</v>
      </c>
      <c r="O500" s="67"/>
      <c r="P500" s="67">
        <f>N500</f>
        <v>5377100</v>
      </c>
      <c r="Q500" s="70"/>
      <c r="R500" s="358"/>
      <c r="S500" s="358"/>
      <c r="T500" s="358"/>
      <c r="U500" s="358"/>
      <c r="V500" s="358"/>
      <c r="W500" s="358"/>
      <c r="X500" s="358"/>
      <c r="Y500" s="358"/>
      <c r="Z500" s="358"/>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c r="BV500" s="70"/>
      <c r="BW500" s="70"/>
      <c r="BX500" s="70"/>
      <c r="BY500" s="70"/>
      <c r="BZ500" s="70"/>
      <c r="CA500" s="70"/>
      <c r="CB500" s="70"/>
      <c r="CC500" s="70"/>
      <c r="CD500" s="70"/>
      <c r="CE500" s="70"/>
      <c r="CF500" s="70"/>
      <c r="CG500" s="70"/>
      <c r="CH500" s="70"/>
      <c r="CI500" s="70"/>
      <c r="CJ500" s="70"/>
      <c r="CK500" s="70"/>
      <c r="CL500" s="70"/>
      <c r="CM500" s="70"/>
      <c r="CN500" s="70"/>
      <c r="CO500" s="70"/>
      <c r="CP500" s="70"/>
      <c r="CQ500" s="70"/>
      <c r="CR500" s="70"/>
      <c r="CS500" s="70"/>
      <c r="CT500" s="70"/>
      <c r="CU500" s="70"/>
      <c r="CV500" s="70"/>
      <c r="CW500" s="70"/>
      <c r="CX500" s="70"/>
      <c r="CY500" s="70"/>
      <c r="CZ500" s="70"/>
      <c r="DA500" s="70"/>
      <c r="DB500" s="70"/>
      <c r="DC500" s="70"/>
      <c r="DD500" s="70"/>
      <c r="DE500" s="70"/>
      <c r="DF500" s="70"/>
      <c r="DG500" s="70"/>
      <c r="DH500" s="70"/>
      <c r="DI500" s="70"/>
      <c r="DJ500" s="70"/>
      <c r="DK500" s="70"/>
      <c r="DL500" s="70"/>
      <c r="DM500" s="70"/>
      <c r="DN500" s="70"/>
      <c r="DO500" s="70"/>
      <c r="DP500" s="70"/>
      <c r="DQ500" s="70"/>
      <c r="DR500" s="70"/>
      <c r="DS500" s="70"/>
      <c r="DT500" s="70"/>
      <c r="DU500" s="70"/>
      <c r="DV500" s="70"/>
      <c r="DW500" s="70"/>
      <c r="DX500" s="70"/>
      <c r="DY500" s="70"/>
      <c r="DZ500" s="70"/>
      <c r="EA500" s="70"/>
    </row>
    <row r="501" spans="1:16" ht="13.5" hidden="1">
      <c r="A501" s="134" t="s">
        <v>202</v>
      </c>
      <c r="B501" s="8"/>
      <c r="C501" s="8"/>
      <c r="D501" s="9"/>
      <c r="E501" s="9"/>
      <c r="F501" s="161"/>
      <c r="G501" s="9"/>
      <c r="H501" s="9"/>
      <c r="I501" s="9"/>
      <c r="J501" s="9"/>
      <c r="K501" s="132"/>
      <c r="L501" s="9"/>
      <c r="M501" s="9"/>
      <c r="N501" s="9"/>
      <c r="O501" s="9"/>
      <c r="P501" s="9"/>
    </row>
    <row r="502" spans="1:16" ht="23.25" customHeight="1" hidden="1">
      <c r="A502" s="135" t="s">
        <v>308</v>
      </c>
      <c r="B502" s="165"/>
      <c r="C502" s="165"/>
      <c r="D502" s="132">
        <f>3835300+850000-1649300-72000</f>
        <v>2964000</v>
      </c>
      <c r="E502" s="132">
        <f>1330000-1330000</f>
        <v>0</v>
      </c>
      <c r="F502" s="169">
        <f>D502+E502</f>
        <v>2964000</v>
      </c>
      <c r="G502" s="132">
        <f>4167700+1000000</f>
        <v>5167700</v>
      </c>
      <c r="H502" s="132"/>
      <c r="I502" s="132"/>
      <c r="J502" s="132">
        <f>G502</f>
        <v>5167700</v>
      </c>
      <c r="K502" s="132">
        <f>G502/D502*100</f>
        <v>174.34885290148446</v>
      </c>
      <c r="L502" s="132"/>
      <c r="M502" s="132"/>
      <c r="N502" s="132">
        <f>4377100+1000000</f>
        <v>5377100</v>
      </c>
      <c r="O502" s="132"/>
      <c r="P502" s="132">
        <f>N502</f>
        <v>5377100</v>
      </c>
    </row>
    <row r="503" spans="1:16" ht="12.75" hidden="1">
      <c r="A503" s="134" t="s">
        <v>185</v>
      </c>
      <c r="B503" s="8"/>
      <c r="C503" s="8"/>
      <c r="D503" s="9"/>
      <c r="E503" s="9"/>
      <c r="F503" s="162"/>
      <c r="G503" s="9"/>
      <c r="H503" s="9"/>
      <c r="I503" s="9"/>
      <c r="J503" s="132"/>
      <c r="K503" s="132"/>
      <c r="L503" s="9"/>
      <c r="M503" s="9"/>
      <c r="N503" s="9"/>
      <c r="O503" s="9"/>
      <c r="P503" s="132"/>
    </row>
    <row r="504" spans="1:16" ht="12.75" hidden="1">
      <c r="A504" s="135" t="s">
        <v>569</v>
      </c>
      <c r="B504" s="165"/>
      <c r="C504" s="165"/>
      <c r="D504" s="170">
        <v>12</v>
      </c>
      <c r="E504" s="167">
        <v>0</v>
      </c>
      <c r="F504" s="170">
        <f>D504+E504</f>
        <v>12</v>
      </c>
      <c r="G504" s="167">
        <v>10</v>
      </c>
      <c r="H504" s="167"/>
      <c r="I504" s="167"/>
      <c r="J504" s="167">
        <f>G504</f>
        <v>10</v>
      </c>
      <c r="K504" s="167">
        <f>G504/D504*100</f>
        <v>83.33333333333334</v>
      </c>
      <c r="L504" s="167"/>
      <c r="M504" s="167"/>
      <c r="N504" s="167">
        <v>10</v>
      </c>
      <c r="O504" s="167"/>
      <c r="P504" s="167">
        <f>N504</f>
        <v>10</v>
      </c>
    </row>
    <row r="505" spans="1:16" ht="12.75" hidden="1">
      <c r="A505" s="134" t="s">
        <v>187</v>
      </c>
      <c r="B505" s="8"/>
      <c r="C505" s="8"/>
      <c r="D505" s="9"/>
      <c r="E505" s="9"/>
      <c r="F505" s="162"/>
      <c r="G505" s="9"/>
      <c r="H505" s="9"/>
      <c r="I505" s="9"/>
      <c r="J505" s="132"/>
      <c r="K505" s="132"/>
      <c r="L505" s="9"/>
      <c r="M505" s="9"/>
      <c r="N505" s="9"/>
      <c r="O505" s="9"/>
      <c r="P505" s="132"/>
    </row>
    <row r="506" spans="1:16" ht="20.25" customHeight="1" hidden="1">
      <c r="A506" s="185" t="s">
        <v>309</v>
      </c>
      <c r="B506" s="131"/>
      <c r="C506" s="131"/>
      <c r="D506" s="186">
        <f>D502/D504</f>
        <v>247000</v>
      </c>
      <c r="E506" s="186">
        <v>0</v>
      </c>
      <c r="F506" s="316">
        <f>D506+E506</f>
        <v>247000</v>
      </c>
      <c r="G506" s="186">
        <f>G502/G504</f>
        <v>516770</v>
      </c>
      <c r="H506" s="186"/>
      <c r="I506" s="186"/>
      <c r="J506" s="186">
        <f>G506</f>
        <v>516770</v>
      </c>
      <c r="K506" s="186">
        <f>G506/D506*100</f>
        <v>209.2186234817814</v>
      </c>
      <c r="L506" s="186"/>
      <c r="M506" s="186"/>
      <c r="N506" s="186">
        <f>N502/N504</f>
        <v>537710</v>
      </c>
      <c r="O506" s="186"/>
      <c r="P506" s="186">
        <f>N506</f>
        <v>537710</v>
      </c>
    </row>
    <row r="507" spans="1:131" s="78" customFormat="1" ht="33.75" customHeight="1" hidden="1">
      <c r="A507" s="68" t="s">
        <v>110</v>
      </c>
      <c r="B507" s="69"/>
      <c r="C507" s="69"/>
      <c r="D507" s="67">
        <f>D508+D515+D522+D529+D534+D541+D548+D555+D562+D569+D576+D583+D590+D597+D604+D613+D620+D634</f>
        <v>3506414</v>
      </c>
      <c r="E507" s="67">
        <f>E508+E515+E522+E529+E534+E541+E548+E555+E562+E569+E576+E583+E590+E597+E604+E613+E620+E634</f>
        <v>1780000</v>
      </c>
      <c r="F507" s="67">
        <f>F508+F515+F522+F529+F534+F541+F548+F555+F562+F569+F576+F583+F590+F597+F604+F613+F620+F634</f>
        <v>5286414</v>
      </c>
      <c r="G507" s="67">
        <f>G508+G515+G522+G529+G534+G541+G548+G555+G562+G569+G576+G583+G590+G597+G604+G613+G620+G627+G634+G641+G648</f>
        <v>12705580</v>
      </c>
      <c r="H507" s="67">
        <f>H508+H515+H522+H529+H534+H541+H548+H555+H562+H569+H576+H583+H590+H597+H604+H613+H620+H627+H634+H641+H648</f>
        <v>18476260</v>
      </c>
      <c r="I507" s="67">
        <f>I508+I515+I522+I529+I534+I541+I548+I555+I562+I569+I576+I583+I590+I597+I604+I613+I620+I627+I634+I641+I648</f>
        <v>0</v>
      </c>
      <c r="J507" s="67">
        <f>J508+J515+J522+J529+J534+J541+J548+J555+J562+J569+J576+J583+J590+J597+J604+J613+J620+J627+J634+J641+J648</f>
        <v>31181840</v>
      </c>
      <c r="K507" s="67" t="e">
        <f>K508+K515+K522+K529+K534+K541+K548+#REF!+K555+K562+#REF!+K569+K576+K583+K590+K597+K604+K613+K620+K634</f>
        <v>#REF!</v>
      </c>
      <c r="L507" s="67" t="e">
        <f>L508+L515+L522+L529+L534+L541+L548+#REF!+L555+L562+#REF!+L569+L576+L583+L590+L597+L604+L613+L620+L634</f>
        <v>#REF!</v>
      </c>
      <c r="M507" s="67" t="e">
        <f>M508+M515+M522+M529+M534+M541+M548+#REF!+M555+M562+#REF!+M569+M576+M583+M590+M597+M604+M613+M620+M634</f>
        <v>#REF!</v>
      </c>
      <c r="N507" s="67">
        <f>N508+N515+N522+N529+N534+N541+N548+N555+N562+N569+N576+N583+N590+N597+N604+N613+N620+N634</f>
        <v>2467000</v>
      </c>
      <c r="O507" s="67">
        <f>O508+O515+O522+O529+O534+O541+O548+O555+O562+O569+O576+O583+O590+O597+O604+O613+O620+O634</f>
        <v>0</v>
      </c>
      <c r="P507" s="67">
        <f>P508+P515+P522+P529+P534+P541+P548+P555+P562+P569+P576+P583+P590+P597+P604+P613+P620+P634</f>
        <v>2467000</v>
      </c>
      <c r="Q507" s="67" t="e">
        <f>Q508+Q515+Q522+Q529+Q534+Q541+Q548+#REF!+Q555+Q562+#REF!+Q569+Q576+Q583+#REF!+#REF!+Q590+Q597</f>
        <v>#REF!</v>
      </c>
      <c r="R507" s="361"/>
      <c r="S507" s="361"/>
      <c r="T507" s="361"/>
      <c r="U507" s="361"/>
      <c r="V507" s="361"/>
      <c r="W507" s="361"/>
      <c r="X507" s="361"/>
      <c r="Y507" s="361"/>
      <c r="Z507" s="361"/>
      <c r="AA507" s="77"/>
      <c r="AB507" s="77"/>
      <c r="AC507" s="77"/>
      <c r="AD507" s="77"/>
      <c r="AE507" s="77"/>
      <c r="AF507" s="77"/>
      <c r="AG507" s="77"/>
      <c r="AH507" s="77"/>
      <c r="AI507" s="77"/>
      <c r="AJ507" s="77"/>
      <c r="AK507" s="77"/>
      <c r="AL507" s="77"/>
      <c r="AM507" s="77"/>
      <c r="AN507" s="77"/>
      <c r="AO507" s="77"/>
      <c r="AP507" s="77"/>
      <c r="AQ507" s="77"/>
      <c r="AR507" s="77"/>
      <c r="AS507" s="77"/>
      <c r="AT507" s="77"/>
      <c r="AU507" s="77"/>
      <c r="AV507" s="77"/>
      <c r="AW507" s="77"/>
      <c r="AX507" s="77"/>
      <c r="AY507" s="77"/>
      <c r="AZ507" s="77"/>
      <c r="BA507" s="77"/>
      <c r="BB507" s="77"/>
      <c r="BC507" s="77"/>
      <c r="BD507" s="77"/>
      <c r="BE507" s="77"/>
      <c r="BF507" s="77"/>
      <c r="BG507" s="77"/>
      <c r="BH507" s="77"/>
      <c r="BI507" s="77"/>
      <c r="BJ507" s="77"/>
      <c r="BK507" s="77"/>
      <c r="BL507" s="77"/>
      <c r="BM507" s="77"/>
      <c r="BN507" s="77"/>
      <c r="BO507" s="77"/>
      <c r="BP507" s="77"/>
      <c r="BQ507" s="77"/>
      <c r="BR507" s="77"/>
      <c r="BS507" s="77"/>
      <c r="BT507" s="77"/>
      <c r="BU507" s="77"/>
      <c r="BV507" s="77"/>
      <c r="BW507" s="77"/>
      <c r="BX507" s="77"/>
      <c r="BY507" s="77"/>
      <c r="BZ507" s="77"/>
      <c r="CA507" s="77"/>
      <c r="CB507" s="77"/>
      <c r="CC507" s="77"/>
      <c r="CD507" s="77"/>
      <c r="CE507" s="77"/>
      <c r="CF507" s="77"/>
      <c r="CG507" s="77"/>
      <c r="CH507" s="77"/>
      <c r="CI507" s="77"/>
      <c r="CJ507" s="77"/>
      <c r="CK507" s="77"/>
      <c r="CL507" s="77"/>
      <c r="CM507" s="77"/>
      <c r="CN507" s="77"/>
      <c r="CO507" s="77"/>
      <c r="CP507" s="77"/>
      <c r="CQ507" s="77"/>
      <c r="CR507" s="77"/>
      <c r="CS507" s="77"/>
      <c r="CT507" s="77"/>
      <c r="CU507" s="77"/>
      <c r="CV507" s="77"/>
      <c r="CW507" s="77"/>
      <c r="CX507" s="77"/>
      <c r="CY507" s="77"/>
      <c r="CZ507" s="77"/>
      <c r="DA507" s="77"/>
      <c r="DB507" s="77"/>
      <c r="DC507" s="77"/>
      <c r="DD507" s="77"/>
      <c r="DE507" s="77"/>
      <c r="DF507" s="77"/>
      <c r="DG507" s="77"/>
      <c r="DH507" s="77"/>
      <c r="DI507" s="77"/>
      <c r="DJ507" s="77"/>
      <c r="DK507" s="77"/>
      <c r="DL507" s="77"/>
      <c r="DM507" s="77"/>
      <c r="DN507" s="77"/>
      <c r="DO507" s="77"/>
      <c r="DP507" s="77"/>
      <c r="DQ507" s="77"/>
      <c r="DR507" s="77"/>
      <c r="DS507" s="77"/>
      <c r="DT507" s="77"/>
      <c r="DU507" s="77"/>
      <c r="DV507" s="77"/>
      <c r="DW507" s="77"/>
      <c r="DX507" s="77"/>
      <c r="DY507" s="77"/>
      <c r="DZ507" s="77"/>
      <c r="EA507" s="77"/>
    </row>
    <row r="508" spans="1:131" s="11" customFormat="1" ht="30.75" customHeight="1" hidden="1">
      <c r="A508" s="133" t="s">
        <v>167</v>
      </c>
      <c r="B508" s="137"/>
      <c r="C508" s="137"/>
      <c r="D508" s="187">
        <f>D510</f>
        <v>40000</v>
      </c>
      <c r="E508" s="187"/>
      <c r="F508" s="187">
        <f>D508</f>
        <v>40000</v>
      </c>
      <c r="G508" s="187">
        <f>G510</f>
        <v>136600</v>
      </c>
      <c r="H508" s="187"/>
      <c r="I508" s="187"/>
      <c r="J508" s="187">
        <f>G508</f>
        <v>136600</v>
      </c>
      <c r="K508" s="187"/>
      <c r="L508" s="187"/>
      <c r="M508" s="187"/>
      <c r="N508" s="187">
        <f>N510</f>
        <v>150000</v>
      </c>
      <c r="O508" s="187"/>
      <c r="P508" s="187">
        <f>N508</f>
        <v>150000</v>
      </c>
      <c r="Q508" s="10"/>
      <c r="R508" s="357"/>
      <c r="S508" s="357"/>
      <c r="T508" s="357"/>
      <c r="U508" s="357"/>
      <c r="V508" s="357"/>
      <c r="W508" s="357"/>
      <c r="X508" s="357"/>
      <c r="Y508" s="357"/>
      <c r="Z508" s="357"/>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c r="DQ508" s="10"/>
      <c r="DR508" s="10"/>
      <c r="DS508" s="10"/>
      <c r="DT508" s="10"/>
      <c r="DU508" s="10"/>
      <c r="DV508" s="10"/>
      <c r="DW508" s="10"/>
      <c r="DX508" s="10"/>
      <c r="DY508" s="10"/>
      <c r="DZ508" s="10"/>
      <c r="EA508" s="10"/>
    </row>
    <row r="509" spans="1:16" ht="12.75" hidden="1">
      <c r="A509" s="134" t="s">
        <v>184</v>
      </c>
      <c r="B509" s="188"/>
      <c r="C509" s="188"/>
      <c r="D509" s="189"/>
      <c r="E509" s="189"/>
      <c r="F509" s="189"/>
      <c r="G509" s="189"/>
      <c r="H509" s="189"/>
      <c r="I509" s="189"/>
      <c r="J509" s="189"/>
      <c r="K509" s="190"/>
      <c r="L509" s="190"/>
      <c r="M509" s="190"/>
      <c r="N509" s="189"/>
      <c r="O509" s="189"/>
      <c r="P509" s="189"/>
    </row>
    <row r="510" spans="1:16" ht="12.75" hidden="1">
      <c r="A510" s="135" t="s">
        <v>205</v>
      </c>
      <c r="B510" s="188"/>
      <c r="C510" s="188"/>
      <c r="D510" s="190">
        <f>102200-62200</f>
        <v>40000</v>
      </c>
      <c r="E510" s="190"/>
      <c r="F510" s="190">
        <f>D510</f>
        <v>40000</v>
      </c>
      <c r="G510" s="189">
        <f>137300-700</f>
        <v>136600</v>
      </c>
      <c r="H510" s="189"/>
      <c r="I510" s="189"/>
      <c r="J510" s="189">
        <f>G510</f>
        <v>136600</v>
      </c>
      <c r="K510" s="190"/>
      <c r="L510" s="190"/>
      <c r="M510" s="190"/>
      <c r="N510" s="189">
        <v>150000</v>
      </c>
      <c r="O510" s="189"/>
      <c r="P510" s="189">
        <f>N510</f>
        <v>150000</v>
      </c>
    </row>
    <row r="511" spans="1:16" ht="12.75" hidden="1">
      <c r="A511" s="134" t="s">
        <v>185</v>
      </c>
      <c r="B511" s="188"/>
      <c r="C511" s="188"/>
      <c r="D511" s="190"/>
      <c r="E511" s="190"/>
      <c r="F511" s="190"/>
      <c r="G511" s="189"/>
      <c r="H511" s="189"/>
      <c r="I511" s="189"/>
      <c r="J511" s="189"/>
      <c r="K511" s="190"/>
      <c r="L511" s="190"/>
      <c r="M511" s="190"/>
      <c r="N511" s="189"/>
      <c r="O511" s="189"/>
      <c r="P511" s="189"/>
    </row>
    <row r="512" spans="1:16" ht="12.75" hidden="1">
      <c r="A512" s="135" t="s">
        <v>331</v>
      </c>
      <c r="B512" s="188"/>
      <c r="C512" s="188"/>
      <c r="D512" s="190">
        <v>53</v>
      </c>
      <c r="E512" s="190"/>
      <c r="F512" s="190">
        <f>D512</f>
        <v>53</v>
      </c>
      <c r="G512" s="191">
        <v>180</v>
      </c>
      <c r="H512" s="189"/>
      <c r="I512" s="189"/>
      <c r="J512" s="191">
        <f>G512</f>
        <v>180</v>
      </c>
      <c r="K512" s="190"/>
      <c r="L512" s="190"/>
      <c r="M512" s="190"/>
      <c r="N512" s="191">
        <v>190</v>
      </c>
      <c r="O512" s="191"/>
      <c r="P512" s="191">
        <f>N512</f>
        <v>190</v>
      </c>
    </row>
    <row r="513" spans="1:16" ht="12.75" hidden="1">
      <c r="A513" s="134" t="s">
        <v>187</v>
      </c>
      <c r="B513" s="188"/>
      <c r="C513" s="188"/>
      <c r="D513" s="190"/>
      <c r="E513" s="190"/>
      <c r="F513" s="190"/>
      <c r="G513" s="189"/>
      <c r="H513" s="189"/>
      <c r="I513" s="189"/>
      <c r="J513" s="189"/>
      <c r="K513" s="190"/>
      <c r="L513" s="190"/>
      <c r="M513" s="190"/>
      <c r="N513" s="189"/>
      <c r="O513" s="189"/>
      <c r="P513" s="189"/>
    </row>
    <row r="514" spans="1:16" ht="12.75" hidden="1">
      <c r="A514" s="135" t="s">
        <v>321</v>
      </c>
      <c r="B514" s="188"/>
      <c r="C514" s="188"/>
      <c r="D514" s="190">
        <f>D510/D512</f>
        <v>754.7169811320755</v>
      </c>
      <c r="E514" s="190"/>
      <c r="F514" s="190">
        <f>D514</f>
        <v>754.7169811320755</v>
      </c>
      <c r="G514" s="189">
        <f>G510/G512</f>
        <v>758.8888888888889</v>
      </c>
      <c r="H514" s="189"/>
      <c r="I514" s="189"/>
      <c r="J514" s="189">
        <f>G514</f>
        <v>758.8888888888889</v>
      </c>
      <c r="K514" s="190"/>
      <c r="L514" s="190"/>
      <c r="M514" s="190"/>
      <c r="N514" s="189">
        <f>N510/N512</f>
        <v>789.4736842105264</v>
      </c>
      <c r="O514" s="189"/>
      <c r="P514" s="189">
        <f>N514</f>
        <v>789.4736842105264</v>
      </c>
    </row>
    <row r="515" spans="1:131" s="12" customFormat="1" ht="32.25" customHeight="1" hidden="1">
      <c r="A515" s="192" t="s">
        <v>63</v>
      </c>
      <c r="B515" s="149"/>
      <c r="C515" s="149"/>
      <c r="D515" s="187">
        <f>4000+700</f>
        <v>4700</v>
      </c>
      <c r="E515" s="187"/>
      <c r="F515" s="187">
        <f>D515</f>
        <v>4700</v>
      </c>
      <c r="G515" s="187">
        <f>4000+700+2730</f>
        <v>7430</v>
      </c>
      <c r="H515" s="187"/>
      <c r="I515" s="187"/>
      <c r="J515" s="187">
        <f>G515</f>
        <v>7430</v>
      </c>
      <c r="K515" s="193"/>
      <c r="L515" s="193"/>
      <c r="M515" s="193"/>
      <c r="N515" s="187">
        <v>4000</v>
      </c>
      <c r="O515" s="187"/>
      <c r="P515" s="187">
        <f>N515</f>
        <v>4000</v>
      </c>
      <c r="Q515" s="79"/>
      <c r="R515" s="362"/>
      <c r="S515" s="362"/>
      <c r="T515" s="362"/>
      <c r="U515" s="362"/>
      <c r="V515" s="362"/>
      <c r="W515" s="362"/>
      <c r="X515" s="362"/>
      <c r="Y515" s="362"/>
      <c r="Z515" s="362"/>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c r="BX515" s="79"/>
      <c r="BY515" s="79"/>
      <c r="BZ515" s="79"/>
      <c r="CA515" s="79"/>
      <c r="CB515" s="79"/>
      <c r="CC515" s="79"/>
      <c r="CD515" s="79"/>
      <c r="CE515" s="79"/>
      <c r="CF515" s="79"/>
      <c r="CG515" s="79"/>
      <c r="CH515" s="79"/>
      <c r="CI515" s="79"/>
      <c r="CJ515" s="79"/>
      <c r="CK515" s="79"/>
      <c r="CL515" s="79"/>
      <c r="CM515" s="79"/>
      <c r="CN515" s="79"/>
      <c r="CO515" s="79"/>
      <c r="CP515" s="79"/>
      <c r="CQ515" s="79"/>
      <c r="CR515" s="79"/>
      <c r="CS515" s="79"/>
      <c r="CT515" s="79"/>
      <c r="CU515" s="79"/>
      <c r="CV515" s="79"/>
      <c r="CW515" s="79"/>
      <c r="CX515" s="79"/>
      <c r="CY515" s="79"/>
      <c r="CZ515" s="79"/>
      <c r="DA515" s="79"/>
      <c r="DB515" s="79"/>
      <c r="DC515" s="79"/>
      <c r="DD515" s="79"/>
      <c r="DE515" s="79"/>
      <c r="DF515" s="79"/>
      <c r="DG515" s="79"/>
      <c r="DH515" s="79"/>
      <c r="DI515" s="79"/>
      <c r="DJ515" s="79"/>
      <c r="DK515" s="79"/>
      <c r="DL515" s="79"/>
      <c r="DM515" s="79"/>
      <c r="DN515" s="79"/>
      <c r="DO515" s="79"/>
      <c r="DP515" s="79"/>
      <c r="DQ515" s="79"/>
      <c r="DR515" s="79"/>
      <c r="DS515" s="79"/>
      <c r="DT515" s="79"/>
      <c r="DU515" s="79"/>
      <c r="DV515" s="79"/>
      <c r="DW515" s="79"/>
      <c r="DX515" s="79"/>
      <c r="DY515" s="79"/>
      <c r="DZ515" s="79"/>
      <c r="EA515" s="79"/>
    </row>
    <row r="516" spans="1:131" s="58" customFormat="1" ht="13.5" hidden="1">
      <c r="A516" s="140" t="s">
        <v>184</v>
      </c>
      <c r="B516" s="194"/>
      <c r="C516" s="194"/>
      <c r="D516" s="195"/>
      <c r="E516" s="195"/>
      <c r="F516" s="195"/>
      <c r="G516" s="195"/>
      <c r="H516" s="195"/>
      <c r="I516" s="195"/>
      <c r="J516" s="195"/>
      <c r="K516" s="196"/>
      <c r="L516" s="196"/>
      <c r="M516" s="196"/>
      <c r="N516" s="195"/>
      <c r="O516" s="195"/>
      <c r="P516" s="195"/>
      <c r="Q516" s="57"/>
      <c r="R516" s="362"/>
      <c r="S516" s="362"/>
      <c r="T516" s="362"/>
      <c r="U516" s="362"/>
      <c r="V516" s="362"/>
      <c r="W516" s="362"/>
      <c r="X516" s="362"/>
      <c r="Y516" s="362"/>
      <c r="Z516" s="362"/>
      <c r="AA516" s="57"/>
      <c r="AB516" s="57"/>
      <c r="AC516" s="57"/>
      <c r="AD516" s="57"/>
      <c r="AE516" s="57"/>
      <c r="AF516" s="57"/>
      <c r="AG516" s="57"/>
      <c r="AH516" s="57"/>
      <c r="AI516" s="57"/>
      <c r="AJ516" s="57"/>
      <c r="AK516" s="57"/>
      <c r="AL516" s="57"/>
      <c r="AM516" s="57"/>
      <c r="AN516" s="57"/>
      <c r="AO516" s="57"/>
      <c r="AP516" s="57"/>
      <c r="AQ516" s="57"/>
      <c r="AR516" s="57"/>
      <c r="AS516" s="57"/>
      <c r="AT516" s="57"/>
      <c r="AU516" s="57"/>
      <c r="AV516" s="57"/>
      <c r="AW516" s="57"/>
      <c r="AX516" s="57"/>
      <c r="AY516" s="57"/>
      <c r="AZ516" s="57"/>
      <c r="BA516" s="57"/>
      <c r="BB516" s="57"/>
      <c r="BC516" s="57"/>
      <c r="BD516" s="57"/>
      <c r="BE516" s="57"/>
      <c r="BF516" s="57"/>
      <c r="BG516" s="57"/>
      <c r="BH516" s="57"/>
      <c r="BI516" s="57"/>
      <c r="BJ516" s="57"/>
      <c r="BK516" s="57"/>
      <c r="BL516" s="57"/>
      <c r="BM516" s="57"/>
      <c r="BN516" s="57"/>
      <c r="BO516" s="57"/>
      <c r="BP516" s="57"/>
      <c r="BQ516" s="57"/>
      <c r="BR516" s="57"/>
      <c r="BS516" s="57"/>
      <c r="BT516" s="57"/>
      <c r="BU516" s="57"/>
      <c r="BV516" s="57"/>
      <c r="BW516" s="57"/>
      <c r="BX516" s="57"/>
      <c r="BY516" s="57"/>
      <c r="BZ516" s="57"/>
      <c r="CA516" s="57"/>
      <c r="CB516" s="57"/>
      <c r="CC516" s="57"/>
      <c r="CD516" s="57"/>
      <c r="CE516" s="57"/>
      <c r="CF516" s="57"/>
      <c r="CG516" s="57"/>
      <c r="CH516" s="57"/>
      <c r="CI516" s="57"/>
      <c r="CJ516" s="57"/>
      <c r="CK516" s="57"/>
      <c r="CL516" s="57"/>
      <c r="CM516" s="57"/>
      <c r="CN516" s="57"/>
      <c r="CO516" s="57"/>
      <c r="CP516" s="57"/>
      <c r="CQ516" s="57"/>
      <c r="CR516" s="57"/>
      <c r="CS516" s="57"/>
      <c r="CT516" s="57"/>
      <c r="CU516" s="57"/>
      <c r="CV516" s="57"/>
      <c r="CW516" s="57"/>
      <c r="CX516" s="57"/>
      <c r="CY516" s="57"/>
      <c r="CZ516" s="57"/>
      <c r="DA516" s="57"/>
      <c r="DB516" s="57"/>
      <c r="DC516" s="57"/>
      <c r="DD516" s="57"/>
      <c r="DE516" s="57"/>
      <c r="DF516" s="57"/>
      <c r="DG516" s="57"/>
      <c r="DH516" s="57"/>
      <c r="DI516" s="57"/>
      <c r="DJ516" s="57"/>
      <c r="DK516" s="57"/>
      <c r="DL516" s="57"/>
      <c r="DM516" s="57"/>
      <c r="DN516" s="57"/>
      <c r="DO516" s="57"/>
      <c r="DP516" s="57"/>
      <c r="DQ516" s="57"/>
      <c r="DR516" s="57"/>
      <c r="DS516" s="57"/>
      <c r="DT516" s="57"/>
      <c r="DU516" s="57"/>
      <c r="DV516" s="57"/>
      <c r="DW516" s="57"/>
      <c r="DX516" s="57"/>
      <c r="DY516" s="57"/>
      <c r="DZ516" s="57"/>
      <c r="EA516" s="57"/>
    </row>
    <row r="517" spans="1:131" s="58" customFormat="1" ht="12.75" hidden="1">
      <c r="A517" s="139" t="s">
        <v>205</v>
      </c>
      <c r="B517" s="194"/>
      <c r="C517" s="194"/>
      <c r="D517" s="197">
        <f>D515</f>
        <v>4700</v>
      </c>
      <c r="E517" s="197"/>
      <c r="F517" s="197">
        <f>D517</f>
        <v>4700</v>
      </c>
      <c r="G517" s="197">
        <f>G515</f>
        <v>7430</v>
      </c>
      <c r="H517" s="197"/>
      <c r="I517" s="197"/>
      <c r="J517" s="197">
        <f>G517</f>
        <v>7430</v>
      </c>
      <c r="K517" s="197"/>
      <c r="L517" s="197"/>
      <c r="M517" s="197"/>
      <c r="N517" s="197">
        <f>N515</f>
        <v>4000</v>
      </c>
      <c r="O517" s="197"/>
      <c r="P517" s="197">
        <f>P515</f>
        <v>4000</v>
      </c>
      <c r="Q517" s="57"/>
      <c r="R517" s="362"/>
      <c r="S517" s="362"/>
      <c r="T517" s="362"/>
      <c r="U517" s="362"/>
      <c r="V517" s="362"/>
      <c r="W517" s="362"/>
      <c r="X517" s="362"/>
      <c r="Y517" s="362"/>
      <c r="Z517" s="362"/>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7"/>
      <c r="AZ517" s="57"/>
      <c r="BA517" s="57"/>
      <c r="BB517" s="57"/>
      <c r="BC517" s="57"/>
      <c r="BD517" s="57"/>
      <c r="BE517" s="57"/>
      <c r="BF517" s="57"/>
      <c r="BG517" s="57"/>
      <c r="BH517" s="57"/>
      <c r="BI517" s="57"/>
      <c r="BJ517" s="57"/>
      <c r="BK517" s="57"/>
      <c r="BL517" s="57"/>
      <c r="BM517" s="57"/>
      <c r="BN517" s="57"/>
      <c r="BO517" s="57"/>
      <c r="BP517" s="57"/>
      <c r="BQ517" s="57"/>
      <c r="BR517" s="57"/>
      <c r="BS517" s="57"/>
      <c r="BT517" s="57"/>
      <c r="BU517" s="57"/>
      <c r="BV517" s="57"/>
      <c r="BW517" s="57"/>
      <c r="BX517" s="57"/>
      <c r="BY517" s="57"/>
      <c r="BZ517" s="57"/>
      <c r="CA517" s="57"/>
      <c r="CB517" s="57"/>
      <c r="CC517" s="57"/>
      <c r="CD517" s="57"/>
      <c r="CE517" s="57"/>
      <c r="CF517" s="57"/>
      <c r="CG517" s="57"/>
      <c r="CH517" s="57"/>
      <c r="CI517" s="57"/>
      <c r="CJ517" s="57"/>
      <c r="CK517" s="57"/>
      <c r="CL517" s="57"/>
      <c r="CM517" s="57"/>
      <c r="CN517" s="57"/>
      <c r="CO517" s="57"/>
      <c r="CP517" s="57"/>
      <c r="CQ517" s="57"/>
      <c r="CR517" s="57"/>
      <c r="CS517" s="57"/>
      <c r="CT517" s="57"/>
      <c r="CU517" s="57"/>
      <c r="CV517" s="57"/>
      <c r="CW517" s="57"/>
      <c r="CX517" s="57"/>
      <c r="CY517" s="57"/>
      <c r="CZ517" s="57"/>
      <c r="DA517" s="57"/>
      <c r="DB517" s="57"/>
      <c r="DC517" s="57"/>
      <c r="DD517" s="57"/>
      <c r="DE517" s="57"/>
      <c r="DF517" s="57"/>
      <c r="DG517" s="57"/>
      <c r="DH517" s="57"/>
      <c r="DI517" s="57"/>
      <c r="DJ517" s="57"/>
      <c r="DK517" s="57"/>
      <c r="DL517" s="57"/>
      <c r="DM517" s="57"/>
      <c r="DN517" s="57"/>
      <c r="DO517" s="57"/>
      <c r="DP517" s="57"/>
      <c r="DQ517" s="57"/>
      <c r="DR517" s="57"/>
      <c r="DS517" s="57"/>
      <c r="DT517" s="57"/>
      <c r="DU517" s="57"/>
      <c r="DV517" s="57"/>
      <c r="DW517" s="57"/>
      <c r="DX517" s="57"/>
      <c r="DY517" s="57"/>
      <c r="DZ517" s="57"/>
      <c r="EA517" s="57"/>
    </row>
    <row r="518" spans="1:16" ht="12.75" hidden="1">
      <c r="A518" s="134" t="s">
        <v>185</v>
      </c>
      <c r="B518" s="188"/>
      <c r="C518" s="188"/>
      <c r="D518" s="189"/>
      <c r="E518" s="189"/>
      <c r="F518" s="189"/>
      <c r="G518" s="189"/>
      <c r="H518" s="189"/>
      <c r="I518" s="189"/>
      <c r="J518" s="189"/>
      <c r="K518" s="190"/>
      <c r="L518" s="190"/>
      <c r="M518" s="190"/>
      <c r="N518" s="189"/>
      <c r="O518" s="189"/>
      <c r="P518" s="189"/>
    </row>
    <row r="519" spans="1:16" ht="30" customHeight="1" hidden="1">
      <c r="A519" s="198" t="s">
        <v>151</v>
      </c>
      <c r="B519" s="188"/>
      <c r="C519" s="188"/>
      <c r="D519" s="191">
        <v>12</v>
      </c>
      <c r="E519" s="191"/>
      <c r="F519" s="191">
        <f>D519</f>
        <v>12</v>
      </c>
      <c r="G519" s="191">
        <v>12</v>
      </c>
      <c r="H519" s="191"/>
      <c r="I519" s="191"/>
      <c r="J519" s="191">
        <f>G519</f>
        <v>12</v>
      </c>
      <c r="K519" s="205"/>
      <c r="L519" s="205"/>
      <c r="M519" s="205"/>
      <c r="N519" s="191">
        <v>12</v>
      </c>
      <c r="O519" s="191"/>
      <c r="P519" s="191">
        <f>N519</f>
        <v>12</v>
      </c>
    </row>
    <row r="520" spans="1:16" ht="12.75" hidden="1">
      <c r="A520" s="149" t="s">
        <v>374</v>
      </c>
      <c r="B520" s="188"/>
      <c r="C520" s="188"/>
      <c r="D520" s="189"/>
      <c r="E520" s="189"/>
      <c r="F520" s="189"/>
      <c r="G520" s="189"/>
      <c r="H520" s="189"/>
      <c r="I520" s="189"/>
      <c r="J520" s="189"/>
      <c r="K520" s="190"/>
      <c r="L520" s="190"/>
      <c r="M520" s="190"/>
      <c r="N520" s="189"/>
      <c r="O520" s="189"/>
      <c r="P520" s="189"/>
    </row>
    <row r="521" spans="1:16" ht="12.75" hidden="1">
      <c r="A521" s="199" t="s">
        <v>532</v>
      </c>
      <c r="B521" s="188"/>
      <c r="C521" s="188"/>
      <c r="D521" s="189">
        <f>D515/D519</f>
        <v>391.6666666666667</v>
      </c>
      <c r="E521" s="189"/>
      <c r="F521" s="189">
        <f>D521</f>
        <v>391.6666666666667</v>
      </c>
      <c r="G521" s="189">
        <f>G515/G519</f>
        <v>619.1666666666666</v>
      </c>
      <c r="H521" s="189"/>
      <c r="I521" s="189"/>
      <c r="J521" s="189">
        <f>G521</f>
        <v>619.1666666666666</v>
      </c>
      <c r="K521" s="190"/>
      <c r="L521" s="190"/>
      <c r="M521" s="190"/>
      <c r="N521" s="189">
        <f>N515/N519</f>
        <v>333.3333333333333</v>
      </c>
      <c r="O521" s="189"/>
      <c r="P521" s="189">
        <f>N521</f>
        <v>333.3333333333333</v>
      </c>
    </row>
    <row r="522" spans="1:16" ht="27" customHeight="1" hidden="1">
      <c r="A522" s="137" t="s">
        <v>64</v>
      </c>
      <c r="B522" s="188"/>
      <c r="C522" s="188"/>
      <c r="D522" s="187">
        <f>101700-700</f>
        <v>101000</v>
      </c>
      <c r="E522" s="187"/>
      <c r="F522" s="187">
        <f>D522</f>
        <v>101000</v>
      </c>
      <c r="G522" s="187">
        <f>60000-2730</f>
        <v>57270</v>
      </c>
      <c r="H522" s="187"/>
      <c r="I522" s="187"/>
      <c r="J522" s="187">
        <f>G522</f>
        <v>57270</v>
      </c>
      <c r="K522" s="190"/>
      <c r="L522" s="190"/>
      <c r="M522" s="190"/>
      <c r="N522" s="187">
        <v>65000</v>
      </c>
      <c r="O522" s="189"/>
      <c r="P522" s="187">
        <f>N522+O522</f>
        <v>65000</v>
      </c>
    </row>
    <row r="523" spans="1:131" s="37" customFormat="1" ht="13.5" hidden="1">
      <c r="A523" s="134" t="s">
        <v>184</v>
      </c>
      <c r="B523" s="200"/>
      <c r="C523" s="200"/>
      <c r="D523" s="195"/>
      <c r="E523" s="195"/>
      <c r="F523" s="195"/>
      <c r="G523" s="195"/>
      <c r="H523" s="195"/>
      <c r="I523" s="195"/>
      <c r="J523" s="195"/>
      <c r="K523" s="197"/>
      <c r="L523" s="197"/>
      <c r="M523" s="197"/>
      <c r="N523" s="201"/>
      <c r="O523" s="201"/>
      <c r="P523" s="189"/>
      <c r="Q523" s="36"/>
      <c r="R523" s="274"/>
      <c r="S523" s="274"/>
      <c r="T523" s="274"/>
      <c r="U523" s="274"/>
      <c r="V523" s="274"/>
      <c r="W523" s="274"/>
      <c r="X523" s="274"/>
      <c r="Y523" s="274"/>
      <c r="Z523" s="274"/>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c r="DL523" s="36"/>
      <c r="DM523" s="36"/>
      <c r="DN523" s="36"/>
      <c r="DO523" s="36"/>
      <c r="DP523" s="36"/>
      <c r="DQ523" s="36"/>
      <c r="DR523" s="36"/>
      <c r="DS523" s="36"/>
      <c r="DT523" s="36"/>
      <c r="DU523" s="36"/>
      <c r="DV523" s="36"/>
      <c r="DW523" s="36"/>
      <c r="DX523" s="36"/>
      <c r="DY523" s="36"/>
      <c r="DZ523" s="36"/>
      <c r="EA523" s="36"/>
    </row>
    <row r="524" spans="1:131" s="37" customFormat="1" ht="12.75" hidden="1">
      <c r="A524" s="135" t="s">
        <v>205</v>
      </c>
      <c r="B524" s="200"/>
      <c r="C524" s="200"/>
      <c r="D524" s="197">
        <f>D522</f>
        <v>101000</v>
      </c>
      <c r="E524" s="197"/>
      <c r="F524" s="197">
        <f>D524</f>
        <v>101000</v>
      </c>
      <c r="G524" s="197">
        <f>G522</f>
        <v>57270</v>
      </c>
      <c r="H524" s="197"/>
      <c r="I524" s="197"/>
      <c r="J524" s="197">
        <f>G524</f>
        <v>57270</v>
      </c>
      <c r="K524" s="197"/>
      <c r="L524" s="197"/>
      <c r="M524" s="197"/>
      <c r="N524" s="201">
        <f>N522</f>
        <v>65000</v>
      </c>
      <c r="O524" s="201"/>
      <c r="P524" s="189">
        <f>N524+O524</f>
        <v>65000</v>
      </c>
      <c r="Q524" s="36"/>
      <c r="R524" s="274"/>
      <c r="S524" s="274"/>
      <c r="T524" s="274"/>
      <c r="U524" s="274"/>
      <c r="V524" s="274"/>
      <c r="W524" s="274"/>
      <c r="X524" s="274"/>
      <c r="Y524" s="274"/>
      <c r="Z524" s="274"/>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c r="DL524" s="36"/>
      <c r="DM524" s="36"/>
      <c r="DN524" s="36"/>
      <c r="DO524" s="36"/>
      <c r="DP524" s="36"/>
      <c r="DQ524" s="36"/>
      <c r="DR524" s="36"/>
      <c r="DS524" s="36"/>
      <c r="DT524" s="36"/>
      <c r="DU524" s="36"/>
      <c r="DV524" s="36"/>
      <c r="DW524" s="36"/>
      <c r="DX524" s="36"/>
      <c r="DY524" s="36"/>
      <c r="DZ524" s="36"/>
      <c r="EA524" s="36"/>
    </row>
    <row r="525" spans="1:16" ht="12.75" hidden="1">
      <c r="A525" s="134" t="s">
        <v>185</v>
      </c>
      <c r="B525" s="188"/>
      <c r="C525" s="188"/>
      <c r="D525" s="189"/>
      <c r="E525" s="189"/>
      <c r="F525" s="189"/>
      <c r="G525" s="189"/>
      <c r="H525" s="189"/>
      <c r="I525" s="189"/>
      <c r="J525" s="189"/>
      <c r="K525" s="190"/>
      <c r="L525" s="190"/>
      <c r="M525" s="190"/>
      <c r="N525" s="189"/>
      <c r="O525" s="189"/>
      <c r="P525" s="189"/>
    </row>
    <row r="526" spans="1:16" ht="20.25" customHeight="1" hidden="1">
      <c r="A526" s="135" t="s">
        <v>568</v>
      </c>
      <c r="B526" s="188"/>
      <c r="C526" s="188"/>
      <c r="D526" s="191">
        <v>9</v>
      </c>
      <c r="E526" s="191"/>
      <c r="F526" s="191">
        <f>D526</f>
        <v>9</v>
      </c>
      <c r="G526" s="191">
        <v>9</v>
      </c>
      <c r="H526" s="191"/>
      <c r="I526" s="191"/>
      <c r="J526" s="191">
        <f>G526</f>
        <v>9</v>
      </c>
      <c r="K526" s="205"/>
      <c r="L526" s="205"/>
      <c r="M526" s="205"/>
      <c r="N526" s="191">
        <v>9</v>
      </c>
      <c r="O526" s="191"/>
      <c r="P526" s="191">
        <f>N526+O526</f>
        <v>9</v>
      </c>
    </row>
    <row r="527" spans="1:16" ht="12.75" hidden="1">
      <c r="A527" s="149" t="s">
        <v>187</v>
      </c>
      <c r="B527" s="188"/>
      <c r="C527" s="188"/>
      <c r="D527" s="189"/>
      <c r="E527" s="189"/>
      <c r="F527" s="189"/>
      <c r="G527" s="189"/>
      <c r="H527" s="189"/>
      <c r="I527" s="189"/>
      <c r="J527" s="189"/>
      <c r="K527" s="190"/>
      <c r="L527" s="190"/>
      <c r="M527" s="190"/>
      <c r="N527" s="189"/>
      <c r="O527" s="189"/>
      <c r="P527" s="189"/>
    </row>
    <row r="528" spans="1:16" ht="15.75" customHeight="1" hidden="1">
      <c r="A528" s="188" t="s">
        <v>329</v>
      </c>
      <c r="B528" s="188"/>
      <c r="C528" s="188"/>
      <c r="D528" s="189">
        <f>D522/D526</f>
        <v>11222.222222222223</v>
      </c>
      <c r="E528" s="189"/>
      <c r="F528" s="189">
        <f>D528</f>
        <v>11222.222222222223</v>
      </c>
      <c r="G528" s="189">
        <f>G522/G526</f>
        <v>6363.333333333333</v>
      </c>
      <c r="H528" s="189"/>
      <c r="I528" s="189"/>
      <c r="J528" s="189">
        <f>G528</f>
        <v>6363.333333333333</v>
      </c>
      <c r="K528" s="190"/>
      <c r="L528" s="190"/>
      <c r="M528" s="190"/>
      <c r="N528" s="189">
        <f>N522/N526</f>
        <v>7222.222222222223</v>
      </c>
      <c r="O528" s="189"/>
      <c r="P528" s="189">
        <f>N528+O528</f>
        <v>7222.222222222223</v>
      </c>
    </row>
    <row r="529" spans="1:131" s="11" customFormat="1" ht="24.75" customHeight="1" hidden="1">
      <c r="A529" s="137" t="s">
        <v>65</v>
      </c>
      <c r="B529" s="137"/>
      <c r="C529" s="137"/>
      <c r="D529" s="187">
        <f>45000+15000</f>
        <v>60000</v>
      </c>
      <c r="E529" s="187"/>
      <c r="F529" s="187">
        <f>D529</f>
        <v>60000</v>
      </c>
      <c r="G529" s="187">
        <f>50000+10000</f>
        <v>60000</v>
      </c>
      <c r="H529" s="187"/>
      <c r="I529" s="187"/>
      <c r="J529" s="187">
        <f>G529</f>
        <v>60000</v>
      </c>
      <c r="K529" s="187"/>
      <c r="L529" s="187"/>
      <c r="M529" s="187"/>
      <c r="N529" s="187">
        <v>55000</v>
      </c>
      <c r="O529" s="187"/>
      <c r="P529" s="187">
        <f>N529</f>
        <v>55000</v>
      </c>
      <c r="Q529" s="10"/>
      <c r="R529" s="357"/>
      <c r="S529" s="357"/>
      <c r="T529" s="357"/>
      <c r="U529" s="357"/>
      <c r="V529" s="357"/>
      <c r="W529" s="357"/>
      <c r="X529" s="357"/>
      <c r="Y529" s="357"/>
      <c r="Z529" s="357"/>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c r="DQ529" s="10"/>
      <c r="DR529" s="10"/>
      <c r="DS529" s="10"/>
      <c r="DT529" s="10"/>
      <c r="DU529" s="10"/>
      <c r="DV529" s="10"/>
      <c r="DW529" s="10"/>
      <c r="DX529" s="10"/>
      <c r="DY529" s="10"/>
      <c r="DZ529" s="10"/>
      <c r="EA529" s="10"/>
    </row>
    <row r="530" spans="1:16" ht="12.75" customHeight="1" hidden="1">
      <c r="A530" s="149" t="s">
        <v>255</v>
      </c>
      <c r="B530" s="137"/>
      <c r="C530" s="137"/>
      <c r="D530" s="187"/>
      <c r="E530" s="187"/>
      <c r="F530" s="187"/>
      <c r="G530" s="187"/>
      <c r="H530" s="187"/>
      <c r="I530" s="187"/>
      <c r="J530" s="187"/>
      <c r="K530" s="190"/>
      <c r="L530" s="187"/>
      <c r="M530" s="187"/>
      <c r="N530" s="187"/>
      <c r="O530" s="187"/>
      <c r="P530" s="187"/>
    </row>
    <row r="531" spans="1:16" ht="24" customHeight="1" hidden="1">
      <c r="A531" s="135" t="s">
        <v>254</v>
      </c>
      <c r="B531" s="188"/>
      <c r="C531" s="188"/>
      <c r="D531" s="189">
        <v>1500</v>
      </c>
      <c r="E531" s="189"/>
      <c r="F531" s="189">
        <f>D531</f>
        <v>1500</v>
      </c>
      <c r="G531" s="189">
        <v>3350</v>
      </c>
      <c r="H531" s="189"/>
      <c r="I531" s="189"/>
      <c r="J531" s="189">
        <f>G531</f>
        <v>3350</v>
      </c>
      <c r="K531" s="190"/>
      <c r="L531" s="190"/>
      <c r="M531" s="190"/>
      <c r="N531" s="189">
        <v>3350</v>
      </c>
      <c r="O531" s="189"/>
      <c r="P531" s="189">
        <f>N531</f>
        <v>3350</v>
      </c>
    </row>
    <row r="532" spans="1:16" ht="12.75" hidden="1">
      <c r="A532" s="149" t="s">
        <v>422</v>
      </c>
      <c r="B532" s="188"/>
      <c r="C532" s="188"/>
      <c r="D532" s="189"/>
      <c r="E532" s="189"/>
      <c r="F532" s="189"/>
      <c r="G532" s="189"/>
      <c r="H532" s="189"/>
      <c r="I532" s="189"/>
      <c r="J532" s="189"/>
      <c r="K532" s="190"/>
      <c r="L532" s="190"/>
      <c r="M532" s="190"/>
      <c r="N532" s="189"/>
      <c r="O532" s="189"/>
      <c r="P532" s="189"/>
    </row>
    <row r="533" spans="1:131" s="37" customFormat="1" ht="17.25" customHeight="1" hidden="1">
      <c r="A533" s="202" t="s">
        <v>421</v>
      </c>
      <c r="B533" s="202"/>
      <c r="C533" s="202"/>
      <c r="D533" s="203">
        <f>D529/D531</f>
        <v>40</v>
      </c>
      <c r="E533" s="203"/>
      <c r="F533" s="203">
        <f>D533</f>
        <v>40</v>
      </c>
      <c r="G533" s="203">
        <f>G529/G531</f>
        <v>17.91044776119403</v>
      </c>
      <c r="H533" s="203"/>
      <c r="I533" s="203"/>
      <c r="J533" s="203">
        <f>G533</f>
        <v>17.91044776119403</v>
      </c>
      <c r="K533" s="204"/>
      <c r="L533" s="204"/>
      <c r="M533" s="204"/>
      <c r="N533" s="203">
        <f>N529/N531</f>
        <v>16.417910447761194</v>
      </c>
      <c r="O533" s="203"/>
      <c r="P533" s="203">
        <f>N533</f>
        <v>16.417910447761194</v>
      </c>
      <c r="Q533" s="36"/>
      <c r="R533" s="274"/>
      <c r="S533" s="274"/>
      <c r="T533" s="274"/>
      <c r="U533" s="274"/>
      <c r="V533" s="274"/>
      <c r="W533" s="274"/>
      <c r="X533" s="274"/>
      <c r="Y533" s="274"/>
      <c r="Z533" s="274"/>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row>
    <row r="534" spans="1:16" ht="24.75" customHeight="1" hidden="1">
      <c r="A534" s="133" t="s">
        <v>111</v>
      </c>
      <c r="B534" s="188"/>
      <c r="C534" s="188"/>
      <c r="D534" s="187">
        <f>D536</f>
        <v>406500</v>
      </c>
      <c r="E534" s="187"/>
      <c r="F534" s="187">
        <f>D534</f>
        <v>406500</v>
      </c>
      <c r="G534" s="187">
        <f>G536</f>
        <v>470000</v>
      </c>
      <c r="H534" s="187"/>
      <c r="I534" s="187"/>
      <c r="J534" s="187">
        <f>J536</f>
        <v>470000</v>
      </c>
      <c r="K534" s="193"/>
      <c r="L534" s="193"/>
      <c r="M534" s="193"/>
      <c r="N534" s="187">
        <f>N536</f>
        <v>265000</v>
      </c>
      <c r="O534" s="187"/>
      <c r="P534" s="187">
        <f>N534</f>
        <v>265000</v>
      </c>
    </row>
    <row r="535" spans="1:16" ht="12.75" hidden="1">
      <c r="A535" s="134" t="s">
        <v>184</v>
      </c>
      <c r="B535" s="188"/>
      <c r="C535" s="188"/>
      <c r="D535" s="189"/>
      <c r="E535" s="189"/>
      <c r="F535" s="189"/>
      <c r="G535" s="189"/>
      <c r="H535" s="189"/>
      <c r="I535" s="189"/>
      <c r="J535" s="189"/>
      <c r="K535" s="190"/>
      <c r="L535" s="190"/>
      <c r="M535" s="190"/>
      <c r="N535" s="189"/>
      <c r="O535" s="189"/>
      <c r="P535" s="189"/>
    </row>
    <row r="536" spans="1:16" ht="12.75" hidden="1">
      <c r="A536" s="135" t="s">
        <v>205</v>
      </c>
      <c r="B536" s="188"/>
      <c r="C536" s="188"/>
      <c r="D536" s="189">
        <f>240000+100000+66500</f>
        <v>406500</v>
      </c>
      <c r="E536" s="189"/>
      <c r="F536" s="189">
        <f>D536</f>
        <v>406500</v>
      </c>
      <c r="G536" s="189">
        <f>253000+217000</f>
        <v>470000</v>
      </c>
      <c r="H536" s="189"/>
      <c r="I536" s="189"/>
      <c r="J536" s="189">
        <f>G536</f>
        <v>470000</v>
      </c>
      <c r="K536" s="190"/>
      <c r="L536" s="190"/>
      <c r="M536" s="190"/>
      <c r="N536" s="189">
        <v>265000</v>
      </c>
      <c r="O536" s="189"/>
      <c r="P536" s="189">
        <f>N536</f>
        <v>265000</v>
      </c>
    </row>
    <row r="537" spans="1:16" ht="12.75" hidden="1">
      <c r="A537" s="134" t="s">
        <v>185</v>
      </c>
      <c r="B537" s="188"/>
      <c r="C537" s="188"/>
      <c r="D537" s="189"/>
      <c r="E537" s="189"/>
      <c r="F537" s="189"/>
      <c r="G537" s="189"/>
      <c r="H537" s="189"/>
      <c r="I537" s="189"/>
      <c r="J537" s="189"/>
      <c r="K537" s="190"/>
      <c r="L537" s="190"/>
      <c r="M537" s="190"/>
      <c r="N537" s="189"/>
      <c r="O537" s="189"/>
      <c r="P537" s="189"/>
    </row>
    <row r="538" spans="1:16" ht="21" customHeight="1" hidden="1">
      <c r="A538" s="135" t="s">
        <v>420</v>
      </c>
      <c r="B538" s="188"/>
      <c r="C538" s="188"/>
      <c r="D538" s="191">
        <f>D536/D540</f>
        <v>116.14285714285714</v>
      </c>
      <c r="E538" s="189"/>
      <c r="F538" s="191">
        <f>D538</f>
        <v>116.14285714285714</v>
      </c>
      <c r="G538" s="191">
        <f>G536/G540</f>
        <v>117.5</v>
      </c>
      <c r="H538" s="191"/>
      <c r="I538" s="191"/>
      <c r="J538" s="191">
        <f>G538</f>
        <v>117.5</v>
      </c>
      <c r="K538" s="205"/>
      <c r="L538" s="205"/>
      <c r="M538" s="205"/>
      <c r="N538" s="191">
        <f>N536/N540</f>
        <v>58.888888888888886</v>
      </c>
      <c r="O538" s="191"/>
      <c r="P538" s="191">
        <f>N538</f>
        <v>58.888888888888886</v>
      </c>
    </row>
    <row r="539" spans="1:16" ht="12.75" hidden="1">
      <c r="A539" s="134" t="s">
        <v>187</v>
      </c>
      <c r="B539" s="188"/>
      <c r="C539" s="188"/>
      <c r="D539" s="189"/>
      <c r="E539" s="189"/>
      <c r="F539" s="189"/>
      <c r="G539" s="189"/>
      <c r="H539" s="189"/>
      <c r="I539" s="189"/>
      <c r="J539" s="189"/>
      <c r="K539" s="190"/>
      <c r="L539" s="190"/>
      <c r="M539" s="190"/>
      <c r="N539" s="189"/>
      <c r="O539" s="189"/>
      <c r="P539" s="189"/>
    </row>
    <row r="540" spans="1:16" ht="18" customHeight="1" hidden="1">
      <c r="A540" s="135" t="s">
        <v>375</v>
      </c>
      <c r="B540" s="188"/>
      <c r="C540" s="188"/>
      <c r="D540" s="189">
        <v>3500</v>
      </c>
      <c r="E540" s="189"/>
      <c r="F540" s="189">
        <f>D540</f>
        <v>3500</v>
      </c>
      <c r="G540" s="189">
        <v>4000</v>
      </c>
      <c r="H540" s="189"/>
      <c r="I540" s="189"/>
      <c r="J540" s="189">
        <f>G540</f>
        <v>4000</v>
      </c>
      <c r="K540" s="190"/>
      <c r="L540" s="190"/>
      <c r="M540" s="190"/>
      <c r="N540" s="189">
        <v>4500</v>
      </c>
      <c r="O540" s="189"/>
      <c r="P540" s="189">
        <f>N540</f>
        <v>4500</v>
      </c>
    </row>
    <row r="541" spans="1:16" ht="27.75" customHeight="1" hidden="1">
      <c r="A541" s="133" t="s">
        <v>112</v>
      </c>
      <c r="B541" s="188"/>
      <c r="C541" s="188"/>
      <c r="D541" s="187">
        <f>D543</f>
        <v>525000</v>
      </c>
      <c r="E541" s="187"/>
      <c r="F541" s="187">
        <f>D541</f>
        <v>525000</v>
      </c>
      <c r="G541" s="187">
        <f>G543</f>
        <v>780000</v>
      </c>
      <c r="H541" s="187"/>
      <c r="I541" s="187"/>
      <c r="J541" s="187">
        <f>G541</f>
        <v>780000</v>
      </c>
      <c r="K541" s="193"/>
      <c r="L541" s="193"/>
      <c r="M541" s="193"/>
      <c r="N541" s="187">
        <f>N543</f>
        <v>560000</v>
      </c>
      <c r="O541" s="187"/>
      <c r="P541" s="187">
        <f>N541</f>
        <v>560000</v>
      </c>
    </row>
    <row r="542" spans="1:16" ht="12.75" hidden="1">
      <c r="A542" s="134" t="s">
        <v>184</v>
      </c>
      <c r="B542" s="188"/>
      <c r="C542" s="188"/>
      <c r="D542" s="189"/>
      <c r="E542" s="189"/>
      <c r="F542" s="189"/>
      <c r="G542" s="189"/>
      <c r="H542" s="189"/>
      <c r="I542" s="189"/>
      <c r="J542" s="189"/>
      <c r="K542" s="190"/>
      <c r="L542" s="190"/>
      <c r="M542" s="190"/>
      <c r="N542" s="189"/>
      <c r="O542" s="189"/>
      <c r="P542" s="189"/>
    </row>
    <row r="543" spans="1:16" ht="12.75" hidden="1">
      <c r="A543" s="135" t="s">
        <v>205</v>
      </c>
      <c r="B543" s="188"/>
      <c r="C543" s="188"/>
      <c r="D543" s="189">
        <v>525000</v>
      </c>
      <c r="E543" s="189"/>
      <c r="F543" s="189">
        <f>D543</f>
        <v>525000</v>
      </c>
      <c r="G543" s="189">
        <f>550000+230000</f>
        <v>780000</v>
      </c>
      <c r="H543" s="189"/>
      <c r="I543" s="189"/>
      <c r="J543" s="189">
        <f>G543</f>
        <v>780000</v>
      </c>
      <c r="K543" s="190"/>
      <c r="L543" s="190"/>
      <c r="M543" s="190"/>
      <c r="N543" s="189">
        <v>560000</v>
      </c>
      <c r="O543" s="189"/>
      <c r="P543" s="189">
        <f>N543</f>
        <v>560000</v>
      </c>
    </row>
    <row r="544" spans="1:16" ht="12.75" hidden="1">
      <c r="A544" s="134" t="s">
        <v>185</v>
      </c>
      <c r="B544" s="188"/>
      <c r="C544" s="188"/>
      <c r="D544" s="189"/>
      <c r="E544" s="189"/>
      <c r="F544" s="189"/>
      <c r="G544" s="189"/>
      <c r="H544" s="189"/>
      <c r="I544" s="189"/>
      <c r="J544" s="189"/>
      <c r="K544" s="190"/>
      <c r="L544" s="190"/>
      <c r="M544" s="190"/>
      <c r="N544" s="189"/>
      <c r="O544" s="189"/>
      <c r="P544" s="189"/>
    </row>
    <row r="545" spans="1:16" ht="22.5" customHeight="1" hidden="1">
      <c r="A545" s="135" t="s">
        <v>377</v>
      </c>
      <c r="B545" s="188"/>
      <c r="C545" s="188"/>
      <c r="D545" s="191">
        <f>D543/D547</f>
        <v>50</v>
      </c>
      <c r="E545" s="191"/>
      <c r="F545" s="191">
        <f>D545</f>
        <v>50</v>
      </c>
      <c r="G545" s="191">
        <v>71</v>
      </c>
      <c r="H545" s="191"/>
      <c r="I545" s="191"/>
      <c r="J545" s="191">
        <f>G545</f>
        <v>71</v>
      </c>
      <c r="K545" s="205"/>
      <c r="L545" s="205"/>
      <c r="M545" s="205"/>
      <c r="N545" s="191">
        <f>N543/N547</f>
        <v>50</v>
      </c>
      <c r="O545" s="191"/>
      <c r="P545" s="191">
        <f>N545</f>
        <v>50</v>
      </c>
    </row>
    <row r="546" spans="1:16" ht="12.75" hidden="1">
      <c r="A546" s="134" t="s">
        <v>187</v>
      </c>
      <c r="B546" s="188"/>
      <c r="C546" s="188"/>
      <c r="D546" s="189"/>
      <c r="E546" s="189"/>
      <c r="F546" s="189"/>
      <c r="G546" s="189"/>
      <c r="H546" s="189"/>
      <c r="I546" s="189"/>
      <c r="J546" s="189"/>
      <c r="K546" s="190"/>
      <c r="L546" s="190"/>
      <c r="M546" s="190"/>
      <c r="N546" s="189"/>
      <c r="O546" s="189"/>
      <c r="P546" s="189"/>
    </row>
    <row r="547" spans="1:16" ht="19.5" customHeight="1" hidden="1">
      <c r="A547" s="135" t="s">
        <v>376</v>
      </c>
      <c r="B547" s="188"/>
      <c r="C547" s="188"/>
      <c r="D547" s="189">
        <v>10500</v>
      </c>
      <c r="E547" s="189"/>
      <c r="F547" s="189">
        <f>D547</f>
        <v>10500</v>
      </c>
      <c r="G547" s="189">
        <f>G543/G545</f>
        <v>10985.915492957747</v>
      </c>
      <c r="H547" s="189"/>
      <c r="I547" s="189"/>
      <c r="J547" s="189">
        <f>G547</f>
        <v>10985.915492957747</v>
      </c>
      <c r="K547" s="190"/>
      <c r="L547" s="190"/>
      <c r="M547" s="190"/>
      <c r="N547" s="189">
        <v>11200</v>
      </c>
      <c r="O547" s="189"/>
      <c r="P547" s="189">
        <f>N547</f>
        <v>11200</v>
      </c>
    </row>
    <row r="548" spans="1:16" ht="27.75" customHeight="1" hidden="1">
      <c r="A548" s="133" t="s">
        <v>66</v>
      </c>
      <c r="B548" s="188"/>
      <c r="C548" s="188"/>
      <c r="D548" s="187">
        <f>D550</f>
        <v>0</v>
      </c>
      <c r="E548" s="187"/>
      <c r="F548" s="187">
        <f>D548</f>
        <v>0</v>
      </c>
      <c r="G548" s="187">
        <f>G550</f>
        <v>520000</v>
      </c>
      <c r="H548" s="187"/>
      <c r="I548" s="187"/>
      <c r="J548" s="187">
        <f>G548+H548</f>
        <v>520000</v>
      </c>
      <c r="K548" s="193"/>
      <c r="L548" s="193"/>
      <c r="M548" s="193"/>
      <c r="N548" s="187">
        <f>N550</f>
        <v>550000</v>
      </c>
      <c r="O548" s="187"/>
      <c r="P548" s="187">
        <f>N548+O548</f>
        <v>550000</v>
      </c>
    </row>
    <row r="549" spans="1:16" ht="12.75" hidden="1">
      <c r="A549" s="134" t="s">
        <v>184</v>
      </c>
      <c r="B549" s="188"/>
      <c r="C549" s="188"/>
      <c r="D549" s="189"/>
      <c r="E549" s="189"/>
      <c r="F549" s="189"/>
      <c r="G549" s="189"/>
      <c r="H549" s="189"/>
      <c r="I549" s="189"/>
      <c r="J549" s="189">
        <f aca="true" t="shared" si="36" ref="J549:J554">G549+H549</f>
        <v>0</v>
      </c>
      <c r="K549" s="190"/>
      <c r="L549" s="190"/>
      <c r="M549" s="190"/>
      <c r="N549" s="189"/>
      <c r="O549" s="189"/>
      <c r="P549" s="189">
        <f aca="true" t="shared" si="37" ref="P549:P554">N549+O549</f>
        <v>0</v>
      </c>
    </row>
    <row r="550" spans="1:16" ht="12.75" hidden="1">
      <c r="A550" s="135" t="s">
        <v>205</v>
      </c>
      <c r="B550" s="188"/>
      <c r="C550" s="188"/>
      <c r="D550" s="189">
        <f>500000-223450-276550</f>
        <v>0</v>
      </c>
      <c r="E550" s="189"/>
      <c r="F550" s="189">
        <f>D550</f>
        <v>0</v>
      </c>
      <c r="G550" s="189">
        <v>520000</v>
      </c>
      <c r="H550" s="189"/>
      <c r="I550" s="189"/>
      <c r="J550" s="189">
        <f t="shared" si="36"/>
        <v>520000</v>
      </c>
      <c r="K550" s="190"/>
      <c r="L550" s="190"/>
      <c r="M550" s="190"/>
      <c r="N550" s="189">
        <v>550000</v>
      </c>
      <c r="O550" s="189"/>
      <c r="P550" s="189">
        <f t="shared" si="37"/>
        <v>550000</v>
      </c>
    </row>
    <row r="551" spans="1:16" ht="12.75" hidden="1">
      <c r="A551" s="134" t="s">
        <v>185</v>
      </c>
      <c r="B551" s="188"/>
      <c r="C551" s="188"/>
      <c r="D551" s="189"/>
      <c r="E551" s="189"/>
      <c r="F551" s="189"/>
      <c r="G551" s="189"/>
      <c r="H551" s="189"/>
      <c r="I551" s="189"/>
      <c r="J551" s="189">
        <f t="shared" si="36"/>
        <v>0</v>
      </c>
      <c r="K551" s="190"/>
      <c r="L551" s="190"/>
      <c r="M551" s="190"/>
      <c r="N551" s="189"/>
      <c r="O551" s="189"/>
      <c r="P551" s="189">
        <f t="shared" si="37"/>
        <v>0</v>
      </c>
    </row>
    <row r="552" spans="1:16" ht="19.5" customHeight="1" hidden="1">
      <c r="A552" s="136" t="s">
        <v>332</v>
      </c>
      <c r="B552" s="188"/>
      <c r="C552" s="188"/>
      <c r="D552" s="189">
        <v>0</v>
      </c>
      <c r="E552" s="189"/>
      <c r="F552" s="189">
        <f>D552</f>
        <v>0</v>
      </c>
      <c r="G552" s="189">
        <f>G550/G554</f>
        <v>20</v>
      </c>
      <c r="H552" s="189"/>
      <c r="I552" s="189"/>
      <c r="J552" s="189">
        <f t="shared" si="36"/>
        <v>20</v>
      </c>
      <c r="K552" s="190"/>
      <c r="L552" s="190"/>
      <c r="M552" s="190"/>
      <c r="N552" s="189">
        <f>N550/N554</f>
        <v>21.00000000006109</v>
      </c>
      <c r="O552" s="189"/>
      <c r="P552" s="189">
        <f t="shared" si="37"/>
        <v>21.00000000006109</v>
      </c>
    </row>
    <row r="553" spans="1:16" ht="12.75" hidden="1">
      <c r="A553" s="134" t="s">
        <v>187</v>
      </c>
      <c r="B553" s="188"/>
      <c r="C553" s="188"/>
      <c r="D553" s="189"/>
      <c r="E553" s="189"/>
      <c r="F553" s="189"/>
      <c r="G553" s="189"/>
      <c r="H553" s="189"/>
      <c r="I553" s="189"/>
      <c r="J553" s="189">
        <f t="shared" si="36"/>
        <v>0</v>
      </c>
      <c r="K553" s="190"/>
      <c r="L553" s="190"/>
      <c r="M553" s="190"/>
      <c r="N553" s="189"/>
      <c r="O553" s="189"/>
      <c r="P553" s="189">
        <f t="shared" si="37"/>
        <v>0</v>
      </c>
    </row>
    <row r="554" spans="1:16" ht="18" customHeight="1" hidden="1">
      <c r="A554" s="135" t="s">
        <v>333</v>
      </c>
      <c r="B554" s="188"/>
      <c r="C554" s="188"/>
      <c r="D554" s="189">
        <v>0</v>
      </c>
      <c r="E554" s="189"/>
      <c r="F554" s="189">
        <f>D554</f>
        <v>0</v>
      </c>
      <c r="G554" s="189">
        <v>26000</v>
      </c>
      <c r="H554" s="189"/>
      <c r="I554" s="189"/>
      <c r="J554" s="189">
        <f t="shared" si="36"/>
        <v>26000</v>
      </c>
      <c r="K554" s="190"/>
      <c r="L554" s="190"/>
      <c r="M554" s="190"/>
      <c r="N554" s="189">
        <v>26190.4761904</v>
      </c>
      <c r="O554" s="189"/>
      <c r="P554" s="189">
        <f t="shared" si="37"/>
        <v>26190.4761904</v>
      </c>
    </row>
    <row r="555" spans="1:16" ht="35.25" customHeight="1" hidden="1">
      <c r="A555" s="133" t="s">
        <v>128</v>
      </c>
      <c r="B555" s="188"/>
      <c r="C555" s="188"/>
      <c r="D555" s="187">
        <f>D557</f>
        <v>0</v>
      </c>
      <c r="E555" s="187"/>
      <c r="F555" s="187">
        <f>D555</f>
        <v>0</v>
      </c>
      <c r="G555" s="187">
        <f>G557</f>
        <v>120000</v>
      </c>
      <c r="H555" s="187"/>
      <c r="I555" s="187"/>
      <c r="J555" s="187">
        <f>G555</f>
        <v>120000</v>
      </c>
      <c r="K555" s="187"/>
      <c r="L555" s="187"/>
      <c r="M555" s="187"/>
      <c r="N555" s="187">
        <f>N557</f>
        <v>140000</v>
      </c>
      <c r="O555" s="187"/>
      <c r="P555" s="187">
        <f>N555</f>
        <v>140000</v>
      </c>
    </row>
    <row r="556" spans="1:16" ht="12.75" hidden="1">
      <c r="A556" s="134" t="s">
        <v>184</v>
      </c>
      <c r="B556" s="188"/>
      <c r="C556" s="188"/>
      <c r="D556" s="189"/>
      <c r="E556" s="189"/>
      <c r="F556" s="189"/>
      <c r="G556" s="189"/>
      <c r="H556" s="189"/>
      <c r="I556" s="189"/>
      <c r="J556" s="189"/>
      <c r="K556" s="190"/>
      <c r="L556" s="190"/>
      <c r="M556" s="190"/>
      <c r="N556" s="189"/>
      <c r="O556" s="189"/>
      <c r="P556" s="189"/>
    </row>
    <row r="557" spans="1:16" ht="12.75" hidden="1">
      <c r="A557" s="135" t="s">
        <v>205</v>
      </c>
      <c r="B557" s="188"/>
      <c r="C557" s="188"/>
      <c r="D557" s="189">
        <f>100000-100000</f>
        <v>0</v>
      </c>
      <c r="E557" s="189"/>
      <c r="F557" s="189">
        <f>D557</f>
        <v>0</v>
      </c>
      <c r="G557" s="189">
        <v>120000</v>
      </c>
      <c r="H557" s="189"/>
      <c r="I557" s="189"/>
      <c r="J557" s="189">
        <f>G557</f>
        <v>120000</v>
      </c>
      <c r="K557" s="190"/>
      <c r="L557" s="190"/>
      <c r="M557" s="190"/>
      <c r="N557" s="189">
        <v>140000</v>
      </c>
      <c r="O557" s="189"/>
      <c r="P557" s="189">
        <f>N557</f>
        <v>140000</v>
      </c>
    </row>
    <row r="558" spans="1:16" ht="12.75" hidden="1">
      <c r="A558" s="134" t="s">
        <v>185</v>
      </c>
      <c r="B558" s="188"/>
      <c r="C558" s="188"/>
      <c r="D558" s="189"/>
      <c r="E558" s="189"/>
      <c r="F558" s="189"/>
      <c r="G558" s="189"/>
      <c r="H558" s="189"/>
      <c r="I558" s="189"/>
      <c r="J558" s="189"/>
      <c r="K558" s="190"/>
      <c r="L558" s="190"/>
      <c r="M558" s="190"/>
      <c r="N558" s="189"/>
      <c r="O558" s="189"/>
      <c r="P558" s="189"/>
    </row>
    <row r="559" spans="1:16" ht="12.75" hidden="1">
      <c r="A559" s="136" t="s">
        <v>419</v>
      </c>
      <c r="B559" s="188"/>
      <c r="C559" s="188"/>
      <c r="D559" s="191" t="e">
        <f>D557/D561</f>
        <v>#DIV/0!</v>
      </c>
      <c r="E559" s="191"/>
      <c r="F559" s="191" t="e">
        <f>D559</f>
        <v>#DIV/0!</v>
      </c>
      <c r="G559" s="191">
        <f>G557/G561</f>
        <v>53333.333333333336</v>
      </c>
      <c r="H559" s="191"/>
      <c r="I559" s="191"/>
      <c r="J559" s="191">
        <f>G559</f>
        <v>53333.333333333336</v>
      </c>
      <c r="K559" s="205"/>
      <c r="L559" s="205"/>
      <c r="M559" s="205"/>
      <c r="N559" s="191">
        <f>N557/N561</f>
        <v>58577.40585774058</v>
      </c>
      <c r="O559" s="191"/>
      <c r="P559" s="191">
        <f>N559</f>
        <v>58577.40585774058</v>
      </c>
    </row>
    <row r="560" spans="1:16" ht="12.75" hidden="1">
      <c r="A560" s="134" t="s">
        <v>187</v>
      </c>
      <c r="B560" s="188"/>
      <c r="C560" s="188"/>
      <c r="D560" s="189"/>
      <c r="E560" s="189"/>
      <c r="F560" s="189"/>
      <c r="G560" s="189"/>
      <c r="H560" s="189"/>
      <c r="I560" s="189"/>
      <c r="J560" s="189"/>
      <c r="K560" s="190"/>
      <c r="L560" s="190"/>
      <c r="M560" s="190"/>
      <c r="N560" s="189"/>
      <c r="O560" s="189"/>
      <c r="P560" s="189"/>
    </row>
    <row r="561" spans="1:16" ht="25.5" hidden="1">
      <c r="A561" s="135" t="s">
        <v>418</v>
      </c>
      <c r="B561" s="188"/>
      <c r="C561" s="188"/>
      <c r="D561" s="189">
        <v>0</v>
      </c>
      <c r="E561" s="189"/>
      <c r="F561" s="189">
        <f>D561</f>
        <v>0</v>
      </c>
      <c r="G561" s="189">
        <v>2.25</v>
      </c>
      <c r="H561" s="189"/>
      <c r="I561" s="189"/>
      <c r="J561" s="189">
        <f>G561</f>
        <v>2.25</v>
      </c>
      <c r="K561" s="190"/>
      <c r="L561" s="190"/>
      <c r="M561" s="190"/>
      <c r="N561" s="189">
        <v>2.39</v>
      </c>
      <c r="O561" s="189"/>
      <c r="P561" s="189">
        <f>N561</f>
        <v>2.39</v>
      </c>
    </row>
    <row r="562" spans="1:16" ht="28.5" customHeight="1" hidden="1">
      <c r="A562" s="133" t="s">
        <v>129</v>
      </c>
      <c r="B562" s="188"/>
      <c r="C562" s="188"/>
      <c r="D562" s="187">
        <f>D564</f>
        <v>0</v>
      </c>
      <c r="E562" s="187"/>
      <c r="F562" s="187">
        <f>D562</f>
        <v>0</v>
      </c>
      <c r="G562" s="187">
        <f>G564</f>
        <v>59000</v>
      </c>
      <c r="H562" s="187"/>
      <c r="I562" s="187"/>
      <c r="J562" s="187">
        <f>G562</f>
        <v>59000</v>
      </c>
      <c r="K562" s="193"/>
      <c r="L562" s="193"/>
      <c r="M562" s="193"/>
      <c r="N562" s="187">
        <f>N564</f>
        <v>60000</v>
      </c>
      <c r="O562" s="187"/>
      <c r="P562" s="187">
        <f>N562</f>
        <v>60000</v>
      </c>
    </row>
    <row r="563" spans="1:16" ht="12.75" hidden="1">
      <c r="A563" s="134" t="s">
        <v>255</v>
      </c>
      <c r="B563" s="188"/>
      <c r="C563" s="188"/>
      <c r="D563" s="189"/>
      <c r="E563" s="189"/>
      <c r="F563" s="189"/>
      <c r="G563" s="189"/>
      <c r="H563" s="189"/>
      <c r="I563" s="189"/>
      <c r="J563" s="189"/>
      <c r="K563" s="190"/>
      <c r="L563" s="190"/>
      <c r="M563" s="190"/>
      <c r="N563" s="189"/>
      <c r="O563" s="189"/>
      <c r="P563" s="189"/>
    </row>
    <row r="564" spans="1:16" ht="12.75" hidden="1">
      <c r="A564" s="135" t="s">
        <v>379</v>
      </c>
      <c r="B564" s="188"/>
      <c r="C564" s="188"/>
      <c r="D564" s="189">
        <f>53100-29860-23240</f>
        <v>0</v>
      </c>
      <c r="E564" s="189"/>
      <c r="F564" s="189">
        <f>D564</f>
        <v>0</v>
      </c>
      <c r="G564" s="189">
        <v>59000</v>
      </c>
      <c r="H564" s="189"/>
      <c r="I564" s="189"/>
      <c r="J564" s="189">
        <f>G564</f>
        <v>59000</v>
      </c>
      <c r="K564" s="190"/>
      <c r="L564" s="190"/>
      <c r="M564" s="190"/>
      <c r="N564" s="189">
        <v>60000</v>
      </c>
      <c r="O564" s="189"/>
      <c r="P564" s="189">
        <f>N564</f>
        <v>60000</v>
      </c>
    </row>
    <row r="565" spans="1:16" ht="12.75" hidden="1">
      <c r="A565" s="134" t="s">
        <v>378</v>
      </c>
      <c r="B565" s="188"/>
      <c r="C565" s="188"/>
      <c r="D565" s="189"/>
      <c r="E565" s="189"/>
      <c r="F565" s="189"/>
      <c r="G565" s="189"/>
      <c r="H565" s="189"/>
      <c r="I565" s="189"/>
      <c r="J565" s="189"/>
      <c r="K565" s="190"/>
      <c r="L565" s="190"/>
      <c r="M565" s="190"/>
      <c r="N565" s="189"/>
      <c r="O565" s="189"/>
      <c r="P565" s="189"/>
    </row>
    <row r="566" spans="1:16" ht="12.75" hidden="1">
      <c r="A566" s="136" t="s">
        <v>385</v>
      </c>
      <c r="B566" s="188"/>
      <c r="C566" s="188"/>
      <c r="D566" s="189">
        <v>0</v>
      </c>
      <c r="E566" s="189"/>
      <c r="F566" s="189">
        <f>D566</f>
        <v>0</v>
      </c>
      <c r="G566" s="191">
        <v>14</v>
      </c>
      <c r="H566" s="191"/>
      <c r="I566" s="191"/>
      <c r="J566" s="191">
        <f>G566</f>
        <v>14</v>
      </c>
      <c r="K566" s="205"/>
      <c r="L566" s="205"/>
      <c r="M566" s="205"/>
      <c r="N566" s="191">
        <v>14</v>
      </c>
      <c r="O566" s="191"/>
      <c r="P566" s="191">
        <f>N566</f>
        <v>14</v>
      </c>
    </row>
    <row r="567" spans="1:16" ht="12.75" hidden="1">
      <c r="A567" s="134" t="s">
        <v>374</v>
      </c>
      <c r="B567" s="188"/>
      <c r="C567" s="188"/>
      <c r="D567" s="189"/>
      <c r="E567" s="189"/>
      <c r="F567" s="189"/>
      <c r="G567" s="189"/>
      <c r="H567" s="189"/>
      <c r="I567" s="189"/>
      <c r="J567" s="189"/>
      <c r="K567" s="190"/>
      <c r="L567" s="190"/>
      <c r="M567" s="190"/>
      <c r="N567" s="189"/>
      <c r="O567" s="189"/>
      <c r="P567" s="189"/>
    </row>
    <row r="568" spans="1:16" ht="12.75" hidden="1">
      <c r="A568" s="135" t="s">
        <v>386</v>
      </c>
      <c r="B568" s="188"/>
      <c r="C568" s="188"/>
      <c r="D568" s="189" t="e">
        <f>D564/D566</f>
        <v>#DIV/0!</v>
      </c>
      <c r="E568" s="189"/>
      <c r="F568" s="189" t="e">
        <f>D568</f>
        <v>#DIV/0!</v>
      </c>
      <c r="G568" s="189">
        <f>G564/G566</f>
        <v>4214.285714285715</v>
      </c>
      <c r="H568" s="189"/>
      <c r="I568" s="189"/>
      <c r="J568" s="189">
        <f>G568</f>
        <v>4214.285714285715</v>
      </c>
      <c r="K568" s="190"/>
      <c r="L568" s="190"/>
      <c r="M568" s="190"/>
      <c r="N568" s="189">
        <f>N564/N566</f>
        <v>4285.714285714285</v>
      </c>
      <c r="O568" s="189"/>
      <c r="P568" s="189">
        <f>N568</f>
        <v>4285.714285714285</v>
      </c>
    </row>
    <row r="569" spans="1:16" ht="19.5" customHeight="1" hidden="1">
      <c r="A569" s="133" t="s">
        <v>130</v>
      </c>
      <c r="B569" s="188"/>
      <c r="C569" s="188"/>
      <c r="D569" s="187">
        <f>D571</f>
        <v>30000</v>
      </c>
      <c r="E569" s="187"/>
      <c r="F569" s="187">
        <f>D569</f>
        <v>30000</v>
      </c>
      <c r="G569" s="187">
        <f>G571</f>
        <v>95000</v>
      </c>
      <c r="H569" s="187"/>
      <c r="I569" s="187">
        <f>I571</f>
        <v>0</v>
      </c>
      <c r="J569" s="187">
        <f>J571</f>
        <v>95000</v>
      </c>
      <c r="K569" s="193"/>
      <c r="L569" s="193"/>
      <c r="M569" s="193"/>
      <c r="N569" s="187"/>
      <c r="O569" s="187"/>
      <c r="P569" s="187"/>
    </row>
    <row r="570" spans="1:16" ht="12.75" hidden="1">
      <c r="A570" s="134" t="s">
        <v>255</v>
      </c>
      <c r="B570" s="188"/>
      <c r="C570" s="188"/>
      <c r="D570" s="189"/>
      <c r="E570" s="189"/>
      <c r="F570" s="189"/>
      <c r="G570" s="189"/>
      <c r="H570" s="189"/>
      <c r="I570" s="189"/>
      <c r="J570" s="189"/>
      <c r="K570" s="190"/>
      <c r="L570" s="190"/>
      <c r="M570" s="190"/>
      <c r="N570" s="189"/>
      <c r="O570" s="189"/>
      <c r="P570" s="189"/>
    </row>
    <row r="571" spans="1:16" ht="12.75" hidden="1">
      <c r="A571" s="135" t="s">
        <v>379</v>
      </c>
      <c r="B571" s="188"/>
      <c r="C571" s="188"/>
      <c r="D571" s="189">
        <f>300000-270000</f>
        <v>30000</v>
      </c>
      <c r="E571" s="189"/>
      <c r="F571" s="189">
        <f>D571</f>
        <v>30000</v>
      </c>
      <c r="G571" s="189">
        <v>95000</v>
      </c>
      <c r="H571" s="189"/>
      <c r="I571" s="189"/>
      <c r="J571" s="189">
        <f>G571+H571</f>
        <v>95000</v>
      </c>
      <c r="K571" s="190"/>
      <c r="L571" s="190"/>
      <c r="M571" s="190"/>
      <c r="N571" s="189"/>
      <c r="O571" s="189"/>
      <c r="P571" s="189"/>
    </row>
    <row r="572" spans="1:16" ht="12.75" hidden="1">
      <c r="A572" s="134" t="s">
        <v>378</v>
      </c>
      <c r="B572" s="188"/>
      <c r="C572" s="188"/>
      <c r="D572" s="189"/>
      <c r="E572" s="189"/>
      <c r="F572" s="189"/>
      <c r="G572" s="189"/>
      <c r="H572" s="189"/>
      <c r="I572" s="189"/>
      <c r="J572" s="189"/>
      <c r="K572" s="190"/>
      <c r="L572" s="190"/>
      <c r="M572" s="190"/>
      <c r="N572" s="189"/>
      <c r="O572" s="189"/>
      <c r="P572" s="189"/>
    </row>
    <row r="573" spans="1:16" ht="15.75" customHeight="1" hidden="1">
      <c r="A573" s="136" t="s">
        <v>381</v>
      </c>
      <c r="B573" s="188"/>
      <c r="C573" s="188"/>
      <c r="D573" s="191">
        <v>2</v>
      </c>
      <c r="E573" s="191"/>
      <c r="F573" s="191">
        <f>D573</f>
        <v>2</v>
      </c>
      <c r="G573" s="191">
        <v>1</v>
      </c>
      <c r="H573" s="191"/>
      <c r="I573" s="191"/>
      <c r="J573" s="191">
        <f>G573+H573</f>
        <v>1</v>
      </c>
      <c r="K573" s="190"/>
      <c r="L573" s="190"/>
      <c r="M573" s="190"/>
      <c r="N573" s="189"/>
      <c r="O573" s="189"/>
      <c r="P573" s="189"/>
    </row>
    <row r="574" spans="1:16" ht="12.75" hidden="1">
      <c r="A574" s="134" t="s">
        <v>374</v>
      </c>
      <c r="B574" s="188"/>
      <c r="C574" s="188"/>
      <c r="D574" s="189"/>
      <c r="E574" s="189"/>
      <c r="F574" s="189"/>
      <c r="G574" s="189"/>
      <c r="H574" s="189"/>
      <c r="I574" s="189"/>
      <c r="J574" s="189"/>
      <c r="K574" s="190"/>
      <c r="L574" s="190"/>
      <c r="M574" s="190"/>
      <c r="N574" s="189"/>
      <c r="O574" s="189"/>
      <c r="P574" s="189"/>
    </row>
    <row r="575" spans="1:16" ht="12.75" hidden="1">
      <c r="A575" s="135" t="s">
        <v>382</v>
      </c>
      <c r="B575" s="188"/>
      <c r="C575" s="188"/>
      <c r="D575" s="189">
        <f>D571/D573</f>
        <v>15000</v>
      </c>
      <c r="E575" s="189"/>
      <c r="F575" s="189">
        <f>D575</f>
        <v>15000</v>
      </c>
      <c r="G575" s="189">
        <f>G571/G573</f>
        <v>95000</v>
      </c>
      <c r="H575" s="189"/>
      <c r="I575" s="189"/>
      <c r="J575" s="189">
        <f>G575+H575</f>
        <v>95000</v>
      </c>
      <c r="K575" s="190"/>
      <c r="L575" s="190"/>
      <c r="M575" s="190"/>
      <c r="N575" s="189"/>
      <c r="O575" s="189"/>
      <c r="P575" s="189"/>
    </row>
    <row r="576" spans="1:131" s="12" customFormat="1" ht="38.25" customHeight="1" hidden="1">
      <c r="A576" s="133" t="s">
        <v>131</v>
      </c>
      <c r="B576" s="149"/>
      <c r="C576" s="149"/>
      <c r="D576" s="187">
        <f>D578</f>
        <v>50100</v>
      </c>
      <c r="E576" s="187"/>
      <c r="F576" s="187">
        <f>D576</f>
        <v>50100</v>
      </c>
      <c r="G576" s="187">
        <f>G578</f>
        <v>950000</v>
      </c>
      <c r="H576" s="187"/>
      <c r="I576" s="187"/>
      <c r="J576" s="187">
        <f>G576+H576</f>
        <v>950000</v>
      </c>
      <c r="K576" s="193"/>
      <c r="L576" s="193"/>
      <c r="M576" s="193"/>
      <c r="N576" s="187">
        <f>N578</f>
        <v>188000</v>
      </c>
      <c r="O576" s="187"/>
      <c r="P576" s="187">
        <f>N576+O576</f>
        <v>188000</v>
      </c>
      <c r="Q576" s="79"/>
      <c r="R576" s="362"/>
      <c r="S576" s="362"/>
      <c r="T576" s="362"/>
      <c r="U576" s="362"/>
      <c r="V576" s="362"/>
      <c r="W576" s="362"/>
      <c r="X576" s="362"/>
      <c r="Y576" s="362"/>
      <c r="Z576" s="362"/>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79"/>
      <c r="CE576" s="79"/>
      <c r="CF576" s="79"/>
      <c r="CG576" s="79"/>
      <c r="CH576" s="79"/>
      <c r="CI576" s="79"/>
      <c r="CJ576" s="79"/>
      <c r="CK576" s="79"/>
      <c r="CL576" s="79"/>
      <c r="CM576" s="79"/>
      <c r="CN576" s="79"/>
      <c r="CO576" s="79"/>
      <c r="CP576" s="79"/>
      <c r="CQ576" s="79"/>
      <c r="CR576" s="79"/>
      <c r="CS576" s="79"/>
      <c r="CT576" s="79"/>
      <c r="CU576" s="79"/>
      <c r="CV576" s="79"/>
      <c r="CW576" s="79"/>
      <c r="CX576" s="79"/>
      <c r="CY576" s="79"/>
      <c r="CZ576" s="79"/>
      <c r="DA576" s="79"/>
      <c r="DB576" s="79"/>
      <c r="DC576" s="79"/>
      <c r="DD576" s="79"/>
      <c r="DE576" s="79"/>
      <c r="DF576" s="79"/>
      <c r="DG576" s="79"/>
      <c r="DH576" s="79"/>
      <c r="DI576" s="79"/>
      <c r="DJ576" s="79"/>
      <c r="DK576" s="79"/>
      <c r="DL576" s="79"/>
      <c r="DM576" s="79"/>
      <c r="DN576" s="79"/>
      <c r="DO576" s="79"/>
      <c r="DP576" s="79"/>
      <c r="DQ576" s="79"/>
      <c r="DR576" s="79"/>
      <c r="DS576" s="79"/>
      <c r="DT576" s="79"/>
      <c r="DU576" s="79"/>
      <c r="DV576" s="79"/>
      <c r="DW576" s="79"/>
      <c r="DX576" s="79"/>
      <c r="DY576" s="79"/>
      <c r="DZ576" s="79"/>
      <c r="EA576" s="79"/>
    </row>
    <row r="577" spans="1:16" ht="12.75" hidden="1">
      <c r="A577" s="134" t="s">
        <v>255</v>
      </c>
      <c r="B577" s="188"/>
      <c r="C577" s="188"/>
      <c r="D577" s="189"/>
      <c r="E577" s="189"/>
      <c r="F577" s="189"/>
      <c r="G577" s="189"/>
      <c r="H577" s="189"/>
      <c r="I577" s="189"/>
      <c r="J577" s="189"/>
      <c r="K577" s="190"/>
      <c r="L577" s="190"/>
      <c r="M577" s="190"/>
      <c r="N577" s="189"/>
      <c r="O577" s="189"/>
      <c r="P577" s="189">
        <f aca="true" t="shared" si="38" ref="P577:P582">N577+O577</f>
        <v>0</v>
      </c>
    </row>
    <row r="578" spans="1:16" ht="12.75" hidden="1">
      <c r="A578" s="135" t="s">
        <v>379</v>
      </c>
      <c r="B578" s="188"/>
      <c r="C578" s="188"/>
      <c r="D578" s="189">
        <f>230000-179900</f>
        <v>50100</v>
      </c>
      <c r="E578" s="189"/>
      <c r="F578" s="189">
        <f>D578</f>
        <v>50100</v>
      </c>
      <c r="G578" s="189">
        <f>179000+771000</f>
        <v>950000</v>
      </c>
      <c r="H578" s="189"/>
      <c r="I578" s="189"/>
      <c r="J578" s="189">
        <f>G578+H578</f>
        <v>950000</v>
      </c>
      <c r="K578" s="190"/>
      <c r="L578" s="190"/>
      <c r="M578" s="190"/>
      <c r="N578" s="189">
        <v>188000</v>
      </c>
      <c r="O578" s="189"/>
      <c r="P578" s="189">
        <f t="shared" si="38"/>
        <v>188000</v>
      </c>
    </row>
    <row r="579" spans="1:16" ht="12.75" hidden="1">
      <c r="A579" s="134" t="s">
        <v>378</v>
      </c>
      <c r="B579" s="188"/>
      <c r="C579" s="188"/>
      <c r="D579" s="189"/>
      <c r="E579" s="189"/>
      <c r="F579" s="189"/>
      <c r="G579" s="189"/>
      <c r="H579" s="189"/>
      <c r="I579" s="189"/>
      <c r="J579" s="189"/>
      <c r="K579" s="190"/>
      <c r="L579" s="190"/>
      <c r="M579" s="190"/>
      <c r="N579" s="189"/>
      <c r="O579" s="189"/>
      <c r="P579" s="189">
        <f t="shared" si="38"/>
        <v>0</v>
      </c>
    </row>
    <row r="580" spans="1:16" ht="12.75" hidden="1">
      <c r="A580" s="136" t="s">
        <v>383</v>
      </c>
      <c r="B580" s="188"/>
      <c r="C580" s="188"/>
      <c r="D580" s="191">
        <f>D578/D582</f>
        <v>2.2772727272727273</v>
      </c>
      <c r="E580" s="189"/>
      <c r="F580" s="191">
        <f>D580</f>
        <v>2.2772727272727273</v>
      </c>
      <c r="G580" s="191">
        <v>43</v>
      </c>
      <c r="H580" s="191"/>
      <c r="I580" s="191"/>
      <c r="J580" s="191">
        <f>G580+H580</f>
        <v>43</v>
      </c>
      <c r="K580" s="205"/>
      <c r="L580" s="205"/>
      <c r="M580" s="205"/>
      <c r="N580" s="191">
        <f>N578/N582</f>
        <v>8</v>
      </c>
      <c r="O580" s="191"/>
      <c r="P580" s="191">
        <f t="shared" si="38"/>
        <v>8</v>
      </c>
    </row>
    <row r="581" spans="1:16" ht="12.75" hidden="1">
      <c r="A581" s="134" t="s">
        <v>374</v>
      </c>
      <c r="B581" s="188"/>
      <c r="C581" s="188"/>
      <c r="D581" s="189"/>
      <c r="E581" s="189"/>
      <c r="F581" s="189"/>
      <c r="G581" s="189"/>
      <c r="H581" s="189"/>
      <c r="I581" s="189"/>
      <c r="J581" s="189"/>
      <c r="K581" s="190"/>
      <c r="L581" s="190"/>
      <c r="M581" s="190"/>
      <c r="N581" s="189"/>
      <c r="O581" s="189"/>
      <c r="P581" s="189">
        <f t="shared" si="38"/>
        <v>0</v>
      </c>
    </row>
    <row r="582" spans="1:16" ht="12.75" hidden="1">
      <c r="A582" s="135" t="s">
        <v>384</v>
      </c>
      <c r="B582" s="188"/>
      <c r="C582" s="188"/>
      <c r="D582" s="189">
        <v>22000</v>
      </c>
      <c r="E582" s="189"/>
      <c r="F582" s="189">
        <f>D582</f>
        <v>22000</v>
      </c>
      <c r="G582" s="189">
        <f>G578/G580</f>
        <v>22093.023255813954</v>
      </c>
      <c r="H582" s="189"/>
      <c r="I582" s="189"/>
      <c r="J582" s="189">
        <f>G582+H582</f>
        <v>22093.023255813954</v>
      </c>
      <c r="K582" s="190"/>
      <c r="L582" s="190"/>
      <c r="M582" s="190"/>
      <c r="N582" s="189">
        <v>23500</v>
      </c>
      <c r="O582" s="189"/>
      <c r="P582" s="189">
        <f t="shared" si="38"/>
        <v>23500</v>
      </c>
    </row>
    <row r="583" spans="1:16" ht="40.5" hidden="1">
      <c r="A583" s="171" t="s">
        <v>570</v>
      </c>
      <c r="B583" s="188"/>
      <c r="C583" s="188"/>
      <c r="D583" s="306">
        <f>D585</f>
        <v>323000</v>
      </c>
      <c r="E583" s="306">
        <f>E585</f>
        <v>1780000</v>
      </c>
      <c r="F583" s="306">
        <f>D583+E583</f>
        <v>2103000</v>
      </c>
      <c r="G583" s="306">
        <f>G585</f>
        <v>891000</v>
      </c>
      <c r="H583" s="306">
        <f>H585</f>
        <v>12276260</v>
      </c>
      <c r="I583" s="187"/>
      <c r="J583" s="187">
        <f>G583+H583</f>
        <v>13167260</v>
      </c>
      <c r="K583" s="193"/>
      <c r="L583" s="193"/>
      <c r="M583" s="193"/>
      <c r="N583" s="187">
        <f>N585</f>
        <v>0</v>
      </c>
      <c r="O583" s="187"/>
      <c r="P583" s="187">
        <f>N583</f>
        <v>0</v>
      </c>
    </row>
    <row r="584" spans="1:16" ht="13.5" hidden="1">
      <c r="A584" s="134" t="s">
        <v>255</v>
      </c>
      <c r="B584" s="188"/>
      <c r="C584" s="188"/>
      <c r="D584" s="307"/>
      <c r="E584" s="307"/>
      <c r="F584" s="307"/>
      <c r="G584" s="307"/>
      <c r="H584" s="307"/>
      <c r="I584" s="189"/>
      <c r="J584" s="187"/>
      <c r="K584" s="190"/>
      <c r="L584" s="190"/>
      <c r="M584" s="190"/>
      <c r="N584" s="189"/>
      <c r="O584" s="189"/>
      <c r="P584" s="189"/>
    </row>
    <row r="585" spans="1:16" ht="12.75" hidden="1">
      <c r="A585" s="135" t="s">
        <v>379</v>
      </c>
      <c r="B585" s="188"/>
      <c r="C585" s="188"/>
      <c r="D585" s="307">
        <f>350000+1780000-27000-1780000</f>
        <v>323000</v>
      </c>
      <c r="E585" s="307">
        <f>0+1780000</f>
        <v>1780000</v>
      </c>
      <c r="F585" s="307">
        <f>D585</f>
        <v>323000</v>
      </c>
      <c r="G585" s="307">
        <f>891000</f>
        <v>891000</v>
      </c>
      <c r="H585" s="307">
        <f>0+4836260+840000+6600000</f>
        <v>12276260</v>
      </c>
      <c r="I585" s="189">
        <f>G585</f>
        <v>891000</v>
      </c>
      <c r="J585" s="189">
        <f>G585+H585</f>
        <v>13167260</v>
      </c>
      <c r="K585" s="190"/>
      <c r="L585" s="190"/>
      <c r="M585" s="190"/>
      <c r="N585" s="189"/>
      <c r="O585" s="189"/>
      <c r="P585" s="189">
        <f>N585</f>
        <v>0</v>
      </c>
    </row>
    <row r="586" spans="1:16" ht="12.75" hidden="1">
      <c r="A586" s="134" t="s">
        <v>378</v>
      </c>
      <c r="B586" s="188"/>
      <c r="C586" s="188"/>
      <c r="D586" s="307"/>
      <c r="E586" s="307"/>
      <c r="F586" s="307"/>
      <c r="G586" s="307"/>
      <c r="H586" s="307"/>
      <c r="I586" s="189"/>
      <c r="J586" s="189"/>
      <c r="K586" s="190"/>
      <c r="L586" s="190"/>
      <c r="M586" s="190"/>
      <c r="N586" s="189"/>
      <c r="O586" s="189"/>
      <c r="P586" s="189"/>
    </row>
    <row r="587" spans="1:16" ht="12.75" hidden="1">
      <c r="A587" s="136" t="s">
        <v>387</v>
      </c>
      <c r="B587" s="188"/>
      <c r="C587" s="188"/>
      <c r="D587" s="315">
        <v>1</v>
      </c>
      <c r="E587" s="315">
        <v>1</v>
      </c>
      <c r="F587" s="315">
        <f>D587</f>
        <v>1</v>
      </c>
      <c r="G587" s="315">
        <v>1</v>
      </c>
      <c r="H587" s="315">
        <v>1</v>
      </c>
      <c r="I587" s="191">
        <f>G587</f>
        <v>1</v>
      </c>
      <c r="J587" s="191">
        <f>G587</f>
        <v>1</v>
      </c>
      <c r="K587" s="205"/>
      <c r="L587" s="205"/>
      <c r="M587" s="205"/>
      <c r="N587" s="191"/>
      <c r="O587" s="191"/>
      <c r="P587" s="191">
        <f>N587</f>
        <v>0</v>
      </c>
    </row>
    <row r="588" spans="1:16" ht="12.75" hidden="1">
      <c r="A588" s="134" t="s">
        <v>374</v>
      </c>
      <c r="B588" s="188"/>
      <c r="C588" s="188"/>
      <c r="D588" s="307"/>
      <c r="E588" s="307"/>
      <c r="F588" s="307"/>
      <c r="G588" s="307"/>
      <c r="H588" s="307"/>
      <c r="I588" s="189"/>
      <c r="J588" s="189"/>
      <c r="K588" s="190"/>
      <c r="L588" s="190"/>
      <c r="M588" s="190"/>
      <c r="N588" s="189"/>
      <c r="O588" s="189"/>
      <c r="P588" s="189"/>
    </row>
    <row r="589" spans="1:16" ht="12.75" hidden="1">
      <c r="A589" s="135" t="s">
        <v>388</v>
      </c>
      <c r="B589" s="188"/>
      <c r="C589" s="188"/>
      <c r="D589" s="307">
        <f aca="true" t="shared" si="39" ref="D589:I589">D585/D587</f>
        <v>323000</v>
      </c>
      <c r="E589" s="307">
        <f t="shared" si="39"/>
        <v>1780000</v>
      </c>
      <c r="F589" s="307">
        <f t="shared" si="39"/>
        <v>323000</v>
      </c>
      <c r="G589" s="307">
        <f t="shared" si="39"/>
        <v>891000</v>
      </c>
      <c r="H589" s="307">
        <f t="shared" si="39"/>
        <v>12276260</v>
      </c>
      <c r="I589" s="189">
        <f t="shared" si="39"/>
        <v>891000</v>
      </c>
      <c r="J589" s="189">
        <f>G589</f>
        <v>891000</v>
      </c>
      <c r="K589" s="190"/>
      <c r="L589" s="190"/>
      <c r="M589" s="190"/>
      <c r="N589" s="189"/>
      <c r="O589" s="189"/>
      <c r="P589" s="189">
        <f>N589</f>
        <v>0</v>
      </c>
    </row>
    <row r="590" spans="1:131" s="81" customFormat="1" ht="70.5" customHeight="1" hidden="1">
      <c r="A590" s="280" t="s">
        <v>132</v>
      </c>
      <c r="B590" s="146"/>
      <c r="C590" s="146"/>
      <c r="D590" s="206">
        <f>D592</f>
        <v>1696114</v>
      </c>
      <c r="E590" s="206"/>
      <c r="F590" s="206">
        <f>F592</f>
        <v>1696114</v>
      </c>
      <c r="G590" s="206">
        <f>G592</f>
        <v>1950580</v>
      </c>
      <c r="H590" s="206"/>
      <c r="I590" s="206"/>
      <c r="J590" s="206">
        <f>G590+H590</f>
        <v>1950580</v>
      </c>
      <c r="K590" s="206"/>
      <c r="L590" s="206"/>
      <c r="M590" s="206"/>
      <c r="N590" s="206"/>
      <c r="O590" s="206"/>
      <c r="P590" s="206"/>
      <c r="Q590" s="80"/>
      <c r="R590" s="363"/>
      <c r="S590" s="363"/>
      <c r="T590" s="363"/>
      <c r="U590" s="363"/>
      <c r="V590" s="363"/>
      <c r="W590" s="363"/>
      <c r="X590" s="363"/>
      <c r="Y590" s="363"/>
      <c r="Z590" s="363"/>
      <c r="AA590" s="80"/>
      <c r="AB590" s="80"/>
      <c r="AC590" s="80"/>
      <c r="AD590" s="80"/>
      <c r="AE590" s="80"/>
      <c r="AF590" s="80"/>
      <c r="AG590" s="80"/>
      <c r="AH590" s="80"/>
      <c r="AI590" s="80"/>
      <c r="AJ590" s="80"/>
      <c r="AK590" s="80"/>
      <c r="AL590" s="80"/>
      <c r="AM590" s="80"/>
      <c r="AN590" s="80"/>
      <c r="AO590" s="80"/>
      <c r="AP590" s="80"/>
      <c r="AQ590" s="80"/>
      <c r="AR590" s="80"/>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c r="BQ590" s="80"/>
      <c r="BR590" s="80"/>
      <c r="BS590" s="80"/>
      <c r="BT590" s="80"/>
      <c r="BU590" s="80"/>
      <c r="BV590" s="80"/>
      <c r="BW590" s="80"/>
      <c r="BX590" s="80"/>
      <c r="BY590" s="80"/>
      <c r="BZ590" s="80"/>
      <c r="CA590" s="80"/>
      <c r="CB590" s="80"/>
      <c r="CC590" s="80"/>
      <c r="CD590" s="80"/>
      <c r="CE590" s="80"/>
      <c r="CF590" s="80"/>
      <c r="CG590" s="80"/>
      <c r="CH590" s="80"/>
      <c r="CI590" s="80"/>
      <c r="CJ590" s="80"/>
      <c r="CK590" s="80"/>
      <c r="CL590" s="80"/>
      <c r="CM590" s="80"/>
      <c r="CN590" s="80"/>
      <c r="CO590" s="80"/>
      <c r="CP590" s="80"/>
      <c r="CQ590" s="80"/>
      <c r="CR590" s="80"/>
      <c r="CS590" s="80"/>
      <c r="CT590" s="80"/>
      <c r="CU590" s="80"/>
      <c r="CV590" s="80"/>
      <c r="CW590" s="80"/>
      <c r="CX590" s="80"/>
      <c r="CY590" s="80"/>
      <c r="CZ590" s="80"/>
      <c r="DA590" s="80"/>
      <c r="DB590" s="80"/>
      <c r="DC590" s="80"/>
      <c r="DD590" s="80"/>
      <c r="DE590" s="80"/>
      <c r="DF590" s="80"/>
      <c r="DG590" s="80"/>
      <c r="DH590" s="80"/>
      <c r="DI590" s="80"/>
      <c r="DJ590" s="80"/>
      <c r="DK590" s="80"/>
      <c r="DL590" s="80"/>
      <c r="DM590" s="80"/>
      <c r="DN590" s="80"/>
      <c r="DO590" s="80"/>
      <c r="DP590" s="80"/>
      <c r="DQ590" s="80"/>
      <c r="DR590" s="80"/>
      <c r="DS590" s="80"/>
      <c r="DT590" s="80"/>
      <c r="DU590" s="80"/>
      <c r="DV590" s="80"/>
      <c r="DW590" s="80"/>
      <c r="DX590" s="80"/>
      <c r="DY590" s="80"/>
      <c r="DZ590" s="80"/>
      <c r="EA590" s="80"/>
    </row>
    <row r="591" spans="1:131" s="60" customFormat="1" ht="19.5" customHeight="1" hidden="1">
      <c r="A591" s="134" t="s">
        <v>255</v>
      </c>
      <c r="B591" s="90"/>
      <c r="C591" s="90"/>
      <c r="D591" s="207"/>
      <c r="E591" s="207"/>
      <c r="F591" s="207"/>
      <c r="G591" s="207"/>
      <c r="H591" s="207"/>
      <c r="I591" s="207"/>
      <c r="J591" s="207"/>
      <c r="K591" s="91"/>
      <c r="L591" s="91"/>
      <c r="M591" s="91"/>
      <c r="N591" s="207"/>
      <c r="O591" s="207"/>
      <c r="P591" s="207"/>
      <c r="Q591" s="59"/>
      <c r="R591" s="364"/>
      <c r="S591" s="364"/>
      <c r="T591" s="364"/>
      <c r="U591" s="364"/>
      <c r="V591" s="364"/>
      <c r="W591" s="364"/>
      <c r="X591" s="364"/>
      <c r="Y591" s="364"/>
      <c r="Z591" s="364"/>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c r="CY591" s="59"/>
      <c r="CZ591" s="59"/>
      <c r="DA591" s="59"/>
      <c r="DB591" s="59"/>
      <c r="DC591" s="59"/>
      <c r="DD591" s="59"/>
      <c r="DE591" s="59"/>
      <c r="DF591" s="59"/>
      <c r="DG591" s="59"/>
      <c r="DH591" s="59"/>
      <c r="DI591" s="59"/>
      <c r="DJ591" s="59"/>
      <c r="DK591" s="59"/>
      <c r="DL591" s="59"/>
      <c r="DM591" s="59"/>
      <c r="DN591" s="59"/>
      <c r="DO591" s="59"/>
      <c r="DP591" s="59"/>
      <c r="DQ591" s="59"/>
      <c r="DR591" s="59"/>
      <c r="DS591" s="59"/>
      <c r="DT591" s="59"/>
      <c r="DU591" s="59"/>
      <c r="DV591" s="59"/>
      <c r="DW591" s="59"/>
      <c r="DX591" s="59"/>
      <c r="DY591" s="59"/>
      <c r="DZ591" s="59"/>
      <c r="EA591" s="59"/>
    </row>
    <row r="592" spans="1:131" s="60" customFormat="1" ht="12.75" hidden="1">
      <c r="A592" s="135" t="s">
        <v>380</v>
      </c>
      <c r="B592" s="90"/>
      <c r="C592" s="90"/>
      <c r="D592" s="207">
        <f>1541959+154155</f>
        <v>1696114</v>
      </c>
      <c r="E592" s="207"/>
      <c r="F592" s="207">
        <f>D592</f>
        <v>1696114</v>
      </c>
      <c r="G592" s="207">
        <f>1541959+326000+41+82580</f>
        <v>1950580</v>
      </c>
      <c r="H592" s="207"/>
      <c r="I592" s="207"/>
      <c r="J592" s="207">
        <f aca="true" t="shared" si="40" ref="J592:J597">G592+H592</f>
        <v>1950580</v>
      </c>
      <c r="K592" s="91"/>
      <c r="L592" s="91"/>
      <c r="M592" s="91"/>
      <c r="N592" s="207"/>
      <c r="O592" s="207"/>
      <c r="P592" s="207"/>
      <c r="Q592" s="59"/>
      <c r="R592" s="364"/>
      <c r="S592" s="364"/>
      <c r="T592" s="364"/>
      <c r="U592" s="364"/>
      <c r="V592" s="364"/>
      <c r="W592" s="364"/>
      <c r="X592" s="364"/>
      <c r="Y592" s="364"/>
      <c r="Z592" s="364"/>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c r="CY592" s="59"/>
      <c r="CZ592" s="59"/>
      <c r="DA592" s="59"/>
      <c r="DB592" s="59"/>
      <c r="DC592" s="59"/>
      <c r="DD592" s="59"/>
      <c r="DE592" s="59"/>
      <c r="DF592" s="59"/>
      <c r="DG592" s="59"/>
      <c r="DH592" s="59"/>
      <c r="DI592" s="59"/>
      <c r="DJ592" s="59"/>
      <c r="DK592" s="59"/>
      <c r="DL592" s="59"/>
      <c r="DM592" s="59"/>
      <c r="DN592" s="59"/>
      <c r="DO592" s="59"/>
      <c r="DP592" s="59"/>
      <c r="DQ592" s="59"/>
      <c r="DR592" s="59"/>
      <c r="DS592" s="59"/>
      <c r="DT592" s="59"/>
      <c r="DU592" s="59"/>
      <c r="DV592" s="59"/>
      <c r="DW592" s="59"/>
      <c r="DX592" s="59"/>
      <c r="DY592" s="59"/>
      <c r="DZ592" s="59"/>
      <c r="EA592" s="59"/>
    </row>
    <row r="593" spans="1:131" s="60" customFormat="1" ht="12.75" hidden="1">
      <c r="A593" s="134" t="s">
        <v>412</v>
      </c>
      <c r="B593" s="90"/>
      <c r="C593" s="90"/>
      <c r="D593" s="207"/>
      <c r="E593" s="207"/>
      <c r="F593" s="207"/>
      <c r="G593" s="207"/>
      <c r="H593" s="207"/>
      <c r="I593" s="207"/>
      <c r="J593" s="207"/>
      <c r="K593" s="91"/>
      <c r="L593" s="91"/>
      <c r="M593" s="91"/>
      <c r="N593" s="207"/>
      <c r="O593" s="207"/>
      <c r="P593" s="207"/>
      <c r="Q593" s="59"/>
      <c r="R593" s="364"/>
      <c r="S593" s="364"/>
      <c r="T593" s="364"/>
      <c r="U593" s="364"/>
      <c r="V593" s="364"/>
      <c r="W593" s="364"/>
      <c r="X593" s="364"/>
      <c r="Y593" s="364"/>
      <c r="Z593" s="364"/>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c r="DF593" s="59"/>
      <c r="DG593" s="59"/>
      <c r="DH593" s="59"/>
      <c r="DI593" s="59"/>
      <c r="DJ593" s="59"/>
      <c r="DK593" s="59"/>
      <c r="DL593" s="59"/>
      <c r="DM593" s="59"/>
      <c r="DN593" s="59"/>
      <c r="DO593" s="59"/>
      <c r="DP593" s="59"/>
      <c r="DQ593" s="59"/>
      <c r="DR593" s="59"/>
      <c r="DS593" s="59"/>
      <c r="DT593" s="59"/>
      <c r="DU593" s="59"/>
      <c r="DV593" s="59"/>
      <c r="DW593" s="59"/>
      <c r="DX593" s="59"/>
      <c r="DY593" s="59"/>
      <c r="DZ593" s="59"/>
      <c r="EA593" s="59"/>
    </row>
    <row r="594" spans="1:131" s="60" customFormat="1" ht="16.5" customHeight="1" hidden="1">
      <c r="A594" s="135" t="s">
        <v>152</v>
      </c>
      <c r="B594" s="90"/>
      <c r="C594" s="90"/>
      <c r="D594" s="255">
        <v>12</v>
      </c>
      <c r="E594" s="255"/>
      <c r="F594" s="255">
        <f>D594</f>
        <v>12</v>
      </c>
      <c r="G594" s="255">
        <v>12</v>
      </c>
      <c r="H594" s="255"/>
      <c r="I594" s="255"/>
      <c r="J594" s="255">
        <f t="shared" si="40"/>
        <v>12</v>
      </c>
      <c r="K594" s="91"/>
      <c r="L594" s="91"/>
      <c r="M594" s="91"/>
      <c r="N594" s="207"/>
      <c r="O594" s="207"/>
      <c r="P594" s="207"/>
      <c r="Q594" s="59"/>
      <c r="R594" s="364"/>
      <c r="S594" s="364"/>
      <c r="T594" s="364"/>
      <c r="U594" s="364"/>
      <c r="V594" s="364"/>
      <c r="W594" s="364"/>
      <c r="X594" s="364"/>
      <c r="Y594" s="364"/>
      <c r="Z594" s="364"/>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c r="BO594" s="59"/>
      <c r="BP594" s="59"/>
      <c r="BQ594" s="59"/>
      <c r="BR594" s="59"/>
      <c r="BS594" s="59"/>
      <c r="BT594" s="59"/>
      <c r="BU594" s="59"/>
      <c r="BV594" s="59"/>
      <c r="BW594" s="59"/>
      <c r="BX594" s="59"/>
      <c r="BY594" s="59"/>
      <c r="BZ594" s="59"/>
      <c r="CA594" s="59"/>
      <c r="CB594" s="59"/>
      <c r="CC594" s="59"/>
      <c r="CD594" s="59"/>
      <c r="CE594" s="59"/>
      <c r="CF594" s="59"/>
      <c r="CG594" s="59"/>
      <c r="CH594" s="59"/>
      <c r="CI594" s="59"/>
      <c r="CJ594" s="59"/>
      <c r="CK594" s="59"/>
      <c r="CL594" s="59"/>
      <c r="CM594" s="59"/>
      <c r="CN594" s="59"/>
      <c r="CO594" s="59"/>
      <c r="CP594" s="59"/>
      <c r="CQ594" s="59"/>
      <c r="CR594" s="59"/>
      <c r="CS594" s="59"/>
      <c r="CT594" s="59"/>
      <c r="CU594" s="59"/>
      <c r="CV594" s="59"/>
      <c r="CW594" s="59"/>
      <c r="CX594" s="59"/>
      <c r="CY594" s="59"/>
      <c r="CZ594" s="59"/>
      <c r="DA594" s="59"/>
      <c r="DB594" s="59"/>
      <c r="DC594" s="59"/>
      <c r="DD594" s="59"/>
      <c r="DE594" s="59"/>
      <c r="DF594" s="59"/>
      <c r="DG594" s="59"/>
      <c r="DH594" s="59"/>
      <c r="DI594" s="59"/>
      <c r="DJ594" s="59"/>
      <c r="DK594" s="59"/>
      <c r="DL594" s="59"/>
      <c r="DM594" s="59"/>
      <c r="DN594" s="59"/>
      <c r="DO594" s="59"/>
      <c r="DP594" s="59"/>
      <c r="DQ594" s="59"/>
      <c r="DR594" s="59"/>
      <c r="DS594" s="59"/>
      <c r="DT594" s="59"/>
      <c r="DU594" s="59"/>
      <c r="DV594" s="59"/>
      <c r="DW594" s="59"/>
      <c r="DX594" s="59"/>
      <c r="DY594" s="59"/>
      <c r="DZ594" s="59"/>
      <c r="EA594" s="59"/>
    </row>
    <row r="595" spans="1:131" s="60" customFormat="1" ht="15.75" customHeight="1" hidden="1">
      <c r="A595" s="134" t="s">
        <v>374</v>
      </c>
      <c r="B595" s="90"/>
      <c r="C595" s="90"/>
      <c r="D595" s="207"/>
      <c r="E595" s="207"/>
      <c r="F595" s="207"/>
      <c r="G595" s="207"/>
      <c r="H595" s="207"/>
      <c r="I595" s="207"/>
      <c r="J595" s="207"/>
      <c r="K595" s="91"/>
      <c r="L595" s="91"/>
      <c r="M595" s="91"/>
      <c r="N595" s="207"/>
      <c r="O595" s="207"/>
      <c r="P595" s="207"/>
      <c r="Q595" s="59"/>
      <c r="R595" s="364"/>
      <c r="S595" s="364"/>
      <c r="T595" s="364"/>
      <c r="U595" s="364"/>
      <c r="V595" s="364"/>
      <c r="W595" s="364"/>
      <c r="X595" s="364"/>
      <c r="Y595" s="364"/>
      <c r="Z595" s="364"/>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c r="BO595" s="59"/>
      <c r="BP595" s="59"/>
      <c r="BQ595" s="59"/>
      <c r="BR595" s="59"/>
      <c r="BS595" s="59"/>
      <c r="BT595" s="59"/>
      <c r="BU595" s="59"/>
      <c r="BV595" s="59"/>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c r="CY595" s="59"/>
      <c r="CZ595" s="59"/>
      <c r="DA595" s="59"/>
      <c r="DB595" s="59"/>
      <c r="DC595" s="59"/>
      <c r="DD595" s="59"/>
      <c r="DE595" s="59"/>
      <c r="DF595" s="59"/>
      <c r="DG595" s="59"/>
      <c r="DH595" s="59"/>
      <c r="DI595" s="59"/>
      <c r="DJ595" s="59"/>
      <c r="DK595" s="59"/>
      <c r="DL595" s="59"/>
      <c r="DM595" s="59"/>
      <c r="DN595" s="59"/>
      <c r="DO595" s="59"/>
      <c r="DP595" s="59"/>
      <c r="DQ595" s="59"/>
      <c r="DR595" s="59"/>
      <c r="DS595" s="59"/>
      <c r="DT595" s="59"/>
      <c r="DU595" s="59"/>
      <c r="DV595" s="59"/>
      <c r="DW595" s="59"/>
      <c r="DX595" s="59"/>
      <c r="DY595" s="59"/>
      <c r="DZ595" s="59"/>
      <c r="EA595" s="59"/>
    </row>
    <row r="596" spans="1:131" s="60" customFormat="1" ht="12.75" hidden="1">
      <c r="A596" s="135" t="s">
        <v>424</v>
      </c>
      <c r="B596" s="90"/>
      <c r="C596" s="90"/>
      <c r="D596" s="207">
        <f>D592/D594</f>
        <v>141342.83333333334</v>
      </c>
      <c r="E596" s="207"/>
      <c r="F596" s="207">
        <f>D596</f>
        <v>141342.83333333334</v>
      </c>
      <c r="G596" s="207">
        <f>G592/G594</f>
        <v>162548.33333333334</v>
      </c>
      <c r="H596" s="207"/>
      <c r="I596" s="207"/>
      <c r="J596" s="207">
        <f t="shared" si="40"/>
        <v>162548.33333333334</v>
      </c>
      <c r="K596" s="91"/>
      <c r="L596" s="91"/>
      <c r="M596" s="91"/>
      <c r="N596" s="207"/>
      <c r="O596" s="207"/>
      <c r="P596" s="207"/>
      <c r="Q596" s="59"/>
      <c r="R596" s="364"/>
      <c r="S596" s="364"/>
      <c r="T596" s="364"/>
      <c r="U596" s="364"/>
      <c r="V596" s="364"/>
      <c r="W596" s="364"/>
      <c r="X596" s="364"/>
      <c r="Y596" s="364"/>
      <c r="Z596" s="364"/>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c r="CM596" s="59"/>
      <c r="CN596" s="59"/>
      <c r="CO596" s="59"/>
      <c r="CP596" s="59"/>
      <c r="CQ596" s="59"/>
      <c r="CR596" s="59"/>
      <c r="CS596" s="59"/>
      <c r="CT596" s="59"/>
      <c r="CU596" s="59"/>
      <c r="CV596" s="59"/>
      <c r="CW596" s="59"/>
      <c r="CX596" s="59"/>
      <c r="CY596" s="59"/>
      <c r="CZ596" s="59"/>
      <c r="DA596" s="59"/>
      <c r="DB596" s="59"/>
      <c r="DC596" s="59"/>
      <c r="DD596" s="59"/>
      <c r="DE596" s="59"/>
      <c r="DF596" s="59"/>
      <c r="DG596" s="59"/>
      <c r="DH596" s="59"/>
      <c r="DI596" s="59"/>
      <c r="DJ596" s="59"/>
      <c r="DK596" s="59"/>
      <c r="DL596" s="59"/>
      <c r="DM596" s="59"/>
      <c r="DN596" s="59"/>
      <c r="DO596" s="59"/>
      <c r="DP596" s="59"/>
      <c r="DQ596" s="59"/>
      <c r="DR596" s="59"/>
      <c r="DS596" s="59"/>
      <c r="DT596" s="59"/>
      <c r="DU596" s="59"/>
      <c r="DV596" s="59"/>
      <c r="DW596" s="59"/>
      <c r="DX596" s="59"/>
      <c r="DY596" s="59"/>
      <c r="DZ596" s="59"/>
      <c r="EA596" s="59"/>
    </row>
    <row r="597" spans="1:131" s="81" customFormat="1" ht="13.5" hidden="1">
      <c r="A597" s="137" t="s">
        <v>133</v>
      </c>
      <c r="B597" s="146"/>
      <c r="C597" s="146"/>
      <c r="D597" s="206">
        <f>D599</f>
        <v>70100</v>
      </c>
      <c r="E597" s="206"/>
      <c r="F597" s="206">
        <f>F599</f>
        <v>70100</v>
      </c>
      <c r="G597" s="206">
        <f>G599</f>
        <v>525000</v>
      </c>
      <c r="H597" s="206"/>
      <c r="I597" s="206"/>
      <c r="J597" s="206">
        <f t="shared" si="40"/>
        <v>525000</v>
      </c>
      <c r="K597" s="206"/>
      <c r="L597" s="206"/>
      <c r="M597" s="206"/>
      <c r="N597" s="206">
        <f>N599</f>
        <v>365000</v>
      </c>
      <c r="O597" s="206"/>
      <c r="P597" s="206">
        <f>N597+O597</f>
        <v>365000</v>
      </c>
      <c r="Q597" s="80"/>
      <c r="R597" s="363"/>
      <c r="S597" s="363"/>
      <c r="T597" s="363"/>
      <c r="U597" s="363"/>
      <c r="V597" s="363"/>
      <c r="W597" s="363"/>
      <c r="X597" s="363"/>
      <c r="Y597" s="363"/>
      <c r="Z597" s="363"/>
      <c r="AA597" s="80"/>
      <c r="AB597" s="80"/>
      <c r="AC597" s="80"/>
      <c r="AD597" s="80"/>
      <c r="AE597" s="80"/>
      <c r="AF597" s="80"/>
      <c r="AG597" s="80"/>
      <c r="AH597" s="80"/>
      <c r="AI597" s="80"/>
      <c r="AJ597" s="80"/>
      <c r="AK597" s="80"/>
      <c r="AL597" s="80"/>
      <c r="AM597" s="80"/>
      <c r="AN597" s="80"/>
      <c r="AO597" s="80"/>
      <c r="AP597" s="80"/>
      <c r="AQ597" s="80"/>
      <c r="AR597" s="80"/>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c r="BQ597" s="80"/>
      <c r="BR597" s="80"/>
      <c r="BS597" s="80"/>
      <c r="BT597" s="80"/>
      <c r="BU597" s="80"/>
      <c r="BV597" s="80"/>
      <c r="BW597" s="80"/>
      <c r="BX597" s="80"/>
      <c r="BY597" s="80"/>
      <c r="BZ597" s="80"/>
      <c r="CA597" s="80"/>
      <c r="CB597" s="80"/>
      <c r="CC597" s="80"/>
      <c r="CD597" s="80"/>
      <c r="CE597" s="80"/>
      <c r="CF597" s="80"/>
      <c r="CG597" s="80"/>
      <c r="CH597" s="80"/>
      <c r="CI597" s="80"/>
      <c r="CJ597" s="80"/>
      <c r="CK597" s="80"/>
      <c r="CL597" s="80"/>
      <c r="CM597" s="80"/>
      <c r="CN597" s="80"/>
      <c r="CO597" s="80"/>
      <c r="CP597" s="80"/>
      <c r="CQ597" s="80"/>
      <c r="CR597" s="80"/>
      <c r="CS597" s="80"/>
      <c r="CT597" s="80"/>
      <c r="CU597" s="80"/>
      <c r="CV597" s="80"/>
      <c r="CW597" s="80"/>
      <c r="CX597" s="80"/>
      <c r="CY597" s="80"/>
      <c r="CZ597" s="80"/>
      <c r="DA597" s="80"/>
      <c r="DB597" s="80"/>
      <c r="DC597" s="80"/>
      <c r="DD597" s="80"/>
      <c r="DE597" s="80"/>
      <c r="DF597" s="80"/>
      <c r="DG597" s="80"/>
      <c r="DH597" s="80"/>
      <c r="DI597" s="80"/>
      <c r="DJ597" s="80"/>
      <c r="DK597" s="80"/>
      <c r="DL597" s="80"/>
      <c r="DM597" s="80"/>
      <c r="DN597" s="80"/>
      <c r="DO597" s="80"/>
      <c r="DP597" s="80"/>
      <c r="DQ597" s="80"/>
      <c r="DR597" s="80"/>
      <c r="DS597" s="80"/>
      <c r="DT597" s="80"/>
      <c r="DU597" s="80"/>
      <c r="DV597" s="80"/>
      <c r="DW597" s="80"/>
      <c r="DX597" s="80"/>
      <c r="DY597" s="80"/>
      <c r="DZ597" s="80"/>
      <c r="EA597" s="80"/>
    </row>
    <row r="598" spans="1:131" s="60" customFormat="1" ht="12.75" hidden="1">
      <c r="A598" s="134" t="s">
        <v>255</v>
      </c>
      <c r="B598" s="90"/>
      <c r="C598" s="90"/>
      <c r="D598" s="207"/>
      <c r="E598" s="207"/>
      <c r="F598" s="207"/>
      <c r="G598" s="207"/>
      <c r="H598" s="207"/>
      <c r="I598" s="207"/>
      <c r="J598" s="208"/>
      <c r="K598" s="91"/>
      <c r="L598" s="91"/>
      <c r="M598" s="91"/>
      <c r="N598" s="207"/>
      <c r="O598" s="207"/>
      <c r="P598" s="208">
        <f aca="true" t="shared" si="41" ref="P598:P603">N598+O598</f>
        <v>0</v>
      </c>
      <c r="Q598" s="59"/>
      <c r="R598" s="364"/>
      <c r="S598" s="364"/>
      <c r="T598" s="364"/>
      <c r="U598" s="364"/>
      <c r="V598" s="364"/>
      <c r="W598" s="364"/>
      <c r="X598" s="364"/>
      <c r="Y598" s="364"/>
      <c r="Z598" s="364"/>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c r="BO598" s="59"/>
      <c r="BP598" s="59"/>
      <c r="BQ598" s="59"/>
      <c r="BR598" s="59"/>
      <c r="BS598" s="59"/>
      <c r="BT598" s="59"/>
      <c r="BU598" s="59"/>
      <c r="BV598" s="59"/>
      <c r="BW598" s="59"/>
      <c r="BX598" s="59"/>
      <c r="BY598" s="59"/>
      <c r="BZ598" s="59"/>
      <c r="CA598" s="59"/>
      <c r="CB598" s="59"/>
      <c r="CC598" s="59"/>
      <c r="CD598" s="59"/>
      <c r="CE598" s="59"/>
      <c r="CF598" s="59"/>
      <c r="CG598" s="59"/>
      <c r="CH598" s="59"/>
      <c r="CI598" s="59"/>
      <c r="CJ598" s="59"/>
      <c r="CK598" s="59"/>
      <c r="CL598" s="59"/>
      <c r="CM598" s="59"/>
      <c r="CN598" s="59"/>
      <c r="CO598" s="59"/>
      <c r="CP598" s="59"/>
      <c r="CQ598" s="59"/>
      <c r="CR598" s="59"/>
      <c r="CS598" s="59"/>
      <c r="CT598" s="59"/>
      <c r="CU598" s="59"/>
      <c r="CV598" s="59"/>
      <c r="CW598" s="59"/>
      <c r="CX598" s="59"/>
      <c r="CY598" s="59"/>
      <c r="CZ598" s="59"/>
      <c r="DA598" s="59"/>
      <c r="DB598" s="59"/>
      <c r="DC598" s="59"/>
      <c r="DD598" s="59"/>
      <c r="DE598" s="59"/>
      <c r="DF598" s="59"/>
      <c r="DG598" s="59"/>
      <c r="DH598" s="59"/>
      <c r="DI598" s="59"/>
      <c r="DJ598" s="59"/>
      <c r="DK598" s="59"/>
      <c r="DL598" s="59"/>
      <c r="DM598" s="59"/>
      <c r="DN598" s="59"/>
      <c r="DO598" s="59"/>
      <c r="DP598" s="59"/>
      <c r="DQ598" s="59"/>
      <c r="DR598" s="59"/>
      <c r="DS598" s="59"/>
      <c r="DT598" s="59"/>
      <c r="DU598" s="59"/>
      <c r="DV598" s="59"/>
      <c r="DW598" s="59"/>
      <c r="DX598" s="59"/>
      <c r="DY598" s="59"/>
      <c r="DZ598" s="59"/>
      <c r="EA598" s="59"/>
    </row>
    <row r="599" spans="1:131" s="60" customFormat="1" ht="12.75" hidden="1">
      <c r="A599" s="135" t="s">
        <v>380</v>
      </c>
      <c r="B599" s="90"/>
      <c r="C599" s="90"/>
      <c r="D599" s="207">
        <f>325000-254900</f>
        <v>70100</v>
      </c>
      <c r="E599" s="207"/>
      <c r="F599" s="207">
        <f>D599</f>
        <v>70100</v>
      </c>
      <c r="G599" s="207">
        <f>345000+180000</f>
        <v>525000</v>
      </c>
      <c r="H599" s="207"/>
      <c r="I599" s="207"/>
      <c r="J599" s="208">
        <f>G599+H599</f>
        <v>525000</v>
      </c>
      <c r="K599" s="91"/>
      <c r="L599" s="91"/>
      <c r="M599" s="91"/>
      <c r="N599" s="207">
        <v>365000</v>
      </c>
      <c r="O599" s="207"/>
      <c r="P599" s="208">
        <f t="shared" si="41"/>
        <v>365000</v>
      </c>
      <c r="Q599" s="59"/>
      <c r="R599" s="364"/>
      <c r="S599" s="364"/>
      <c r="T599" s="364"/>
      <c r="U599" s="364"/>
      <c r="V599" s="364"/>
      <c r="W599" s="364"/>
      <c r="X599" s="364"/>
      <c r="Y599" s="364"/>
      <c r="Z599" s="364"/>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c r="DL599" s="59"/>
      <c r="DM599" s="59"/>
      <c r="DN599" s="59"/>
      <c r="DO599" s="59"/>
      <c r="DP599" s="59"/>
      <c r="DQ599" s="59"/>
      <c r="DR599" s="59"/>
      <c r="DS599" s="59"/>
      <c r="DT599" s="59"/>
      <c r="DU599" s="59"/>
      <c r="DV599" s="59"/>
      <c r="DW599" s="59"/>
      <c r="DX599" s="59"/>
      <c r="DY599" s="59"/>
      <c r="DZ599" s="59"/>
      <c r="EA599" s="59"/>
    </row>
    <row r="600" spans="1:131" s="60" customFormat="1" ht="12.75" hidden="1">
      <c r="A600" s="134" t="s">
        <v>412</v>
      </c>
      <c r="B600" s="90"/>
      <c r="C600" s="90"/>
      <c r="D600" s="207"/>
      <c r="E600" s="207"/>
      <c r="F600" s="207"/>
      <c r="G600" s="207"/>
      <c r="H600" s="207"/>
      <c r="I600" s="207"/>
      <c r="J600" s="208"/>
      <c r="K600" s="91"/>
      <c r="L600" s="91"/>
      <c r="M600" s="91"/>
      <c r="N600" s="207"/>
      <c r="O600" s="207"/>
      <c r="P600" s="208">
        <f t="shared" si="41"/>
        <v>0</v>
      </c>
      <c r="Q600" s="59"/>
      <c r="R600" s="364"/>
      <c r="S600" s="364"/>
      <c r="T600" s="364"/>
      <c r="U600" s="364"/>
      <c r="V600" s="364"/>
      <c r="W600" s="364"/>
      <c r="X600" s="364"/>
      <c r="Y600" s="364"/>
      <c r="Z600" s="364"/>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c r="BO600" s="59"/>
      <c r="BP600" s="59"/>
      <c r="BQ600" s="59"/>
      <c r="BR600" s="59"/>
      <c r="BS600" s="59"/>
      <c r="BT600" s="59"/>
      <c r="BU600" s="59"/>
      <c r="BV600" s="59"/>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c r="CY600" s="59"/>
      <c r="CZ600" s="59"/>
      <c r="DA600" s="59"/>
      <c r="DB600" s="59"/>
      <c r="DC600" s="59"/>
      <c r="DD600" s="59"/>
      <c r="DE600" s="59"/>
      <c r="DF600" s="59"/>
      <c r="DG600" s="59"/>
      <c r="DH600" s="59"/>
      <c r="DI600" s="59"/>
      <c r="DJ600" s="59"/>
      <c r="DK600" s="59"/>
      <c r="DL600" s="59"/>
      <c r="DM600" s="59"/>
      <c r="DN600" s="59"/>
      <c r="DO600" s="59"/>
      <c r="DP600" s="59"/>
      <c r="DQ600" s="59"/>
      <c r="DR600" s="59"/>
      <c r="DS600" s="59"/>
      <c r="DT600" s="59"/>
      <c r="DU600" s="59"/>
      <c r="DV600" s="59"/>
      <c r="DW600" s="59"/>
      <c r="DX600" s="59"/>
      <c r="DY600" s="59"/>
      <c r="DZ600" s="59"/>
      <c r="EA600" s="59"/>
    </row>
    <row r="601" spans="1:131" s="60" customFormat="1" ht="16.5" customHeight="1" hidden="1">
      <c r="A601" s="135" t="s">
        <v>423</v>
      </c>
      <c r="B601" s="90"/>
      <c r="C601" s="90"/>
      <c r="D601" s="255">
        <v>2</v>
      </c>
      <c r="E601" s="255"/>
      <c r="F601" s="255">
        <f>D601</f>
        <v>2</v>
      </c>
      <c r="G601" s="255">
        <v>2</v>
      </c>
      <c r="H601" s="255"/>
      <c r="I601" s="255"/>
      <c r="J601" s="313">
        <f>G601+H601</f>
        <v>2</v>
      </c>
      <c r="K601" s="314"/>
      <c r="L601" s="314"/>
      <c r="M601" s="314"/>
      <c r="N601" s="255">
        <v>2</v>
      </c>
      <c r="O601" s="255"/>
      <c r="P601" s="313">
        <f t="shared" si="41"/>
        <v>2</v>
      </c>
      <c r="Q601" s="59"/>
      <c r="R601" s="364"/>
      <c r="S601" s="364"/>
      <c r="T601" s="364"/>
      <c r="U601" s="364"/>
      <c r="V601" s="364"/>
      <c r="W601" s="364"/>
      <c r="X601" s="364"/>
      <c r="Y601" s="364"/>
      <c r="Z601" s="364"/>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59"/>
      <c r="BP601" s="59"/>
      <c r="BQ601" s="59"/>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c r="DL601" s="59"/>
      <c r="DM601" s="59"/>
      <c r="DN601" s="59"/>
      <c r="DO601" s="59"/>
      <c r="DP601" s="59"/>
      <c r="DQ601" s="59"/>
      <c r="DR601" s="59"/>
      <c r="DS601" s="59"/>
      <c r="DT601" s="59"/>
      <c r="DU601" s="59"/>
      <c r="DV601" s="59"/>
      <c r="DW601" s="59"/>
      <c r="DX601" s="59"/>
      <c r="DY601" s="59"/>
      <c r="DZ601" s="59"/>
      <c r="EA601" s="59"/>
    </row>
    <row r="602" spans="1:131" s="60" customFormat="1" ht="12.75" hidden="1">
      <c r="A602" s="134" t="s">
        <v>374</v>
      </c>
      <c r="B602" s="90"/>
      <c r="C602" s="90"/>
      <c r="D602" s="207"/>
      <c r="E602" s="207"/>
      <c r="F602" s="207"/>
      <c r="G602" s="207"/>
      <c r="H602" s="207"/>
      <c r="I602" s="207"/>
      <c r="J602" s="208"/>
      <c r="K602" s="91"/>
      <c r="L602" s="91"/>
      <c r="M602" s="91"/>
      <c r="N602" s="207"/>
      <c r="O602" s="207"/>
      <c r="P602" s="208">
        <f t="shared" si="41"/>
        <v>0</v>
      </c>
      <c r="Q602" s="59"/>
      <c r="R602" s="364"/>
      <c r="S602" s="364"/>
      <c r="T602" s="364"/>
      <c r="U602" s="364"/>
      <c r="V602" s="364"/>
      <c r="W602" s="364"/>
      <c r="X602" s="364"/>
      <c r="Y602" s="364"/>
      <c r="Z602" s="364"/>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c r="BO602" s="59"/>
      <c r="BP602" s="59"/>
      <c r="BQ602" s="59"/>
      <c r="BR602" s="59"/>
      <c r="BS602" s="59"/>
      <c r="BT602" s="59"/>
      <c r="BU602" s="59"/>
      <c r="BV602" s="59"/>
      <c r="BW602" s="59"/>
      <c r="BX602" s="59"/>
      <c r="BY602" s="59"/>
      <c r="BZ602" s="59"/>
      <c r="CA602" s="59"/>
      <c r="CB602" s="59"/>
      <c r="CC602" s="59"/>
      <c r="CD602" s="59"/>
      <c r="CE602" s="59"/>
      <c r="CF602" s="59"/>
      <c r="CG602" s="59"/>
      <c r="CH602" s="59"/>
      <c r="CI602" s="59"/>
      <c r="CJ602" s="59"/>
      <c r="CK602" s="59"/>
      <c r="CL602" s="59"/>
      <c r="CM602" s="59"/>
      <c r="CN602" s="59"/>
      <c r="CO602" s="59"/>
      <c r="CP602" s="59"/>
      <c r="CQ602" s="59"/>
      <c r="CR602" s="59"/>
      <c r="CS602" s="59"/>
      <c r="CT602" s="59"/>
      <c r="CU602" s="59"/>
      <c r="CV602" s="59"/>
      <c r="CW602" s="59"/>
      <c r="CX602" s="59"/>
      <c r="CY602" s="59"/>
      <c r="CZ602" s="59"/>
      <c r="DA602" s="59"/>
      <c r="DB602" s="59"/>
      <c r="DC602" s="59"/>
      <c r="DD602" s="59"/>
      <c r="DE602" s="59"/>
      <c r="DF602" s="59"/>
      <c r="DG602" s="59"/>
      <c r="DH602" s="59"/>
      <c r="DI602" s="59"/>
      <c r="DJ602" s="59"/>
      <c r="DK602" s="59"/>
      <c r="DL602" s="59"/>
      <c r="DM602" s="59"/>
      <c r="DN602" s="59"/>
      <c r="DO602" s="59"/>
      <c r="DP602" s="59"/>
      <c r="DQ602" s="59"/>
      <c r="DR602" s="59"/>
      <c r="DS602" s="59"/>
      <c r="DT602" s="59"/>
      <c r="DU602" s="59"/>
      <c r="DV602" s="59"/>
      <c r="DW602" s="59"/>
      <c r="DX602" s="59"/>
      <c r="DY602" s="59"/>
      <c r="DZ602" s="59"/>
      <c r="EA602" s="59"/>
    </row>
    <row r="603" spans="1:131" s="60" customFormat="1" ht="19.5" customHeight="1" hidden="1">
      <c r="A603" s="135" t="s">
        <v>424</v>
      </c>
      <c r="B603" s="90"/>
      <c r="C603" s="90"/>
      <c r="D603" s="207">
        <f>D599/D601</f>
        <v>35050</v>
      </c>
      <c r="E603" s="207"/>
      <c r="F603" s="207">
        <f>D603</f>
        <v>35050</v>
      </c>
      <c r="G603" s="207">
        <f>G599/G601</f>
        <v>262500</v>
      </c>
      <c r="H603" s="207"/>
      <c r="I603" s="207"/>
      <c r="J603" s="208">
        <f>G603+H603</f>
        <v>262500</v>
      </c>
      <c r="K603" s="91"/>
      <c r="L603" s="91"/>
      <c r="M603" s="91"/>
      <c r="N603" s="207">
        <f>N599/N601</f>
        <v>182500</v>
      </c>
      <c r="O603" s="207"/>
      <c r="P603" s="208">
        <f t="shared" si="41"/>
        <v>182500</v>
      </c>
      <c r="Q603" s="59"/>
      <c r="R603" s="364"/>
      <c r="S603" s="364"/>
      <c r="T603" s="364"/>
      <c r="U603" s="364"/>
      <c r="V603" s="364"/>
      <c r="W603" s="364"/>
      <c r="X603" s="364"/>
      <c r="Y603" s="364"/>
      <c r="Z603" s="364"/>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c r="BO603" s="59"/>
      <c r="BP603" s="59"/>
      <c r="BQ603" s="59"/>
      <c r="BR603" s="59"/>
      <c r="BS603" s="59"/>
      <c r="BT603" s="59"/>
      <c r="BU603" s="59"/>
      <c r="BV603" s="59"/>
      <c r="BW603" s="59"/>
      <c r="BX603" s="59"/>
      <c r="BY603" s="59"/>
      <c r="BZ603" s="59"/>
      <c r="CA603" s="59"/>
      <c r="CB603" s="59"/>
      <c r="CC603" s="59"/>
      <c r="CD603" s="59"/>
      <c r="CE603" s="59"/>
      <c r="CF603" s="59"/>
      <c r="CG603" s="59"/>
      <c r="CH603" s="59"/>
      <c r="CI603" s="59"/>
      <c r="CJ603" s="59"/>
      <c r="CK603" s="59"/>
      <c r="CL603" s="59"/>
      <c r="CM603" s="59"/>
      <c r="CN603" s="59"/>
      <c r="CO603" s="59"/>
      <c r="CP603" s="59"/>
      <c r="CQ603" s="59"/>
      <c r="CR603" s="59"/>
      <c r="CS603" s="59"/>
      <c r="CT603" s="59"/>
      <c r="CU603" s="59"/>
      <c r="CV603" s="59"/>
      <c r="CW603" s="59"/>
      <c r="CX603" s="59"/>
      <c r="CY603" s="59"/>
      <c r="CZ603" s="59"/>
      <c r="DA603" s="59"/>
      <c r="DB603" s="59"/>
      <c r="DC603" s="59"/>
      <c r="DD603" s="59"/>
      <c r="DE603" s="59"/>
      <c r="DF603" s="59"/>
      <c r="DG603" s="59"/>
      <c r="DH603" s="59"/>
      <c r="DI603" s="59"/>
      <c r="DJ603" s="59"/>
      <c r="DK603" s="59"/>
      <c r="DL603" s="59"/>
      <c r="DM603" s="59"/>
      <c r="DN603" s="59"/>
      <c r="DO603" s="59"/>
      <c r="DP603" s="59"/>
      <c r="DQ603" s="59"/>
      <c r="DR603" s="59"/>
      <c r="DS603" s="59"/>
      <c r="DT603" s="59"/>
      <c r="DU603" s="59"/>
      <c r="DV603" s="59"/>
      <c r="DW603" s="59"/>
      <c r="DX603" s="59"/>
      <c r="DY603" s="59"/>
      <c r="DZ603" s="59"/>
      <c r="EA603" s="59"/>
    </row>
    <row r="604" spans="1:137" s="36" customFormat="1" ht="13.5" hidden="1">
      <c r="A604" s="138" t="s">
        <v>134</v>
      </c>
      <c r="B604" s="163"/>
      <c r="C604" s="163"/>
      <c r="D604" s="169">
        <f>D606</f>
        <v>48000</v>
      </c>
      <c r="E604" s="169"/>
      <c r="F604" s="169">
        <f>D604</f>
        <v>48000</v>
      </c>
      <c r="G604" s="169">
        <f>G606</f>
        <v>60000</v>
      </c>
      <c r="H604" s="169"/>
      <c r="I604" s="169"/>
      <c r="J604" s="169">
        <f>G604</f>
        <v>60000</v>
      </c>
      <c r="K604" s="169"/>
      <c r="L604" s="169"/>
      <c r="M604" s="169"/>
      <c r="N604" s="169">
        <f>N606</f>
        <v>65000</v>
      </c>
      <c r="O604" s="169"/>
      <c r="P604" s="169">
        <f>N604</f>
        <v>65000</v>
      </c>
      <c r="R604" s="274"/>
      <c r="S604" s="274"/>
      <c r="T604" s="274"/>
      <c r="U604" s="274"/>
      <c r="V604" s="274"/>
      <c r="W604" s="274"/>
      <c r="X604" s="274"/>
      <c r="Y604" s="274"/>
      <c r="Z604" s="274"/>
      <c r="EB604" s="37"/>
      <c r="EC604" s="37"/>
      <c r="ED604" s="37"/>
      <c r="EE604" s="37"/>
      <c r="EF604" s="37"/>
      <c r="EG604" s="37"/>
    </row>
    <row r="605" spans="1:137" s="61" customFormat="1" ht="12.75" hidden="1">
      <c r="A605" s="134" t="s">
        <v>255</v>
      </c>
      <c r="B605" s="97"/>
      <c r="C605" s="97"/>
      <c r="D605" s="162"/>
      <c r="E605" s="162"/>
      <c r="F605" s="162"/>
      <c r="G605" s="162"/>
      <c r="H605" s="162"/>
      <c r="I605" s="162"/>
      <c r="J605" s="162"/>
      <c r="K605" s="162"/>
      <c r="L605" s="162"/>
      <c r="M605" s="162"/>
      <c r="N605" s="162"/>
      <c r="O605" s="162"/>
      <c r="P605" s="162"/>
      <c r="R605" s="274"/>
      <c r="S605" s="274"/>
      <c r="T605" s="274"/>
      <c r="U605" s="274"/>
      <c r="V605" s="274"/>
      <c r="W605" s="274"/>
      <c r="X605" s="274"/>
      <c r="Y605" s="274"/>
      <c r="Z605" s="274"/>
      <c r="EB605" s="62"/>
      <c r="EC605" s="62"/>
      <c r="ED605" s="62"/>
      <c r="EE605" s="62"/>
      <c r="EF605" s="62"/>
      <c r="EG605" s="62"/>
    </row>
    <row r="606" spans="1:137" s="61" customFormat="1" ht="25.5" hidden="1">
      <c r="A606" s="139" t="s">
        <v>9</v>
      </c>
      <c r="B606" s="97"/>
      <c r="C606" s="97"/>
      <c r="D606" s="162">
        <f>55000-7000</f>
        <v>48000</v>
      </c>
      <c r="E606" s="162"/>
      <c r="F606" s="162">
        <f>D606</f>
        <v>48000</v>
      </c>
      <c r="G606" s="162">
        <v>60000</v>
      </c>
      <c r="H606" s="162"/>
      <c r="I606" s="162"/>
      <c r="J606" s="162">
        <f>G606</f>
        <v>60000</v>
      </c>
      <c r="K606" s="162"/>
      <c r="L606" s="162"/>
      <c r="M606" s="162"/>
      <c r="N606" s="162">
        <v>65000</v>
      </c>
      <c r="O606" s="162"/>
      <c r="P606" s="162">
        <f>N606</f>
        <v>65000</v>
      </c>
      <c r="R606" s="274"/>
      <c r="S606" s="274"/>
      <c r="T606" s="274"/>
      <c r="U606" s="274"/>
      <c r="V606" s="274"/>
      <c r="W606" s="274"/>
      <c r="X606" s="274"/>
      <c r="Y606" s="274"/>
      <c r="Z606" s="274"/>
      <c r="EB606" s="62"/>
      <c r="EC606" s="62"/>
      <c r="ED606" s="62"/>
      <c r="EE606" s="62"/>
      <c r="EF606" s="62"/>
      <c r="EG606" s="62"/>
    </row>
    <row r="607" spans="1:137" s="61" customFormat="1" ht="12.75" hidden="1">
      <c r="A607" s="140" t="s">
        <v>412</v>
      </c>
      <c r="B607" s="97"/>
      <c r="C607" s="97"/>
      <c r="D607" s="162"/>
      <c r="E607" s="162"/>
      <c r="F607" s="162"/>
      <c r="G607" s="162"/>
      <c r="H607" s="162"/>
      <c r="I607" s="162"/>
      <c r="J607" s="162"/>
      <c r="K607" s="162"/>
      <c r="L607" s="162"/>
      <c r="M607" s="162"/>
      <c r="N607" s="162"/>
      <c r="O607" s="162"/>
      <c r="P607" s="162"/>
      <c r="R607" s="274"/>
      <c r="S607" s="274"/>
      <c r="T607" s="274"/>
      <c r="U607" s="274"/>
      <c r="V607" s="274"/>
      <c r="W607" s="274"/>
      <c r="X607" s="274"/>
      <c r="Y607" s="274"/>
      <c r="Z607" s="274"/>
      <c r="EB607" s="62"/>
      <c r="EC607" s="62"/>
      <c r="ED607" s="62"/>
      <c r="EE607" s="62"/>
      <c r="EF607" s="62"/>
      <c r="EG607" s="62"/>
    </row>
    <row r="608" spans="1:137" s="61" customFormat="1" ht="32.25" customHeight="1" hidden="1">
      <c r="A608" s="139" t="s">
        <v>153</v>
      </c>
      <c r="B608" s="97"/>
      <c r="C608" s="97"/>
      <c r="D608" s="170">
        <v>12</v>
      </c>
      <c r="E608" s="170"/>
      <c r="F608" s="170">
        <f>D608</f>
        <v>12</v>
      </c>
      <c r="G608" s="170">
        <v>12</v>
      </c>
      <c r="H608" s="170"/>
      <c r="I608" s="170"/>
      <c r="J608" s="170">
        <f>G608</f>
        <v>12</v>
      </c>
      <c r="K608" s="170"/>
      <c r="L608" s="170"/>
      <c r="M608" s="170"/>
      <c r="N608" s="170">
        <v>12</v>
      </c>
      <c r="O608" s="170"/>
      <c r="P608" s="170">
        <f>N608</f>
        <v>12</v>
      </c>
      <c r="R608" s="274"/>
      <c r="S608" s="274"/>
      <c r="T608" s="274"/>
      <c r="U608" s="274"/>
      <c r="V608" s="274"/>
      <c r="W608" s="274"/>
      <c r="X608" s="274"/>
      <c r="Y608" s="274"/>
      <c r="Z608" s="274"/>
      <c r="EB608" s="62"/>
      <c r="EC608" s="62"/>
      <c r="ED608" s="62"/>
      <c r="EE608" s="62"/>
      <c r="EF608" s="62"/>
      <c r="EG608" s="62"/>
    </row>
    <row r="609" spans="1:137" s="61" customFormat="1" ht="12.75" hidden="1">
      <c r="A609" s="140" t="s">
        <v>374</v>
      </c>
      <c r="B609" s="97"/>
      <c r="C609" s="97"/>
      <c r="D609" s="162"/>
      <c r="E609" s="162"/>
      <c r="F609" s="162"/>
      <c r="G609" s="162"/>
      <c r="H609" s="162"/>
      <c r="I609" s="162"/>
      <c r="J609" s="162"/>
      <c r="K609" s="162"/>
      <c r="L609" s="162"/>
      <c r="M609" s="162"/>
      <c r="N609" s="162"/>
      <c r="O609" s="162"/>
      <c r="P609" s="162"/>
      <c r="R609" s="274"/>
      <c r="S609" s="274"/>
      <c r="T609" s="274"/>
      <c r="U609" s="274"/>
      <c r="V609" s="274"/>
      <c r="W609" s="274"/>
      <c r="X609" s="274"/>
      <c r="Y609" s="274"/>
      <c r="Z609" s="274"/>
      <c r="EB609" s="62"/>
      <c r="EC609" s="62"/>
      <c r="ED609" s="62"/>
      <c r="EE609" s="62"/>
      <c r="EF609" s="62"/>
      <c r="EG609" s="62"/>
    </row>
    <row r="610" spans="1:137" s="61" customFormat="1" ht="32.25" customHeight="1" hidden="1">
      <c r="A610" s="139" t="s">
        <v>10</v>
      </c>
      <c r="B610" s="97"/>
      <c r="C610" s="97"/>
      <c r="D610" s="162">
        <f>D606/D608</f>
        <v>4000</v>
      </c>
      <c r="E610" s="162"/>
      <c r="F610" s="162">
        <f>D610</f>
        <v>4000</v>
      </c>
      <c r="G610" s="162">
        <f>G606/G608</f>
        <v>5000</v>
      </c>
      <c r="H610" s="162"/>
      <c r="I610" s="162"/>
      <c r="J610" s="162">
        <f>G610</f>
        <v>5000</v>
      </c>
      <c r="K610" s="162"/>
      <c r="L610" s="162"/>
      <c r="M610" s="162"/>
      <c r="N610" s="162">
        <f>N606/N608</f>
        <v>5416.666666666667</v>
      </c>
      <c r="O610" s="162"/>
      <c r="P610" s="162">
        <f>N610</f>
        <v>5416.666666666667</v>
      </c>
      <c r="R610" s="274"/>
      <c r="S610" s="274"/>
      <c r="T610" s="274"/>
      <c r="U610" s="274"/>
      <c r="V610" s="274"/>
      <c r="W610" s="274"/>
      <c r="X610" s="274"/>
      <c r="Y610" s="274"/>
      <c r="Z610" s="274"/>
      <c r="EB610" s="62"/>
      <c r="EC610" s="62"/>
      <c r="ED610" s="62"/>
      <c r="EE610" s="62"/>
      <c r="EF610" s="62"/>
      <c r="EG610" s="62"/>
    </row>
    <row r="611" spans="1:137" s="61" customFormat="1" ht="12.75" hidden="1">
      <c r="A611" s="140" t="s">
        <v>501</v>
      </c>
      <c r="B611" s="97"/>
      <c r="C611" s="97"/>
      <c r="D611" s="162"/>
      <c r="E611" s="162"/>
      <c r="F611" s="162"/>
      <c r="G611" s="162"/>
      <c r="H611" s="162"/>
      <c r="I611" s="162"/>
      <c r="J611" s="162"/>
      <c r="K611" s="162"/>
      <c r="L611" s="162"/>
      <c r="M611" s="162"/>
      <c r="N611" s="162"/>
      <c r="O611" s="162"/>
      <c r="P611" s="162"/>
      <c r="R611" s="274"/>
      <c r="S611" s="274"/>
      <c r="T611" s="274"/>
      <c r="U611" s="274"/>
      <c r="V611" s="274"/>
      <c r="W611" s="274"/>
      <c r="X611" s="274"/>
      <c r="Y611" s="274"/>
      <c r="Z611" s="274"/>
      <c r="EB611" s="62"/>
      <c r="EC611" s="62"/>
      <c r="ED611" s="62"/>
      <c r="EE611" s="62"/>
      <c r="EF611" s="62"/>
      <c r="EG611" s="62"/>
    </row>
    <row r="612" spans="1:137" s="61" customFormat="1" ht="32.25" customHeight="1" hidden="1">
      <c r="A612" s="139" t="s">
        <v>11</v>
      </c>
      <c r="B612" s="97"/>
      <c r="C612" s="97"/>
      <c r="D612" s="162"/>
      <c r="E612" s="162"/>
      <c r="F612" s="162"/>
      <c r="G612" s="162">
        <f>G610/D610*100</f>
        <v>125</v>
      </c>
      <c r="H612" s="162"/>
      <c r="I612" s="162"/>
      <c r="J612" s="162">
        <f>G612</f>
        <v>125</v>
      </c>
      <c r="K612" s="162"/>
      <c r="L612" s="162"/>
      <c r="M612" s="162"/>
      <c r="N612" s="162">
        <f>N610/G610*100</f>
        <v>108.33333333333334</v>
      </c>
      <c r="O612" s="162"/>
      <c r="P612" s="162">
        <f>N612</f>
        <v>108.33333333333334</v>
      </c>
      <c r="R612" s="274"/>
      <c r="S612" s="274"/>
      <c r="T612" s="274"/>
      <c r="U612" s="274"/>
      <c r="V612" s="274"/>
      <c r="W612" s="274"/>
      <c r="X612" s="274"/>
      <c r="Y612" s="274"/>
      <c r="Z612" s="274"/>
      <c r="EB612" s="62"/>
      <c r="EC612" s="62"/>
      <c r="ED612" s="62"/>
      <c r="EE612" s="62"/>
      <c r="EF612" s="62"/>
      <c r="EG612" s="62"/>
    </row>
    <row r="613" spans="1:137" s="61" customFormat="1" ht="27" hidden="1">
      <c r="A613" s="141" t="s">
        <v>521</v>
      </c>
      <c r="B613" s="209"/>
      <c r="C613" s="209"/>
      <c r="D613" s="210">
        <f>D615</f>
        <v>50000</v>
      </c>
      <c r="E613" s="210"/>
      <c r="F613" s="210">
        <f>F615</f>
        <v>50000</v>
      </c>
      <c r="G613" s="211"/>
      <c r="H613" s="211"/>
      <c r="I613" s="211"/>
      <c r="J613" s="211"/>
      <c r="K613" s="211"/>
      <c r="L613" s="211"/>
      <c r="M613" s="211"/>
      <c r="N613" s="211"/>
      <c r="O613" s="211"/>
      <c r="P613" s="211"/>
      <c r="R613" s="274"/>
      <c r="S613" s="274"/>
      <c r="T613" s="274"/>
      <c r="U613" s="274"/>
      <c r="V613" s="274"/>
      <c r="W613" s="274"/>
      <c r="X613" s="274"/>
      <c r="Y613" s="274"/>
      <c r="Z613" s="274"/>
      <c r="EB613" s="62"/>
      <c r="EC613" s="62"/>
      <c r="ED613" s="62"/>
      <c r="EE613" s="62"/>
      <c r="EF613" s="62"/>
      <c r="EG613" s="62"/>
    </row>
    <row r="614" spans="1:137" s="61" customFormat="1" ht="12.75" hidden="1">
      <c r="A614" s="134" t="s">
        <v>255</v>
      </c>
      <c r="B614" s="97"/>
      <c r="C614" s="97"/>
      <c r="D614" s="162"/>
      <c r="E614" s="162"/>
      <c r="F614" s="162"/>
      <c r="G614" s="211"/>
      <c r="H614" s="211"/>
      <c r="I614" s="211"/>
      <c r="J614" s="211"/>
      <c r="K614" s="211"/>
      <c r="L614" s="211"/>
      <c r="M614" s="211"/>
      <c r="N614" s="211"/>
      <c r="O614" s="211"/>
      <c r="P614" s="211"/>
      <c r="R614" s="274"/>
      <c r="S614" s="274"/>
      <c r="T614" s="274"/>
      <c r="U614" s="274"/>
      <c r="V614" s="274"/>
      <c r="W614" s="274"/>
      <c r="X614" s="274"/>
      <c r="Y614" s="274"/>
      <c r="Z614" s="274"/>
      <c r="EB614" s="62"/>
      <c r="EC614" s="62"/>
      <c r="ED614" s="62"/>
      <c r="EE614" s="62"/>
      <c r="EF614" s="62"/>
      <c r="EG614" s="62"/>
    </row>
    <row r="615" spans="1:137" s="61" customFormat="1" ht="31.5" customHeight="1" hidden="1">
      <c r="A615" s="139" t="s">
        <v>522</v>
      </c>
      <c r="B615" s="97"/>
      <c r="C615" s="97"/>
      <c r="D615" s="162">
        <f>0+50000</f>
        <v>50000</v>
      </c>
      <c r="E615" s="162"/>
      <c r="F615" s="162">
        <f>D615</f>
        <v>50000</v>
      </c>
      <c r="G615" s="211"/>
      <c r="H615" s="211"/>
      <c r="I615" s="211"/>
      <c r="J615" s="211"/>
      <c r="K615" s="211"/>
      <c r="L615" s="211"/>
      <c r="M615" s="211"/>
      <c r="N615" s="211"/>
      <c r="O615" s="211"/>
      <c r="P615" s="211"/>
      <c r="R615" s="274"/>
      <c r="S615" s="274"/>
      <c r="T615" s="274"/>
      <c r="U615" s="274"/>
      <c r="V615" s="274"/>
      <c r="W615" s="274"/>
      <c r="X615" s="274"/>
      <c r="Y615" s="274"/>
      <c r="Z615" s="274"/>
      <c r="EB615" s="62"/>
      <c r="EC615" s="62"/>
      <c r="ED615" s="62"/>
      <c r="EE615" s="62"/>
      <c r="EF615" s="62"/>
      <c r="EG615" s="62"/>
    </row>
    <row r="616" spans="1:137" s="61" customFormat="1" ht="12.75" hidden="1">
      <c r="A616" s="140" t="s">
        <v>412</v>
      </c>
      <c r="B616" s="97"/>
      <c r="C616" s="97"/>
      <c r="D616" s="162"/>
      <c r="E616" s="162"/>
      <c r="F616" s="162"/>
      <c r="G616" s="211"/>
      <c r="H616" s="211"/>
      <c r="I616" s="211"/>
      <c r="J616" s="211"/>
      <c r="K616" s="211"/>
      <c r="L616" s="211"/>
      <c r="M616" s="211"/>
      <c r="N616" s="211"/>
      <c r="O616" s="211"/>
      <c r="P616" s="211"/>
      <c r="R616" s="274"/>
      <c r="S616" s="274"/>
      <c r="T616" s="274"/>
      <c r="U616" s="274"/>
      <c r="V616" s="274"/>
      <c r="W616" s="274"/>
      <c r="X616" s="274"/>
      <c r="Y616" s="274"/>
      <c r="Z616" s="274"/>
      <c r="EB616" s="62"/>
      <c r="EC616" s="62"/>
      <c r="ED616" s="62"/>
      <c r="EE616" s="62"/>
      <c r="EF616" s="62"/>
      <c r="EG616" s="62"/>
    </row>
    <row r="617" spans="1:137" s="61" customFormat="1" ht="42" customHeight="1" hidden="1">
      <c r="A617" s="135" t="s">
        <v>523</v>
      </c>
      <c r="B617" s="97"/>
      <c r="C617" s="97"/>
      <c r="D617" s="162">
        <v>100</v>
      </c>
      <c r="E617" s="162"/>
      <c r="F617" s="162">
        <f>D617</f>
        <v>100</v>
      </c>
      <c r="G617" s="211"/>
      <c r="H617" s="211"/>
      <c r="I617" s="211"/>
      <c r="J617" s="211"/>
      <c r="K617" s="211"/>
      <c r="L617" s="211"/>
      <c r="M617" s="211"/>
      <c r="N617" s="211"/>
      <c r="O617" s="211"/>
      <c r="P617" s="211"/>
      <c r="R617" s="274"/>
      <c r="S617" s="274"/>
      <c r="T617" s="274"/>
      <c r="U617" s="274"/>
      <c r="V617" s="274"/>
      <c r="W617" s="274"/>
      <c r="X617" s="274"/>
      <c r="Y617" s="274"/>
      <c r="Z617" s="274"/>
      <c r="EB617" s="62"/>
      <c r="EC617" s="62"/>
      <c r="ED617" s="62"/>
      <c r="EE617" s="62"/>
      <c r="EF617" s="62"/>
      <c r="EG617" s="62"/>
    </row>
    <row r="618" spans="1:137" s="61" customFormat="1" ht="12.75" hidden="1">
      <c r="A618" s="140" t="s">
        <v>374</v>
      </c>
      <c r="B618" s="97"/>
      <c r="C618" s="97"/>
      <c r="D618" s="162"/>
      <c r="E618" s="162"/>
      <c r="F618" s="162"/>
      <c r="G618" s="211"/>
      <c r="H618" s="211"/>
      <c r="I618" s="211"/>
      <c r="J618" s="211"/>
      <c r="K618" s="211"/>
      <c r="L618" s="211"/>
      <c r="M618" s="211"/>
      <c r="N618" s="211"/>
      <c r="O618" s="211"/>
      <c r="P618" s="211"/>
      <c r="R618" s="274"/>
      <c r="S618" s="274"/>
      <c r="T618" s="274"/>
      <c r="U618" s="274"/>
      <c r="V618" s="274"/>
      <c r="W618" s="274"/>
      <c r="X618" s="274"/>
      <c r="Y618" s="274"/>
      <c r="Z618" s="274"/>
      <c r="EB618" s="62"/>
      <c r="EC618" s="62"/>
      <c r="ED618" s="62"/>
      <c r="EE618" s="62"/>
      <c r="EF618" s="62"/>
      <c r="EG618" s="62"/>
    </row>
    <row r="619" spans="1:137" s="61" customFormat="1" ht="30.75" customHeight="1" hidden="1">
      <c r="A619" s="139" t="s">
        <v>524</v>
      </c>
      <c r="B619" s="97"/>
      <c r="C619" s="97"/>
      <c r="D619" s="162">
        <f>D615/D617</f>
        <v>500</v>
      </c>
      <c r="E619" s="162"/>
      <c r="F619" s="162">
        <f>D619</f>
        <v>500</v>
      </c>
      <c r="G619" s="211"/>
      <c r="H619" s="211"/>
      <c r="I619" s="211"/>
      <c r="J619" s="211"/>
      <c r="K619" s="211"/>
      <c r="L619" s="211"/>
      <c r="M619" s="211"/>
      <c r="N619" s="211"/>
      <c r="O619" s="211"/>
      <c r="P619" s="211"/>
      <c r="R619" s="274"/>
      <c r="S619" s="274"/>
      <c r="T619" s="274"/>
      <c r="U619" s="274"/>
      <c r="V619" s="274"/>
      <c r="W619" s="274"/>
      <c r="X619" s="274"/>
      <c r="Y619" s="274"/>
      <c r="Z619" s="274"/>
      <c r="EB619" s="62"/>
      <c r="EC619" s="62"/>
      <c r="ED619" s="62"/>
      <c r="EE619" s="62"/>
      <c r="EF619" s="62"/>
      <c r="EG619" s="62"/>
    </row>
    <row r="620" spans="1:137" s="61" customFormat="1" ht="27" hidden="1">
      <c r="A620" s="138" t="s">
        <v>520</v>
      </c>
      <c r="B620" s="97"/>
      <c r="C620" s="97"/>
      <c r="D620" s="169">
        <f>D622</f>
        <v>29900</v>
      </c>
      <c r="E620" s="169"/>
      <c r="F620" s="169">
        <f>F622</f>
        <v>29900</v>
      </c>
      <c r="G620" s="169">
        <f>G622</f>
        <v>100000</v>
      </c>
      <c r="H620" s="211"/>
      <c r="I620" s="211"/>
      <c r="J620" s="169">
        <f>J622</f>
        <v>100000</v>
      </c>
      <c r="K620" s="211"/>
      <c r="L620" s="211"/>
      <c r="M620" s="211"/>
      <c r="N620" s="211"/>
      <c r="O620" s="211"/>
      <c r="P620" s="211"/>
      <c r="R620" s="274"/>
      <c r="S620" s="274"/>
      <c r="T620" s="274"/>
      <c r="U620" s="274"/>
      <c r="V620" s="274"/>
      <c r="W620" s="274"/>
      <c r="X620" s="274"/>
      <c r="Y620" s="274"/>
      <c r="Z620" s="274"/>
      <c r="EB620" s="62"/>
      <c r="EC620" s="62"/>
      <c r="ED620" s="62"/>
      <c r="EE620" s="62"/>
      <c r="EF620" s="62"/>
      <c r="EG620" s="62"/>
    </row>
    <row r="621" spans="1:137" s="61" customFormat="1" ht="12.75" hidden="1">
      <c r="A621" s="134" t="s">
        <v>255</v>
      </c>
      <c r="B621" s="97"/>
      <c r="C621" s="97"/>
      <c r="D621" s="162"/>
      <c r="E621" s="162"/>
      <c r="F621" s="162"/>
      <c r="G621" s="162"/>
      <c r="H621" s="211"/>
      <c r="I621" s="211"/>
      <c r="J621" s="162"/>
      <c r="K621" s="211"/>
      <c r="L621" s="211"/>
      <c r="M621" s="211"/>
      <c r="N621" s="211"/>
      <c r="O621" s="211"/>
      <c r="P621" s="211"/>
      <c r="R621" s="274"/>
      <c r="S621" s="274"/>
      <c r="T621" s="274"/>
      <c r="U621" s="274"/>
      <c r="V621" s="274"/>
      <c r="W621" s="274"/>
      <c r="X621" s="274"/>
      <c r="Y621" s="274"/>
      <c r="Z621" s="274"/>
      <c r="EB621" s="62"/>
      <c r="EC621" s="62"/>
      <c r="ED621" s="62"/>
      <c r="EE621" s="62"/>
      <c r="EF621" s="62"/>
      <c r="EG621" s="62"/>
    </row>
    <row r="622" spans="1:137" s="61" customFormat="1" ht="25.5" hidden="1">
      <c r="A622" s="139" t="s">
        <v>517</v>
      </c>
      <c r="B622" s="97"/>
      <c r="C622" s="97"/>
      <c r="D622" s="162">
        <v>29900</v>
      </c>
      <c r="E622" s="162"/>
      <c r="F622" s="162">
        <f>D622</f>
        <v>29900</v>
      </c>
      <c r="G622" s="162">
        <v>100000</v>
      </c>
      <c r="H622" s="211"/>
      <c r="I622" s="211"/>
      <c r="J622" s="162">
        <f>G622+H622</f>
        <v>100000</v>
      </c>
      <c r="K622" s="211"/>
      <c r="L622" s="211"/>
      <c r="M622" s="211"/>
      <c r="N622" s="211"/>
      <c r="O622" s="211"/>
      <c r="P622" s="211"/>
      <c r="R622" s="274"/>
      <c r="S622" s="274"/>
      <c r="T622" s="274"/>
      <c r="U622" s="274"/>
      <c r="V622" s="274"/>
      <c r="W622" s="274"/>
      <c r="X622" s="274"/>
      <c r="Y622" s="274"/>
      <c r="Z622" s="274"/>
      <c r="EB622" s="62"/>
      <c r="EC622" s="62"/>
      <c r="ED622" s="62"/>
      <c r="EE622" s="62"/>
      <c r="EF622" s="62"/>
      <c r="EG622" s="62"/>
    </row>
    <row r="623" spans="1:137" s="61" customFormat="1" ht="12.75" hidden="1">
      <c r="A623" s="140" t="s">
        <v>412</v>
      </c>
      <c r="B623" s="97"/>
      <c r="C623" s="97"/>
      <c r="D623" s="162"/>
      <c r="E623" s="162"/>
      <c r="F623" s="162"/>
      <c r="G623" s="162"/>
      <c r="H623" s="211"/>
      <c r="I623" s="211"/>
      <c r="J623" s="162"/>
      <c r="K623" s="211"/>
      <c r="L623" s="211"/>
      <c r="M623" s="211"/>
      <c r="N623" s="211"/>
      <c r="O623" s="211"/>
      <c r="P623" s="211"/>
      <c r="R623" s="274"/>
      <c r="S623" s="274"/>
      <c r="T623" s="274"/>
      <c r="U623" s="274"/>
      <c r="V623" s="274"/>
      <c r="W623" s="274"/>
      <c r="X623" s="274"/>
      <c r="Y623" s="274"/>
      <c r="Z623" s="274"/>
      <c r="EB623" s="62"/>
      <c r="EC623" s="62"/>
      <c r="ED623" s="62"/>
      <c r="EE623" s="62"/>
      <c r="EF623" s="62"/>
      <c r="EG623" s="62"/>
    </row>
    <row r="624" spans="1:137" s="61" customFormat="1" ht="25.5" hidden="1">
      <c r="A624" s="135" t="s">
        <v>518</v>
      </c>
      <c r="B624" s="97"/>
      <c r="C624" s="97"/>
      <c r="D624" s="162">
        <v>4</v>
      </c>
      <c r="E624" s="162"/>
      <c r="F624" s="162">
        <f>D624</f>
        <v>4</v>
      </c>
      <c r="G624" s="162">
        <v>4</v>
      </c>
      <c r="H624" s="211"/>
      <c r="I624" s="211"/>
      <c r="J624" s="162">
        <f>G624+H624</f>
        <v>4</v>
      </c>
      <c r="K624" s="211"/>
      <c r="L624" s="211"/>
      <c r="M624" s="211"/>
      <c r="N624" s="211"/>
      <c r="O624" s="211"/>
      <c r="P624" s="211"/>
      <c r="R624" s="274"/>
      <c r="S624" s="274"/>
      <c r="T624" s="274"/>
      <c r="U624" s="274"/>
      <c r="V624" s="274"/>
      <c r="W624" s="274"/>
      <c r="X624" s="274"/>
      <c r="Y624" s="274"/>
      <c r="Z624" s="274"/>
      <c r="EB624" s="62"/>
      <c r="EC624" s="62"/>
      <c r="ED624" s="62"/>
      <c r="EE624" s="62"/>
      <c r="EF624" s="62"/>
      <c r="EG624" s="62"/>
    </row>
    <row r="625" spans="1:137" s="61" customFormat="1" ht="12.75" hidden="1">
      <c r="A625" s="140" t="s">
        <v>374</v>
      </c>
      <c r="B625" s="97"/>
      <c r="C625" s="97"/>
      <c r="D625" s="162"/>
      <c r="E625" s="162"/>
      <c r="F625" s="162"/>
      <c r="G625" s="162"/>
      <c r="H625" s="211"/>
      <c r="I625" s="211"/>
      <c r="J625" s="162"/>
      <c r="K625" s="211"/>
      <c r="L625" s="211"/>
      <c r="M625" s="211"/>
      <c r="N625" s="211"/>
      <c r="O625" s="211"/>
      <c r="P625" s="211"/>
      <c r="R625" s="274"/>
      <c r="S625" s="274"/>
      <c r="T625" s="274"/>
      <c r="U625" s="274"/>
      <c r="V625" s="274"/>
      <c r="W625" s="274"/>
      <c r="X625" s="274"/>
      <c r="Y625" s="274"/>
      <c r="Z625" s="274"/>
      <c r="EB625" s="62"/>
      <c r="EC625" s="62"/>
      <c r="ED625" s="62"/>
      <c r="EE625" s="62"/>
      <c r="EF625" s="62"/>
      <c r="EG625" s="62"/>
    </row>
    <row r="626" spans="1:137" s="61" customFormat="1" ht="25.5" hidden="1">
      <c r="A626" s="139" t="s">
        <v>519</v>
      </c>
      <c r="B626" s="97"/>
      <c r="C626" s="97"/>
      <c r="D626" s="162">
        <f>D622/D624</f>
        <v>7475</v>
      </c>
      <c r="E626" s="162"/>
      <c r="F626" s="162">
        <f>D626</f>
        <v>7475</v>
      </c>
      <c r="G626" s="162">
        <f>G622/G624</f>
        <v>25000</v>
      </c>
      <c r="H626" s="211"/>
      <c r="I626" s="211"/>
      <c r="J626" s="162">
        <f>G626+H626</f>
        <v>25000</v>
      </c>
      <c r="K626" s="211"/>
      <c r="L626" s="211"/>
      <c r="M626" s="211"/>
      <c r="N626" s="211"/>
      <c r="O626" s="211"/>
      <c r="P626" s="211"/>
      <c r="R626" s="274"/>
      <c r="S626" s="274"/>
      <c r="T626" s="274"/>
      <c r="U626" s="274"/>
      <c r="V626" s="274"/>
      <c r="W626" s="274"/>
      <c r="X626" s="274"/>
      <c r="Y626" s="274"/>
      <c r="Z626" s="274"/>
      <c r="EB626" s="62"/>
      <c r="EC626" s="62"/>
      <c r="ED626" s="62"/>
      <c r="EE626" s="62"/>
      <c r="EF626" s="62"/>
      <c r="EG626" s="62"/>
    </row>
    <row r="627" spans="1:137" s="61" customFormat="1" ht="27" hidden="1">
      <c r="A627" s="138" t="s">
        <v>535</v>
      </c>
      <c r="B627" s="277"/>
      <c r="C627" s="277"/>
      <c r="D627" s="211"/>
      <c r="E627" s="211"/>
      <c r="F627" s="211"/>
      <c r="G627" s="279">
        <f>G629</f>
        <v>1500000</v>
      </c>
      <c r="H627" s="279"/>
      <c r="I627" s="279"/>
      <c r="J627" s="279">
        <f>G627+H627</f>
        <v>1500000</v>
      </c>
      <c r="K627" s="279"/>
      <c r="L627" s="279"/>
      <c r="M627" s="279"/>
      <c r="N627" s="279"/>
      <c r="O627" s="279"/>
      <c r="P627" s="279"/>
      <c r="R627" s="274"/>
      <c r="S627" s="274"/>
      <c r="T627" s="274"/>
      <c r="U627" s="274"/>
      <c r="V627" s="274"/>
      <c r="W627" s="274"/>
      <c r="X627" s="274"/>
      <c r="Y627" s="274"/>
      <c r="Z627" s="274"/>
      <c r="EB627" s="62"/>
      <c r="EC627" s="62"/>
      <c r="ED627" s="62"/>
      <c r="EE627" s="62"/>
      <c r="EF627" s="62"/>
      <c r="EG627" s="62"/>
    </row>
    <row r="628" spans="1:137" s="61" customFormat="1" ht="12.75" hidden="1">
      <c r="A628" s="134" t="s">
        <v>255</v>
      </c>
      <c r="B628" s="277"/>
      <c r="C628" s="277"/>
      <c r="D628" s="211"/>
      <c r="E628" s="211"/>
      <c r="F628" s="211"/>
      <c r="G628" s="211"/>
      <c r="H628" s="211"/>
      <c r="I628" s="211"/>
      <c r="J628" s="211"/>
      <c r="K628" s="211"/>
      <c r="L628" s="211"/>
      <c r="M628" s="211"/>
      <c r="N628" s="211"/>
      <c r="O628" s="211"/>
      <c r="P628" s="211"/>
      <c r="R628" s="274"/>
      <c r="S628" s="274"/>
      <c r="T628" s="274"/>
      <c r="U628" s="274"/>
      <c r="V628" s="274"/>
      <c r="W628" s="274"/>
      <c r="X628" s="274"/>
      <c r="Y628" s="274"/>
      <c r="Z628" s="274"/>
      <c r="EB628" s="62"/>
      <c r="EC628" s="62"/>
      <c r="ED628" s="62"/>
      <c r="EE628" s="62"/>
      <c r="EF628" s="62"/>
      <c r="EG628" s="62"/>
    </row>
    <row r="629" spans="1:137" s="61" customFormat="1" ht="25.5" hidden="1">
      <c r="A629" s="139" t="s">
        <v>536</v>
      </c>
      <c r="B629" s="277"/>
      <c r="C629" s="277"/>
      <c r="D629" s="211"/>
      <c r="E629" s="211"/>
      <c r="F629" s="211"/>
      <c r="G629" s="211">
        <f>0+1500000</f>
        <v>1500000</v>
      </c>
      <c r="H629" s="211"/>
      <c r="I629" s="211"/>
      <c r="J629" s="211">
        <f>G629+H629</f>
        <v>1500000</v>
      </c>
      <c r="K629" s="211"/>
      <c r="L629" s="211"/>
      <c r="M629" s="211"/>
      <c r="N629" s="211"/>
      <c r="O629" s="211"/>
      <c r="P629" s="211"/>
      <c r="R629" s="274"/>
      <c r="S629" s="274"/>
      <c r="T629" s="274"/>
      <c r="U629" s="274"/>
      <c r="V629" s="274"/>
      <c r="W629" s="274"/>
      <c r="X629" s="274"/>
      <c r="Y629" s="274"/>
      <c r="Z629" s="274"/>
      <c r="EB629" s="62"/>
      <c r="EC629" s="62"/>
      <c r="ED629" s="62"/>
      <c r="EE629" s="62"/>
      <c r="EF629" s="62"/>
      <c r="EG629" s="62"/>
    </row>
    <row r="630" spans="1:137" s="61" customFormat="1" ht="12.75" hidden="1">
      <c r="A630" s="140" t="s">
        <v>412</v>
      </c>
      <c r="B630" s="277"/>
      <c r="C630" s="277"/>
      <c r="D630" s="211"/>
      <c r="E630" s="211"/>
      <c r="F630" s="211"/>
      <c r="G630" s="211"/>
      <c r="H630" s="211"/>
      <c r="I630" s="211"/>
      <c r="J630" s="211"/>
      <c r="K630" s="211"/>
      <c r="L630" s="211"/>
      <c r="M630" s="211"/>
      <c r="N630" s="211"/>
      <c r="O630" s="211"/>
      <c r="P630" s="211"/>
      <c r="R630" s="274"/>
      <c r="S630" s="274"/>
      <c r="T630" s="274"/>
      <c r="U630" s="274"/>
      <c r="V630" s="274"/>
      <c r="W630" s="274"/>
      <c r="X630" s="274"/>
      <c r="Y630" s="274"/>
      <c r="Z630" s="274"/>
      <c r="EB630" s="62"/>
      <c r="EC630" s="62"/>
      <c r="ED630" s="62"/>
      <c r="EE630" s="62"/>
      <c r="EF630" s="62"/>
      <c r="EG630" s="62"/>
    </row>
    <row r="631" spans="1:137" s="61" customFormat="1" ht="25.5" hidden="1">
      <c r="A631" s="135" t="s">
        <v>537</v>
      </c>
      <c r="B631" s="277"/>
      <c r="C631" s="277"/>
      <c r="D631" s="211"/>
      <c r="E631" s="211"/>
      <c r="F631" s="211"/>
      <c r="G631" s="278">
        <v>25</v>
      </c>
      <c r="H631" s="278"/>
      <c r="I631" s="278"/>
      <c r="J631" s="278">
        <f>G631+H631</f>
        <v>25</v>
      </c>
      <c r="K631" s="211"/>
      <c r="L631" s="211"/>
      <c r="M631" s="211"/>
      <c r="N631" s="211"/>
      <c r="O631" s="211"/>
      <c r="P631" s="211"/>
      <c r="R631" s="274"/>
      <c r="S631" s="274"/>
      <c r="T631" s="274"/>
      <c r="U631" s="274"/>
      <c r="V631" s="274"/>
      <c r="W631" s="274"/>
      <c r="X631" s="274"/>
      <c r="Y631" s="274"/>
      <c r="Z631" s="274"/>
      <c r="EB631" s="62"/>
      <c r="EC631" s="62"/>
      <c r="ED631" s="62"/>
      <c r="EE631" s="62"/>
      <c r="EF631" s="62"/>
      <c r="EG631" s="62"/>
    </row>
    <row r="632" spans="1:137" s="61" customFormat="1" ht="12.75" hidden="1">
      <c r="A632" s="140" t="s">
        <v>374</v>
      </c>
      <c r="B632" s="277"/>
      <c r="C632" s="277"/>
      <c r="D632" s="211"/>
      <c r="E632" s="211"/>
      <c r="F632" s="211"/>
      <c r="G632" s="211"/>
      <c r="H632" s="211"/>
      <c r="I632" s="211"/>
      <c r="J632" s="211"/>
      <c r="K632" s="211"/>
      <c r="L632" s="211"/>
      <c r="M632" s="211"/>
      <c r="N632" s="211"/>
      <c r="O632" s="211"/>
      <c r="P632" s="211"/>
      <c r="R632" s="274"/>
      <c r="S632" s="274"/>
      <c r="T632" s="274"/>
      <c r="U632" s="274"/>
      <c r="V632" s="274"/>
      <c r="W632" s="274"/>
      <c r="X632" s="274"/>
      <c r="Y632" s="274"/>
      <c r="Z632" s="274"/>
      <c r="EB632" s="62"/>
      <c r="EC632" s="62"/>
      <c r="ED632" s="62"/>
      <c r="EE632" s="62"/>
      <c r="EF632" s="62"/>
      <c r="EG632" s="62"/>
    </row>
    <row r="633" spans="1:137" s="61" customFormat="1" ht="25.5" hidden="1">
      <c r="A633" s="139" t="s">
        <v>538</v>
      </c>
      <c r="B633" s="277"/>
      <c r="C633" s="277"/>
      <c r="D633" s="211"/>
      <c r="E633" s="211"/>
      <c r="F633" s="211"/>
      <c r="G633" s="211">
        <f>G629/G631</f>
        <v>60000</v>
      </c>
      <c r="H633" s="211"/>
      <c r="I633" s="211"/>
      <c r="J633" s="211">
        <f>G633+H633</f>
        <v>60000</v>
      </c>
      <c r="K633" s="211"/>
      <c r="L633" s="211"/>
      <c r="M633" s="211"/>
      <c r="N633" s="211"/>
      <c r="O633" s="211"/>
      <c r="P633" s="211"/>
      <c r="R633" s="274"/>
      <c r="S633" s="274"/>
      <c r="T633" s="274"/>
      <c r="U633" s="274"/>
      <c r="V633" s="274"/>
      <c r="W633" s="274"/>
      <c r="X633" s="274"/>
      <c r="Y633" s="274"/>
      <c r="Z633" s="274"/>
      <c r="EB633" s="62"/>
      <c r="EC633" s="62"/>
      <c r="ED633" s="62"/>
      <c r="EE633" s="62"/>
      <c r="EF633" s="62"/>
      <c r="EG633" s="62"/>
    </row>
    <row r="634" spans="1:137" s="61" customFormat="1" ht="13.5" hidden="1">
      <c r="A634" s="138" t="s">
        <v>548</v>
      </c>
      <c r="B634" s="277"/>
      <c r="C634" s="277"/>
      <c r="D634" s="279">
        <f>0+72000</f>
        <v>72000</v>
      </c>
      <c r="E634" s="279"/>
      <c r="F634" s="279">
        <f>D634+E634</f>
        <v>72000</v>
      </c>
      <c r="G634" s="279">
        <f>400000+1000000+500000</f>
        <v>1900000</v>
      </c>
      <c r="H634" s="211"/>
      <c r="I634" s="211"/>
      <c r="J634" s="279">
        <f>G634+H634</f>
        <v>1900000</v>
      </c>
      <c r="K634" s="211"/>
      <c r="L634" s="211"/>
      <c r="M634" s="211"/>
      <c r="N634" s="211"/>
      <c r="O634" s="211"/>
      <c r="P634" s="211"/>
      <c r="R634" s="274"/>
      <c r="S634" s="274"/>
      <c r="T634" s="274"/>
      <c r="U634" s="274"/>
      <c r="V634" s="274"/>
      <c r="W634" s="274"/>
      <c r="X634" s="274"/>
      <c r="Y634" s="274"/>
      <c r="Z634" s="274"/>
      <c r="EB634" s="62"/>
      <c r="EC634" s="62"/>
      <c r="ED634" s="62"/>
      <c r="EE634" s="62"/>
      <c r="EF634" s="62"/>
      <c r="EG634" s="62"/>
    </row>
    <row r="635" spans="1:137" s="61" customFormat="1" ht="12.75" hidden="1">
      <c r="A635" s="134" t="s">
        <v>255</v>
      </c>
      <c r="B635" s="277"/>
      <c r="C635" s="277"/>
      <c r="D635" s="211"/>
      <c r="E635" s="211"/>
      <c r="F635" s="211"/>
      <c r="G635" s="211"/>
      <c r="H635" s="211"/>
      <c r="I635" s="211"/>
      <c r="J635" s="211"/>
      <c r="K635" s="211"/>
      <c r="L635" s="211"/>
      <c r="M635" s="211"/>
      <c r="N635" s="211"/>
      <c r="O635" s="211"/>
      <c r="P635" s="211"/>
      <c r="R635" s="274"/>
      <c r="S635" s="274"/>
      <c r="T635" s="274"/>
      <c r="U635" s="274"/>
      <c r="V635" s="274"/>
      <c r="W635" s="274"/>
      <c r="X635" s="274"/>
      <c r="Y635" s="274"/>
      <c r="Z635" s="274"/>
      <c r="EB635" s="62"/>
      <c r="EC635" s="62"/>
      <c r="ED635" s="62"/>
      <c r="EE635" s="62"/>
      <c r="EF635" s="62"/>
      <c r="EG635" s="62"/>
    </row>
    <row r="636" spans="1:137" s="61" customFormat="1" ht="12.75" hidden="1">
      <c r="A636" s="139" t="s">
        <v>545</v>
      </c>
      <c r="B636" s="277"/>
      <c r="C636" s="277"/>
      <c r="D636" s="211">
        <f>D634</f>
        <v>72000</v>
      </c>
      <c r="E636" s="211"/>
      <c r="F636" s="211">
        <f>D636+E636</f>
        <v>72000</v>
      </c>
      <c r="G636" s="211">
        <f>G634</f>
        <v>1900000</v>
      </c>
      <c r="H636" s="211"/>
      <c r="I636" s="211"/>
      <c r="J636" s="211">
        <f>G636+H636</f>
        <v>1900000</v>
      </c>
      <c r="K636" s="211"/>
      <c r="L636" s="211"/>
      <c r="M636" s="211"/>
      <c r="N636" s="211"/>
      <c r="O636" s="211"/>
      <c r="P636" s="211"/>
      <c r="R636" s="274"/>
      <c r="S636" s="274"/>
      <c r="T636" s="274"/>
      <c r="U636" s="274"/>
      <c r="V636" s="274"/>
      <c r="W636" s="274"/>
      <c r="X636" s="274"/>
      <c r="Y636" s="274"/>
      <c r="Z636" s="274"/>
      <c r="EB636" s="62"/>
      <c r="EC636" s="62"/>
      <c r="ED636" s="62"/>
      <c r="EE636" s="62"/>
      <c r="EF636" s="62"/>
      <c r="EG636" s="62"/>
    </row>
    <row r="637" spans="1:137" s="61" customFormat="1" ht="12.75" hidden="1">
      <c r="A637" s="140" t="s">
        <v>412</v>
      </c>
      <c r="B637" s="277"/>
      <c r="C637" s="277"/>
      <c r="D637" s="211"/>
      <c r="E637" s="211"/>
      <c r="F637" s="211"/>
      <c r="G637" s="211"/>
      <c r="H637" s="211"/>
      <c r="I637" s="211"/>
      <c r="J637" s="211"/>
      <c r="K637" s="211"/>
      <c r="L637" s="211"/>
      <c r="M637" s="211"/>
      <c r="N637" s="211"/>
      <c r="O637" s="211"/>
      <c r="P637" s="211"/>
      <c r="R637" s="274"/>
      <c r="S637" s="274"/>
      <c r="T637" s="274"/>
      <c r="U637" s="274"/>
      <c r="V637" s="274"/>
      <c r="W637" s="274"/>
      <c r="X637" s="274"/>
      <c r="Y637" s="274"/>
      <c r="Z637" s="274"/>
      <c r="EB637" s="62"/>
      <c r="EC637" s="62"/>
      <c r="ED637" s="62"/>
      <c r="EE637" s="62"/>
      <c r="EF637" s="62"/>
      <c r="EG637" s="62"/>
    </row>
    <row r="638" spans="1:137" s="61" customFormat="1" ht="25.5" hidden="1">
      <c r="A638" s="135" t="s">
        <v>546</v>
      </c>
      <c r="B638" s="277"/>
      <c r="C638" s="277"/>
      <c r="D638" s="278">
        <v>2</v>
      </c>
      <c r="E638" s="278"/>
      <c r="F638" s="278">
        <f>D638+E638</f>
        <v>2</v>
      </c>
      <c r="G638" s="278">
        <v>10</v>
      </c>
      <c r="H638" s="211"/>
      <c r="I638" s="211"/>
      <c r="J638" s="278">
        <f>G638+H638</f>
        <v>10</v>
      </c>
      <c r="K638" s="211"/>
      <c r="L638" s="211"/>
      <c r="M638" s="211"/>
      <c r="N638" s="211"/>
      <c r="O638" s="211"/>
      <c r="P638" s="211"/>
      <c r="R638" s="274"/>
      <c r="S638" s="274"/>
      <c r="T638" s="274"/>
      <c r="U638" s="274"/>
      <c r="V638" s="274"/>
      <c r="W638" s="274"/>
      <c r="X638" s="274"/>
      <c r="Y638" s="274"/>
      <c r="Z638" s="274"/>
      <c r="EB638" s="62"/>
      <c r="EC638" s="62"/>
      <c r="ED638" s="62"/>
      <c r="EE638" s="62"/>
      <c r="EF638" s="62"/>
      <c r="EG638" s="62"/>
    </row>
    <row r="639" spans="1:137" s="61" customFormat="1" ht="12.75" hidden="1">
      <c r="A639" s="140" t="s">
        <v>374</v>
      </c>
      <c r="B639" s="277"/>
      <c r="C639" s="277"/>
      <c r="D639" s="211"/>
      <c r="E639" s="211"/>
      <c r="F639" s="211"/>
      <c r="G639" s="211"/>
      <c r="H639" s="211"/>
      <c r="I639" s="211"/>
      <c r="J639" s="211"/>
      <c r="K639" s="211"/>
      <c r="L639" s="211"/>
      <c r="M639" s="211"/>
      <c r="N639" s="211"/>
      <c r="O639" s="211"/>
      <c r="P639" s="211"/>
      <c r="R639" s="274"/>
      <c r="S639" s="274"/>
      <c r="T639" s="274"/>
      <c r="U639" s="274"/>
      <c r="V639" s="274"/>
      <c r="W639" s="274"/>
      <c r="X639" s="274"/>
      <c r="Y639" s="274"/>
      <c r="Z639" s="274"/>
      <c r="EB639" s="62"/>
      <c r="EC639" s="62"/>
      <c r="ED639" s="62"/>
      <c r="EE639" s="62"/>
      <c r="EF639" s="62"/>
      <c r="EG639" s="62"/>
    </row>
    <row r="640" spans="1:137" s="61" customFormat="1" ht="25.5" hidden="1">
      <c r="A640" s="139" t="s">
        <v>547</v>
      </c>
      <c r="B640" s="277"/>
      <c r="C640" s="277"/>
      <c r="D640" s="211">
        <f>D634/D638</f>
        <v>36000</v>
      </c>
      <c r="E640" s="211"/>
      <c r="F640" s="211">
        <f>D640+E640</f>
        <v>36000</v>
      </c>
      <c r="G640" s="211">
        <f>G634/G638</f>
        <v>190000</v>
      </c>
      <c r="H640" s="211"/>
      <c r="I640" s="211"/>
      <c r="J640" s="211">
        <f>G640+H640</f>
        <v>190000</v>
      </c>
      <c r="K640" s="211"/>
      <c r="L640" s="211"/>
      <c r="M640" s="211"/>
      <c r="N640" s="211"/>
      <c r="O640" s="211"/>
      <c r="P640" s="211"/>
      <c r="R640" s="274"/>
      <c r="S640" s="274"/>
      <c r="T640" s="274"/>
      <c r="U640" s="274"/>
      <c r="V640" s="274"/>
      <c r="W640" s="274"/>
      <c r="X640" s="274"/>
      <c r="Y640" s="274"/>
      <c r="Z640" s="274"/>
      <c r="EB640" s="62"/>
      <c r="EC640" s="62"/>
      <c r="ED640" s="62"/>
      <c r="EE640" s="62"/>
      <c r="EF640" s="62"/>
      <c r="EG640" s="62"/>
    </row>
    <row r="641" spans="1:137" s="61" customFormat="1" ht="13.5" hidden="1">
      <c r="A641" s="138" t="s">
        <v>549</v>
      </c>
      <c r="B641" s="277"/>
      <c r="C641" s="277"/>
      <c r="D641" s="279"/>
      <c r="E641" s="279"/>
      <c r="F641" s="279"/>
      <c r="G641" s="279"/>
      <c r="H641" s="279">
        <f>H643</f>
        <v>6200000</v>
      </c>
      <c r="I641" s="279"/>
      <c r="J641" s="279">
        <f>G641+H641</f>
        <v>6200000</v>
      </c>
      <c r="K641" s="211"/>
      <c r="L641" s="211"/>
      <c r="M641" s="211"/>
      <c r="N641" s="211"/>
      <c r="O641" s="211"/>
      <c r="P641" s="211"/>
      <c r="R641" s="274"/>
      <c r="S641" s="274"/>
      <c r="T641" s="274"/>
      <c r="U641" s="274"/>
      <c r="V641" s="274"/>
      <c r="W641" s="274"/>
      <c r="X641" s="274"/>
      <c r="Y641" s="274"/>
      <c r="Z641" s="274"/>
      <c r="EB641" s="62"/>
      <c r="EC641" s="62"/>
      <c r="ED641" s="62"/>
      <c r="EE641" s="62"/>
      <c r="EF641" s="62"/>
      <c r="EG641" s="62"/>
    </row>
    <row r="642" spans="1:137" s="61" customFormat="1" ht="12.75" hidden="1">
      <c r="A642" s="134" t="s">
        <v>255</v>
      </c>
      <c r="B642" s="277"/>
      <c r="C642" s="277"/>
      <c r="D642" s="211"/>
      <c r="E642" s="211"/>
      <c r="F642" s="211"/>
      <c r="G642" s="211"/>
      <c r="H642" s="211"/>
      <c r="I642" s="211"/>
      <c r="J642" s="211"/>
      <c r="K642" s="211"/>
      <c r="L642" s="211"/>
      <c r="M642" s="211"/>
      <c r="N642" s="211"/>
      <c r="O642" s="211"/>
      <c r="P642" s="211"/>
      <c r="R642" s="274"/>
      <c r="S642" s="274"/>
      <c r="T642" s="274"/>
      <c r="U642" s="274"/>
      <c r="V642" s="274"/>
      <c r="W642" s="274"/>
      <c r="X642" s="274"/>
      <c r="Y642" s="274"/>
      <c r="Z642" s="274"/>
      <c r="EB642" s="62"/>
      <c r="EC642" s="62"/>
      <c r="ED642" s="62"/>
      <c r="EE642" s="62"/>
      <c r="EF642" s="62"/>
      <c r="EG642" s="62"/>
    </row>
    <row r="643" spans="1:137" s="61" customFormat="1" ht="12.75" hidden="1">
      <c r="A643" s="139" t="s">
        <v>550</v>
      </c>
      <c r="B643" s="277"/>
      <c r="C643" s="277"/>
      <c r="D643" s="211"/>
      <c r="E643" s="211"/>
      <c r="F643" s="211"/>
      <c r="G643" s="211"/>
      <c r="H643" s="211">
        <f>6200000</f>
        <v>6200000</v>
      </c>
      <c r="I643" s="211"/>
      <c r="J643" s="211">
        <f>G643+H643</f>
        <v>6200000</v>
      </c>
      <c r="K643" s="211"/>
      <c r="L643" s="211"/>
      <c r="M643" s="211"/>
      <c r="N643" s="211"/>
      <c r="O643" s="211"/>
      <c r="P643" s="211"/>
      <c r="R643" s="274"/>
      <c r="S643" s="274"/>
      <c r="T643" s="274"/>
      <c r="U643" s="274"/>
      <c r="V643" s="274"/>
      <c r="W643" s="274"/>
      <c r="X643" s="274"/>
      <c r="Y643" s="274"/>
      <c r="Z643" s="274"/>
      <c r="EB643" s="62"/>
      <c r="EC643" s="62"/>
      <c r="ED643" s="62"/>
      <c r="EE643" s="62"/>
      <c r="EF643" s="62"/>
      <c r="EG643" s="62"/>
    </row>
    <row r="644" spans="1:137" s="61" customFormat="1" ht="12.75" hidden="1">
      <c r="A644" s="140" t="s">
        <v>412</v>
      </c>
      <c r="B644" s="277"/>
      <c r="C644" s="277"/>
      <c r="D644" s="211"/>
      <c r="E644" s="211"/>
      <c r="F644" s="211"/>
      <c r="G644" s="211"/>
      <c r="H644" s="211"/>
      <c r="I644" s="211"/>
      <c r="J644" s="211"/>
      <c r="K644" s="211"/>
      <c r="L644" s="211"/>
      <c r="M644" s="211"/>
      <c r="N644" s="211"/>
      <c r="O644" s="211"/>
      <c r="P644" s="211"/>
      <c r="R644" s="274"/>
      <c r="S644" s="274"/>
      <c r="T644" s="274"/>
      <c r="U644" s="274"/>
      <c r="V644" s="274"/>
      <c r="W644" s="274"/>
      <c r="X644" s="274"/>
      <c r="Y644" s="274"/>
      <c r="Z644" s="274"/>
      <c r="EB644" s="62"/>
      <c r="EC644" s="62"/>
      <c r="ED644" s="62"/>
      <c r="EE644" s="62"/>
      <c r="EF644" s="62"/>
      <c r="EG644" s="62"/>
    </row>
    <row r="645" spans="1:137" s="61" customFormat="1" ht="12.75" hidden="1">
      <c r="A645" s="135" t="s">
        <v>551</v>
      </c>
      <c r="B645" s="277"/>
      <c r="C645" s="277"/>
      <c r="D645" s="211"/>
      <c r="E645" s="211"/>
      <c r="F645" s="211"/>
      <c r="G645" s="211"/>
      <c r="H645" s="211">
        <v>1</v>
      </c>
      <c r="I645" s="211"/>
      <c r="J645" s="211">
        <f>G645+H645</f>
        <v>1</v>
      </c>
      <c r="K645" s="211"/>
      <c r="L645" s="211"/>
      <c r="M645" s="211"/>
      <c r="N645" s="211"/>
      <c r="O645" s="211"/>
      <c r="P645" s="211"/>
      <c r="R645" s="274"/>
      <c r="S645" s="274"/>
      <c r="T645" s="274"/>
      <c r="U645" s="274"/>
      <c r="V645" s="274"/>
      <c r="W645" s="274"/>
      <c r="X645" s="274"/>
      <c r="Y645" s="274"/>
      <c r="Z645" s="274"/>
      <c r="EB645" s="62"/>
      <c r="EC645" s="62"/>
      <c r="ED645" s="62"/>
      <c r="EE645" s="62"/>
      <c r="EF645" s="62"/>
      <c r="EG645" s="62"/>
    </row>
    <row r="646" spans="1:137" s="61" customFormat="1" ht="12.75" hidden="1">
      <c r="A646" s="140" t="s">
        <v>374</v>
      </c>
      <c r="B646" s="277"/>
      <c r="C646" s="277"/>
      <c r="D646" s="211"/>
      <c r="E646" s="211"/>
      <c r="F646" s="211"/>
      <c r="G646" s="211"/>
      <c r="H646" s="211"/>
      <c r="I646" s="211"/>
      <c r="J646" s="211"/>
      <c r="K646" s="211"/>
      <c r="L646" s="211"/>
      <c r="M646" s="211"/>
      <c r="N646" s="211"/>
      <c r="O646" s="211"/>
      <c r="P646" s="211"/>
      <c r="R646" s="274"/>
      <c r="S646" s="274"/>
      <c r="T646" s="274"/>
      <c r="U646" s="274"/>
      <c r="V646" s="274"/>
      <c r="W646" s="274"/>
      <c r="X646" s="274"/>
      <c r="Y646" s="274"/>
      <c r="Z646" s="274"/>
      <c r="EB646" s="62"/>
      <c r="EC646" s="62"/>
      <c r="ED646" s="62"/>
      <c r="EE646" s="62"/>
      <c r="EF646" s="62"/>
      <c r="EG646" s="62"/>
    </row>
    <row r="647" spans="1:137" s="61" customFormat="1" ht="12.75" hidden="1">
      <c r="A647" s="139" t="s">
        <v>567</v>
      </c>
      <c r="B647" s="277"/>
      <c r="C647" s="277"/>
      <c r="D647" s="211"/>
      <c r="E647" s="211"/>
      <c r="F647" s="211"/>
      <c r="G647" s="211"/>
      <c r="H647" s="211">
        <f>H643/H645</f>
        <v>6200000</v>
      </c>
      <c r="I647" s="211"/>
      <c r="J647" s="211">
        <f>G647+H647</f>
        <v>6200000</v>
      </c>
      <c r="K647" s="211"/>
      <c r="L647" s="211"/>
      <c r="M647" s="211"/>
      <c r="N647" s="211"/>
      <c r="O647" s="211"/>
      <c r="P647" s="211"/>
      <c r="R647" s="274"/>
      <c r="S647" s="274"/>
      <c r="T647" s="274"/>
      <c r="U647" s="274"/>
      <c r="V647" s="274"/>
      <c r="W647" s="274"/>
      <c r="X647" s="274"/>
      <c r="Y647" s="274"/>
      <c r="Z647" s="274"/>
      <c r="EB647" s="62"/>
      <c r="EC647" s="62"/>
      <c r="ED647" s="62"/>
      <c r="EE647" s="62"/>
      <c r="EF647" s="62"/>
      <c r="EG647" s="62"/>
    </row>
    <row r="648" spans="1:137" s="61" customFormat="1" ht="27" hidden="1">
      <c r="A648" s="171" t="s">
        <v>562</v>
      </c>
      <c r="B648" s="277"/>
      <c r="C648" s="277"/>
      <c r="D648" s="211"/>
      <c r="E648" s="211"/>
      <c r="F648" s="211"/>
      <c r="G648" s="279">
        <f>655600+868100+1000000</f>
        <v>2523700</v>
      </c>
      <c r="H648" s="279"/>
      <c r="I648" s="279"/>
      <c r="J648" s="279">
        <f aca="true" t="shared" si="42" ref="J648:J654">G648+H648</f>
        <v>2523700</v>
      </c>
      <c r="K648" s="211"/>
      <c r="L648" s="211"/>
      <c r="M648" s="211"/>
      <c r="N648" s="211"/>
      <c r="O648" s="211"/>
      <c r="P648" s="211"/>
      <c r="R648" s="274"/>
      <c r="S648" s="274"/>
      <c r="T648" s="274"/>
      <c r="U648" s="274"/>
      <c r="V648" s="274"/>
      <c r="W648" s="274"/>
      <c r="X648" s="274"/>
      <c r="Y648" s="274"/>
      <c r="Z648" s="274"/>
      <c r="EB648" s="62"/>
      <c r="EC648" s="62"/>
      <c r="ED648" s="62"/>
      <c r="EE648" s="62"/>
      <c r="EF648" s="62"/>
      <c r="EG648" s="62"/>
    </row>
    <row r="649" spans="1:137" s="61" customFormat="1" ht="12.75" hidden="1">
      <c r="A649" s="134" t="s">
        <v>255</v>
      </c>
      <c r="B649" s="277"/>
      <c r="C649" s="277"/>
      <c r="D649" s="211"/>
      <c r="E649" s="211"/>
      <c r="F649" s="211"/>
      <c r="G649" s="211"/>
      <c r="H649" s="211"/>
      <c r="I649" s="211"/>
      <c r="J649" s="211"/>
      <c r="K649" s="211"/>
      <c r="L649" s="211"/>
      <c r="M649" s="211"/>
      <c r="N649" s="211"/>
      <c r="O649" s="211"/>
      <c r="P649" s="211"/>
      <c r="R649" s="274"/>
      <c r="S649" s="274"/>
      <c r="T649" s="274"/>
      <c r="U649" s="274"/>
      <c r="V649" s="274"/>
      <c r="W649" s="274"/>
      <c r="X649" s="274"/>
      <c r="Y649" s="274"/>
      <c r="Z649" s="274"/>
      <c r="EB649" s="62"/>
      <c r="EC649" s="62"/>
      <c r="ED649" s="62"/>
      <c r="EE649" s="62"/>
      <c r="EF649" s="62"/>
      <c r="EG649" s="62"/>
    </row>
    <row r="650" spans="1:137" s="61" customFormat="1" ht="25.5" hidden="1">
      <c r="A650" s="139" t="s">
        <v>563</v>
      </c>
      <c r="B650" s="277"/>
      <c r="C650" s="277"/>
      <c r="D650" s="211"/>
      <c r="E650" s="211"/>
      <c r="F650" s="211"/>
      <c r="G650" s="211">
        <f>655600+868100+1000000</f>
        <v>2523700</v>
      </c>
      <c r="H650" s="211"/>
      <c r="I650" s="211"/>
      <c r="J650" s="211">
        <f t="shared" si="42"/>
        <v>2523700</v>
      </c>
      <c r="K650" s="211"/>
      <c r="L650" s="211"/>
      <c r="M650" s="211"/>
      <c r="N650" s="211"/>
      <c r="O650" s="211"/>
      <c r="P650" s="211"/>
      <c r="R650" s="274"/>
      <c r="S650" s="274"/>
      <c r="T650" s="274"/>
      <c r="U650" s="274"/>
      <c r="V650" s="274"/>
      <c r="W650" s="274"/>
      <c r="X650" s="274"/>
      <c r="Y650" s="274"/>
      <c r="Z650" s="274"/>
      <c r="EB650" s="62"/>
      <c r="EC650" s="62"/>
      <c r="ED650" s="62"/>
      <c r="EE650" s="62"/>
      <c r="EF650" s="62"/>
      <c r="EG650" s="62"/>
    </row>
    <row r="651" spans="1:137" s="61" customFormat="1" ht="12.75" hidden="1">
      <c r="A651" s="140" t="s">
        <v>412</v>
      </c>
      <c r="B651" s="277"/>
      <c r="C651" s="277"/>
      <c r="D651" s="211"/>
      <c r="E651" s="211"/>
      <c r="F651" s="211"/>
      <c r="G651" s="211"/>
      <c r="H651" s="211"/>
      <c r="I651" s="211"/>
      <c r="J651" s="211"/>
      <c r="K651" s="211"/>
      <c r="L651" s="211"/>
      <c r="M651" s="211"/>
      <c r="N651" s="211"/>
      <c r="O651" s="211"/>
      <c r="P651" s="211"/>
      <c r="R651" s="274"/>
      <c r="S651" s="274"/>
      <c r="T651" s="274"/>
      <c r="U651" s="274"/>
      <c r="V651" s="274"/>
      <c r="W651" s="274"/>
      <c r="X651" s="274"/>
      <c r="Y651" s="274"/>
      <c r="Z651" s="274"/>
      <c r="EB651" s="62"/>
      <c r="EC651" s="62"/>
      <c r="ED651" s="62"/>
      <c r="EE651" s="62"/>
      <c r="EF651" s="62"/>
      <c r="EG651" s="62"/>
    </row>
    <row r="652" spans="1:137" s="61" customFormat="1" ht="12.75" hidden="1">
      <c r="A652" s="135" t="s">
        <v>561</v>
      </c>
      <c r="B652" s="277"/>
      <c r="C652" s="277"/>
      <c r="D652" s="211"/>
      <c r="E652" s="211"/>
      <c r="F652" s="211"/>
      <c r="G652" s="278">
        <v>1</v>
      </c>
      <c r="H652" s="278"/>
      <c r="I652" s="278"/>
      <c r="J652" s="278">
        <f t="shared" si="42"/>
        <v>1</v>
      </c>
      <c r="K652" s="211"/>
      <c r="L652" s="211"/>
      <c r="M652" s="211"/>
      <c r="N652" s="211"/>
      <c r="O652" s="211"/>
      <c r="P652" s="211"/>
      <c r="R652" s="274"/>
      <c r="S652" s="274"/>
      <c r="T652" s="274"/>
      <c r="U652" s="274"/>
      <c r="V652" s="274"/>
      <c r="W652" s="274"/>
      <c r="X652" s="274"/>
      <c r="Y652" s="274"/>
      <c r="Z652" s="274"/>
      <c r="EB652" s="62"/>
      <c r="EC652" s="62"/>
      <c r="ED652" s="62"/>
      <c r="EE652" s="62"/>
      <c r="EF652" s="62"/>
      <c r="EG652" s="62"/>
    </row>
    <row r="653" spans="1:137" s="61" customFormat="1" ht="12.75" hidden="1">
      <c r="A653" s="140" t="s">
        <v>374</v>
      </c>
      <c r="B653" s="277"/>
      <c r="C653" s="277"/>
      <c r="D653" s="211"/>
      <c r="E653" s="211"/>
      <c r="F653" s="211"/>
      <c r="G653" s="211"/>
      <c r="H653" s="211"/>
      <c r="I653" s="211"/>
      <c r="J653" s="211"/>
      <c r="K653" s="211"/>
      <c r="L653" s="211"/>
      <c r="M653" s="211"/>
      <c r="N653" s="211"/>
      <c r="O653" s="211"/>
      <c r="P653" s="211"/>
      <c r="R653" s="274"/>
      <c r="S653" s="274"/>
      <c r="T653" s="274"/>
      <c r="U653" s="274"/>
      <c r="V653" s="274"/>
      <c r="W653" s="274"/>
      <c r="X653" s="274"/>
      <c r="Y653" s="274"/>
      <c r="Z653" s="274"/>
      <c r="EB653" s="62"/>
      <c r="EC653" s="62"/>
      <c r="ED653" s="62"/>
      <c r="EE653" s="62"/>
      <c r="EF653" s="62"/>
      <c r="EG653" s="62"/>
    </row>
    <row r="654" spans="1:137" s="61" customFormat="1" ht="25.5" hidden="1">
      <c r="A654" s="139" t="s">
        <v>566</v>
      </c>
      <c r="B654" s="277"/>
      <c r="C654" s="277"/>
      <c r="D654" s="211"/>
      <c r="E654" s="211"/>
      <c r="F654" s="211"/>
      <c r="G654" s="211">
        <f>G650/G652</f>
        <v>2523700</v>
      </c>
      <c r="H654" s="211"/>
      <c r="I654" s="211"/>
      <c r="J654" s="211">
        <f t="shared" si="42"/>
        <v>2523700</v>
      </c>
      <c r="K654" s="211"/>
      <c r="L654" s="211"/>
      <c r="M654" s="211"/>
      <c r="N654" s="211"/>
      <c r="O654" s="211"/>
      <c r="P654" s="211"/>
      <c r="R654" s="274"/>
      <c r="S654" s="274"/>
      <c r="T654" s="274"/>
      <c r="U654" s="274"/>
      <c r="V654" s="274"/>
      <c r="W654" s="274"/>
      <c r="X654" s="274"/>
      <c r="Y654" s="274"/>
      <c r="Z654" s="274"/>
      <c r="EB654" s="62"/>
      <c r="EC654" s="62"/>
      <c r="ED654" s="62"/>
      <c r="EE654" s="62"/>
      <c r="EF654" s="62"/>
      <c r="EG654" s="62"/>
    </row>
    <row r="655" spans="1:217" s="56" customFormat="1" ht="27.75" customHeight="1" hidden="1">
      <c r="A655" s="113" t="s">
        <v>45</v>
      </c>
      <c r="B655" s="212"/>
      <c r="C655" s="212"/>
      <c r="D655" s="272">
        <f>D657+D670</f>
        <v>318730</v>
      </c>
      <c r="E655" s="272">
        <f>E693+E709</f>
        <v>636370</v>
      </c>
      <c r="F655" s="272">
        <f>D655+E655</f>
        <v>955100</v>
      </c>
      <c r="G655" s="272">
        <f>G657+G670</f>
        <v>328452</v>
      </c>
      <c r="H655" s="272">
        <f>H693+H709</f>
        <v>676380</v>
      </c>
      <c r="I655" s="272"/>
      <c r="J655" s="272">
        <f>G655+H655</f>
        <v>1004832</v>
      </c>
      <c r="K655" s="272" t="e">
        <f>#REF!+#REF!</f>
        <v>#REF!</v>
      </c>
      <c r="L655" s="272" t="e">
        <f>#REF!+#REF!</f>
        <v>#REF!</v>
      </c>
      <c r="M655" s="272" t="e">
        <f>#REF!+#REF!</f>
        <v>#REF!</v>
      </c>
      <c r="N655" s="272">
        <f>N657+N670</f>
        <v>344360</v>
      </c>
      <c r="O655" s="272">
        <f>O693+O709</f>
        <v>733240</v>
      </c>
      <c r="P655" s="272">
        <f>N655+O655</f>
        <v>1077600</v>
      </c>
      <c r="Q655" s="48"/>
      <c r="R655" s="274"/>
      <c r="S655" s="274"/>
      <c r="T655" s="274"/>
      <c r="U655" s="274"/>
      <c r="V655" s="274"/>
      <c r="W655" s="274"/>
      <c r="X655" s="274"/>
      <c r="Y655" s="274"/>
      <c r="Z655" s="274"/>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c r="BO655" s="48"/>
      <c r="BP655" s="48"/>
      <c r="BQ655" s="48"/>
      <c r="BR655" s="48"/>
      <c r="BS655" s="48"/>
      <c r="BT655" s="48"/>
      <c r="BU655" s="48"/>
      <c r="BV655" s="48"/>
      <c r="BW655" s="48"/>
      <c r="BX655" s="48"/>
      <c r="BY655" s="48"/>
      <c r="BZ655" s="48"/>
      <c r="CA655" s="48"/>
      <c r="CB655" s="48"/>
      <c r="CC655" s="48"/>
      <c r="CD655" s="48"/>
      <c r="CE655" s="48"/>
      <c r="CF655" s="48"/>
      <c r="CG655" s="48"/>
      <c r="CH655" s="48"/>
      <c r="CI655" s="48"/>
      <c r="CJ655" s="48"/>
      <c r="CK655" s="48"/>
      <c r="CL655" s="48"/>
      <c r="CM655" s="48"/>
      <c r="CN655" s="48"/>
      <c r="CO655" s="48"/>
      <c r="CP655" s="48"/>
      <c r="CQ655" s="48"/>
      <c r="CR655" s="48"/>
      <c r="CS655" s="48"/>
      <c r="CT655" s="48"/>
      <c r="CU655" s="48"/>
      <c r="CV655" s="48"/>
      <c r="CW655" s="48"/>
      <c r="CX655" s="48"/>
      <c r="CY655" s="48"/>
      <c r="CZ655" s="48"/>
      <c r="DA655" s="48"/>
      <c r="DB655" s="48"/>
      <c r="DC655" s="48"/>
      <c r="DD655" s="48"/>
      <c r="DE655" s="48"/>
      <c r="DF655" s="48"/>
      <c r="DG655" s="48"/>
      <c r="DH655" s="48"/>
      <c r="DI655" s="48"/>
      <c r="DJ655" s="48"/>
      <c r="DK655" s="48"/>
      <c r="DL655" s="48"/>
      <c r="DM655" s="48"/>
      <c r="DN655" s="48"/>
      <c r="DO655" s="48"/>
      <c r="DP655" s="48"/>
      <c r="DQ655" s="48"/>
      <c r="DR655" s="48"/>
      <c r="DS655" s="48"/>
      <c r="DT655" s="48"/>
      <c r="DU655" s="48"/>
      <c r="DV655" s="48"/>
      <c r="DW655" s="48"/>
      <c r="DX655" s="48"/>
      <c r="DY655" s="48"/>
      <c r="DZ655" s="48"/>
      <c r="EA655" s="48"/>
      <c r="EB655" s="48"/>
      <c r="EC655" s="48"/>
      <c r="ED655" s="48"/>
      <c r="EE655" s="48"/>
      <c r="EF655" s="48"/>
      <c r="EG655" s="48"/>
      <c r="EH655" s="48"/>
      <c r="EI655" s="48"/>
      <c r="EJ655" s="48"/>
      <c r="EK655" s="48"/>
      <c r="EL655" s="48"/>
      <c r="EM655" s="48"/>
      <c r="EN655" s="48"/>
      <c r="EO655" s="48"/>
      <c r="EP655" s="48"/>
      <c r="EQ655" s="48"/>
      <c r="ER655" s="48"/>
      <c r="ES655" s="48"/>
      <c r="ET655" s="48"/>
      <c r="EU655" s="48"/>
      <c r="EV655" s="48"/>
      <c r="EW655" s="48"/>
      <c r="EX655" s="48"/>
      <c r="EY655" s="48"/>
      <c r="EZ655" s="48"/>
      <c r="FA655" s="48"/>
      <c r="FB655" s="48"/>
      <c r="FC655" s="48"/>
      <c r="FD655" s="48"/>
      <c r="FE655" s="48"/>
      <c r="FF655" s="48"/>
      <c r="FG655" s="48"/>
      <c r="FH655" s="48"/>
      <c r="FI655" s="48"/>
      <c r="FJ655" s="48"/>
      <c r="FK655" s="48"/>
      <c r="FL655" s="48"/>
      <c r="FM655" s="48"/>
      <c r="FN655" s="48"/>
      <c r="FO655" s="48"/>
      <c r="FP655" s="48"/>
      <c r="FQ655" s="48"/>
      <c r="FR655" s="48"/>
      <c r="FS655" s="48"/>
      <c r="FT655" s="48"/>
      <c r="FU655" s="48"/>
      <c r="FV655" s="48"/>
      <c r="FW655" s="48"/>
      <c r="FX655" s="48"/>
      <c r="FY655" s="48"/>
      <c r="FZ655" s="48"/>
      <c r="GA655" s="48"/>
      <c r="GB655" s="48"/>
      <c r="GC655" s="48"/>
      <c r="GD655" s="48"/>
      <c r="GE655" s="48"/>
      <c r="GF655" s="48"/>
      <c r="GG655" s="48"/>
      <c r="GH655" s="48"/>
      <c r="GI655" s="48"/>
      <c r="GJ655" s="48"/>
      <c r="GK655" s="48"/>
      <c r="GL655" s="48"/>
      <c r="GM655" s="48"/>
      <c r="GN655" s="48"/>
      <c r="GO655" s="48"/>
      <c r="GP655" s="48"/>
      <c r="GQ655" s="48"/>
      <c r="GR655" s="48"/>
      <c r="GS655" s="48"/>
      <c r="GT655" s="48"/>
      <c r="GU655" s="48"/>
      <c r="GV655" s="48"/>
      <c r="GW655" s="48"/>
      <c r="GX655" s="48"/>
      <c r="GY655" s="48"/>
      <c r="GZ655" s="48"/>
      <c r="HA655" s="48"/>
      <c r="HB655" s="48"/>
      <c r="HC655" s="48"/>
      <c r="HD655" s="48"/>
      <c r="HE655" s="48"/>
      <c r="HF655" s="48"/>
      <c r="HG655" s="48"/>
      <c r="HH655" s="48"/>
      <c r="HI655" s="48"/>
    </row>
    <row r="656" spans="1:217" s="55" customFormat="1" ht="25.5" hidden="1">
      <c r="A656" s="139" t="s">
        <v>352</v>
      </c>
      <c r="B656" s="163"/>
      <c r="C656" s="163"/>
      <c r="D656" s="161"/>
      <c r="E656" s="161"/>
      <c r="F656" s="161"/>
      <c r="G656" s="161"/>
      <c r="H656" s="161"/>
      <c r="I656" s="161"/>
      <c r="J656" s="161"/>
      <c r="K656" s="213"/>
      <c r="L656" s="160"/>
      <c r="M656" s="161"/>
      <c r="N656" s="161"/>
      <c r="O656" s="161"/>
      <c r="P656" s="161"/>
      <c r="Q656" s="36"/>
      <c r="R656" s="274"/>
      <c r="S656" s="274"/>
      <c r="T656" s="274"/>
      <c r="U656" s="274"/>
      <c r="V656" s="274"/>
      <c r="W656" s="274"/>
      <c r="X656" s="274"/>
      <c r="Y656" s="274"/>
      <c r="Z656" s="274"/>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c r="BU656" s="36"/>
      <c r="BV656" s="36"/>
      <c r="BW656" s="36"/>
      <c r="BX656" s="36"/>
      <c r="BY656" s="36"/>
      <c r="BZ656" s="36"/>
      <c r="CA656" s="36"/>
      <c r="CB656" s="36"/>
      <c r="CC656" s="36"/>
      <c r="CD656" s="36"/>
      <c r="CE656" s="36"/>
      <c r="CF656" s="36"/>
      <c r="CG656" s="36"/>
      <c r="CH656" s="36"/>
      <c r="CI656" s="36"/>
      <c r="CJ656" s="36"/>
      <c r="CK656" s="36"/>
      <c r="CL656" s="36"/>
      <c r="CM656" s="36"/>
      <c r="CN656" s="36"/>
      <c r="CO656" s="36"/>
      <c r="CP656" s="36"/>
      <c r="CQ656" s="36"/>
      <c r="CR656" s="36"/>
      <c r="CS656" s="36"/>
      <c r="CT656" s="36"/>
      <c r="CU656" s="36"/>
      <c r="CV656" s="36"/>
      <c r="CW656" s="36"/>
      <c r="CX656" s="36"/>
      <c r="CY656" s="36"/>
      <c r="CZ656" s="36"/>
      <c r="DA656" s="36"/>
      <c r="DB656" s="36"/>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c r="ED656" s="36"/>
      <c r="EE656" s="36"/>
      <c r="EF656" s="36"/>
      <c r="EG656" s="36"/>
      <c r="EH656" s="36"/>
      <c r="EI656" s="36"/>
      <c r="EJ656" s="36"/>
      <c r="EK656" s="36"/>
      <c r="EL656" s="36"/>
      <c r="EM656" s="36"/>
      <c r="EN656" s="36"/>
      <c r="EO656" s="36"/>
      <c r="EP656" s="36"/>
      <c r="EQ656" s="36"/>
      <c r="ER656" s="36"/>
      <c r="ES656" s="36"/>
      <c r="ET656" s="36"/>
      <c r="EU656" s="36"/>
      <c r="EV656" s="36"/>
      <c r="EW656" s="36"/>
      <c r="EX656" s="36"/>
      <c r="EY656" s="36"/>
      <c r="EZ656" s="36"/>
      <c r="FA656" s="36"/>
      <c r="FB656" s="36"/>
      <c r="FC656" s="36"/>
      <c r="FD656" s="36"/>
      <c r="FE656" s="36"/>
      <c r="FF656" s="36"/>
      <c r="FG656" s="36"/>
      <c r="FH656" s="36"/>
      <c r="FI656" s="36"/>
      <c r="FJ656" s="36"/>
      <c r="FK656" s="36"/>
      <c r="FL656" s="36"/>
      <c r="FM656" s="36"/>
      <c r="FN656" s="36"/>
      <c r="FO656" s="36"/>
      <c r="FP656" s="36"/>
      <c r="FQ656" s="36"/>
      <c r="FR656" s="36"/>
      <c r="FS656" s="36"/>
      <c r="FT656" s="36"/>
      <c r="FU656" s="36"/>
      <c r="FV656" s="36"/>
      <c r="FW656" s="36"/>
      <c r="FX656" s="36"/>
      <c r="FY656" s="36"/>
      <c r="FZ656" s="36"/>
      <c r="GA656" s="36"/>
      <c r="GB656" s="36"/>
      <c r="GC656" s="36"/>
      <c r="GD656" s="36"/>
      <c r="GE656" s="36"/>
      <c r="GF656" s="36"/>
      <c r="GG656" s="36"/>
      <c r="GH656" s="36"/>
      <c r="GI656" s="36"/>
      <c r="GJ656" s="36"/>
      <c r="GK656" s="36"/>
      <c r="GL656" s="36"/>
      <c r="GM656" s="36"/>
      <c r="GN656" s="36"/>
      <c r="GO656" s="36"/>
      <c r="GP656" s="36"/>
      <c r="GQ656" s="36"/>
      <c r="GR656" s="36"/>
      <c r="GS656" s="36"/>
      <c r="GT656" s="36"/>
      <c r="GU656" s="36"/>
      <c r="GV656" s="36"/>
      <c r="GW656" s="36"/>
      <c r="GX656" s="36"/>
      <c r="GY656" s="36"/>
      <c r="GZ656" s="36"/>
      <c r="HA656" s="36"/>
      <c r="HB656" s="36"/>
      <c r="HC656" s="36"/>
      <c r="HD656" s="36"/>
      <c r="HE656" s="36"/>
      <c r="HF656" s="36"/>
      <c r="HG656" s="36"/>
      <c r="HH656" s="36"/>
      <c r="HI656" s="36"/>
    </row>
    <row r="657" spans="1:217" s="43" customFormat="1" ht="27" hidden="1">
      <c r="A657" s="142" t="s">
        <v>46</v>
      </c>
      <c r="B657" s="142"/>
      <c r="C657" s="142"/>
      <c r="D657" s="214">
        <f>D659+D660+D661</f>
        <v>182500</v>
      </c>
      <c r="E657" s="214"/>
      <c r="F657" s="214">
        <f>F659+F660+F661</f>
        <v>182500</v>
      </c>
      <c r="G657" s="214">
        <f>G659+G660+G661</f>
        <v>183750</v>
      </c>
      <c r="H657" s="214"/>
      <c r="I657" s="214"/>
      <c r="J657" s="214">
        <f>J659+J660+J661</f>
        <v>183750</v>
      </c>
      <c r="K657" s="214"/>
      <c r="L657" s="215"/>
      <c r="M657" s="215"/>
      <c r="N657" s="214">
        <f>N659+N660+N661</f>
        <v>185000</v>
      </c>
      <c r="O657" s="214"/>
      <c r="P657" s="214">
        <f>P659+P660+P661</f>
        <v>185000</v>
      </c>
      <c r="Q657" s="52"/>
      <c r="R657" s="357"/>
      <c r="S657" s="357"/>
      <c r="T657" s="357"/>
      <c r="U657" s="357"/>
      <c r="V657" s="357"/>
      <c r="W657" s="357"/>
      <c r="X657" s="357"/>
      <c r="Y657" s="357"/>
      <c r="Z657" s="357"/>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52"/>
      <c r="CD657" s="52"/>
      <c r="CE657" s="52"/>
      <c r="CF657" s="52"/>
      <c r="CG657" s="52"/>
      <c r="CH657" s="52"/>
      <c r="CI657" s="52"/>
      <c r="CJ657" s="52"/>
      <c r="CK657" s="52"/>
      <c r="CL657" s="52"/>
      <c r="CM657" s="52"/>
      <c r="CN657" s="52"/>
      <c r="CO657" s="52"/>
      <c r="CP657" s="52"/>
      <c r="CQ657" s="52"/>
      <c r="CR657" s="52"/>
      <c r="CS657" s="52"/>
      <c r="CT657" s="52"/>
      <c r="CU657" s="52"/>
      <c r="CV657" s="52"/>
      <c r="CW657" s="52"/>
      <c r="CX657" s="52"/>
      <c r="CY657" s="52"/>
      <c r="CZ657" s="52"/>
      <c r="DA657" s="52"/>
      <c r="DB657" s="52"/>
      <c r="DC657" s="52"/>
      <c r="DD657" s="52"/>
      <c r="DE657" s="52"/>
      <c r="DF657" s="52"/>
      <c r="DG657" s="52"/>
      <c r="DH657" s="52"/>
      <c r="DI657" s="52"/>
      <c r="DJ657" s="52"/>
      <c r="DK657" s="52"/>
      <c r="DL657" s="52"/>
      <c r="DM657" s="52"/>
      <c r="DN657" s="52"/>
      <c r="DO657" s="52"/>
      <c r="DP657" s="52"/>
      <c r="DQ657" s="52"/>
      <c r="DR657" s="52"/>
      <c r="DS657" s="52"/>
      <c r="DT657" s="52"/>
      <c r="DU657" s="52"/>
      <c r="DV657" s="52"/>
      <c r="DW657" s="52"/>
      <c r="DX657" s="52"/>
      <c r="DY657" s="52"/>
      <c r="DZ657" s="52"/>
      <c r="EA657" s="52"/>
      <c r="EB657" s="52"/>
      <c r="EC657" s="52"/>
      <c r="ED657" s="52"/>
      <c r="EE657" s="52"/>
      <c r="EF657" s="52"/>
      <c r="EG657" s="52"/>
      <c r="EH657" s="52"/>
      <c r="EI657" s="52"/>
      <c r="EJ657" s="52"/>
      <c r="EK657" s="52"/>
      <c r="EL657" s="52"/>
      <c r="EM657" s="52"/>
      <c r="EN657" s="52"/>
      <c r="EO657" s="52"/>
      <c r="EP657" s="52"/>
      <c r="EQ657" s="52"/>
      <c r="ER657" s="52"/>
      <c r="ES657" s="52"/>
      <c r="ET657" s="52"/>
      <c r="EU657" s="52"/>
      <c r="EV657" s="52"/>
      <c r="EW657" s="52"/>
      <c r="EX657" s="52"/>
      <c r="EY657" s="52"/>
      <c r="EZ657" s="52"/>
      <c r="FA657" s="52"/>
      <c r="FB657" s="52"/>
      <c r="FC657" s="52"/>
      <c r="FD657" s="52"/>
      <c r="FE657" s="52"/>
      <c r="FF657" s="52"/>
      <c r="FG657" s="52"/>
      <c r="FH657" s="52"/>
      <c r="FI657" s="52"/>
      <c r="FJ657" s="52"/>
      <c r="FK657" s="52"/>
      <c r="FL657" s="52"/>
      <c r="FM657" s="52"/>
      <c r="FN657" s="52"/>
      <c r="FO657" s="52"/>
      <c r="FP657" s="52"/>
      <c r="FQ657" s="52"/>
      <c r="FR657" s="52"/>
      <c r="FS657" s="52"/>
      <c r="FT657" s="52"/>
      <c r="FU657" s="52"/>
      <c r="FV657" s="52"/>
      <c r="FW657" s="52"/>
      <c r="FX657" s="52"/>
      <c r="FY657" s="52"/>
      <c r="FZ657" s="52"/>
      <c r="GA657" s="52"/>
      <c r="GB657" s="52"/>
      <c r="GC657" s="52"/>
      <c r="GD657" s="52"/>
      <c r="GE657" s="52"/>
      <c r="GF657" s="52"/>
      <c r="GG657" s="52"/>
      <c r="GH657" s="52"/>
      <c r="GI657" s="52"/>
      <c r="GJ657" s="52"/>
      <c r="GK657" s="52"/>
      <c r="GL657" s="52"/>
      <c r="GM657" s="52"/>
      <c r="GN657" s="52"/>
      <c r="GO657" s="52"/>
      <c r="GP657" s="52"/>
      <c r="GQ657" s="52"/>
      <c r="GR657" s="52"/>
      <c r="GS657" s="52"/>
      <c r="GT657" s="52"/>
      <c r="GU657" s="52"/>
      <c r="GV657" s="52"/>
      <c r="GW657" s="52"/>
      <c r="GX657" s="52"/>
      <c r="GY657" s="52"/>
      <c r="GZ657" s="52"/>
      <c r="HA657" s="52"/>
      <c r="HB657" s="52"/>
      <c r="HC657" s="52"/>
      <c r="HD657" s="52"/>
      <c r="HE657" s="52"/>
      <c r="HF657" s="52"/>
      <c r="HG657" s="52"/>
      <c r="HH657" s="52"/>
      <c r="HI657" s="52"/>
    </row>
    <row r="658" spans="1:217" s="55" customFormat="1" ht="12.75" hidden="1">
      <c r="A658" s="143" t="s">
        <v>184</v>
      </c>
      <c r="B658" s="143"/>
      <c r="C658" s="143"/>
      <c r="D658" s="216"/>
      <c r="E658" s="216"/>
      <c r="F658" s="216"/>
      <c r="G658" s="216"/>
      <c r="H658" s="216"/>
      <c r="I658" s="216"/>
      <c r="J658" s="216"/>
      <c r="K658" s="217"/>
      <c r="L658" s="216"/>
      <c r="M658" s="216"/>
      <c r="N658" s="216"/>
      <c r="O658" s="216"/>
      <c r="P658" s="216"/>
      <c r="Q658" s="36"/>
      <c r="R658" s="274"/>
      <c r="S658" s="274"/>
      <c r="T658" s="274"/>
      <c r="U658" s="274"/>
      <c r="V658" s="274"/>
      <c r="W658" s="274"/>
      <c r="X658" s="274"/>
      <c r="Y658" s="274"/>
      <c r="Z658" s="274"/>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36"/>
      <c r="BH658" s="36"/>
      <c r="BI658" s="36"/>
      <c r="BJ658" s="36"/>
      <c r="BK658" s="36"/>
      <c r="BL658" s="36"/>
      <c r="BM658" s="36"/>
      <c r="BN658" s="36"/>
      <c r="BO658" s="36"/>
      <c r="BP658" s="36"/>
      <c r="BQ658" s="36"/>
      <c r="BR658" s="36"/>
      <c r="BS658" s="36"/>
      <c r="BT658" s="36"/>
      <c r="BU658" s="36"/>
      <c r="BV658" s="36"/>
      <c r="BW658" s="36"/>
      <c r="BX658" s="36"/>
      <c r="BY658" s="36"/>
      <c r="BZ658" s="36"/>
      <c r="CA658" s="36"/>
      <c r="CB658" s="36"/>
      <c r="CC658" s="36"/>
      <c r="CD658" s="36"/>
      <c r="CE658" s="36"/>
      <c r="CF658" s="36"/>
      <c r="CG658" s="36"/>
      <c r="CH658" s="36"/>
      <c r="CI658" s="36"/>
      <c r="CJ658" s="36"/>
      <c r="CK658" s="36"/>
      <c r="CL658" s="36"/>
      <c r="CM658" s="36"/>
      <c r="CN658" s="36"/>
      <c r="CO658" s="36"/>
      <c r="CP658" s="36"/>
      <c r="CQ658" s="36"/>
      <c r="CR658" s="36"/>
      <c r="CS658" s="36"/>
      <c r="CT658" s="36"/>
      <c r="CU658" s="36"/>
      <c r="CV658" s="36"/>
      <c r="CW658" s="36"/>
      <c r="CX658" s="36"/>
      <c r="CY658" s="36"/>
      <c r="CZ658" s="36"/>
      <c r="DA658" s="36"/>
      <c r="DB658" s="36"/>
      <c r="DC658" s="36"/>
      <c r="DD658" s="36"/>
      <c r="DE658" s="36"/>
      <c r="DF658" s="36"/>
      <c r="DG658" s="36"/>
      <c r="DH658" s="36"/>
      <c r="DI658" s="36"/>
      <c r="DJ658" s="36"/>
      <c r="DK658" s="36"/>
      <c r="DL658" s="36"/>
      <c r="DM658" s="36"/>
      <c r="DN658" s="36"/>
      <c r="DO658" s="36"/>
      <c r="DP658" s="36"/>
      <c r="DQ658" s="36"/>
      <c r="DR658" s="36"/>
      <c r="DS658" s="36"/>
      <c r="DT658" s="36"/>
      <c r="DU658" s="36"/>
      <c r="DV658" s="36"/>
      <c r="DW658" s="36"/>
      <c r="DX658" s="36"/>
      <c r="DY658" s="36"/>
      <c r="DZ658" s="36"/>
      <c r="EA658" s="36"/>
      <c r="EB658" s="36"/>
      <c r="EC658" s="36"/>
      <c r="ED658" s="36"/>
      <c r="EE658" s="36"/>
      <c r="EF658" s="36"/>
      <c r="EG658" s="36"/>
      <c r="EH658" s="36"/>
      <c r="EI658" s="36"/>
      <c r="EJ658" s="36"/>
      <c r="EK658" s="36"/>
      <c r="EL658" s="36"/>
      <c r="EM658" s="36"/>
      <c r="EN658" s="36"/>
      <c r="EO658" s="36"/>
      <c r="EP658" s="36"/>
      <c r="EQ658" s="36"/>
      <c r="ER658" s="36"/>
      <c r="ES658" s="36"/>
      <c r="ET658" s="36"/>
      <c r="EU658" s="36"/>
      <c r="EV658" s="36"/>
      <c r="EW658" s="36"/>
      <c r="EX658" s="36"/>
      <c r="EY658" s="36"/>
      <c r="EZ658" s="36"/>
      <c r="FA658" s="36"/>
      <c r="FB658" s="36"/>
      <c r="FC658" s="36"/>
      <c r="FD658" s="36"/>
      <c r="FE658" s="36"/>
      <c r="FF658" s="36"/>
      <c r="FG658" s="36"/>
      <c r="FH658" s="36"/>
      <c r="FI658" s="36"/>
      <c r="FJ658" s="36"/>
      <c r="FK658" s="36"/>
      <c r="FL658" s="36"/>
      <c r="FM658" s="36"/>
      <c r="FN658" s="36"/>
      <c r="FO658" s="36"/>
      <c r="FP658" s="36"/>
      <c r="FQ658" s="36"/>
      <c r="FR658" s="36"/>
      <c r="FS658" s="36"/>
      <c r="FT658" s="36"/>
      <c r="FU658" s="36"/>
      <c r="FV658" s="36"/>
      <c r="FW658" s="36"/>
      <c r="FX658" s="36"/>
      <c r="FY658" s="36"/>
      <c r="FZ658" s="36"/>
      <c r="GA658" s="36"/>
      <c r="GB658" s="36"/>
      <c r="GC658" s="36"/>
      <c r="GD658" s="36"/>
      <c r="GE658" s="36"/>
      <c r="GF658" s="36"/>
      <c r="GG658" s="36"/>
      <c r="GH658" s="36"/>
      <c r="GI658" s="36"/>
      <c r="GJ658" s="36"/>
      <c r="GK658" s="36"/>
      <c r="GL658" s="36"/>
      <c r="GM658" s="36"/>
      <c r="GN658" s="36"/>
      <c r="GO658" s="36"/>
      <c r="GP658" s="36"/>
      <c r="GQ658" s="36"/>
      <c r="GR658" s="36"/>
      <c r="GS658" s="36"/>
      <c r="GT658" s="36"/>
      <c r="GU658" s="36"/>
      <c r="GV658" s="36"/>
      <c r="GW658" s="36"/>
      <c r="GX658" s="36"/>
      <c r="GY658" s="36"/>
      <c r="GZ658" s="36"/>
      <c r="HA658" s="36"/>
      <c r="HB658" s="36"/>
      <c r="HC658" s="36"/>
      <c r="HD658" s="36"/>
      <c r="HE658" s="36"/>
      <c r="HF658" s="36"/>
      <c r="HG658" s="36"/>
      <c r="HH658" s="36"/>
      <c r="HI658" s="36"/>
    </row>
    <row r="659" spans="1:217" s="55" customFormat="1" ht="29.25" customHeight="1" hidden="1">
      <c r="A659" s="139" t="s">
        <v>353</v>
      </c>
      <c r="B659" s="143"/>
      <c r="C659" s="143"/>
      <c r="D659" s="217">
        <f>D663*D667</f>
        <v>150000</v>
      </c>
      <c r="E659" s="217"/>
      <c r="F659" s="217">
        <f>D659</f>
        <v>150000</v>
      </c>
      <c r="G659" s="217">
        <f>G663*G667</f>
        <v>150000</v>
      </c>
      <c r="H659" s="217"/>
      <c r="I659" s="217"/>
      <c r="J659" s="217">
        <f>G659</f>
        <v>150000</v>
      </c>
      <c r="K659" s="217"/>
      <c r="L659" s="217"/>
      <c r="M659" s="217"/>
      <c r="N659" s="217">
        <f>N663*N667</f>
        <v>150000</v>
      </c>
      <c r="O659" s="217"/>
      <c r="P659" s="91">
        <f>N659</f>
        <v>150000</v>
      </c>
      <c r="Q659" s="36"/>
      <c r="R659" s="274"/>
      <c r="S659" s="274"/>
      <c r="T659" s="274"/>
      <c r="U659" s="274"/>
      <c r="V659" s="274"/>
      <c r="W659" s="274"/>
      <c r="X659" s="274"/>
      <c r="Y659" s="274"/>
      <c r="Z659" s="274"/>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c r="BU659" s="36"/>
      <c r="BV659" s="36"/>
      <c r="BW659" s="36"/>
      <c r="BX659" s="36"/>
      <c r="BY659" s="36"/>
      <c r="BZ659" s="36"/>
      <c r="CA659" s="36"/>
      <c r="CB659" s="36"/>
      <c r="CC659" s="36"/>
      <c r="CD659" s="36"/>
      <c r="CE659" s="36"/>
      <c r="CF659" s="36"/>
      <c r="CG659" s="36"/>
      <c r="CH659" s="36"/>
      <c r="CI659" s="36"/>
      <c r="CJ659" s="36"/>
      <c r="CK659" s="36"/>
      <c r="CL659" s="36"/>
      <c r="CM659" s="36"/>
      <c r="CN659" s="36"/>
      <c r="CO659" s="36"/>
      <c r="CP659" s="36"/>
      <c r="CQ659" s="36"/>
      <c r="CR659" s="36"/>
      <c r="CS659" s="36"/>
      <c r="CT659" s="36"/>
      <c r="CU659" s="36"/>
      <c r="CV659" s="36"/>
      <c r="CW659" s="36"/>
      <c r="CX659" s="36"/>
      <c r="CY659" s="36"/>
      <c r="CZ659" s="36"/>
      <c r="DA659" s="36"/>
      <c r="DB659" s="36"/>
      <c r="DC659" s="36"/>
      <c r="DD659" s="36"/>
      <c r="DE659" s="36"/>
      <c r="DF659" s="36"/>
      <c r="DG659" s="36"/>
      <c r="DH659" s="36"/>
      <c r="DI659" s="36"/>
      <c r="DJ659" s="36"/>
      <c r="DK659" s="36"/>
      <c r="DL659" s="36"/>
      <c r="DM659" s="36"/>
      <c r="DN659" s="36"/>
      <c r="DO659" s="36"/>
      <c r="DP659" s="36"/>
      <c r="DQ659" s="36"/>
      <c r="DR659" s="36"/>
      <c r="DS659" s="36"/>
      <c r="DT659" s="36"/>
      <c r="DU659" s="36"/>
      <c r="DV659" s="36"/>
      <c r="DW659" s="36"/>
      <c r="DX659" s="36"/>
      <c r="DY659" s="36"/>
      <c r="DZ659" s="36"/>
      <c r="EA659" s="36"/>
      <c r="EB659" s="36"/>
      <c r="EC659" s="36"/>
      <c r="ED659" s="36"/>
      <c r="EE659" s="36"/>
      <c r="EF659" s="36"/>
      <c r="EG659" s="36"/>
      <c r="EH659" s="36"/>
      <c r="EI659" s="36"/>
      <c r="EJ659" s="36"/>
      <c r="EK659" s="36"/>
      <c r="EL659" s="36"/>
      <c r="EM659" s="36"/>
      <c r="EN659" s="36"/>
      <c r="EO659" s="36"/>
      <c r="EP659" s="36"/>
      <c r="EQ659" s="36"/>
      <c r="ER659" s="36"/>
      <c r="ES659" s="36"/>
      <c r="ET659" s="36"/>
      <c r="EU659" s="36"/>
      <c r="EV659" s="36"/>
      <c r="EW659" s="36"/>
      <c r="EX659" s="36"/>
      <c r="EY659" s="36"/>
      <c r="EZ659" s="36"/>
      <c r="FA659" s="36"/>
      <c r="FB659" s="36"/>
      <c r="FC659" s="36"/>
      <c r="FD659" s="36"/>
      <c r="FE659" s="36"/>
      <c r="FF659" s="36"/>
      <c r="FG659" s="36"/>
      <c r="FH659" s="36"/>
      <c r="FI659" s="36"/>
      <c r="FJ659" s="36"/>
      <c r="FK659" s="36"/>
      <c r="FL659" s="36"/>
      <c r="FM659" s="36"/>
      <c r="FN659" s="36"/>
      <c r="FO659" s="36"/>
      <c r="FP659" s="36"/>
      <c r="FQ659" s="36"/>
      <c r="FR659" s="36"/>
      <c r="FS659" s="36"/>
      <c r="FT659" s="36"/>
      <c r="FU659" s="36"/>
      <c r="FV659" s="36"/>
      <c r="FW659" s="36"/>
      <c r="FX659" s="36"/>
      <c r="FY659" s="36"/>
      <c r="FZ659" s="36"/>
      <c r="GA659" s="36"/>
      <c r="GB659" s="36"/>
      <c r="GC659" s="36"/>
      <c r="GD659" s="36"/>
      <c r="GE659" s="36"/>
      <c r="GF659" s="36"/>
      <c r="GG659" s="36"/>
      <c r="GH659" s="36"/>
      <c r="GI659" s="36"/>
      <c r="GJ659" s="36"/>
      <c r="GK659" s="36"/>
      <c r="GL659" s="36"/>
      <c r="GM659" s="36"/>
      <c r="GN659" s="36"/>
      <c r="GO659" s="36"/>
      <c r="GP659" s="36"/>
      <c r="GQ659" s="36"/>
      <c r="GR659" s="36"/>
      <c r="GS659" s="36"/>
      <c r="GT659" s="36"/>
      <c r="GU659" s="36"/>
      <c r="GV659" s="36"/>
      <c r="GW659" s="36"/>
      <c r="GX659" s="36"/>
      <c r="GY659" s="36"/>
      <c r="GZ659" s="36"/>
      <c r="HA659" s="36"/>
      <c r="HB659" s="36"/>
      <c r="HC659" s="36"/>
      <c r="HD659" s="36"/>
      <c r="HE659" s="36"/>
      <c r="HF659" s="36"/>
      <c r="HG659" s="36"/>
      <c r="HH659" s="36"/>
      <c r="HI659" s="36"/>
    </row>
    <row r="660" spans="1:217" s="55" customFormat="1" ht="25.5" customHeight="1" hidden="1">
      <c r="A660" s="139" t="s">
        <v>354</v>
      </c>
      <c r="B660" s="90"/>
      <c r="C660" s="90"/>
      <c r="D660" s="217">
        <f>D664*D668</f>
        <v>20000</v>
      </c>
      <c r="E660" s="217"/>
      <c r="F660" s="217">
        <f>D660</f>
        <v>20000</v>
      </c>
      <c r="G660" s="217">
        <f>G664*G668</f>
        <v>20000</v>
      </c>
      <c r="H660" s="217"/>
      <c r="I660" s="217"/>
      <c r="J660" s="217">
        <f>G660</f>
        <v>20000</v>
      </c>
      <c r="K660" s="217">
        <f>G660/D660*100</f>
        <v>100</v>
      </c>
      <c r="L660" s="217"/>
      <c r="M660" s="217"/>
      <c r="N660" s="217">
        <f>N664*N668</f>
        <v>20000</v>
      </c>
      <c r="O660" s="217"/>
      <c r="P660" s="91">
        <f>N660</f>
        <v>20000</v>
      </c>
      <c r="Q660" s="36"/>
      <c r="R660" s="274"/>
      <c r="S660" s="274"/>
      <c r="T660" s="274"/>
      <c r="U660" s="274"/>
      <c r="V660" s="274"/>
      <c r="W660" s="274"/>
      <c r="X660" s="274"/>
      <c r="Y660" s="274"/>
      <c r="Z660" s="274"/>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c r="BU660" s="36"/>
      <c r="BV660" s="36"/>
      <c r="BW660" s="36"/>
      <c r="BX660" s="36"/>
      <c r="BY660" s="36"/>
      <c r="BZ660" s="36"/>
      <c r="CA660" s="36"/>
      <c r="CB660" s="36"/>
      <c r="CC660" s="36"/>
      <c r="CD660" s="36"/>
      <c r="CE660" s="36"/>
      <c r="CF660" s="36"/>
      <c r="CG660" s="36"/>
      <c r="CH660" s="36"/>
      <c r="CI660" s="36"/>
      <c r="CJ660" s="36"/>
      <c r="CK660" s="36"/>
      <c r="CL660" s="36"/>
      <c r="CM660" s="36"/>
      <c r="CN660" s="36"/>
      <c r="CO660" s="36"/>
      <c r="CP660" s="36"/>
      <c r="CQ660" s="36"/>
      <c r="CR660" s="36"/>
      <c r="CS660" s="36"/>
      <c r="CT660" s="36"/>
      <c r="CU660" s="36"/>
      <c r="CV660" s="36"/>
      <c r="CW660" s="36"/>
      <c r="CX660" s="36"/>
      <c r="CY660" s="36"/>
      <c r="CZ660" s="36"/>
      <c r="DA660" s="36"/>
      <c r="DB660" s="36"/>
      <c r="DC660" s="36"/>
      <c r="DD660" s="36"/>
      <c r="DE660" s="36"/>
      <c r="DF660" s="36"/>
      <c r="DG660" s="36"/>
      <c r="DH660" s="36"/>
      <c r="DI660" s="36"/>
      <c r="DJ660" s="36"/>
      <c r="DK660" s="36"/>
      <c r="DL660" s="36"/>
      <c r="DM660" s="36"/>
      <c r="DN660" s="36"/>
      <c r="DO660" s="36"/>
      <c r="DP660" s="36"/>
      <c r="DQ660" s="36"/>
      <c r="DR660" s="36"/>
      <c r="DS660" s="36"/>
      <c r="DT660" s="36"/>
      <c r="DU660" s="36"/>
      <c r="DV660" s="36"/>
      <c r="DW660" s="36"/>
      <c r="DX660" s="36"/>
      <c r="DY660" s="36"/>
      <c r="DZ660" s="36"/>
      <c r="EA660" s="36"/>
      <c r="EB660" s="36"/>
      <c r="EC660" s="36"/>
      <c r="ED660" s="36"/>
      <c r="EE660" s="36"/>
      <c r="EF660" s="36"/>
      <c r="EG660" s="36"/>
      <c r="EH660" s="36"/>
      <c r="EI660" s="36"/>
      <c r="EJ660" s="36"/>
      <c r="EK660" s="36"/>
      <c r="EL660" s="36"/>
      <c r="EM660" s="36"/>
      <c r="EN660" s="36"/>
      <c r="EO660" s="36"/>
      <c r="EP660" s="36"/>
      <c r="EQ660" s="36"/>
      <c r="ER660" s="36"/>
      <c r="ES660" s="36"/>
      <c r="ET660" s="36"/>
      <c r="EU660" s="36"/>
      <c r="EV660" s="36"/>
      <c r="EW660" s="36"/>
      <c r="EX660" s="36"/>
      <c r="EY660" s="36"/>
      <c r="EZ660" s="36"/>
      <c r="FA660" s="36"/>
      <c r="FB660" s="36"/>
      <c r="FC660" s="36"/>
      <c r="FD660" s="36"/>
      <c r="FE660" s="36"/>
      <c r="FF660" s="36"/>
      <c r="FG660" s="36"/>
      <c r="FH660" s="36"/>
      <c r="FI660" s="36"/>
      <c r="FJ660" s="36"/>
      <c r="FK660" s="36"/>
      <c r="FL660" s="36"/>
      <c r="FM660" s="36"/>
      <c r="FN660" s="36"/>
      <c r="FO660" s="36"/>
      <c r="FP660" s="36"/>
      <c r="FQ660" s="36"/>
      <c r="FR660" s="36"/>
      <c r="FS660" s="36"/>
      <c r="FT660" s="36"/>
      <c r="FU660" s="36"/>
      <c r="FV660" s="36"/>
      <c r="FW660" s="36"/>
      <c r="FX660" s="36"/>
      <c r="FY660" s="36"/>
      <c r="FZ660" s="36"/>
      <c r="GA660" s="36"/>
      <c r="GB660" s="36"/>
      <c r="GC660" s="36"/>
      <c r="GD660" s="36"/>
      <c r="GE660" s="36"/>
      <c r="GF660" s="36"/>
      <c r="GG660" s="36"/>
      <c r="GH660" s="36"/>
      <c r="GI660" s="36"/>
      <c r="GJ660" s="36"/>
      <c r="GK660" s="36"/>
      <c r="GL660" s="36"/>
      <c r="GM660" s="36"/>
      <c r="GN660" s="36"/>
      <c r="GO660" s="36"/>
      <c r="GP660" s="36"/>
      <c r="GQ660" s="36"/>
      <c r="GR660" s="36"/>
      <c r="GS660" s="36"/>
      <c r="GT660" s="36"/>
      <c r="GU660" s="36"/>
      <c r="GV660" s="36"/>
      <c r="GW660" s="36"/>
      <c r="GX660" s="36"/>
      <c r="GY660" s="36"/>
      <c r="GZ660" s="36"/>
      <c r="HA660" s="36"/>
      <c r="HB660" s="36"/>
      <c r="HC660" s="36"/>
      <c r="HD660" s="36"/>
      <c r="HE660" s="36"/>
      <c r="HF660" s="36"/>
      <c r="HG660" s="36"/>
      <c r="HH660" s="36"/>
      <c r="HI660" s="36"/>
    </row>
    <row r="661" spans="1:217" s="55" customFormat="1" ht="25.5" hidden="1">
      <c r="A661" s="139" t="s">
        <v>565</v>
      </c>
      <c r="B661" s="90"/>
      <c r="C661" s="90"/>
      <c r="D661" s="217">
        <f>D665*D669</f>
        <v>12500</v>
      </c>
      <c r="E661" s="217"/>
      <c r="F661" s="217">
        <f>F665*F669</f>
        <v>12500</v>
      </c>
      <c r="G661" s="217">
        <f>G665*G669</f>
        <v>13750</v>
      </c>
      <c r="H661" s="217"/>
      <c r="I661" s="217"/>
      <c r="J661" s="217">
        <f>J665*J669</f>
        <v>13750</v>
      </c>
      <c r="K661" s="217"/>
      <c r="L661" s="217"/>
      <c r="M661" s="217"/>
      <c r="N661" s="217">
        <f>N665*N669</f>
        <v>15000</v>
      </c>
      <c r="O661" s="217"/>
      <c r="P661" s="217">
        <f>P665*P669</f>
        <v>15000</v>
      </c>
      <c r="Q661" s="36"/>
      <c r="R661" s="274"/>
      <c r="S661" s="274"/>
      <c r="T661" s="274"/>
      <c r="U661" s="274"/>
      <c r="V661" s="274"/>
      <c r="W661" s="274"/>
      <c r="X661" s="274"/>
      <c r="Y661" s="274"/>
      <c r="Z661" s="274"/>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c r="BU661" s="36"/>
      <c r="BV661" s="36"/>
      <c r="BW661" s="36"/>
      <c r="BX661" s="36"/>
      <c r="BY661" s="36"/>
      <c r="BZ661" s="36"/>
      <c r="CA661" s="36"/>
      <c r="CB661" s="36"/>
      <c r="CC661" s="36"/>
      <c r="CD661" s="36"/>
      <c r="CE661" s="36"/>
      <c r="CF661" s="36"/>
      <c r="CG661" s="36"/>
      <c r="CH661" s="36"/>
      <c r="CI661" s="36"/>
      <c r="CJ661" s="36"/>
      <c r="CK661" s="36"/>
      <c r="CL661" s="36"/>
      <c r="CM661" s="36"/>
      <c r="CN661" s="36"/>
      <c r="CO661" s="36"/>
      <c r="CP661" s="36"/>
      <c r="CQ661" s="36"/>
      <c r="CR661" s="36"/>
      <c r="CS661" s="36"/>
      <c r="CT661" s="36"/>
      <c r="CU661" s="36"/>
      <c r="CV661" s="36"/>
      <c r="CW661" s="36"/>
      <c r="CX661" s="36"/>
      <c r="CY661" s="36"/>
      <c r="CZ661" s="36"/>
      <c r="DA661" s="36"/>
      <c r="DB661" s="36"/>
      <c r="DC661" s="36"/>
      <c r="DD661" s="36"/>
      <c r="DE661" s="36"/>
      <c r="DF661" s="36"/>
      <c r="DG661" s="36"/>
      <c r="DH661" s="36"/>
      <c r="DI661" s="36"/>
      <c r="DJ661" s="36"/>
      <c r="DK661" s="36"/>
      <c r="DL661" s="36"/>
      <c r="DM661" s="36"/>
      <c r="DN661" s="36"/>
      <c r="DO661" s="36"/>
      <c r="DP661" s="36"/>
      <c r="DQ661" s="36"/>
      <c r="DR661" s="36"/>
      <c r="DS661" s="36"/>
      <c r="DT661" s="36"/>
      <c r="DU661" s="36"/>
      <c r="DV661" s="36"/>
      <c r="DW661" s="36"/>
      <c r="DX661" s="36"/>
      <c r="DY661" s="36"/>
      <c r="DZ661" s="36"/>
      <c r="EA661" s="36"/>
      <c r="EB661" s="36"/>
      <c r="EC661" s="36"/>
      <c r="ED661" s="36"/>
      <c r="EE661" s="36"/>
      <c r="EF661" s="36"/>
      <c r="EG661" s="36"/>
      <c r="EH661" s="36"/>
      <c r="EI661" s="36"/>
      <c r="EJ661" s="36"/>
      <c r="EK661" s="36"/>
      <c r="EL661" s="36"/>
      <c r="EM661" s="36"/>
      <c r="EN661" s="36"/>
      <c r="EO661" s="36"/>
      <c r="EP661" s="36"/>
      <c r="EQ661" s="36"/>
      <c r="ER661" s="36"/>
      <c r="ES661" s="36"/>
      <c r="ET661" s="36"/>
      <c r="EU661" s="36"/>
      <c r="EV661" s="36"/>
      <c r="EW661" s="36"/>
      <c r="EX661" s="36"/>
      <c r="EY661" s="36"/>
      <c r="EZ661" s="36"/>
      <c r="FA661" s="36"/>
      <c r="FB661" s="36"/>
      <c r="FC661" s="36"/>
      <c r="FD661" s="36"/>
      <c r="FE661" s="36"/>
      <c r="FF661" s="36"/>
      <c r="FG661" s="36"/>
      <c r="FH661" s="36"/>
      <c r="FI661" s="36"/>
      <c r="FJ661" s="36"/>
      <c r="FK661" s="36"/>
      <c r="FL661" s="36"/>
      <c r="FM661" s="36"/>
      <c r="FN661" s="36"/>
      <c r="FO661" s="36"/>
      <c r="FP661" s="36"/>
      <c r="FQ661" s="36"/>
      <c r="FR661" s="36"/>
      <c r="FS661" s="36"/>
      <c r="FT661" s="36"/>
      <c r="FU661" s="36"/>
      <c r="FV661" s="36"/>
      <c r="FW661" s="36"/>
      <c r="FX661" s="36"/>
      <c r="FY661" s="36"/>
      <c r="FZ661" s="36"/>
      <c r="GA661" s="36"/>
      <c r="GB661" s="36"/>
      <c r="GC661" s="36"/>
      <c r="GD661" s="36"/>
      <c r="GE661" s="36"/>
      <c r="GF661" s="36"/>
      <c r="GG661" s="36"/>
      <c r="GH661" s="36"/>
      <c r="GI661" s="36"/>
      <c r="GJ661" s="36"/>
      <c r="GK661" s="36"/>
      <c r="GL661" s="36"/>
      <c r="GM661" s="36"/>
      <c r="GN661" s="36"/>
      <c r="GO661" s="36"/>
      <c r="GP661" s="36"/>
      <c r="GQ661" s="36"/>
      <c r="GR661" s="36"/>
      <c r="GS661" s="36"/>
      <c r="GT661" s="36"/>
      <c r="GU661" s="36"/>
      <c r="GV661" s="36"/>
      <c r="GW661" s="36"/>
      <c r="GX661" s="36"/>
      <c r="GY661" s="36"/>
      <c r="GZ661" s="36"/>
      <c r="HA661" s="36"/>
      <c r="HB661" s="36"/>
      <c r="HC661" s="36"/>
      <c r="HD661" s="36"/>
      <c r="HE661" s="36"/>
      <c r="HF661" s="36"/>
      <c r="HG661" s="36"/>
      <c r="HH661" s="36"/>
      <c r="HI661" s="36"/>
    </row>
    <row r="662" spans="1:217" s="55" customFormat="1" ht="13.5" hidden="1">
      <c r="A662" s="143" t="s">
        <v>185</v>
      </c>
      <c r="B662" s="143"/>
      <c r="C662" s="143"/>
      <c r="D662" s="218"/>
      <c r="E662" s="218"/>
      <c r="F662" s="219"/>
      <c r="G662" s="218"/>
      <c r="H662" s="218"/>
      <c r="I662" s="218"/>
      <c r="J662" s="219"/>
      <c r="K662" s="219"/>
      <c r="L662" s="218"/>
      <c r="M662" s="218"/>
      <c r="N662" s="218"/>
      <c r="O662" s="218"/>
      <c r="P662" s="219"/>
      <c r="Q662" s="36"/>
      <c r="R662" s="274"/>
      <c r="S662" s="274"/>
      <c r="T662" s="274"/>
      <c r="U662" s="274"/>
      <c r="V662" s="274"/>
      <c r="W662" s="274"/>
      <c r="X662" s="274"/>
      <c r="Y662" s="274"/>
      <c r="Z662" s="274"/>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c r="BU662" s="36"/>
      <c r="BV662" s="36"/>
      <c r="BW662" s="36"/>
      <c r="BX662" s="36"/>
      <c r="BY662" s="36"/>
      <c r="BZ662" s="36"/>
      <c r="CA662" s="36"/>
      <c r="CB662" s="36"/>
      <c r="CC662" s="36"/>
      <c r="CD662" s="36"/>
      <c r="CE662" s="36"/>
      <c r="CF662" s="36"/>
      <c r="CG662" s="36"/>
      <c r="CH662" s="36"/>
      <c r="CI662" s="36"/>
      <c r="CJ662" s="36"/>
      <c r="CK662" s="36"/>
      <c r="CL662" s="36"/>
      <c r="CM662" s="36"/>
      <c r="CN662" s="36"/>
      <c r="CO662" s="36"/>
      <c r="CP662" s="36"/>
      <c r="CQ662" s="36"/>
      <c r="CR662" s="36"/>
      <c r="CS662" s="36"/>
      <c r="CT662" s="36"/>
      <c r="CU662" s="36"/>
      <c r="CV662" s="36"/>
      <c r="CW662" s="36"/>
      <c r="CX662" s="36"/>
      <c r="CY662" s="36"/>
      <c r="CZ662" s="36"/>
      <c r="DA662" s="36"/>
      <c r="DB662" s="36"/>
      <c r="DC662" s="36"/>
      <c r="DD662" s="36"/>
      <c r="DE662" s="36"/>
      <c r="DF662" s="36"/>
      <c r="DG662" s="36"/>
      <c r="DH662" s="36"/>
      <c r="DI662" s="36"/>
      <c r="DJ662" s="36"/>
      <c r="DK662" s="36"/>
      <c r="DL662" s="36"/>
      <c r="DM662" s="36"/>
      <c r="DN662" s="36"/>
      <c r="DO662" s="36"/>
      <c r="DP662" s="36"/>
      <c r="DQ662" s="36"/>
      <c r="DR662" s="36"/>
      <c r="DS662" s="36"/>
      <c r="DT662" s="36"/>
      <c r="DU662" s="36"/>
      <c r="DV662" s="36"/>
      <c r="DW662" s="36"/>
      <c r="DX662" s="36"/>
      <c r="DY662" s="36"/>
      <c r="DZ662" s="36"/>
      <c r="EA662" s="36"/>
      <c r="EB662" s="36"/>
      <c r="EC662" s="36"/>
      <c r="ED662" s="36"/>
      <c r="EE662" s="36"/>
      <c r="EF662" s="36"/>
      <c r="EG662" s="36"/>
      <c r="EH662" s="36"/>
      <c r="EI662" s="36"/>
      <c r="EJ662" s="36"/>
      <c r="EK662" s="36"/>
      <c r="EL662" s="36"/>
      <c r="EM662" s="36"/>
      <c r="EN662" s="36"/>
      <c r="EO662" s="36"/>
      <c r="EP662" s="36"/>
      <c r="EQ662" s="36"/>
      <c r="ER662" s="36"/>
      <c r="ES662" s="36"/>
      <c r="ET662" s="36"/>
      <c r="EU662" s="36"/>
      <c r="EV662" s="36"/>
      <c r="EW662" s="36"/>
      <c r="EX662" s="36"/>
      <c r="EY662" s="36"/>
      <c r="EZ662" s="36"/>
      <c r="FA662" s="36"/>
      <c r="FB662" s="36"/>
      <c r="FC662" s="36"/>
      <c r="FD662" s="36"/>
      <c r="FE662" s="36"/>
      <c r="FF662" s="36"/>
      <c r="FG662" s="36"/>
      <c r="FH662" s="36"/>
      <c r="FI662" s="36"/>
      <c r="FJ662" s="36"/>
      <c r="FK662" s="36"/>
      <c r="FL662" s="36"/>
      <c r="FM662" s="36"/>
      <c r="FN662" s="36"/>
      <c r="FO662" s="36"/>
      <c r="FP662" s="36"/>
      <c r="FQ662" s="36"/>
      <c r="FR662" s="36"/>
      <c r="FS662" s="36"/>
      <c r="FT662" s="36"/>
      <c r="FU662" s="36"/>
      <c r="FV662" s="36"/>
      <c r="FW662" s="36"/>
      <c r="FX662" s="36"/>
      <c r="FY662" s="36"/>
      <c r="FZ662" s="36"/>
      <c r="GA662" s="36"/>
      <c r="GB662" s="36"/>
      <c r="GC662" s="36"/>
      <c r="GD662" s="36"/>
      <c r="GE662" s="36"/>
      <c r="GF662" s="36"/>
      <c r="GG662" s="36"/>
      <c r="GH662" s="36"/>
      <c r="GI662" s="36"/>
      <c r="GJ662" s="36"/>
      <c r="GK662" s="36"/>
      <c r="GL662" s="36"/>
      <c r="GM662" s="36"/>
      <c r="GN662" s="36"/>
      <c r="GO662" s="36"/>
      <c r="GP662" s="36"/>
      <c r="GQ662" s="36"/>
      <c r="GR662" s="36"/>
      <c r="GS662" s="36"/>
      <c r="GT662" s="36"/>
      <c r="GU662" s="36"/>
      <c r="GV662" s="36"/>
      <c r="GW662" s="36"/>
      <c r="GX662" s="36"/>
      <c r="GY662" s="36"/>
      <c r="GZ662" s="36"/>
      <c r="HA662" s="36"/>
      <c r="HB662" s="36"/>
      <c r="HC662" s="36"/>
      <c r="HD662" s="36"/>
      <c r="HE662" s="36"/>
      <c r="HF662" s="36"/>
      <c r="HG662" s="36"/>
      <c r="HH662" s="36"/>
      <c r="HI662" s="36"/>
    </row>
    <row r="663" spans="1:217" s="55" customFormat="1" ht="30" customHeight="1" hidden="1">
      <c r="A663" s="139" t="s">
        <v>355</v>
      </c>
      <c r="B663" s="143"/>
      <c r="C663" s="143"/>
      <c r="D663" s="220">
        <v>15</v>
      </c>
      <c r="E663" s="218"/>
      <c r="F663" s="220">
        <f>D663</f>
        <v>15</v>
      </c>
      <c r="G663" s="220">
        <v>15</v>
      </c>
      <c r="H663" s="218"/>
      <c r="I663" s="218"/>
      <c r="J663" s="220">
        <f>G663</f>
        <v>15</v>
      </c>
      <c r="K663" s="219"/>
      <c r="L663" s="218"/>
      <c r="M663" s="218"/>
      <c r="N663" s="220">
        <v>15</v>
      </c>
      <c r="O663" s="218"/>
      <c r="P663" s="220">
        <f>N663</f>
        <v>15</v>
      </c>
      <c r="Q663" s="36"/>
      <c r="R663" s="274"/>
      <c r="S663" s="274"/>
      <c r="T663" s="274"/>
      <c r="U663" s="274"/>
      <c r="V663" s="274"/>
      <c r="W663" s="274"/>
      <c r="X663" s="274"/>
      <c r="Y663" s="274"/>
      <c r="Z663" s="274"/>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c r="BU663" s="36"/>
      <c r="BV663" s="36"/>
      <c r="BW663" s="36"/>
      <c r="BX663" s="36"/>
      <c r="BY663" s="36"/>
      <c r="BZ663" s="36"/>
      <c r="CA663" s="36"/>
      <c r="CB663" s="36"/>
      <c r="CC663" s="36"/>
      <c r="CD663" s="36"/>
      <c r="CE663" s="36"/>
      <c r="CF663" s="36"/>
      <c r="CG663" s="36"/>
      <c r="CH663" s="36"/>
      <c r="CI663" s="36"/>
      <c r="CJ663" s="36"/>
      <c r="CK663" s="36"/>
      <c r="CL663" s="36"/>
      <c r="CM663" s="36"/>
      <c r="CN663" s="36"/>
      <c r="CO663" s="36"/>
      <c r="CP663" s="36"/>
      <c r="CQ663" s="36"/>
      <c r="CR663" s="36"/>
      <c r="CS663" s="36"/>
      <c r="CT663" s="36"/>
      <c r="CU663" s="36"/>
      <c r="CV663" s="36"/>
      <c r="CW663" s="36"/>
      <c r="CX663" s="36"/>
      <c r="CY663" s="36"/>
      <c r="CZ663" s="36"/>
      <c r="DA663" s="36"/>
      <c r="DB663" s="36"/>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36"/>
      <c r="EB663" s="36"/>
      <c r="EC663" s="36"/>
      <c r="ED663" s="36"/>
      <c r="EE663" s="36"/>
      <c r="EF663" s="36"/>
      <c r="EG663" s="36"/>
      <c r="EH663" s="36"/>
      <c r="EI663" s="36"/>
      <c r="EJ663" s="36"/>
      <c r="EK663" s="36"/>
      <c r="EL663" s="36"/>
      <c r="EM663" s="36"/>
      <c r="EN663" s="36"/>
      <c r="EO663" s="36"/>
      <c r="EP663" s="36"/>
      <c r="EQ663" s="36"/>
      <c r="ER663" s="36"/>
      <c r="ES663" s="36"/>
      <c r="ET663" s="36"/>
      <c r="EU663" s="36"/>
      <c r="EV663" s="36"/>
      <c r="EW663" s="36"/>
      <c r="EX663" s="36"/>
      <c r="EY663" s="36"/>
      <c r="EZ663" s="36"/>
      <c r="FA663" s="36"/>
      <c r="FB663" s="36"/>
      <c r="FC663" s="36"/>
      <c r="FD663" s="36"/>
      <c r="FE663" s="36"/>
      <c r="FF663" s="36"/>
      <c r="FG663" s="36"/>
      <c r="FH663" s="36"/>
      <c r="FI663" s="36"/>
      <c r="FJ663" s="36"/>
      <c r="FK663" s="36"/>
      <c r="FL663" s="36"/>
      <c r="FM663" s="36"/>
      <c r="FN663" s="36"/>
      <c r="FO663" s="36"/>
      <c r="FP663" s="36"/>
      <c r="FQ663" s="36"/>
      <c r="FR663" s="36"/>
      <c r="FS663" s="36"/>
      <c r="FT663" s="36"/>
      <c r="FU663" s="36"/>
      <c r="FV663" s="36"/>
      <c r="FW663" s="36"/>
      <c r="FX663" s="36"/>
      <c r="FY663" s="36"/>
      <c r="FZ663" s="36"/>
      <c r="GA663" s="36"/>
      <c r="GB663" s="36"/>
      <c r="GC663" s="36"/>
      <c r="GD663" s="36"/>
      <c r="GE663" s="36"/>
      <c r="GF663" s="36"/>
      <c r="GG663" s="36"/>
      <c r="GH663" s="36"/>
      <c r="GI663" s="36"/>
      <c r="GJ663" s="36"/>
      <c r="GK663" s="36"/>
      <c r="GL663" s="36"/>
      <c r="GM663" s="36"/>
      <c r="GN663" s="36"/>
      <c r="GO663" s="36"/>
      <c r="GP663" s="36"/>
      <c r="GQ663" s="36"/>
      <c r="GR663" s="36"/>
      <c r="GS663" s="36"/>
      <c r="GT663" s="36"/>
      <c r="GU663" s="36"/>
      <c r="GV663" s="36"/>
      <c r="GW663" s="36"/>
      <c r="GX663" s="36"/>
      <c r="GY663" s="36"/>
      <c r="GZ663" s="36"/>
      <c r="HA663" s="36"/>
      <c r="HB663" s="36"/>
      <c r="HC663" s="36"/>
      <c r="HD663" s="36"/>
      <c r="HE663" s="36"/>
      <c r="HF663" s="36"/>
      <c r="HG663" s="36"/>
      <c r="HH663" s="36"/>
      <c r="HI663" s="36"/>
    </row>
    <row r="664" spans="1:217" s="55" customFormat="1" ht="12.75" hidden="1">
      <c r="A664" s="139" t="s">
        <v>356</v>
      </c>
      <c r="B664" s="90"/>
      <c r="C664" s="90"/>
      <c r="D664" s="220">
        <v>20</v>
      </c>
      <c r="E664" s="219"/>
      <c r="F664" s="220">
        <f>D664</f>
        <v>20</v>
      </c>
      <c r="G664" s="220">
        <v>20</v>
      </c>
      <c r="H664" s="219"/>
      <c r="I664" s="219"/>
      <c r="J664" s="220">
        <f>G664</f>
        <v>20</v>
      </c>
      <c r="K664" s="219">
        <f>G664/D664*100</f>
        <v>100</v>
      </c>
      <c r="L664" s="219"/>
      <c r="M664" s="219"/>
      <c r="N664" s="220">
        <v>20</v>
      </c>
      <c r="O664" s="219"/>
      <c r="P664" s="220">
        <f>N664</f>
        <v>20</v>
      </c>
      <c r="Q664" s="36"/>
      <c r="R664" s="274"/>
      <c r="S664" s="274"/>
      <c r="T664" s="274"/>
      <c r="U664" s="274"/>
      <c r="V664" s="274"/>
      <c r="W664" s="274"/>
      <c r="X664" s="274"/>
      <c r="Y664" s="274"/>
      <c r="Z664" s="274"/>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c r="BT664" s="36"/>
      <c r="BU664" s="36"/>
      <c r="BV664" s="36"/>
      <c r="BW664" s="36"/>
      <c r="BX664" s="36"/>
      <c r="BY664" s="36"/>
      <c r="BZ664" s="36"/>
      <c r="CA664" s="36"/>
      <c r="CB664" s="36"/>
      <c r="CC664" s="36"/>
      <c r="CD664" s="36"/>
      <c r="CE664" s="36"/>
      <c r="CF664" s="36"/>
      <c r="CG664" s="36"/>
      <c r="CH664" s="36"/>
      <c r="CI664" s="36"/>
      <c r="CJ664" s="36"/>
      <c r="CK664" s="36"/>
      <c r="CL664" s="36"/>
      <c r="CM664" s="36"/>
      <c r="CN664" s="36"/>
      <c r="CO664" s="36"/>
      <c r="CP664" s="36"/>
      <c r="CQ664" s="36"/>
      <c r="CR664" s="36"/>
      <c r="CS664" s="36"/>
      <c r="CT664" s="36"/>
      <c r="CU664" s="36"/>
      <c r="CV664" s="36"/>
      <c r="CW664" s="36"/>
      <c r="CX664" s="36"/>
      <c r="CY664" s="36"/>
      <c r="CZ664" s="36"/>
      <c r="DA664" s="36"/>
      <c r="DB664" s="36"/>
      <c r="DC664" s="36"/>
      <c r="DD664" s="36"/>
      <c r="DE664" s="36"/>
      <c r="DF664" s="36"/>
      <c r="DG664" s="36"/>
      <c r="DH664" s="36"/>
      <c r="DI664" s="36"/>
      <c r="DJ664" s="36"/>
      <c r="DK664" s="36"/>
      <c r="DL664" s="36"/>
      <c r="DM664" s="36"/>
      <c r="DN664" s="36"/>
      <c r="DO664" s="36"/>
      <c r="DP664" s="36"/>
      <c r="DQ664" s="36"/>
      <c r="DR664" s="36"/>
      <c r="DS664" s="36"/>
      <c r="DT664" s="36"/>
      <c r="DU664" s="36"/>
      <c r="DV664" s="36"/>
      <c r="DW664" s="36"/>
      <c r="DX664" s="36"/>
      <c r="DY664" s="36"/>
      <c r="DZ664" s="36"/>
      <c r="EA664" s="36"/>
      <c r="EB664" s="36"/>
      <c r="EC664" s="36"/>
      <c r="ED664" s="36"/>
      <c r="EE664" s="36"/>
      <c r="EF664" s="36"/>
      <c r="EG664" s="36"/>
      <c r="EH664" s="36"/>
      <c r="EI664" s="36"/>
      <c r="EJ664" s="36"/>
      <c r="EK664" s="36"/>
      <c r="EL664" s="36"/>
      <c r="EM664" s="36"/>
      <c r="EN664" s="36"/>
      <c r="EO664" s="36"/>
      <c r="EP664" s="36"/>
      <c r="EQ664" s="36"/>
      <c r="ER664" s="36"/>
      <c r="ES664" s="36"/>
      <c r="ET664" s="36"/>
      <c r="EU664" s="36"/>
      <c r="EV664" s="36"/>
      <c r="EW664" s="36"/>
      <c r="EX664" s="36"/>
      <c r="EY664" s="36"/>
      <c r="EZ664" s="36"/>
      <c r="FA664" s="36"/>
      <c r="FB664" s="36"/>
      <c r="FC664" s="36"/>
      <c r="FD664" s="36"/>
      <c r="FE664" s="36"/>
      <c r="FF664" s="36"/>
      <c r="FG664" s="36"/>
      <c r="FH664" s="36"/>
      <c r="FI664" s="36"/>
      <c r="FJ664" s="36"/>
      <c r="FK664" s="36"/>
      <c r="FL664" s="36"/>
      <c r="FM664" s="36"/>
      <c r="FN664" s="36"/>
      <c r="FO664" s="36"/>
      <c r="FP664" s="36"/>
      <c r="FQ664" s="36"/>
      <c r="FR664" s="36"/>
      <c r="FS664" s="36"/>
      <c r="FT664" s="36"/>
      <c r="FU664" s="36"/>
      <c r="FV664" s="36"/>
      <c r="FW664" s="36"/>
      <c r="FX664" s="36"/>
      <c r="FY664" s="36"/>
      <c r="FZ664" s="36"/>
      <c r="GA664" s="36"/>
      <c r="GB664" s="36"/>
      <c r="GC664" s="36"/>
      <c r="GD664" s="36"/>
      <c r="GE664" s="36"/>
      <c r="GF664" s="36"/>
      <c r="GG664" s="36"/>
      <c r="GH664" s="36"/>
      <c r="GI664" s="36"/>
      <c r="GJ664" s="36"/>
      <c r="GK664" s="36"/>
      <c r="GL664" s="36"/>
      <c r="GM664" s="36"/>
      <c r="GN664" s="36"/>
      <c r="GO664" s="36"/>
      <c r="GP664" s="36"/>
      <c r="GQ664" s="36"/>
      <c r="GR664" s="36"/>
      <c r="GS664" s="36"/>
      <c r="GT664" s="36"/>
      <c r="GU664" s="36"/>
      <c r="GV664" s="36"/>
      <c r="GW664" s="36"/>
      <c r="GX664" s="36"/>
      <c r="GY664" s="36"/>
      <c r="GZ664" s="36"/>
      <c r="HA664" s="36"/>
      <c r="HB664" s="36"/>
      <c r="HC664" s="36"/>
      <c r="HD664" s="36"/>
      <c r="HE664" s="36"/>
      <c r="HF664" s="36"/>
      <c r="HG664" s="36"/>
      <c r="HH664" s="36"/>
      <c r="HI664" s="36"/>
    </row>
    <row r="665" spans="1:217" s="55" customFormat="1" ht="24" customHeight="1" hidden="1">
      <c r="A665" s="139" t="s">
        <v>357</v>
      </c>
      <c r="B665" s="90"/>
      <c r="C665" s="90"/>
      <c r="D665" s="220">
        <v>25</v>
      </c>
      <c r="E665" s="219"/>
      <c r="F665" s="220">
        <v>25</v>
      </c>
      <c r="G665" s="220">
        <v>25</v>
      </c>
      <c r="H665" s="219"/>
      <c r="I665" s="219"/>
      <c r="J665" s="220">
        <v>25</v>
      </c>
      <c r="K665" s="219"/>
      <c r="L665" s="219"/>
      <c r="M665" s="219"/>
      <c r="N665" s="220">
        <v>25</v>
      </c>
      <c r="O665" s="219"/>
      <c r="P665" s="220">
        <v>25</v>
      </c>
      <c r="Q665" s="36"/>
      <c r="R665" s="274"/>
      <c r="S665" s="274"/>
      <c r="T665" s="274"/>
      <c r="U665" s="274"/>
      <c r="V665" s="274"/>
      <c r="W665" s="274"/>
      <c r="X665" s="274"/>
      <c r="Y665" s="274"/>
      <c r="Z665" s="274"/>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c r="BU665" s="36"/>
      <c r="BV665" s="36"/>
      <c r="BW665" s="36"/>
      <c r="BX665" s="36"/>
      <c r="BY665" s="36"/>
      <c r="BZ665" s="36"/>
      <c r="CA665" s="36"/>
      <c r="CB665" s="36"/>
      <c r="CC665" s="36"/>
      <c r="CD665" s="36"/>
      <c r="CE665" s="36"/>
      <c r="CF665" s="36"/>
      <c r="CG665" s="36"/>
      <c r="CH665" s="36"/>
      <c r="CI665" s="36"/>
      <c r="CJ665" s="36"/>
      <c r="CK665" s="36"/>
      <c r="CL665" s="36"/>
      <c r="CM665" s="36"/>
      <c r="CN665" s="36"/>
      <c r="CO665" s="36"/>
      <c r="CP665" s="36"/>
      <c r="CQ665" s="36"/>
      <c r="CR665" s="36"/>
      <c r="CS665" s="36"/>
      <c r="CT665" s="36"/>
      <c r="CU665" s="36"/>
      <c r="CV665" s="36"/>
      <c r="CW665" s="36"/>
      <c r="CX665" s="36"/>
      <c r="CY665" s="36"/>
      <c r="CZ665" s="36"/>
      <c r="DA665" s="36"/>
      <c r="DB665" s="36"/>
      <c r="DC665" s="36"/>
      <c r="DD665" s="36"/>
      <c r="DE665" s="36"/>
      <c r="DF665" s="36"/>
      <c r="DG665" s="36"/>
      <c r="DH665" s="36"/>
      <c r="DI665" s="36"/>
      <c r="DJ665" s="36"/>
      <c r="DK665" s="36"/>
      <c r="DL665" s="36"/>
      <c r="DM665" s="36"/>
      <c r="DN665" s="36"/>
      <c r="DO665" s="36"/>
      <c r="DP665" s="36"/>
      <c r="DQ665" s="36"/>
      <c r="DR665" s="36"/>
      <c r="DS665" s="36"/>
      <c r="DT665" s="36"/>
      <c r="DU665" s="36"/>
      <c r="DV665" s="36"/>
      <c r="DW665" s="36"/>
      <c r="DX665" s="36"/>
      <c r="DY665" s="36"/>
      <c r="DZ665" s="36"/>
      <c r="EA665" s="36"/>
      <c r="EB665" s="36"/>
      <c r="EC665" s="36"/>
      <c r="ED665" s="36"/>
      <c r="EE665" s="36"/>
      <c r="EF665" s="36"/>
      <c r="EG665" s="36"/>
      <c r="EH665" s="36"/>
      <c r="EI665" s="36"/>
      <c r="EJ665" s="36"/>
      <c r="EK665" s="36"/>
      <c r="EL665" s="36"/>
      <c r="EM665" s="36"/>
      <c r="EN665" s="36"/>
      <c r="EO665" s="36"/>
      <c r="EP665" s="36"/>
      <c r="EQ665" s="36"/>
      <c r="ER665" s="36"/>
      <c r="ES665" s="36"/>
      <c r="ET665" s="36"/>
      <c r="EU665" s="36"/>
      <c r="EV665" s="36"/>
      <c r="EW665" s="36"/>
      <c r="EX665" s="36"/>
      <c r="EY665" s="36"/>
      <c r="EZ665" s="36"/>
      <c r="FA665" s="36"/>
      <c r="FB665" s="36"/>
      <c r="FC665" s="36"/>
      <c r="FD665" s="36"/>
      <c r="FE665" s="36"/>
      <c r="FF665" s="36"/>
      <c r="FG665" s="36"/>
      <c r="FH665" s="36"/>
      <c r="FI665" s="36"/>
      <c r="FJ665" s="36"/>
      <c r="FK665" s="36"/>
      <c r="FL665" s="36"/>
      <c r="FM665" s="36"/>
      <c r="FN665" s="36"/>
      <c r="FO665" s="36"/>
      <c r="FP665" s="36"/>
      <c r="FQ665" s="36"/>
      <c r="FR665" s="36"/>
      <c r="FS665" s="36"/>
      <c r="FT665" s="36"/>
      <c r="FU665" s="36"/>
      <c r="FV665" s="36"/>
      <c r="FW665" s="36"/>
      <c r="FX665" s="36"/>
      <c r="FY665" s="36"/>
      <c r="FZ665" s="36"/>
      <c r="GA665" s="36"/>
      <c r="GB665" s="36"/>
      <c r="GC665" s="36"/>
      <c r="GD665" s="36"/>
      <c r="GE665" s="36"/>
      <c r="GF665" s="36"/>
      <c r="GG665" s="36"/>
      <c r="GH665" s="36"/>
      <c r="GI665" s="36"/>
      <c r="GJ665" s="36"/>
      <c r="GK665" s="36"/>
      <c r="GL665" s="36"/>
      <c r="GM665" s="36"/>
      <c r="GN665" s="36"/>
      <c r="GO665" s="36"/>
      <c r="GP665" s="36"/>
      <c r="GQ665" s="36"/>
      <c r="GR665" s="36"/>
      <c r="GS665" s="36"/>
      <c r="GT665" s="36"/>
      <c r="GU665" s="36"/>
      <c r="GV665" s="36"/>
      <c r="GW665" s="36"/>
      <c r="GX665" s="36"/>
      <c r="GY665" s="36"/>
      <c r="GZ665" s="36"/>
      <c r="HA665" s="36"/>
      <c r="HB665" s="36"/>
      <c r="HC665" s="36"/>
      <c r="HD665" s="36"/>
      <c r="HE665" s="36"/>
      <c r="HF665" s="36"/>
      <c r="HG665" s="36"/>
      <c r="HH665" s="36"/>
      <c r="HI665" s="36"/>
    </row>
    <row r="666" spans="1:217" s="55" customFormat="1" ht="12.75" hidden="1">
      <c r="A666" s="143" t="s">
        <v>187</v>
      </c>
      <c r="B666" s="143"/>
      <c r="C666" s="143"/>
      <c r="D666" s="216"/>
      <c r="E666" s="216"/>
      <c r="F666" s="217"/>
      <c r="G666" s="216"/>
      <c r="H666" s="216"/>
      <c r="I666" s="216"/>
      <c r="J666" s="217"/>
      <c r="K666" s="217"/>
      <c r="L666" s="216"/>
      <c r="M666" s="216"/>
      <c r="N666" s="216"/>
      <c r="O666" s="216"/>
      <c r="P666" s="217"/>
      <c r="Q666" s="36"/>
      <c r="R666" s="274"/>
      <c r="S666" s="274"/>
      <c r="T666" s="274"/>
      <c r="U666" s="274"/>
      <c r="V666" s="274"/>
      <c r="W666" s="274"/>
      <c r="X666" s="274"/>
      <c r="Y666" s="274"/>
      <c r="Z666" s="274"/>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c r="BY666" s="36"/>
      <c r="BZ666" s="36"/>
      <c r="CA666" s="36"/>
      <c r="CB666" s="36"/>
      <c r="CC666" s="36"/>
      <c r="CD666" s="36"/>
      <c r="CE666" s="36"/>
      <c r="CF666" s="36"/>
      <c r="CG666" s="36"/>
      <c r="CH666" s="36"/>
      <c r="CI666" s="36"/>
      <c r="CJ666" s="36"/>
      <c r="CK666" s="36"/>
      <c r="CL666" s="36"/>
      <c r="CM666" s="36"/>
      <c r="CN666" s="36"/>
      <c r="CO666" s="36"/>
      <c r="CP666" s="36"/>
      <c r="CQ666" s="36"/>
      <c r="CR666" s="36"/>
      <c r="CS666" s="36"/>
      <c r="CT666" s="36"/>
      <c r="CU666" s="36"/>
      <c r="CV666" s="36"/>
      <c r="CW666" s="36"/>
      <c r="CX666" s="36"/>
      <c r="CY666" s="36"/>
      <c r="CZ666" s="36"/>
      <c r="DA666" s="36"/>
      <c r="DB666" s="36"/>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6"/>
      <c r="EF666" s="36"/>
      <c r="EG666" s="36"/>
      <c r="EH666" s="36"/>
      <c r="EI666" s="36"/>
      <c r="EJ666" s="36"/>
      <c r="EK666" s="36"/>
      <c r="EL666" s="36"/>
      <c r="EM666" s="36"/>
      <c r="EN666" s="36"/>
      <c r="EO666" s="36"/>
      <c r="EP666" s="36"/>
      <c r="EQ666" s="36"/>
      <c r="ER666" s="36"/>
      <c r="ES666" s="36"/>
      <c r="ET666" s="36"/>
      <c r="EU666" s="36"/>
      <c r="EV666" s="36"/>
      <c r="EW666" s="36"/>
      <c r="EX666" s="36"/>
      <c r="EY666" s="36"/>
      <c r="EZ666" s="36"/>
      <c r="FA666" s="36"/>
      <c r="FB666" s="36"/>
      <c r="FC666" s="36"/>
      <c r="FD666" s="36"/>
      <c r="FE666" s="36"/>
      <c r="FF666" s="36"/>
      <c r="FG666" s="36"/>
      <c r="FH666" s="36"/>
      <c r="FI666" s="36"/>
      <c r="FJ666" s="36"/>
      <c r="FK666" s="36"/>
      <c r="FL666" s="36"/>
      <c r="FM666" s="36"/>
      <c r="FN666" s="36"/>
      <c r="FO666" s="36"/>
      <c r="FP666" s="36"/>
      <c r="FQ666" s="36"/>
      <c r="FR666" s="36"/>
      <c r="FS666" s="36"/>
      <c r="FT666" s="36"/>
      <c r="FU666" s="36"/>
      <c r="FV666" s="36"/>
      <c r="FW666" s="36"/>
      <c r="FX666" s="36"/>
      <c r="FY666" s="36"/>
      <c r="FZ666" s="36"/>
      <c r="GA666" s="36"/>
      <c r="GB666" s="36"/>
      <c r="GC666" s="36"/>
      <c r="GD666" s="36"/>
      <c r="GE666" s="36"/>
      <c r="GF666" s="36"/>
      <c r="GG666" s="36"/>
      <c r="GH666" s="36"/>
      <c r="GI666" s="36"/>
      <c r="GJ666" s="36"/>
      <c r="GK666" s="36"/>
      <c r="GL666" s="36"/>
      <c r="GM666" s="36"/>
      <c r="GN666" s="36"/>
      <c r="GO666" s="36"/>
      <c r="GP666" s="36"/>
      <c r="GQ666" s="36"/>
      <c r="GR666" s="36"/>
      <c r="GS666" s="36"/>
      <c r="GT666" s="36"/>
      <c r="GU666" s="36"/>
      <c r="GV666" s="36"/>
      <c r="GW666" s="36"/>
      <c r="GX666" s="36"/>
      <c r="GY666" s="36"/>
      <c r="GZ666" s="36"/>
      <c r="HA666" s="36"/>
      <c r="HB666" s="36"/>
      <c r="HC666" s="36"/>
      <c r="HD666" s="36"/>
      <c r="HE666" s="36"/>
      <c r="HF666" s="36"/>
      <c r="HG666" s="36"/>
      <c r="HH666" s="36"/>
      <c r="HI666" s="36"/>
    </row>
    <row r="667" spans="1:217" s="55" customFormat="1" ht="25.5" customHeight="1" hidden="1">
      <c r="A667" s="90" t="s">
        <v>312</v>
      </c>
      <c r="B667" s="90"/>
      <c r="C667" s="90"/>
      <c r="D667" s="91">
        <v>10000</v>
      </c>
      <c r="E667" s="221"/>
      <c r="F667" s="91">
        <f>D667</f>
        <v>10000</v>
      </c>
      <c r="G667" s="91">
        <v>10000</v>
      </c>
      <c r="H667" s="221"/>
      <c r="I667" s="221"/>
      <c r="J667" s="91">
        <f>G667</f>
        <v>10000</v>
      </c>
      <c r="K667" s="217">
        <f>G667/D667*100</f>
        <v>100</v>
      </c>
      <c r="L667" s="221"/>
      <c r="M667" s="91"/>
      <c r="N667" s="91">
        <v>10000</v>
      </c>
      <c r="O667" s="221"/>
      <c r="P667" s="91">
        <f>N667</f>
        <v>10000</v>
      </c>
      <c r="Q667" s="36"/>
      <c r="R667" s="274"/>
      <c r="S667" s="274"/>
      <c r="T667" s="274"/>
      <c r="U667" s="274"/>
      <c r="V667" s="274"/>
      <c r="W667" s="274"/>
      <c r="X667" s="274"/>
      <c r="Y667" s="274"/>
      <c r="Z667" s="274"/>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c r="BU667" s="36"/>
      <c r="BV667" s="36"/>
      <c r="BW667" s="36"/>
      <c r="BX667" s="36"/>
      <c r="BY667" s="36"/>
      <c r="BZ667" s="36"/>
      <c r="CA667" s="36"/>
      <c r="CB667" s="36"/>
      <c r="CC667" s="36"/>
      <c r="CD667" s="36"/>
      <c r="CE667" s="36"/>
      <c r="CF667" s="36"/>
      <c r="CG667" s="36"/>
      <c r="CH667" s="36"/>
      <c r="CI667" s="36"/>
      <c r="CJ667" s="36"/>
      <c r="CK667" s="36"/>
      <c r="CL667" s="36"/>
      <c r="CM667" s="36"/>
      <c r="CN667" s="36"/>
      <c r="CO667" s="36"/>
      <c r="CP667" s="36"/>
      <c r="CQ667" s="36"/>
      <c r="CR667" s="36"/>
      <c r="CS667" s="36"/>
      <c r="CT667" s="36"/>
      <c r="CU667" s="36"/>
      <c r="CV667" s="36"/>
      <c r="CW667" s="36"/>
      <c r="CX667" s="36"/>
      <c r="CY667" s="36"/>
      <c r="CZ667" s="36"/>
      <c r="DA667" s="36"/>
      <c r="DB667" s="36"/>
      <c r="DC667" s="36"/>
      <c r="DD667" s="36"/>
      <c r="DE667" s="36"/>
      <c r="DF667" s="36"/>
      <c r="DG667" s="36"/>
      <c r="DH667" s="36"/>
      <c r="DI667" s="36"/>
      <c r="DJ667" s="36"/>
      <c r="DK667" s="36"/>
      <c r="DL667" s="36"/>
      <c r="DM667" s="36"/>
      <c r="DN667" s="36"/>
      <c r="DO667" s="36"/>
      <c r="DP667" s="36"/>
      <c r="DQ667" s="36"/>
      <c r="DR667" s="36"/>
      <c r="DS667" s="36"/>
      <c r="DT667" s="36"/>
      <c r="DU667" s="36"/>
      <c r="DV667" s="36"/>
      <c r="DW667" s="36"/>
      <c r="DX667" s="36"/>
      <c r="DY667" s="36"/>
      <c r="DZ667" s="36"/>
      <c r="EA667" s="36"/>
      <c r="EB667" s="36"/>
      <c r="EC667" s="36"/>
      <c r="ED667" s="36"/>
      <c r="EE667" s="36"/>
      <c r="EF667" s="36"/>
      <c r="EG667" s="36"/>
      <c r="EH667" s="36"/>
      <c r="EI667" s="36"/>
      <c r="EJ667" s="36"/>
      <c r="EK667" s="36"/>
      <c r="EL667" s="36"/>
      <c r="EM667" s="36"/>
      <c r="EN667" s="36"/>
      <c r="EO667" s="36"/>
      <c r="EP667" s="36"/>
      <c r="EQ667" s="36"/>
      <c r="ER667" s="36"/>
      <c r="ES667" s="36"/>
      <c r="ET667" s="36"/>
      <c r="EU667" s="36"/>
      <c r="EV667" s="36"/>
      <c r="EW667" s="36"/>
      <c r="EX667" s="36"/>
      <c r="EY667" s="36"/>
      <c r="EZ667" s="36"/>
      <c r="FA667" s="36"/>
      <c r="FB667" s="36"/>
      <c r="FC667" s="36"/>
      <c r="FD667" s="36"/>
      <c r="FE667" s="36"/>
      <c r="FF667" s="36"/>
      <c r="FG667" s="36"/>
      <c r="FH667" s="36"/>
      <c r="FI667" s="36"/>
      <c r="FJ667" s="36"/>
      <c r="FK667" s="36"/>
      <c r="FL667" s="36"/>
      <c r="FM667" s="36"/>
      <c r="FN667" s="36"/>
      <c r="FO667" s="36"/>
      <c r="FP667" s="36"/>
      <c r="FQ667" s="36"/>
      <c r="FR667" s="36"/>
      <c r="FS667" s="36"/>
      <c r="FT667" s="36"/>
      <c r="FU667" s="36"/>
      <c r="FV667" s="36"/>
      <c r="FW667" s="36"/>
      <c r="FX667" s="36"/>
      <c r="FY667" s="36"/>
      <c r="FZ667" s="36"/>
      <c r="GA667" s="36"/>
      <c r="GB667" s="36"/>
      <c r="GC667" s="36"/>
      <c r="GD667" s="36"/>
      <c r="GE667" s="36"/>
      <c r="GF667" s="36"/>
      <c r="GG667" s="36"/>
      <c r="GH667" s="36"/>
      <c r="GI667" s="36"/>
      <c r="GJ667" s="36"/>
      <c r="GK667" s="36"/>
      <c r="GL667" s="36"/>
      <c r="GM667" s="36"/>
      <c r="GN667" s="36"/>
      <c r="GO667" s="36"/>
      <c r="GP667" s="36"/>
      <c r="GQ667" s="36"/>
      <c r="GR667" s="36"/>
      <c r="GS667" s="36"/>
      <c r="GT667" s="36"/>
      <c r="GU667" s="36"/>
      <c r="GV667" s="36"/>
      <c r="GW667" s="36"/>
      <c r="GX667" s="36"/>
      <c r="GY667" s="36"/>
      <c r="GZ667" s="36"/>
      <c r="HA667" s="36"/>
      <c r="HB667" s="36"/>
      <c r="HC667" s="36"/>
      <c r="HD667" s="36"/>
      <c r="HE667" s="36"/>
      <c r="HF667" s="36"/>
      <c r="HG667" s="36"/>
      <c r="HH667" s="36"/>
      <c r="HI667" s="36"/>
    </row>
    <row r="668" spans="1:217" s="55" customFormat="1" ht="25.5" hidden="1">
      <c r="A668" s="90" t="s">
        <v>313</v>
      </c>
      <c r="B668" s="90"/>
      <c r="C668" s="90"/>
      <c r="D668" s="91">
        <v>1000</v>
      </c>
      <c r="E668" s="221"/>
      <c r="F668" s="91">
        <f>D668</f>
        <v>1000</v>
      </c>
      <c r="G668" s="91">
        <v>1000</v>
      </c>
      <c r="H668" s="221"/>
      <c r="I668" s="221"/>
      <c r="J668" s="91">
        <f>G668</f>
        <v>1000</v>
      </c>
      <c r="K668" s="217">
        <f>G668/D668*100</f>
        <v>100</v>
      </c>
      <c r="L668" s="221"/>
      <c r="M668" s="91"/>
      <c r="N668" s="91">
        <v>1000</v>
      </c>
      <c r="O668" s="221"/>
      <c r="P668" s="91">
        <f>N668</f>
        <v>1000</v>
      </c>
      <c r="Q668" s="36"/>
      <c r="R668" s="274"/>
      <c r="S668" s="274"/>
      <c r="T668" s="274"/>
      <c r="U668" s="274"/>
      <c r="V668" s="274"/>
      <c r="W668" s="274"/>
      <c r="X668" s="274"/>
      <c r="Y668" s="274"/>
      <c r="Z668" s="274"/>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c r="BU668" s="36"/>
      <c r="BV668" s="36"/>
      <c r="BW668" s="36"/>
      <c r="BX668" s="36"/>
      <c r="BY668" s="36"/>
      <c r="BZ668" s="36"/>
      <c r="CA668" s="36"/>
      <c r="CB668" s="36"/>
      <c r="CC668" s="36"/>
      <c r="CD668" s="36"/>
      <c r="CE668" s="36"/>
      <c r="CF668" s="36"/>
      <c r="CG668" s="36"/>
      <c r="CH668" s="36"/>
      <c r="CI668" s="36"/>
      <c r="CJ668" s="36"/>
      <c r="CK668" s="36"/>
      <c r="CL668" s="36"/>
      <c r="CM668" s="36"/>
      <c r="CN668" s="36"/>
      <c r="CO668" s="36"/>
      <c r="CP668" s="36"/>
      <c r="CQ668" s="36"/>
      <c r="CR668" s="36"/>
      <c r="CS668" s="36"/>
      <c r="CT668" s="36"/>
      <c r="CU668" s="36"/>
      <c r="CV668" s="36"/>
      <c r="CW668" s="36"/>
      <c r="CX668" s="36"/>
      <c r="CY668" s="36"/>
      <c r="CZ668" s="36"/>
      <c r="DA668" s="36"/>
      <c r="DB668" s="36"/>
      <c r="DC668" s="36"/>
      <c r="DD668" s="36"/>
      <c r="DE668" s="36"/>
      <c r="DF668" s="36"/>
      <c r="DG668" s="36"/>
      <c r="DH668" s="36"/>
      <c r="DI668" s="36"/>
      <c r="DJ668" s="36"/>
      <c r="DK668" s="36"/>
      <c r="DL668" s="36"/>
      <c r="DM668" s="36"/>
      <c r="DN668" s="36"/>
      <c r="DO668" s="36"/>
      <c r="DP668" s="36"/>
      <c r="DQ668" s="36"/>
      <c r="DR668" s="36"/>
      <c r="DS668" s="36"/>
      <c r="DT668" s="36"/>
      <c r="DU668" s="36"/>
      <c r="DV668" s="36"/>
      <c r="DW668" s="36"/>
      <c r="DX668" s="36"/>
      <c r="DY668" s="36"/>
      <c r="DZ668" s="36"/>
      <c r="EA668" s="36"/>
      <c r="EB668" s="36"/>
      <c r="EC668" s="36"/>
      <c r="ED668" s="36"/>
      <c r="EE668" s="36"/>
      <c r="EF668" s="36"/>
      <c r="EG668" s="36"/>
      <c r="EH668" s="36"/>
      <c r="EI668" s="36"/>
      <c r="EJ668" s="36"/>
      <c r="EK668" s="36"/>
      <c r="EL668" s="36"/>
      <c r="EM668" s="36"/>
      <c r="EN668" s="36"/>
      <c r="EO668" s="36"/>
      <c r="EP668" s="36"/>
      <c r="EQ668" s="36"/>
      <c r="ER668" s="36"/>
      <c r="ES668" s="36"/>
      <c r="ET668" s="36"/>
      <c r="EU668" s="36"/>
      <c r="EV668" s="36"/>
      <c r="EW668" s="36"/>
      <c r="EX668" s="36"/>
      <c r="EY668" s="36"/>
      <c r="EZ668" s="36"/>
      <c r="FA668" s="36"/>
      <c r="FB668" s="36"/>
      <c r="FC668" s="36"/>
      <c r="FD668" s="36"/>
      <c r="FE668" s="36"/>
      <c r="FF668" s="36"/>
      <c r="FG668" s="36"/>
      <c r="FH668" s="36"/>
      <c r="FI668" s="36"/>
      <c r="FJ668" s="36"/>
      <c r="FK668" s="36"/>
      <c r="FL668" s="36"/>
      <c r="FM668" s="36"/>
      <c r="FN668" s="36"/>
      <c r="FO668" s="36"/>
      <c r="FP668" s="36"/>
      <c r="FQ668" s="36"/>
      <c r="FR668" s="36"/>
      <c r="FS668" s="36"/>
      <c r="FT668" s="36"/>
      <c r="FU668" s="36"/>
      <c r="FV668" s="36"/>
      <c r="FW668" s="36"/>
      <c r="FX668" s="36"/>
      <c r="FY668" s="36"/>
      <c r="FZ668" s="36"/>
      <c r="GA668" s="36"/>
      <c r="GB668" s="36"/>
      <c r="GC668" s="36"/>
      <c r="GD668" s="36"/>
      <c r="GE668" s="36"/>
      <c r="GF668" s="36"/>
      <c r="GG668" s="36"/>
      <c r="GH668" s="36"/>
      <c r="GI668" s="36"/>
      <c r="GJ668" s="36"/>
      <c r="GK668" s="36"/>
      <c r="GL668" s="36"/>
      <c r="GM668" s="36"/>
      <c r="GN668" s="36"/>
      <c r="GO668" s="36"/>
      <c r="GP668" s="36"/>
      <c r="GQ668" s="36"/>
      <c r="GR668" s="36"/>
      <c r="GS668" s="36"/>
      <c r="GT668" s="36"/>
      <c r="GU668" s="36"/>
      <c r="GV668" s="36"/>
      <c r="GW668" s="36"/>
      <c r="GX668" s="36"/>
      <c r="GY668" s="36"/>
      <c r="GZ668" s="36"/>
      <c r="HA668" s="36"/>
      <c r="HB668" s="36"/>
      <c r="HC668" s="36"/>
      <c r="HD668" s="36"/>
      <c r="HE668" s="36"/>
      <c r="HF668" s="36"/>
      <c r="HG668" s="36"/>
      <c r="HH668" s="36"/>
      <c r="HI668" s="36"/>
    </row>
    <row r="669" spans="1:217" s="55" customFormat="1" ht="24" customHeight="1" hidden="1">
      <c r="A669" s="90" t="s">
        <v>358</v>
      </c>
      <c r="B669" s="90"/>
      <c r="C669" s="90"/>
      <c r="D669" s="91">
        <v>500</v>
      </c>
      <c r="E669" s="221"/>
      <c r="F669" s="91">
        <f>D669</f>
        <v>500</v>
      </c>
      <c r="G669" s="91">
        <v>550</v>
      </c>
      <c r="H669" s="221"/>
      <c r="I669" s="221"/>
      <c r="J669" s="91">
        <v>550</v>
      </c>
      <c r="K669" s="217"/>
      <c r="L669" s="221"/>
      <c r="M669" s="91"/>
      <c r="N669" s="91">
        <v>600</v>
      </c>
      <c r="O669" s="221"/>
      <c r="P669" s="91">
        <v>600</v>
      </c>
      <c r="Q669" s="36"/>
      <c r="R669" s="274"/>
      <c r="S669" s="274"/>
      <c r="T669" s="274"/>
      <c r="U669" s="274"/>
      <c r="V669" s="274"/>
      <c r="W669" s="274"/>
      <c r="X669" s="274"/>
      <c r="Y669" s="274"/>
      <c r="Z669" s="274"/>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c r="BU669" s="36"/>
      <c r="BV669" s="36"/>
      <c r="BW669" s="36"/>
      <c r="BX669" s="36"/>
      <c r="BY669" s="36"/>
      <c r="BZ669" s="36"/>
      <c r="CA669" s="36"/>
      <c r="CB669" s="36"/>
      <c r="CC669" s="36"/>
      <c r="CD669" s="36"/>
      <c r="CE669" s="36"/>
      <c r="CF669" s="36"/>
      <c r="CG669" s="36"/>
      <c r="CH669" s="36"/>
      <c r="CI669" s="36"/>
      <c r="CJ669" s="36"/>
      <c r="CK669" s="36"/>
      <c r="CL669" s="36"/>
      <c r="CM669" s="36"/>
      <c r="CN669" s="36"/>
      <c r="CO669" s="36"/>
      <c r="CP669" s="36"/>
      <c r="CQ669" s="36"/>
      <c r="CR669" s="36"/>
      <c r="CS669" s="36"/>
      <c r="CT669" s="36"/>
      <c r="CU669" s="36"/>
      <c r="CV669" s="36"/>
      <c r="CW669" s="36"/>
      <c r="CX669" s="36"/>
      <c r="CY669" s="36"/>
      <c r="CZ669" s="36"/>
      <c r="DA669" s="36"/>
      <c r="DB669" s="36"/>
      <c r="DC669" s="36"/>
      <c r="DD669" s="36"/>
      <c r="DE669" s="36"/>
      <c r="DF669" s="36"/>
      <c r="DG669" s="36"/>
      <c r="DH669" s="36"/>
      <c r="DI669" s="36"/>
      <c r="DJ669" s="36"/>
      <c r="DK669" s="36"/>
      <c r="DL669" s="36"/>
      <c r="DM669" s="36"/>
      <c r="DN669" s="36"/>
      <c r="DO669" s="36"/>
      <c r="DP669" s="36"/>
      <c r="DQ669" s="36"/>
      <c r="DR669" s="36"/>
      <c r="DS669" s="36"/>
      <c r="DT669" s="36"/>
      <c r="DU669" s="36"/>
      <c r="DV669" s="36"/>
      <c r="DW669" s="36"/>
      <c r="DX669" s="36"/>
      <c r="DY669" s="36"/>
      <c r="DZ669" s="36"/>
      <c r="EA669" s="36"/>
      <c r="EB669" s="36"/>
      <c r="EC669" s="36"/>
      <c r="ED669" s="36"/>
      <c r="EE669" s="36"/>
      <c r="EF669" s="36"/>
      <c r="EG669" s="36"/>
      <c r="EH669" s="36"/>
      <c r="EI669" s="36"/>
      <c r="EJ669" s="36"/>
      <c r="EK669" s="36"/>
      <c r="EL669" s="36"/>
      <c r="EM669" s="36"/>
      <c r="EN669" s="36"/>
      <c r="EO669" s="36"/>
      <c r="EP669" s="36"/>
      <c r="EQ669" s="36"/>
      <c r="ER669" s="36"/>
      <c r="ES669" s="36"/>
      <c r="ET669" s="36"/>
      <c r="EU669" s="36"/>
      <c r="EV669" s="36"/>
      <c r="EW669" s="36"/>
      <c r="EX669" s="36"/>
      <c r="EY669" s="36"/>
      <c r="EZ669" s="36"/>
      <c r="FA669" s="36"/>
      <c r="FB669" s="36"/>
      <c r="FC669" s="36"/>
      <c r="FD669" s="36"/>
      <c r="FE669" s="36"/>
      <c r="FF669" s="36"/>
      <c r="FG669" s="36"/>
      <c r="FH669" s="36"/>
      <c r="FI669" s="36"/>
      <c r="FJ669" s="36"/>
      <c r="FK669" s="36"/>
      <c r="FL669" s="36"/>
      <c r="FM669" s="36"/>
      <c r="FN669" s="36"/>
      <c r="FO669" s="36"/>
      <c r="FP669" s="36"/>
      <c r="FQ669" s="36"/>
      <c r="FR669" s="36"/>
      <c r="FS669" s="36"/>
      <c r="FT669" s="36"/>
      <c r="FU669" s="36"/>
      <c r="FV669" s="36"/>
      <c r="FW669" s="36"/>
      <c r="FX669" s="36"/>
      <c r="FY669" s="36"/>
      <c r="FZ669" s="36"/>
      <c r="GA669" s="36"/>
      <c r="GB669" s="36"/>
      <c r="GC669" s="36"/>
      <c r="GD669" s="36"/>
      <c r="GE669" s="36"/>
      <c r="GF669" s="36"/>
      <c r="GG669" s="36"/>
      <c r="GH669" s="36"/>
      <c r="GI669" s="36"/>
      <c r="GJ669" s="36"/>
      <c r="GK669" s="36"/>
      <c r="GL669" s="36"/>
      <c r="GM669" s="36"/>
      <c r="GN669" s="36"/>
      <c r="GO669" s="36"/>
      <c r="GP669" s="36"/>
      <c r="GQ669" s="36"/>
      <c r="GR669" s="36"/>
      <c r="GS669" s="36"/>
      <c r="GT669" s="36"/>
      <c r="GU669" s="36"/>
      <c r="GV669" s="36"/>
      <c r="GW669" s="36"/>
      <c r="GX669" s="36"/>
      <c r="GY669" s="36"/>
      <c r="GZ669" s="36"/>
      <c r="HA669" s="36"/>
      <c r="HB669" s="36"/>
      <c r="HC669" s="36"/>
      <c r="HD669" s="36"/>
      <c r="HE669" s="36"/>
      <c r="HF669" s="36"/>
      <c r="HG669" s="36"/>
      <c r="HH669" s="36"/>
      <c r="HI669" s="36"/>
    </row>
    <row r="670" spans="1:217" s="43" customFormat="1" ht="42.75" customHeight="1" hidden="1">
      <c r="A670" s="142" t="s">
        <v>47</v>
      </c>
      <c r="B670" s="142"/>
      <c r="C670" s="142"/>
      <c r="D670" s="214">
        <f>SUM(D672:D677)</f>
        <v>136230</v>
      </c>
      <c r="E670" s="214"/>
      <c r="F670" s="214">
        <f>SUM(F672:F677)</f>
        <v>136230</v>
      </c>
      <c r="G670" s="214">
        <f>SUM(G672:G677)</f>
        <v>144702</v>
      </c>
      <c r="H670" s="214"/>
      <c r="I670" s="214"/>
      <c r="J670" s="214">
        <f>SUM(J672:J677)</f>
        <v>144702</v>
      </c>
      <c r="K670" s="214"/>
      <c r="L670" s="215"/>
      <c r="M670" s="215"/>
      <c r="N670" s="214">
        <f>SUM(N672:N677)</f>
        <v>159360</v>
      </c>
      <c r="O670" s="214"/>
      <c r="P670" s="214">
        <f>SUM(P672:P677)</f>
        <v>159360</v>
      </c>
      <c r="Q670" s="52"/>
      <c r="R670" s="357"/>
      <c r="S670" s="357"/>
      <c r="T670" s="357"/>
      <c r="U670" s="357"/>
      <c r="V670" s="357"/>
      <c r="W670" s="357"/>
      <c r="X670" s="357"/>
      <c r="Y670" s="357"/>
      <c r="Z670" s="357"/>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c r="BJ670" s="52"/>
      <c r="BK670" s="52"/>
      <c r="BL670" s="52"/>
      <c r="BM670" s="52"/>
      <c r="BN670" s="52"/>
      <c r="BO670" s="52"/>
      <c r="BP670" s="52"/>
      <c r="BQ670" s="52"/>
      <c r="BR670" s="52"/>
      <c r="BS670" s="52"/>
      <c r="BT670" s="52"/>
      <c r="BU670" s="52"/>
      <c r="BV670" s="52"/>
      <c r="BW670" s="52"/>
      <c r="BX670" s="52"/>
      <c r="BY670" s="52"/>
      <c r="BZ670" s="52"/>
      <c r="CA670" s="52"/>
      <c r="CB670" s="52"/>
      <c r="CC670" s="52"/>
      <c r="CD670" s="52"/>
      <c r="CE670" s="52"/>
      <c r="CF670" s="52"/>
      <c r="CG670" s="52"/>
      <c r="CH670" s="52"/>
      <c r="CI670" s="52"/>
      <c r="CJ670" s="52"/>
      <c r="CK670" s="52"/>
      <c r="CL670" s="52"/>
      <c r="CM670" s="52"/>
      <c r="CN670" s="52"/>
      <c r="CO670" s="52"/>
      <c r="CP670" s="52"/>
      <c r="CQ670" s="52"/>
      <c r="CR670" s="52"/>
      <c r="CS670" s="52"/>
      <c r="CT670" s="52"/>
      <c r="CU670" s="52"/>
      <c r="CV670" s="52"/>
      <c r="CW670" s="52"/>
      <c r="CX670" s="52"/>
      <c r="CY670" s="52"/>
      <c r="CZ670" s="52"/>
      <c r="DA670" s="52"/>
      <c r="DB670" s="52"/>
      <c r="DC670" s="52"/>
      <c r="DD670" s="52"/>
      <c r="DE670" s="52"/>
      <c r="DF670" s="52"/>
      <c r="DG670" s="52"/>
      <c r="DH670" s="52"/>
      <c r="DI670" s="52"/>
      <c r="DJ670" s="52"/>
      <c r="DK670" s="52"/>
      <c r="DL670" s="52"/>
      <c r="DM670" s="52"/>
      <c r="DN670" s="52"/>
      <c r="DO670" s="52"/>
      <c r="DP670" s="52"/>
      <c r="DQ670" s="52"/>
      <c r="DR670" s="52"/>
      <c r="DS670" s="52"/>
      <c r="DT670" s="52"/>
      <c r="DU670" s="52"/>
      <c r="DV670" s="52"/>
      <c r="DW670" s="52"/>
      <c r="DX670" s="52"/>
      <c r="DY670" s="52"/>
      <c r="DZ670" s="52"/>
      <c r="EA670" s="52"/>
      <c r="EB670" s="52"/>
      <c r="EC670" s="52"/>
      <c r="ED670" s="52"/>
      <c r="EE670" s="52"/>
      <c r="EF670" s="52"/>
      <c r="EG670" s="52"/>
      <c r="EH670" s="52"/>
      <c r="EI670" s="52"/>
      <c r="EJ670" s="52"/>
      <c r="EK670" s="52"/>
      <c r="EL670" s="52"/>
      <c r="EM670" s="52"/>
      <c r="EN670" s="52"/>
      <c r="EO670" s="52"/>
      <c r="EP670" s="52"/>
      <c r="EQ670" s="52"/>
      <c r="ER670" s="52"/>
      <c r="ES670" s="52"/>
      <c r="ET670" s="52"/>
      <c r="EU670" s="52"/>
      <c r="EV670" s="52"/>
      <c r="EW670" s="52"/>
      <c r="EX670" s="52"/>
      <c r="EY670" s="52"/>
      <c r="EZ670" s="52"/>
      <c r="FA670" s="52"/>
      <c r="FB670" s="52"/>
      <c r="FC670" s="52"/>
      <c r="FD670" s="52"/>
      <c r="FE670" s="52"/>
      <c r="FF670" s="52"/>
      <c r="FG670" s="52"/>
      <c r="FH670" s="52"/>
      <c r="FI670" s="52"/>
      <c r="FJ670" s="52"/>
      <c r="FK670" s="52"/>
      <c r="FL670" s="52"/>
      <c r="FM670" s="52"/>
      <c r="FN670" s="52"/>
      <c r="FO670" s="52"/>
      <c r="FP670" s="52"/>
      <c r="FQ670" s="52"/>
      <c r="FR670" s="52"/>
      <c r="FS670" s="52"/>
      <c r="FT670" s="52"/>
      <c r="FU670" s="52"/>
      <c r="FV670" s="52"/>
      <c r="FW670" s="52"/>
      <c r="FX670" s="52"/>
      <c r="FY670" s="52"/>
      <c r="FZ670" s="52"/>
      <c r="GA670" s="52"/>
      <c r="GB670" s="52"/>
      <c r="GC670" s="52"/>
      <c r="GD670" s="52"/>
      <c r="GE670" s="52"/>
      <c r="GF670" s="52"/>
      <c r="GG670" s="52"/>
      <c r="GH670" s="52"/>
      <c r="GI670" s="52"/>
      <c r="GJ670" s="52"/>
      <c r="GK670" s="52"/>
      <c r="GL670" s="52"/>
      <c r="GM670" s="52"/>
      <c r="GN670" s="52"/>
      <c r="GO670" s="52"/>
      <c r="GP670" s="52"/>
      <c r="GQ670" s="52"/>
      <c r="GR670" s="52"/>
      <c r="GS670" s="52"/>
      <c r="GT670" s="52"/>
      <c r="GU670" s="52"/>
      <c r="GV670" s="52"/>
      <c r="GW670" s="52"/>
      <c r="GX670" s="52"/>
      <c r="GY670" s="52"/>
      <c r="GZ670" s="52"/>
      <c r="HA670" s="52"/>
      <c r="HB670" s="52"/>
      <c r="HC670" s="52"/>
      <c r="HD670" s="52"/>
      <c r="HE670" s="52"/>
      <c r="HF670" s="52"/>
      <c r="HG670" s="52"/>
      <c r="HH670" s="52"/>
      <c r="HI670" s="52"/>
    </row>
    <row r="671" spans="1:217" s="43" customFormat="1" ht="13.5" hidden="1">
      <c r="A671" s="143" t="s">
        <v>184</v>
      </c>
      <c r="B671" s="142"/>
      <c r="C671" s="142"/>
      <c r="D671" s="214"/>
      <c r="E671" s="214"/>
      <c r="F671" s="214"/>
      <c r="G671" s="214"/>
      <c r="H671" s="214"/>
      <c r="I671" s="214"/>
      <c r="J671" s="214"/>
      <c r="K671" s="214"/>
      <c r="L671" s="215"/>
      <c r="M671" s="215"/>
      <c r="N671" s="214"/>
      <c r="O671" s="214"/>
      <c r="P671" s="214"/>
      <c r="Q671" s="52"/>
      <c r="R671" s="357"/>
      <c r="S671" s="357"/>
      <c r="T671" s="357"/>
      <c r="U671" s="357"/>
      <c r="V671" s="357"/>
      <c r="W671" s="357"/>
      <c r="X671" s="357"/>
      <c r="Y671" s="357"/>
      <c r="Z671" s="357"/>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c r="BO671" s="52"/>
      <c r="BP671" s="52"/>
      <c r="BQ671" s="52"/>
      <c r="BR671" s="52"/>
      <c r="BS671" s="52"/>
      <c r="BT671" s="52"/>
      <c r="BU671" s="52"/>
      <c r="BV671" s="52"/>
      <c r="BW671" s="52"/>
      <c r="BX671" s="52"/>
      <c r="BY671" s="52"/>
      <c r="BZ671" s="52"/>
      <c r="CA671" s="52"/>
      <c r="CB671" s="52"/>
      <c r="CC671" s="52"/>
      <c r="CD671" s="52"/>
      <c r="CE671" s="52"/>
      <c r="CF671" s="52"/>
      <c r="CG671" s="52"/>
      <c r="CH671" s="52"/>
      <c r="CI671" s="52"/>
      <c r="CJ671" s="52"/>
      <c r="CK671" s="52"/>
      <c r="CL671" s="52"/>
      <c r="CM671" s="52"/>
      <c r="CN671" s="52"/>
      <c r="CO671" s="52"/>
      <c r="CP671" s="52"/>
      <c r="CQ671" s="52"/>
      <c r="CR671" s="52"/>
      <c r="CS671" s="52"/>
      <c r="CT671" s="52"/>
      <c r="CU671" s="52"/>
      <c r="CV671" s="52"/>
      <c r="CW671" s="52"/>
      <c r="CX671" s="52"/>
      <c r="CY671" s="52"/>
      <c r="CZ671" s="52"/>
      <c r="DA671" s="52"/>
      <c r="DB671" s="52"/>
      <c r="DC671" s="52"/>
      <c r="DD671" s="52"/>
      <c r="DE671" s="52"/>
      <c r="DF671" s="52"/>
      <c r="DG671" s="52"/>
      <c r="DH671" s="52"/>
      <c r="DI671" s="52"/>
      <c r="DJ671" s="52"/>
      <c r="DK671" s="52"/>
      <c r="DL671" s="52"/>
      <c r="DM671" s="52"/>
      <c r="DN671" s="52"/>
      <c r="DO671" s="52"/>
      <c r="DP671" s="52"/>
      <c r="DQ671" s="52"/>
      <c r="DR671" s="52"/>
      <c r="DS671" s="52"/>
      <c r="DT671" s="52"/>
      <c r="DU671" s="52"/>
      <c r="DV671" s="52"/>
      <c r="DW671" s="52"/>
      <c r="DX671" s="52"/>
      <c r="DY671" s="52"/>
      <c r="DZ671" s="52"/>
      <c r="EA671" s="52"/>
      <c r="EB671" s="52"/>
      <c r="EC671" s="52"/>
      <c r="ED671" s="52"/>
      <c r="EE671" s="52"/>
      <c r="EF671" s="52"/>
      <c r="EG671" s="52"/>
      <c r="EH671" s="52"/>
      <c r="EI671" s="52"/>
      <c r="EJ671" s="52"/>
      <c r="EK671" s="52"/>
      <c r="EL671" s="52"/>
      <c r="EM671" s="52"/>
      <c r="EN671" s="52"/>
      <c r="EO671" s="52"/>
      <c r="EP671" s="52"/>
      <c r="EQ671" s="52"/>
      <c r="ER671" s="52"/>
      <c r="ES671" s="52"/>
      <c r="ET671" s="52"/>
      <c r="EU671" s="52"/>
      <c r="EV671" s="52"/>
      <c r="EW671" s="52"/>
      <c r="EX671" s="52"/>
      <c r="EY671" s="52"/>
      <c r="EZ671" s="52"/>
      <c r="FA671" s="52"/>
      <c r="FB671" s="52"/>
      <c r="FC671" s="52"/>
      <c r="FD671" s="52"/>
      <c r="FE671" s="52"/>
      <c r="FF671" s="52"/>
      <c r="FG671" s="52"/>
      <c r="FH671" s="52"/>
      <c r="FI671" s="52"/>
      <c r="FJ671" s="52"/>
      <c r="FK671" s="52"/>
      <c r="FL671" s="52"/>
      <c r="FM671" s="52"/>
      <c r="FN671" s="52"/>
      <c r="FO671" s="52"/>
      <c r="FP671" s="52"/>
      <c r="FQ671" s="52"/>
      <c r="FR671" s="52"/>
      <c r="FS671" s="52"/>
      <c r="FT671" s="52"/>
      <c r="FU671" s="52"/>
      <c r="FV671" s="52"/>
      <c r="FW671" s="52"/>
      <c r="FX671" s="52"/>
      <c r="FY671" s="52"/>
      <c r="FZ671" s="52"/>
      <c r="GA671" s="52"/>
      <c r="GB671" s="52"/>
      <c r="GC671" s="52"/>
      <c r="GD671" s="52"/>
      <c r="GE671" s="52"/>
      <c r="GF671" s="52"/>
      <c r="GG671" s="52"/>
      <c r="GH671" s="52"/>
      <c r="GI671" s="52"/>
      <c r="GJ671" s="52"/>
      <c r="GK671" s="52"/>
      <c r="GL671" s="52"/>
      <c r="GM671" s="52"/>
      <c r="GN671" s="52"/>
      <c r="GO671" s="52"/>
      <c r="GP671" s="52"/>
      <c r="GQ671" s="52"/>
      <c r="GR671" s="52"/>
      <c r="GS671" s="52"/>
      <c r="GT671" s="52"/>
      <c r="GU671" s="52"/>
      <c r="GV671" s="52"/>
      <c r="GW671" s="52"/>
      <c r="GX671" s="52"/>
      <c r="GY671" s="52"/>
      <c r="GZ671" s="52"/>
      <c r="HA671" s="52"/>
      <c r="HB671" s="52"/>
      <c r="HC671" s="52"/>
      <c r="HD671" s="52"/>
      <c r="HE671" s="52"/>
      <c r="HF671" s="52"/>
      <c r="HG671" s="52"/>
      <c r="HH671" s="52"/>
      <c r="HI671" s="52"/>
    </row>
    <row r="672" spans="1:217" s="43" customFormat="1" ht="28.5" customHeight="1" hidden="1">
      <c r="A672" s="139" t="s">
        <v>359</v>
      </c>
      <c r="B672" s="142"/>
      <c r="C672" s="142"/>
      <c r="D672" s="217">
        <f aca="true" t="shared" si="43" ref="D672:D677">D679*D686</f>
        <v>9600</v>
      </c>
      <c r="E672" s="214"/>
      <c r="F672" s="217">
        <f aca="true" t="shared" si="44" ref="F672:G675">F679*F686</f>
        <v>9600</v>
      </c>
      <c r="G672" s="217">
        <f t="shared" si="44"/>
        <v>10200</v>
      </c>
      <c r="H672" s="214"/>
      <c r="I672" s="214"/>
      <c r="J672" s="217">
        <f aca="true" t="shared" si="45" ref="J672:J677">J679*J686</f>
        <v>10200</v>
      </c>
      <c r="K672" s="214"/>
      <c r="L672" s="215"/>
      <c r="M672" s="215"/>
      <c r="N672" s="217">
        <f aca="true" t="shared" si="46" ref="N672:N677">N679*N686</f>
        <v>11250</v>
      </c>
      <c r="O672" s="214"/>
      <c r="P672" s="217">
        <f aca="true" t="shared" si="47" ref="P672:P677">P679*P686</f>
        <v>11250</v>
      </c>
      <c r="Q672" s="52"/>
      <c r="R672" s="357"/>
      <c r="S672" s="357"/>
      <c r="T672" s="357"/>
      <c r="U672" s="357"/>
      <c r="V672" s="357"/>
      <c r="W672" s="357"/>
      <c r="X672" s="357"/>
      <c r="Y672" s="357"/>
      <c r="Z672" s="357"/>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c r="BO672" s="52"/>
      <c r="BP672" s="52"/>
      <c r="BQ672" s="52"/>
      <c r="BR672" s="52"/>
      <c r="BS672" s="52"/>
      <c r="BT672" s="52"/>
      <c r="BU672" s="52"/>
      <c r="BV672" s="52"/>
      <c r="BW672" s="52"/>
      <c r="BX672" s="52"/>
      <c r="BY672" s="52"/>
      <c r="BZ672" s="52"/>
      <c r="CA672" s="52"/>
      <c r="CB672" s="52"/>
      <c r="CC672" s="52"/>
      <c r="CD672" s="52"/>
      <c r="CE672" s="52"/>
      <c r="CF672" s="52"/>
      <c r="CG672" s="52"/>
      <c r="CH672" s="52"/>
      <c r="CI672" s="52"/>
      <c r="CJ672" s="52"/>
      <c r="CK672" s="52"/>
      <c r="CL672" s="52"/>
      <c r="CM672" s="52"/>
      <c r="CN672" s="52"/>
      <c r="CO672" s="52"/>
      <c r="CP672" s="52"/>
      <c r="CQ672" s="52"/>
      <c r="CR672" s="52"/>
      <c r="CS672" s="52"/>
      <c r="CT672" s="52"/>
      <c r="CU672" s="52"/>
      <c r="CV672" s="52"/>
      <c r="CW672" s="52"/>
      <c r="CX672" s="52"/>
      <c r="CY672" s="52"/>
      <c r="CZ672" s="52"/>
      <c r="DA672" s="52"/>
      <c r="DB672" s="52"/>
      <c r="DC672" s="52"/>
      <c r="DD672" s="52"/>
      <c r="DE672" s="52"/>
      <c r="DF672" s="52"/>
      <c r="DG672" s="52"/>
      <c r="DH672" s="52"/>
      <c r="DI672" s="52"/>
      <c r="DJ672" s="52"/>
      <c r="DK672" s="52"/>
      <c r="DL672" s="52"/>
      <c r="DM672" s="52"/>
      <c r="DN672" s="52"/>
      <c r="DO672" s="52"/>
      <c r="DP672" s="52"/>
      <c r="DQ672" s="52"/>
      <c r="DR672" s="52"/>
      <c r="DS672" s="52"/>
      <c r="DT672" s="52"/>
      <c r="DU672" s="52"/>
      <c r="DV672" s="52"/>
      <c r="DW672" s="52"/>
      <c r="DX672" s="52"/>
      <c r="DY672" s="52"/>
      <c r="DZ672" s="52"/>
      <c r="EA672" s="52"/>
      <c r="EB672" s="52"/>
      <c r="EC672" s="52"/>
      <c r="ED672" s="52"/>
      <c r="EE672" s="52"/>
      <c r="EF672" s="52"/>
      <c r="EG672" s="52"/>
      <c r="EH672" s="52"/>
      <c r="EI672" s="52"/>
      <c r="EJ672" s="52"/>
      <c r="EK672" s="52"/>
      <c r="EL672" s="52"/>
      <c r="EM672" s="52"/>
      <c r="EN672" s="52"/>
      <c r="EO672" s="52"/>
      <c r="EP672" s="52"/>
      <c r="EQ672" s="52"/>
      <c r="ER672" s="52"/>
      <c r="ES672" s="52"/>
      <c r="ET672" s="52"/>
      <c r="EU672" s="52"/>
      <c r="EV672" s="52"/>
      <c r="EW672" s="52"/>
      <c r="EX672" s="52"/>
      <c r="EY672" s="52"/>
      <c r="EZ672" s="52"/>
      <c r="FA672" s="52"/>
      <c r="FB672" s="52"/>
      <c r="FC672" s="52"/>
      <c r="FD672" s="52"/>
      <c r="FE672" s="52"/>
      <c r="FF672" s="52"/>
      <c r="FG672" s="52"/>
      <c r="FH672" s="52"/>
      <c r="FI672" s="52"/>
      <c r="FJ672" s="52"/>
      <c r="FK672" s="52"/>
      <c r="FL672" s="52"/>
      <c r="FM672" s="52"/>
      <c r="FN672" s="52"/>
      <c r="FO672" s="52"/>
      <c r="FP672" s="52"/>
      <c r="FQ672" s="52"/>
      <c r="FR672" s="52"/>
      <c r="FS672" s="52"/>
      <c r="FT672" s="52"/>
      <c r="FU672" s="52"/>
      <c r="FV672" s="52"/>
      <c r="FW672" s="52"/>
      <c r="FX672" s="52"/>
      <c r="FY672" s="52"/>
      <c r="FZ672" s="52"/>
      <c r="GA672" s="52"/>
      <c r="GB672" s="52"/>
      <c r="GC672" s="52"/>
      <c r="GD672" s="52"/>
      <c r="GE672" s="52"/>
      <c r="GF672" s="52"/>
      <c r="GG672" s="52"/>
      <c r="GH672" s="52"/>
      <c r="GI672" s="52"/>
      <c r="GJ672" s="52"/>
      <c r="GK672" s="52"/>
      <c r="GL672" s="52"/>
      <c r="GM672" s="52"/>
      <c r="GN672" s="52"/>
      <c r="GO672" s="52"/>
      <c r="GP672" s="52"/>
      <c r="GQ672" s="52"/>
      <c r="GR672" s="52"/>
      <c r="GS672" s="52"/>
      <c r="GT672" s="52"/>
      <c r="GU672" s="52"/>
      <c r="GV672" s="52"/>
      <c r="GW672" s="52"/>
      <c r="GX672" s="52"/>
      <c r="GY672" s="52"/>
      <c r="GZ672" s="52"/>
      <c r="HA672" s="52"/>
      <c r="HB672" s="52"/>
      <c r="HC672" s="52"/>
      <c r="HD672" s="52"/>
      <c r="HE672" s="52"/>
      <c r="HF672" s="52"/>
      <c r="HG672" s="52"/>
      <c r="HH672" s="52"/>
      <c r="HI672" s="52"/>
    </row>
    <row r="673" spans="1:217" s="43" customFormat="1" ht="25.5" hidden="1">
      <c r="A673" s="139" t="s">
        <v>360</v>
      </c>
      <c r="B673" s="142"/>
      <c r="C673" s="142"/>
      <c r="D673" s="217">
        <f t="shared" si="43"/>
        <v>30000</v>
      </c>
      <c r="E673" s="214"/>
      <c r="F673" s="217">
        <f t="shared" si="44"/>
        <v>30000</v>
      </c>
      <c r="G673" s="217">
        <f t="shared" si="44"/>
        <v>31800</v>
      </c>
      <c r="H673" s="214"/>
      <c r="I673" s="214"/>
      <c r="J673" s="217">
        <f t="shared" si="45"/>
        <v>31800</v>
      </c>
      <c r="K673" s="214"/>
      <c r="L673" s="215"/>
      <c r="M673" s="215"/>
      <c r="N673" s="217">
        <f t="shared" si="46"/>
        <v>35100</v>
      </c>
      <c r="O673" s="214"/>
      <c r="P673" s="217">
        <f t="shared" si="47"/>
        <v>35100</v>
      </c>
      <c r="Q673" s="52"/>
      <c r="R673" s="357"/>
      <c r="S673" s="357"/>
      <c r="T673" s="357"/>
      <c r="U673" s="357"/>
      <c r="V673" s="357"/>
      <c r="W673" s="357"/>
      <c r="X673" s="357"/>
      <c r="Y673" s="357"/>
      <c r="Z673" s="357"/>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52"/>
      <c r="CN673" s="52"/>
      <c r="CO673" s="52"/>
      <c r="CP673" s="52"/>
      <c r="CQ673" s="52"/>
      <c r="CR673" s="52"/>
      <c r="CS673" s="52"/>
      <c r="CT673" s="52"/>
      <c r="CU673" s="52"/>
      <c r="CV673" s="52"/>
      <c r="CW673" s="52"/>
      <c r="CX673" s="52"/>
      <c r="CY673" s="52"/>
      <c r="CZ673" s="52"/>
      <c r="DA673" s="52"/>
      <c r="DB673" s="52"/>
      <c r="DC673" s="52"/>
      <c r="DD673" s="52"/>
      <c r="DE673" s="52"/>
      <c r="DF673" s="52"/>
      <c r="DG673" s="52"/>
      <c r="DH673" s="52"/>
      <c r="DI673" s="52"/>
      <c r="DJ673" s="52"/>
      <c r="DK673" s="52"/>
      <c r="DL673" s="52"/>
      <c r="DM673" s="52"/>
      <c r="DN673" s="52"/>
      <c r="DO673" s="52"/>
      <c r="DP673" s="52"/>
      <c r="DQ673" s="52"/>
      <c r="DR673" s="52"/>
      <c r="DS673" s="52"/>
      <c r="DT673" s="52"/>
      <c r="DU673" s="52"/>
      <c r="DV673" s="52"/>
      <c r="DW673" s="52"/>
      <c r="DX673" s="52"/>
      <c r="DY673" s="52"/>
      <c r="DZ673" s="52"/>
      <c r="EA673" s="52"/>
      <c r="EB673" s="52"/>
      <c r="EC673" s="52"/>
      <c r="ED673" s="52"/>
      <c r="EE673" s="52"/>
      <c r="EF673" s="52"/>
      <c r="EG673" s="52"/>
      <c r="EH673" s="52"/>
      <c r="EI673" s="52"/>
      <c r="EJ673" s="52"/>
      <c r="EK673" s="52"/>
      <c r="EL673" s="52"/>
      <c r="EM673" s="52"/>
      <c r="EN673" s="52"/>
      <c r="EO673" s="52"/>
      <c r="EP673" s="52"/>
      <c r="EQ673" s="52"/>
      <c r="ER673" s="52"/>
      <c r="ES673" s="52"/>
      <c r="ET673" s="52"/>
      <c r="EU673" s="52"/>
      <c r="EV673" s="52"/>
      <c r="EW673" s="52"/>
      <c r="EX673" s="52"/>
      <c r="EY673" s="52"/>
      <c r="EZ673" s="52"/>
      <c r="FA673" s="52"/>
      <c r="FB673" s="52"/>
      <c r="FC673" s="52"/>
      <c r="FD673" s="52"/>
      <c r="FE673" s="52"/>
      <c r="FF673" s="52"/>
      <c r="FG673" s="52"/>
      <c r="FH673" s="52"/>
      <c r="FI673" s="52"/>
      <c r="FJ673" s="52"/>
      <c r="FK673" s="52"/>
      <c r="FL673" s="52"/>
      <c r="FM673" s="52"/>
      <c r="FN673" s="52"/>
      <c r="FO673" s="52"/>
      <c r="FP673" s="52"/>
      <c r="FQ673" s="52"/>
      <c r="FR673" s="52"/>
      <c r="FS673" s="52"/>
      <c r="FT673" s="52"/>
      <c r="FU673" s="52"/>
      <c r="FV673" s="52"/>
      <c r="FW673" s="52"/>
      <c r="FX673" s="52"/>
      <c r="FY673" s="52"/>
      <c r="FZ673" s="52"/>
      <c r="GA673" s="52"/>
      <c r="GB673" s="52"/>
      <c r="GC673" s="52"/>
      <c r="GD673" s="52"/>
      <c r="GE673" s="52"/>
      <c r="GF673" s="52"/>
      <c r="GG673" s="52"/>
      <c r="GH673" s="52"/>
      <c r="GI673" s="52"/>
      <c r="GJ673" s="52"/>
      <c r="GK673" s="52"/>
      <c r="GL673" s="52"/>
      <c r="GM673" s="52"/>
      <c r="GN673" s="52"/>
      <c r="GO673" s="52"/>
      <c r="GP673" s="52"/>
      <c r="GQ673" s="52"/>
      <c r="GR673" s="52"/>
      <c r="GS673" s="52"/>
      <c r="GT673" s="52"/>
      <c r="GU673" s="52"/>
      <c r="GV673" s="52"/>
      <c r="GW673" s="52"/>
      <c r="GX673" s="52"/>
      <c r="GY673" s="52"/>
      <c r="GZ673" s="52"/>
      <c r="HA673" s="52"/>
      <c r="HB673" s="52"/>
      <c r="HC673" s="52"/>
      <c r="HD673" s="52"/>
      <c r="HE673" s="52"/>
      <c r="HF673" s="52"/>
      <c r="HG673" s="52"/>
      <c r="HH673" s="52"/>
      <c r="HI673" s="52"/>
    </row>
    <row r="674" spans="1:217" s="43" customFormat="1" ht="33.75" customHeight="1" hidden="1">
      <c r="A674" s="139" t="s">
        <v>361</v>
      </c>
      <c r="B674" s="142"/>
      <c r="C674" s="142"/>
      <c r="D674" s="217">
        <f t="shared" si="43"/>
        <v>53250</v>
      </c>
      <c r="E674" s="214"/>
      <c r="F674" s="217">
        <f t="shared" si="44"/>
        <v>53250</v>
      </c>
      <c r="G674" s="217">
        <f t="shared" si="44"/>
        <v>56400</v>
      </c>
      <c r="H674" s="214"/>
      <c r="I674" s="214"/>
      <c r="J674" s="217">
        <f t="shared" si="45"/>
        <v>56400</v>
      </c>
      <c r="K674" s="214"/>
      <c r="L674" s="215"/>
      <c r="M674" s="215"/>
      <c r="N674" s="217">
        <f t="shared" si="46"/>
        <v>62100</v>
      </c>
      <c r="O674" s="214"/>
      <c r="P674" s="217">
        <f t="shared" si="47"/>
        <v>62100</v>
      </c>
      <c r="Q674" s="52"/>
      <c r="R674" s="357"/>
      <c r="S674" s="357"/>
      <c r="T674" s="357"/>
      <c r="U674" s="357"/>
      <c r="V674" s="357"/>
      <c r="W674" s="357"/>
      <c r="X674" s="357"/>
      <c r="Y674" s="357"/>
      <c r="Z674" s="357"/>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52"/>
      <c r="CN674" s="52"/>
      <c r="CO674" s="52"/>
      <c r="CP674" s="52"/>
      <c r="CQ674" s="52"/>
      <c r="CR674" s="52"/>
      <c r="CS674" s="52"/>
      <c r="CT674" s="52"/>
      <c r="CU674" s="52"/>
      <c r="CV674" s="52"/>
      <c r="CW674" s="52"/>
      <c r="CX674" s="52"/>
      <c r="CY674" s="52"/>
      <c r="CZ674" s="52"/>
      <c r="DA674" s="52"/>
      <c r="DB674" s="52"/>
      <c r="DC674" s="52"/>
      <c r="DD674" s="52"/>
      <c r="DE674" s="52"/>
      <c r="DF674" s="52"/>
      <c r="DG674" s="52"/>
      <c r="DH674" s="52"/>
      <c r="DI674" s="52"/>
      <c r="DJ674" s="52"/>
      <c r="DK674" s="52"/>
      <c r="DL674" s="52"/>
      <c r="DM674" s="52"/>
      <c r="DN674" s="52"/>
      <c r="DO674" s="52"/>
      <c r="DP674" s="52"/>
      <c r="DQ674" s="52"/>
      <c r="DR674" s="52"/>
      <c r="DS674" s="52"/>
      <c r="DT674" s="52"/>
      <c r="DU674" s="52"/>
      <c r="DV674" s="52"/>
      <c r="DW674" s="52"/>
      <c r="DX674" s="52"/>
      <c r="DY674" s="52"/>
      <c r="DZ674" s="52"/>
      <c r="EA674" s="52"/>
      <c r="EB674" s="52"/>
      <c r="EC674" s="52"/>
      <c r="ED674" s="52"/>
      <c r="EE674" s="52"/>
      <c r="EF674" s="52"/>
      <c r="EG674" s="52"/>
      <c r="EH674" s="52"/>
      <c r="EI674" s="52"/>
      <c r="EJ674" s="52"/>
      <c r="EK674" s="52"/>
      <c r="EL674" s="52"/>
      <c r="EM674" s="52"/>
      <c r="EN674" s="52"/>
      <c r="EO674" s="52"/>
      <c r="EP674" s="52"/>
      <c r="EQ674" s="52"/>
      <c r="ER674" s="52"/>
      <c r="ES674" s="52"/>
      <c r="ET674" s="52"/>
      <c r="EU674" s="52"/>
      <c r="EV674" s="52"/>
      <c r="EW674" s="52"/>
      <c r="EX674" s="52"/>
      <c r="EY674" s="52"/>
      <c r="EZ674" s="52"/>
      <c r="FA674" s="52"/>
      <c r="FB674" s="52"/>
      <c r="FC674" s="52"/>
      <c r="FD674" s="52"/>
      <c r="FE674" s="52"/>
      <c r="FF674" s="52"/>
      <c r="FG674" s="52"/>
      <c r="FH674" s="52"/>
      <c r="FI674" s="52"/>
      <c r="FJ674" s="52"/>
      <c r="FK674" s="52"/>
      <c r="FL674" s="52"/>
      <c r="FM674" s="52"/>
      <c r="FN674" s="52"/>
      <c r="FO674" s="52"/>
      <c r="FP674" s="52"/>
      <c r="FQ674" s="52"/>
      <c r="FR674" s="52"/>
      <c r="FS674" s="52"/>
      <c r="FT674" s="52"/>
      <c r="FU674" s="52"/>
      <c r="FV674" s="52"/>
      <c r="FW674" s="52"/>
      <c r="FX674" s="52"/>
      <c r="FY674" s="52"/>
      <c r="FZ674" s="52"/>
      <c r="GA674" s="52"/>
      <c r="GB674" s="52"/>
      <c r="GC674" s="52"/>
      <c r="GD674" s="52"/>
      <c r="GE674" s="52"/>
      <c r="GF674" s="52"/>
      <c r="GG674" s="52"/>
      <c r="GH674" s="52"/>
      <c r="GI674" s="52"/>
      <c r="GJ674" s="52"/>
      <c r="GK674" s="52"/>
      <c r="GL674" s="52"/>
      <c r="GM674" s="52"/>
      <c r="GN674" s="52"/>
      <c r="GO674" s="52"/>
      <c r="GP674" s="52"/>
      <c r="GQ674" s="52"/>
      <c r="GR674" s="52"/>
      <c r="GS674" s="52"/>
      <c r="GT674" s="52"/>
      <c r="GU674" s="52"/>
      <c r="GV674" s="52"/>
      <c r="GW674" s="52"/>
      <c r="GX674" s="52"/>
      <c r="GY674" s="52"/>
      <c r="GZ674" s="52"/>
      <c r="HA674" s="52"/>
      <c r="HB674" s="52"/>
      <c r="HC674" s="52"/>
      <c r="HD674" s="52"/>
      <c r="HE674" s="52"/>
      <c r="HF674" s="52"/>
      <c r="HG674" s="52"/>
      <c r="HH674" s="52"/>
      <c r="HI674" s="52"/>
    </row>
    <row r="675" spans="1:217" s="43" customFormat="1" ht="30.75" customHeight="1" hidden="1">
      <c r="A675" s="139" t="s">
        <v>362</v>
      </c>
      <c r="B675" s="142"/>
      <c r="C675" s="142"/>
      <c r="D675" s="217">
        <f t="shared" si="43"/>
        <v>33300</v>
      </c>
      <c r="E675" s="217"/>
      <c r="F675" s="217">
        <f t="shared" si="44"/>
        <v>33300</v>
      </c>
      <c r="G675" s="217">
        <f t="shared" si="44"/>
        <v>35550</v>
      </c>
      <c r="H675" s="217"/>
      <c r="I675" s="217"/>
      <c r="J675" s="217">
        <f t="shared" si="45"/>
        <v>35550</v>
      </c>
      <c r="K675" s="217"/>
      <c r="L675" s="221"/>
      <c r="M675" s="221"/>
      <c r="N675" s="217">
        <f t="shared" si="46"/>
        <v>39150</v>
      </c>
      <c r="O675" s="217"/>
      <c r="P675" s="217">
        <f t="shared" si="47"/>
        <v>39150</v>
      </c>
      <c r="Q675" s="52"/>
      <c r="R675" s="357"/>
      <c r="S675" s="357"/>
      <c r="T675" s="357"/>
      <c r="U675" s="357"/>
      <c r="V675" s="357"/>
      <c r="W675" s="357"/>
      <c r="X675" s="357"/>
      <c r="Y675" s="357"/>
      <c r="Z675" s="357"/>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c r="BO675" s="52"/>
      <c r="BP675" s="52"/>
      <c r="BQ675" s="52"/>
      <c r="BR675" s="52"/>
      <c r="BS675" s="52"/>
      <c r="BT675" s="52"/>
      <c r="BU675" s="52"/>
      <c r="BV675" s="52"/>
      <c r="BW675" s="52"/>
      <c r="BX675" s="52"/>
      <c r="BY675" s="52"/>
      <c r="BZ675" s="52"/>
      <c r="CA675" s="52"/>
      <c r="CB675" s="52"/>
      <c r="CC675" s="52"/>
      <c r="CD675" s="52"/>
      <c r="CE675" s="52"/>
      <c r="CF675" s="52"/>
      <c r="CG675" s="52"/>
      <c r="CH675" s="52"/>
      <c r="CI675" s="52"/>
      <c r="CJ675" s="52"/>
      <c r="CK675" s="52"/>
      <c r="CL675" s="52"/>
      <c r="CM675" s="52"/>
      <c r="CN675" s="52"/>
      <c r="CO675" s="52"/>
      <c r="CP675" s="52"/>
      <c r="CQ675" s="52"/>
      <c r="CR675" s="52"/>
      <c r="CS675" s="52"/>
      <c r="CT675" s="52"/>
      <c r="CU675" s="52"/>
      <c r="CV675" s="52"/>
      <c r="CW675" s="52"/>
      <c r="CX675" s="52"/>
      <c r="CY675" s="52"/>
      <c r="CZ675" s="52"/>
      <c r="DA675" s="52"/>
      <c r="DB675" s="52"/>
      <c r="DC675" s="52"/>
      <c r="DD675" s="52"/>
      <c r="DE675" s="52"/>
      <c r="DF675" s="52"/>
      <c r="DG675" s="52"/>
      <c r="DH675" s="52"/>
      <c r="DI675" s="52"/>
      <c r="DJ675" s="52"/>
      <c r="DK675" s="52"/>
      <c r="DL675" s="52"/>
      <c r="DM675" s="52"/>
      <c r="DN675" s="52"/>
      <c r="DO675" s="52"/>
      <c r="DP675" s="52"/>
      <c r="DQ675" s="52"/>
      <c r="DR675" s="52"/>
      <c r="DS675" s="52"/>
      <c r="DT675" s="52"/>
      <c r="DU675" s="52"/>
      <c r="DV675" s="52"/>
      <c r="DW675" s="52"/>
      <c r="DX675" s="52"/>
      <c r="DY675" s="52"/>
      <c r="DZ675" s="52"/>
      <c r="EA675" s="52"/>
      <c r="EB675" s="52"/>
      <c r="EC675" s="52"/>
      <c r="ED675" s="52"/>
      <c r="EE675" s="52"/>
      <c r="EF675" s="52"/>
      <c r="EG675" s="52"/>
      <c r="EH675" s="52"/>
      <c r="EI675" s="52"/>
      <c r="EJ675" s="52"/>
      <c r="EK675" s="52"/>
      <c r="EL675" s="52"/>
      <c r="EM675" s="52"/>
      <c r="EN675" s="52"/>
      <c r="EO675" s="52"/>
      <c r="EP675" s="52"/>
      <c r="EQ675" s="52"/>
      <c r="ER675" s="52"/>
      <c r="ES675" s="52"/>
      <c r="ET675" s="52"/>
      <c r="EU675" s="52"/>
      <c r="EV675" s="52"/>
      <c r="EW675" s="52"/>
      <c r="EX675" s="52"/>
      <c r="EY675" s="52"/>
      <c r="EZ675" s="52"/>
      <c r="FA675" s="52"/>
      <c r="FB675" s="52"/>
      <c r="FC675" s="52"/>
      <c r="FD675" s="52"/>
      <c r="FE675" s="52"/>
      <c r="FF675" s="52"/>
      <c r="FG675" s="52"/>
      <c r="FH675" s="52"/>
      <c r="FI675" s="52"/>
      <c r="FJ675" s="52"/>
      <c r="FK675" s="52"/>
      <c r="FL675" s="52"/>
      <c r="FM675" s="52"/>
      <c r="FN675" s="52"/>
      <c r="FO675" s="52"/>
      <c r="FP675" s="52"/>
      <c r="FQ675" s="52"/>
      <c r="FR675" s="52"/>
      <c r="FS675" s="52"/>
      <c r="FT675" s="52"/>
      <c r="FU675" s="52"/>
      <c r="FV675" s="52"/>
      <c r="FW675" s="52"/>
      <c r="FX675" s="52"/>
      <c r="FY675" s="52"/>
      <c r="FZ675" s="52"/>
      <c r="GA675" s="52"/>
      <c r="GB675" s="52"/>
      <c r="GC675" s="52"/>
      <c r="GD675" s="52"/>
      <c r="GE675" s="52"/>
      <c r="GF675" s="52"/>
      <c r="GG675" s="52"/>
      <c r="GH675" s="52"/>
      <c r="GI675" s="52"/>
      <c r="GJ675" s="52"/>
      <c r="GK675" s="52"/>
      <c r="GL675" s="52"/>
      <c r="GM675" s="52"/>
      <c r="GN675" s="52"/>
      <c r="GO675" s="52"/>
      <c r="GP675" s="52"/>
      <c r="GQ675" s="52"/>
      <c r="GR675" s="52"/>
      <c r="GS675" s="52"/>
      <c r="GT675" s="52"/>
      <c r="GU675" s="52"/>
      <c r="GV675" s="52"/>
      <c r="GW675" s="52"/>
      <c r="GX675" s="52"/>
      <c r="GY675" s="52"/>
      <c r="GZ675" s="52"/>
      <c r="HA675" s="52"/>
      <c r="HB675" s="52"/>
      <c r="HC675" s="52"/>
      <c r="HD675" s="52"/>
      <c r="HE675" s="52"/>
      <c r="HF675" s="52"/>
      <c r="HG675" s="52"/>
      <c r="HH675" s="52"/>
      <c r="HI675" s="52"/>
    </row>
    <row r="676" spans="1:217" s="43" customFormat="1" ht="13.5" hidden="1">
      <c r="A676" s="139" t="s">
        <v>363</v>
      </c>
      <c r="B676" s="142"/>
      <c r="C676" s="142"/>
      <c r="D676" s="217">
        <f t="shared" si="43"/>
        <v>8160</v>
      </c>
      <c r="E676" s="217"/>
      <c r="F676" s="217">
        <f>F683*F690</f>
        <v>8160</v>
      </c>
      <c r="G676" s="217">
        <f>G683*G690</f>
        <v>8640</v>
      </c>
      <c r="H676" s="217"/>
      <c r="I676" s="217"/>
      <c r="J676" s="217">
        <f t="shared" si="45"/>
        <v>8640</v>
      </c>
      <c r="K676" s="217"/>
      <c r="L676" s="221"/>
      <c r="M676" s="221"/>
      <c r="N676" s="217">
        <f t="shared" si="46"/>
        <v>9480</v>
      </c>
      <c r="O676" s="217"/>
      <c r="P676" s="217">
        <f t="shared" si="47"/>
        <v>9480</v>
      </c>
      <c r="Q676" s="52"/>
      <c r="R676" s="357"/>
      <c r="S676" s="357"/>
      <c r="T676" s="357"/>
      <c r="U676" s="357"/>
      <c r="V676" s="357"/>
      <c r="W676" s="357"/>
      <c r="X676" s="357"/>
      <c r="Y676" s="357"/>
      <c r="Z676" s="357"/>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c r="BC676" s="52"/>
      <c r="BD676" s="52"/>
      <c r="BE676" s="52"/>
      <c r="BF676" s="52"/>
      <c r="BG676" s="52"/>
      <c r="BH676" s="52"/>
      <c r="BI676" s="52"/>
      <c r="BJ676" s="52"/>
      <c r="BK676" s="52"/>
      <c r="BL676" s="52"/>
      <c r="BM676" s="52"/>
      <c r="BN676" s="52"/>
      <c r="BO676" s="52"/>
      <c r="BP676" s="52"/>
      <c r="BQ676" s="52"/>
      <c r="BR676" s="52"/>
      <c r="BS676" s="52"/>
      <c r="BT676" s="52"/>
      <c r="BU676" s="52"/>
      <c r="BV676" s="52"/>
      <c r="BW676" s="52"/>
      <c r="BX676" s="52"/>
      <c r="BY676" s="52"/>
      <c r="BZ676" s="52"/>
      <c r="CA676" s="52"/>
      <c r="CB676" s="52"/>
      <c r="CC676" s="52"/>
      <c r="CD676" s="52"/>
      <c r="CE676" s="52"/>
      <c r="CF676" s="52"/>
      <c r="CG676" s="52"/>
      <c r="CH676" s="52"/>
      <c r="CI676" s="52"/>
      <c r="CJ676" s="52"/>
      <c r="CK676" s="52"/>
      <c r="CL676" s="52"/>
      <c r="CM676" s="52"/>
      <c r="CN676" s="52"/>
      <c r="CO676" s="52"/>
      <c r="CP676" s="52"/>
      <c r="CQ676" s="52"/>
      <c r="CR676" s="52"/>
      <c r="CS676" s="52"/>
      <c r="CT676" s="52"/>
      <c r="CU676" s="52"/>
      <c r="CV676" s="52"/>
      <c r="CW676" s="52"/>
      <c r="CX676" s="52"/>
      <c r="CY676" s="52"/>
      <c r="CZ676" s="52"/>
      <c r="DA676" s="52"/>
      <c r="DB676" s="52"/>
      <c r="DC676" s="52"/>
      <c r="DD676" s="52"/>
      <c r="DE676" s="52"/>
      <c r="DF676" s="52"/>
      <c r="DG676" s="52"/>
      <c r="DH676" s="52"/>
      <c r="DI676" s="52"/>
      <c r="DJ676" s="52"/>
      <c r="DK676" s="52"/>
      <c r="DL676" s="52"/>
      <c r="DM676" s="52"/>
      <c r="DN676" s="52"/>
      <c r="DO676" s="52"/>
      <c r="DP676" s="52"/>
      <c r="DQ676" s="52"/>
      <c r="DR676" s="52"/>
      <c r="DS676" s="52"/>
      <c r="DT676" s="52"/>
      <c r="DU676" s="52"/>
      <c r="DV676" s="52"/>
      <c r="DW676" s="52"/>
      <c r="DX676" s="52"/>
      <c r="DY676" s="52"/>
      <c r="DZ676" s="52"/>
      <c r="EA676" s="52"/>
      <c r="EB676" s="52"/>
      <c r="EC676" s="52"/>
      <c r="ED676" s="52"/>
      <c r="EE676" s="52"/>
      <c r="EF676" s="52"/>
      <c r="EG676" s="52"/>
      <c r="EH676" s="52"/>
      <c r="EI676" s="52"/>
      <c r="EJ676" s="52"/>
      <c r="EK676" s="52"/>
      <c r="EL676" s="52"/>
      <c r="EM676" s="52"/>
      <c r="EN676" s="52"/>
      <c r="EO676" s="52"/>
      <c r="EP676" s="52"/>
      <c r="EQ676" s="52"/>
      <c r="ER676" s="52"/>
      <c r="ES676" s="52"/>
      <c r="ET676" s="52"/>
      <c r="EU676" s="52"/>
      <c r="EV676" s="52"/>
      <c r="EW676" s="52"/>
      <c r="EX676" s="52"/>
      <c r="EY676" s="52"/>
      <c r="EZ676" s="52"/>
      <c r="FA676" s="52"/>
      <c r="FB676" s="52"/>
      <c r="FC676" s="52"/>
      <c r="FD676" s="52"/>
      <c r="FE676" s="52"/>
      <c r="FF676" s="52"/>
      <c r="FG676" s="52"/>
      <c r="FH676" s="52"/>
      <c r="FI676" s="52"/>
      <c r="FJ676" s="52"/>
      <c r="FK676" s="52"/>
      <c r="FL676" s="52"/>
      <c r="FM676" s="52"/>
      <c r="FN676" s="52"/>
      <c r="FO676" s="52"/>
      <c r="FP676" s="52"/>
      <c r="FQ676" s="52"/>
      <c r="FR676" s="52"/>
      <c r="FS676" s="52"/>
      <c r="FT676" s="52"/>
      <c r="FU676" s="52"/>
      <c r="FV676" s="52"/>
      <c r="FW676" s="52"/>
      <c r="FX676" s="52"/>
      <c r="FY676" s="52"/>
      <c r="FZ676" s="52"/>
      <c r="GA676" s="52"/>
      <c r="GB676" s="52"/>
      <c r="GC676" s="52"/>
      <c r="GD676" s="52"/>
      <c r="GE676" s="52"/>
      <c r="GF676" s="52"/>
      <c r="GG676" s="52"/>
      <c r="GH676" s="52"/>
      <c r="GI676" s="52"/>
      <c r="GJ676" s="52"/>
      <c r="GK676" s="52"/>
      <c r="GL676" s="52"/>
      <c r="GM676" s="52"/>
      <c r="GN676" s="52"/>
      <c r="GO676" s="52"/>
      <c r="GP676" s="52"/>
      <c r="GQ676" s="52"/>
      <c r="GR676" s="52"/>
      <c r="GS676" s="52"/>
      <c r="GT676" s="52"/>
      <c r="GU676" s="52"/>
      <c r="GV676" s="52"/>
      <c r="GW676" s="52"/>
      <c r="GX676" s="52"/>
      <c r="GY676" s="52"/>
      <c r="GZ676" s="52"/>
      <c r="HA676" s="52"/>
      <c r="HB676" s="52"/>
      <c r="HC676" s="52"/>
      <c r="HD676" s="52"/>
      <c r="HE676" s="52"/>
      <c r="HF676" s="52"/>
      <c r="HG676" s="52"/>
      <c r="HH676" s="52"/>
      <c r="HI676" s="52"/>
    </row>
    <row r="677" spans="1:217" s="43" customFormat="1" ht="25.5" hidden="1">
      <c r="A677" s="139" t="s">
        <v>343</v>
      </c>
      <c r="B677" s="142"/>
      <c r="C677" s="142"/>
      <c r="D677" s="217">
        <f t="shared" si="43"/>
        <v>1920</v>
      </c>
      <c r="E677" s="217"/>
      <c r="F677" s="217">
        <f>F684*F691</f>
        <v>1920</v>
      </c>
      <c r="G677" s="217">
        <f>G684*G691</f>
        <v>2112</v>
      </c>
      <c r="H677" s="217"/>
      <c r="I677" s="217"/>
      <c r="J677" s="217">
        <f t="shared" si="45"/>
        <v>2112</v>
      </c>
      <c r="K677" s="217"/>
      <c r="L677" s="221"/>
      <c r="M677" s="221"/>
      <c r="N677" s="217">
        <f t="shared" si="46"/>
        <v>2280</v>
      </c>
      <c r="O677" s="217"/>
      <c r="P677" s="217">
        <f t="shared" si="47"/>
        <v>2280</v>
      </c>
      <c r="Q677" s="52"/>
      <c r="R677" s="357"/>
      <c r="S677" s="357"/>
      <c r="T677" s="357"/>
      <c r="U677" s="357"/>
      <c r="V677" s="357"/>
      <c r="W677" s="357"/>
      <c r="X677" s="357"/>
      <c r="Y677" s="357"/>
      <c r="Z677" s="357"/>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c r="BC677" s="52"/>
      <c r="BD677" s="52"/>
      <c r="BE677" s="52"/>
      <c r="BF677" s="52"/>
      <c r="BG677" s="52"/>
      <c r="BH677" s="52"/>
      <c r="BI677" s="52"/>
      <c r="BJ677" s="52"/>
      <c r="BK677" s="52"/>
      <c r="BL677" s="52"/>
      <c r="BM677" s="52"/>
      <c r="BN677" s="52"/>
      <c r="BO677" s="52"/>
      <c r="BP677" s="52"/>
      <c r="BQ677" s="52"/>
      <c r="BR677" s="52"/>
      <c r="BS677" s="52"/>
      <c r="BT677" s="52"/>
      <c r="BU677" s="52"/>
      <c r="BV677" s="52"/>
      <c r="BW677" s="52"/>
      <c r="BX677" s="52"/>
      <c r="BY677" s="52"/>
      <c r="BZ677" s="52"/>
      <c r="CA677" s="52"/>
      <c r="CB677" s="52"/>
      <c r="CC677" s="52"/>
      <c r="CD677" s="52"/>
      <c r="CE677" s="52"/>
      <c r="CF677" s="52"/>
      <c r="CG677" s="52"/>
      <c r="CH677" s="52"/>
      <c r="CI677" s="52"/>
      <c r="CJ677" s="52"/>
      <c r="CK677" s="52"/>
      <c r="CL677" s="52"/>
      <c r="CM677" s="52"/>
      <c r="CN677" s="52"/>
      <c r="CO677" s="52"/>
      <c r="CP677" s="52"/>
      <c r="CQ677" s="52"/>
      <c r="CR677" s="52"/>
      <c r="CS677" s="52"/>
      <c r="CT677" s="52"/>
      <c r="CU677" s="52"/>
      <c r="CV677" s="52"/>
      <c r="CW677" s="52"/>
      <c r="CX677" s="52"/>
      <c r="CY677" s="52"/>
      <c r="CZ677" s="52"/>
      <c r="DA677" s="52"/>
      <c r="DB677" s="52"/>
      <c r="DC677" s="52"/>
      <c r="DD677" s="52"/>
      <c r="DE677" s="52"/>
      <c r="DF677" s="52"/>
      <c r="DG677" s="52"/>
      <c r="DH677" s="52"/>
      <c r="DI677" s="52"/>
      <c r="DJ677" s="52"/>
      <c r="DK677" s="52"/>
      <c r="DL677" s="52"/>
      <c r="DM677" s="52"/>
      <c r="DN677" s="52"/>
      <c r="DO677" s="52"/>
      <c r="DP677" s="52"/>
      <c r="DQ677" s="52"/>
      <c r="DR677" s="52"/>
      <c r="DS677" s="52"/>
      <c r="DT677" s="52"/>
      <c r="DU677" s="52"/>
      <c r="DV677" s="52"/>
      <c r="DW677" s="52"/>
      <c r="DX677" s="52"/>
      <c r="DY677" s="52"/>
      <c r="DZ677" s="52"/>
      <c r="EA677" s="52"/>
      <c r="EB677" s="52"/>
      <c r="EC677" s="52"/>
      <c r="ED677" s="52"/>
      <c r="EE677" s="52"/>
      <c r="EF677" s="52"/>
      <c r="EG677" s="52"/>
      <c r="EH677" s="52"/>
      <c r="EI677" s="52"/>
      <c r="EJ677" s="52"/>
      <c r="EK677" s="52"/>
      <c r="EL677" s="52"/>
      <c r="EM677" s="52"/>
      <c r="EN677" s="52"/>
      <c r="EO677" s="52"/>
      <c r="EP677" s="52"/>
      <c r="EQ677" s="52"/>
      <c r="ER677" s="52"/>
      <c r="ES677" s="52"/>
      <c r="ET677" s="52"/>
      <c r="EU677" s="52"/>
      <c r="EV677" s="52"/>
      <c r="EW677" s="52"/>
      <c r="EX677" s="52"/>
      <c r="EY677" s="52"/>
      <c r="EZ677" s="52"/>
      <c r="FA677" s="52"/>
      <c r="FB677" s="52"/>
      <c r="FC677" s="52"/>
      <c r="FD677" s="52"/>
      <c r="FE677" s="52"/>
      <c r="FF677" s="52"/>
      <c r="FG677" s="52"/>
      <c r="FH677" s="52"/>
      <c r="FI677" s="52"/>
      <c r="FJ677" s="52"/>
      <c r="FK677" s="52"/>
      <c r="FL677" s="52"/>
      <c r="FM677" s="52"/>
      <c r="FN677" s="52"/>
      <c r="FO677" s="52"/>
      <c r="FP677" s="52"/>
      <c r="FQ677" s="52"/>
      <c r="FR677" s="52"/>
      <c r="FS677" s="52"/>
      <c r="FT677" s="52"/>
      <c r="FU677" s="52"/>
      <c r="FV677" s="52"/>
      <c r="FW677" s="52"/>
      <c r="FX677" s="52"/>
      <c r="FY677" s="52"/>
      <c r="FZ677" s="52"/>
      <c r="GA677" s="52"/>
      <c r="GB677" s="52"/>
      <c r="GC677" s="52"/>
      <c r="GD677" s="52"/>
      <c r="GE677" s="52"/>
      <c r="GF677" s="52"/>
      <c r="GG677" s="52"/>
      <c r="GH677" s="52"/>
      <c r="GI677" s="52"/>
      <c r="GJ677" s="52"/>
      <c r="GK677" s="52"/>
      <c r="GL677" s="52"/>
      <c r="GM677" s="52"/>
      <c r="GN677" s="52"/>
      <c r="GO677" s="52"/>
      <c r="GP677" s="52"/>
      <c r="GQ677" s="52"/>
      <c r="GR677" s="52"/>
      <c r="GS677" s="52"/>
      <c r="GT677" s="52"/>
      <c r="GU677" s="52"/>
      <c r="GV677" s="52"/>
      <c r="GW677" s="52"/>
      <c r="GX677" s="52"/>
      <c r="GY677" s="52"/>
      <c r="GZ677" s="52"/>
      <c r="HA677" s="52"/>
      <c r="HB677" s="52"/>
      <c r="HC677" s="52"/>
      <c r="HD677" s="52"/>
      <c r="HE677" s="52"/>
      <c r="HF677" s="52"/>
      <c r="HG677" s="52"/>
      <c r="HH677" s="52"/>
      <c r="HI677" s="52"/>
    </row>
    <row r="678" spans="1:217" s="55" customFormat="1" ht="12.75" hidden="1">
      <c r="A678" s="143" t="s">
        <v>185</v>
      </c>
      <c r="B678" s="143"/>
      <c r="C678" s="143"/>
      <c r="D678" s="216"/>
      <c r="E678" s="216"/>
      <c r="F678" s="217"/>
      <c r="G678" s="216"/>
      <c r="H678" s="216"/>
      <c r="I678" s="216"/>
      <c r="J678" s="217"/>
      <c r="K678" s="217"/>
      <c r="L678" s="216"/>
      <c r="M678" s="216"/>
      <c r="N678" s="216"/>
      <c r="O678" s="216"/>
      <c r="P678" s="217"/>
      <c r="Q678" s="36"/>
      <c r="R678" s="274"/>
      <c r="S678" s="274"/>
      <c r="T678" s="274"/>
      <c r="U678" s="274"/>
      <c r="V678" s="274"/>
      <c r="W678" s="274"/>
      <c r="X678" s="274"/>
      <c r="Y678" s="274"/>
      <c r="Z678" s="274"/>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36"/>
      <c r="BH678" s="36"/>
      <c r="BI678" s="36"/>
      <c r="BJ678" s="36"/>
      <c r="BK678" s="36"/>
      <c r="BL678" s="36"/>
      <c r="BM678" s="36"/>
      <c r="BN678" s="36"/>
      <c r="BO678" s="36"/>
      <c r="BP678" s="36"/>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c r="CP678" s="36"/>
      <c r="CQ678" s="36"/>
      <c r="CR678" s="36"/>
      <c r="CS678" s="36"/>
      <c r="CT678" s="36"/>
      <c r="CU678" s="36"/>
      <c r="CV678" s="36"/>
      <c r="CW678" s="36"/>
      <c r="CX678" s="36"/>
      <c r="CY678" s="36"/>
      <c r="CZ678" s="36"/>
      <c r="DA678" s="36"/>
      <c r="DB678" s="36"/>
      <c r="DC678" s="36"/>
      <c r="DD678" s="36"/>
      <c r="DE678" s="36"/>
      <c r="DF678" s="36"/>
      <c r="DG678" s="36"/>
      <c r="DH678" s="36"/>
      <c r="DI678" s="36"/>
      <c r="DJ678" s="36"/>
      <c r="DK678" s="36"/>
      <c r="DL678" s="36"/>
      <c r="DM678" s="36"/>
      <c r="DN678" s="36"/>
      <c r="DO678" s="36"/>
      <c r="DP678" s="36"/>
      <c r="DQ678" s="36"/>
      <c r="DR678" s="36"/>
      <c r="DS678" s="36"/>
      <c r="DT678" s="36"/>
      <c r="DU678" s="36"/>
      <c r="DV678" s="36"/>
      <c r="DW678" s="36"/>
      <c r="DX678" s="36"/>
      <c r="DY678" s="36"/>
      <c r="DZ678" s="36"/>
      <c r="EA678" s="36"/>
      <c r="EB678" s="36"/>
      <c r="EC678" s="36"/>
      <c r="ED678" s="36"/>
      <c r="EE678" s="36"/>
      <c r="EF678" s="36"/>
      <c r="EG678" s="36"/>
      <c r="EH678" s="36"/>
      <c r="EI678" s="36"/>
      <c r="EJ678" s="36"/>
      <c r="EK678" s="36"/>
      <c r="EL678" s="36"/>
      <c r="EM678" s="36"/>
      <c r="EN678" s="36"/>
      <c r="EO678" s="36"/>
      <c r="EP678" s="36"/>
      <c r="EQ678" s="36"/>
      <c r="ER678" s="36"/>
      <c r="ES678" s="36"/>
      <c r="ET678" s="36"/>
      <c r="EU678" s="36"/>
      <c r="EV678" s="36"/>
      <c r="EW678" s="36"/>
      <c r="EX678" s="36"/>
      <c r="EY678" s="36"/>
      <c r="EZ678" s="36"/>
      <c r="FA678" s="36"/>
      <c r="FB678" s="36"/>
      <c r="FC678" s="36"/>
      <c r="FD678" s="36"/>
      <c r="FE678" s="36"/>
      <c r="FF678" s="36"/>
      <c r="FG678" s="36"/>
      <c r="FH678" s="36"/>
      <c r="FI678" s="36"/>
      <c r="FJ678" s="36"/>
      <c r="FK678" s="36"/>
      <c r="FL678" s="36"/>
      <c r="FM678" s="36"/>
      <c r="FN678" s="36"/>
      <c r="FO678" s="36"/>
      <c r="FP678" s="36"/>
      <c r="FQ678" s="36"/>
      <c r="FR678" s="36"/>
      <c r="FS678" s="36"/>
      <c r="FT678" s="36"/>
      <c r="FU678" s="36"/>
      <c r="FV678" s="36"/>
      <c r="FW678" s="36"/>
      <c r="FX678" s="36"/>
      <c r="FY678" s="36"/>
      <c r="FZ678" s="36"/>
      <c r="GA678" s="36"/>
      <c r="GB678" s="36"/>
      <c r="GC678" s="36"/>
      <c r="GD678" s="36"/>
      <c r="GE678" s="36"/>
      <c r="GF678" s="36"/>
      <c r="GG678" s="36"/>
      <c r="GH678" s="36"/>
      <c r="GI678" s="36"/>
      <c r="GJ678" s="36"/>
      <c r="GK678" s="36"/>
      <c r="GL678" s="36"/>
      <c r="GM678" s="36"/>
      <c r="GN678" s="36"/>
      <c r="GO678" s="36"/>
      <c r="GP678" s="36"/>
      <c r="GQ678" s="36"/>
      <c r="GR678" s="36"/>
      <c r="GS678" s="36"/>
      <c r="GT678" s="36"/>
      <c r="GU678" s="36"/>
      <c r="GV678" s="36"/>
      <c r="GW678" s="36"/>
      <c r="GX678" s="36"/>
      <c r="GY678" s="36"/>
      <c r="GZ678" s="36"/>
      <c r="HA678" s="36"/>
      <c r="HB678" s="36"/>
      <c r="HC678" s="36"/>
      <c r="HD678" s="36"/>
      <c r="HE678" s="36"/>
      <c r="HF678" s="36"/>
      <c r="HG678" s="36"/>
      <c r="HH678" s="36"/>
      <c r="HI678" s="36"/>
    </row>
    <row r="679" spans="1:217" s="55" customFormat="1" ht="25.5" hidden="1">
      <c r="A679" s="139" t="s">
        <v>314</v>
      </c>
      <c r="B679" s="90"/>
      <c r="C679" s="90"/>
      <c r="D679" s="222">
        <v>30</v>
      </c>
      <c r="E679" s="223"/>
      <c r="F679" s="222">
        <v>30</v>
      </c>
      <c r="G679" s="222">
        <v>30</v>
      </c>
      <c r="H679" s="223"/>
      <c r="I679" s="223"/>
      <c r="J679" s="222">
        <v>30</v>
      </c>
      <c r="K679" s="223"/>
      <c r="L679" s="223"/>
      <c r="M679" s="223"/>
      <c r="N679" s="222">
        <v>30</v>
      </c>
      <c r="O679" s="223"/>
      <c r="P679" s="222">
        <v>30</v>
      </c>
      <c r="Q679" s="36"/>
      <c r="R679" s="274"/>
      <c r="S679" s="274"/>
      <c r="T679" s="274"/>
      <c r="U679" s="274"/>
      <c r="V679" s="274"/>
      <c r="W679" s="274"/>
      <c r="X679" s="274"/>
      <c r="Y679" s="274"/>
      <c r="Z679" s="274"/>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c r="BT679" s="36"/>
      <c r="BU679" s="36"/>
      <c r="BV679" s="36"/>
      <c r="BW679" s="36"/>
      <c r="BX679" s="36"/>
      <c r="BY679" s="36"/>
      <c r="BZ679" s="36"/>
      <c r="CA679" s="36"/>
      <c r="CB679" s="36"/>
      <c r="CC679" s="36"/>
      <c r="CD679" s="36"/>
      <c r="CE679" s="36"/>
      <c r="CF679" s="36"/>
      <c r="CG679" s="36"/>
      <c r="CH679" s="36"/>
      <c r="CI679" s="36"/>
      <c r="CJ679" s="36"/>
      <c r="CK679" s="36"/>
      <c r="CL679" s="36"/>
      <c r="CM679" s="36"/>
      <c r="CN679" s="36"/>
      <c r="CO679" s="36"/>
      <c r="CP679" s="36"/>
      <c r="CQ679" s="36"/>
      <c r="CR679" s="36"/>
      <c r="CS679" s="36"/>
      <c r="CT679" s="36"/>
      <c r="CU679" s="36"/>
      <c r="CV679" s="36"/>
      <c r="CW679" s="36"/>
      <c r="CX679" s="36"/>
      <c r="CY679" s="36"/>
      <c r="CZ679" s="36"/>
      <c r="DA679" s="36"/>
      <c r="DB679" s="36"/>
      <c r="DC679" s="36"/>
      <c r="DD679" s="36"/>
      <c r="DE679" s="36"/>
      <c r="DF679" s="36"/>
      <c r="DG679" s="36"/>
      <c r="DH679" s="36"/>
      <c r="DI679" s="36"/>
      <c r="DJ679" s="36"/>
      <c r="DK679" s="36"/>
      <c r="DL679" s="36"/>
      <c r="DM679" s="36"/>
      <c r="DN679" s="36"/>
      <c r="DO679" s="36"/>
      <c r="DP679" s="36"/>
      <c r="DQ679" s="36"/>
      <c r="DR679" s="36"/>
      <c r="DS679" s="36"/>
      <c r="DT679" s="36"/>
      <c r="DU679" s="36"/>
      <c r="DV679" s="36"/>
      <c r="DW679" s="36"/>
      <c r="DX679" s="36"/>
      <c r="DY679" s="36"/>
      <c r="DZ679" s="36"/>
      <c r="EA679" s="36"/>
      <c r="EB679" s="36"/>
      <c r="EC679" s="36"/>
      <c r="ED679" s="36"/>
      <c r="EE679" s="36"/>
      <c r="EF679" s="36"/>
      <c r="EG679" s="36"/>
      <c r="EH679" s="36"/>
      <c r="EI679" s="36"/>
      <c r="EJ679" s="36"/>
      <c r="EK679" s="36"/>
      <c r="EL679" s="36"/>
      <c r="EM679" s="36"/>
      <c r="EN679" s="36"/>
      <c r="EO679" s="36"/>
      <c r="EP679" s="36"/>
      <c r="EQ679" s="36"/>
      <c r="ER679" s="36"/>
      <c r="ES679" s="36"/>
      <c r="ET679" s="36"/>
      <c r="EU679" s="36"/>
      <c r="EV679" s="36"/>
      <c r="EW679" s="36"/>
      <c r="EX679" s="36"/>
      <c r="EY679" s="36"/>
      <c r="EZ679" s="36"/>
      <c r="FA679" s="36"/>
      <c r="FB679" s="36"/>
      <c r="FC679" s="36"/>
      <c r="FD679" s="36"/>
      <c r="FE679" s="36"/>
      <c r="FF679" s="36"/>
      <c r="FG679" s="36"/>
      <c r="FH679" s="36"/>
      <c r="FI679" s="36"/>
      <c r="FJ679" s="36"/>
      <c r="FK679" s="36"/>
      <c r="FL679" s="36"/>
      <c r="FM679" s="36"/>
      <c r="FN679" s="36"/>
      <c r="FO679" s="36"/>
      <c r="FP679" s="36"/>
      <c r="FQ679" s="36"/>
      <c r="FR679" s="36"/>
      <c r="FS679" s="36"/>
      <c r="FT679" s="36"/>
      <c r="FU679" s="36"/>
      <c r="FV679" s="36"/>
      <c r="FW679" s="36"/>
      <c r="FX679" s="36"/>
      <c r="FY679" s="36"/>
      <c r="FZ679" s="36"/>
      <c r="GA679" s="36"/>
      <c r="GB679" s="36"/>
      <c r="GC679" s="36"/>
      <c r="GD679" s="36"/>
      <c r="GE679" s="36"/>
      <c r="GF679" s="36"/>
      <c r="GG679" s="36"/>
      <c r="GH679" s="36"/>
      <c r="GI679" s="36"/>
      <c r="GJ679" s="36"/>
      <c r="GK679" s="36"/>
      <c r="GL679" s="36"/>
      <c r="GM679" s="36"/>
      <c r="GN679" s="36"/>
      <c r="GO679" s="36"/>
      <c r="GP679" s="36"/>
      <c r="GQ679" s="36"/>
      <c r="GR679" s="36"/>
      <c r="GS679" s="36"/>
      <c r="GT679" s="36"/>
      <c r="GU679" s="36"/>
      <c r="GV679" s="36"/>
      <c r="GW679" s="36"/>
      <c r="GX679" s="36"/>
      <c r="GY679" s="36"/>
      <c r="GZ679" s="36"/>
      <c r="HA679" s="36"/>
      <c r="HB679" s="36"/>
      <c r="HC679" s="36"/>
      <c r="HD679" s="36"/>
      <c r="HE679" s="36"/>
      <c r="HF679" s="36"/>
      <c r="HG679" s="36"/>
      <c r="HH679" s="36"/>
      <c r="HI679" s="36"/>
    </row>
    <row r="680" spans="1:217" s="55" customFormat="1" ht="27.75" customHeight="1" hidden="1">
      <c r="A680" s="139" t="s">
        <v>315</v>
      </c>
      <c r="B680" s="90"/>
      <c r="C680" s="90"/>
      <c r="D680" s="222">
        <v>30</v>
      </c>
      <c r="E680" s="223"/>
      <c r="F680" s="222">
        <v>30</v>
      </c>
      <c r="G680" s="222">
        <v>30</v>
      </c>
      <c r="H680" s="223"/>
      <c r="I680" s="223"/>
      <c r="J680" s="222">
        <v>30</v>
      </c>
      <c r="K680" s="223"/>
      <c r="L680" s="223"/>
      <c r="M680" s="223"/>
      <c r="N680" s="222">
        <v>30</v>
      </c>
      <c r="O680" s="223"/>
      <c r="P680" s="222">
        <v>30</v>
      </c>
      <c r="Q680" s="36"/>
      <c r="R680" s="274"/>
      <c r="S680" s="274"/>
      <c r="T680" s="274"/>
      <c r="U680" s="274"/>
      <c r="V680" s="274"/>
      <c r="W680" s="274"/>
      <c r="X680" s="274"/>
      <c r="Y680" s="274"/>
      <c r="Z680" s="274"/>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c r="BT680" s="36"/>
      <c r="BU680" s="36"/>
      <c r="BV680" s="36"/>
      <c r="BW680" s="36"/>
      <c r="BX680" s="36"/>
      <c r="BY680" s="36"/>
      <c r="BZ680" s="36"/>
      <c r="CA680" s="36"/>
      <c r="CB680" s="36"/>
      <c r="CC680" s="36"/>
      <c r="CD680" s="36"/>
      <c r="CE680" s="36"/>
      <c r="CF680" s="36"/>
      <c r="CG680" s="36"/>
      <c r="CH680" s="36"/>
      <c r="CI680" s="36"/>
      <c r="CJ680" s="36"/>
      <c r="CK680" s="36"/>
      <c r="CL680" s="36"/>
      <c r="CM680" s="36"/>
      <c r="CN680" s="36"/>
      <c r="CO680" s="36"/>
      <c r="CP680" s="36"/>
      <c r="CQ680" s="36"/>
      <c r="CR680" s="36"/>
      <c r="CS680" s="36"/>
      <c r="CT680" s="36"/>
      <c r="CU680" s="36"/>
      <c r="CV680" s="36"/>
      <c r="CW680" s="36"/>
      <c r="CX680" s="36"/>
      <c r="CY680" s="36"/>
      <c r="CZ680" s="36"/>
      <c r="DA680" s="36"/>
      <c r="DB680" s="36"/>
      <c r="DC680" s="36"/>
      <c r="DD680" s="36"/>
      <c r="DE680" s="36"/>
      <c r="DF680" s="36"/>
      <c r="DG680" s="36"/>
      <c r="DH680" s="36"/>
      <c r="DI680" s="36"/>
      <c r="DJ680" s="36"/>
      <c r="DK680" s="36"/>
      <c r="DL680" s="36"/>
      <c r="DM680" s="36"/>
      <c r="DN680" s="36"/>
      <c r="DO680" s="36"/>
      <c r="DP680" s="36"/>
      <c r="DQ680" s="36"/>
      <c r="DR680" s="36"/>
      <c r="DS680" s="36"/>
      <c r="DT680" s="36"/>
      <c r="DU680" s="36"/>
      <c r="DV680" s="36"/>
      <c r="DW680" s="36"/>
      <c r="DX680" s="36"/>
      <c r="DY680" s="36"/>
      <c r="DZ680" s="36"/>
      <c r="EA680" s="36"/>
      <c r="EB680" s="36"/>
      <c r="EC680" s="36"/>
      <c r="ED680" s="36"/>
      <c r="EE680" s="36"/>
      <c r="EF680" s="36"/>
      <c r="EG680" s="36"/>
      <c r="EH680" s="36"/>
      <c r="EI680" s="36"/>
      <c r="EJ680" s="36"/>
      <c r="EK680" s="36"/>
      <c r="EL680" s="36"/>
      <c r="EM680" s="36"/>
      <c r="EN680" s="36"/>
      <c r="EO680" s="36"/>
      <c r="EP680" s="36"/>
      <c r="EQ680" s="36"/>
      <c r="ER680" s="36"/>
      <c r="ES680" s="36"/>
      <c r="ET680" s="36"/>
      <c r="EU680" s="36"/>
      <c r="EV680" s="36"/>
      <c r="EW680" s="36"/>
      <c r="EX680" s="36"/>
      <c r="EY680" s="36"/>
      <c r="EZ680" s="36"/>
      <c r="FA680" s="36"/>
      <c r="FB680" s="36"/>
      <c r="FC680" s="36"/>
      <c r="FD680" s="36"/>
      <c r="FE680" s="36"/>
      <c r="FF680" s="36"/>
      <c r="FG680" s="36"/>
      <c r="FH680" s="36"/>
      <c r="FI680" s="36"/>
      <c r="FJ680" s="36"/>
      <c r="FK680" s="36"/>
      <c r="FL680" s="36"/>
      <c r="FM680" s="36"/>
      <c r="FN680" s="36"/>
      <c r="FO680" s="36"/>
      <c r="FP680" s="36"/>
      <c r="FQ680" s="36"/>
      <c r="FR680" s="36"/>
      <c r="FS680" s="36"/>
      <c r="FT680" s="36"/>
      <c r="FU680" s="36"/>
      <c r="FV680" s="36"/>
      <c r="FW680" s="36"/>
      <c r="FX680" s="36"/>
      <c r="FY680" s="36"/>
      <c r="FZ680" s="36"/>
      <c r="GA680" s="36"/>
      <c r="GB680" s="36"/>
      <c r="GC680" s="36"/>
      <c r="GD680" s="36"/>
      <c r="GE680" s="36"/>
      <c r="GF680" s="36"/>
      <c r="GG680" s="36"/>
      <c r="GH680" s="36"/>
      <c r="GI680" s="36"/>
      <c r="GJ680" s="36"/>
      <c r="GK680" s="36"/>
      <c r="GL680" s="36"/>
      <c r="GM680" s="36"/>
      <c r="GN680" s="36"/>
      <c r="GO680" s="36"/>
      <c r="GP680" s="36"/>
      <c r="GQ680" s="36"/>
      <c r="GR680" s="36"/>
      <c r="GS680" s="36"/>
      <c r="GT680" s="36"/>
      <c r="GU680" s="36"/>
      <c r="GV680" s="36"/>
      <c r="GW680" s="36"/>
      <c r="GX680" s="36"/>
      <c r="GY680" s="36"/>
      <c r="GZ680" s="36"/>
      <c r="HA680" s="36"/>
      <c r="HB680" s="36"/>
      <c r="HC680" s="36"/>
      <c r="HD680" s="36"/>
      <c r="HE680" s="36"/>
      <c r="HF680" s="36"/>
      <c r="HG680" s="36"/>
      <c r="HH680" s="36"/>
      <c r="HI680" s="36"/>
    </row>
    <row r="681" spans="1:217" s="55" customFormat="1" ht="25.5" hidden="1">
      <c r="A681" s="139" t="s">
        <v>364</v>
      </c>
      <c r="B681" s="90"/>
      <c r="C681" s="90"/>
      <c r="D681" s="222">
        <v>30</v>
      </c>
      <c r="E681" s="223"/>
      <c r="F681" s="222">
        <v>30</v>
      </c>
      <c r="G681" s="222">
        <v>30</v>
      </c>
      <c r="H681" s="223"/>
      <c r="I681" s="223"/>
      <c r="J681" s="222">
        <v>30</v>
      </c>
      <c r="K681" s="223"/>
      <c r="L681" s="223"/>
      <c r="M681" s="223"/>
      <c r="N681" s="222">
        <v>30</v>
      </c>
      <c r="O681" s="223"/>
      <c r="P681" s="222">
        <v>30</v>
      </c>
      <c r="Q681" s="36"/>
      <c r="R681" s="274"/>
      <c r="S681" s="274"/>
      <c r="T681" s="274"/>
      <c r="U681" s="274"/>
      <c r="V681" s="274"/>
      <c r="W681" s="274"/>
      <c r="X681" s="274"/>
      <c r="Y681" s="274"/>
      <c r="Z681" s="274"/>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c r="BT681" s="36"/>
      <c r="BU681" s="36"/>
      <c r="BV681" s="36"/>
      <c r="BW681" s="36"/>
      <c r="BX681" s="36"/>
      <c r="BY681" s="36"/>
      <c r="BZ681" s="36"/>
      <c r="CA681" s="36"/>
      <c r="CB681" s="36"/>
      <c r="CC681" s="36"/>
      <c r="CD681" s="36"/>
      <c r="CE681" s="36"/>
      <c r="CF681" s="36"/>
      <c r="CG681" s="36"/>
      <c r="CH681" s="36"/>
      <c r="CI681" s="36"/>
      <c r="CJ681" s="36"/>
      <c r="CK681" s="36"/>
      <c r="CL681" s="36"/>
      <c r="CM681" s="36"/>
      <c r="CN681" s="36"/>
      <c r="CO681" s="36"/>
      <c r="CP681" s="36"/>
      <c r="CQ681" s="36"/>
      <c r="CR681" s="36"/>
      <c r="CS681" s="36"/>
      <c r="CT681" s="36"/>
      <c r="CU681" s="36"/>
      <c r="CV681" s="36"/>
      <c r="CW681" s="36"/>
      <c r="CX681" s="36"/>
      <c r="CY681" s="36"/>
      <c r="CZ681" s="36"/>
      <c r="DA681" s="36"/>
      <c r="DB681" s="36"/>
      <c r="DC681" s="36"/>
      <c r="DD681" s="36"/>
      <c r="DE681" s="36"/>
      <c r="DF681" s="36"/>
      <c r="DG681" s="36"/>
      <c r="DH681" s="36"/>
      <c r="DI681" s="36"/>
      <c r="DJ681" s="36"/>
      <c r="DK681" s="36"/>
      <c r="DL681" s="36"/>
      <c r="DM681" s="36"/>
      <c r="DN681" s="36"/>
      <c r="DO681" s="36"/>
      <c r="DP681" s="36"/>
      <c r="DQ681" s="36"/>
      <c r="DR681" s="36"/>
      <c r="DS681" s="36"/>
      <c r="DT681" s="36"/>
      <c r="DU681" s="36"/>
      <c r="DV681" s="36"/>
      <c r="DW681" s="36"/>
      <c r="DX681" s="36"/>
      <c r="DY681" s="36"/>
      <c r="DZ681" s="36"/>
      <c r="EA681" s="36"/>
      <c r="EB681" s="36"/>
      <c r="EC681" s="36"/>
      <c r="ED681" s="36"/>
      <c r="EE681" s="36"/>
      <c r="EF681" s="36"/>
      <c r="EG681" s="36"/>
      <c r="EH681" s="36"/>
      <c r="EI681" s="36"/>
      <c r="EJ681" s="36"/>
      <c r="EK681" s="36"/>
      <c r="EL681" s="36"/>
      <c r="EM681" s="36"/>
      <c r="EN681" s="36"/>
      <c r="EO681" s="36"/>
      <c r="EP681" s="36"/>
      <c r="EQ681" s="36"/>
      <c r="ER681" s="36"/>
      <c r="ES681" s="36"/>
      <c r="ET681" s="36"/>
      <c r="EU681" s="36"/>
      <c r="EV681" s="36"/>
      <c r="EW681" s="36"/>
      <c r="EX681" s="36"/>
      <c r="EY681" s="36"/>
      <c r="EZ681" s="36"/>
      <c r="FA681" s="36"/>
      <c r="FB681" s="36"/>
      <c r="FC681" s="36"/>
      <c r="FD681" s="36"/>
      <c r="FE681" s="36"/>
      <c r="FF681" s="36"/>
      <c r="FG681" s="36"/>
      <c r="FH681" s="36"/>
      <c r="FI681" s="36"/>
      <c r="FJ681" s="36"/>
      <c r="FK681" s="36"/>
      <c r="FL681" s="36"/>
      <c r="FM681" s="36"/>
      <c r="FN681" s="36"/>
      <c r="FO681" s="36"/>
      <c r="FP681" s="36"/>
      <c r="FQ681" s="36"/>
      <c r="FR681" s="36"/>
      <c r="FS681" s="36"/>
      <c r="FT681" s="36"/>
      <c r="FU681" s="36"/>
      <c r="FV681" s="36"/>
      <c r="FW681" s="36"/>
      <c r="FX681" s="36"/>
      <c r="FY681" s="36"/>
      <c r="FZ681" s="36"/>
      <c r="GA681" s="36"/>
      <c r="GB681" s="36"/>
      <c r="GC681" s="36"/>
      <c r="GD681" s="36"/>
      <c r="GE681" s="36"/>
      <c r="GF681" s="36"/>
      <c r="GG681" s="36"/>
      <c r="GH681" s="36"/>
      <c r="GI681" s="36"/>
      <c r="GJ681" s="36"/>
      <c r="GK681" s="36"/>
      <c r="GL681" s="36"/>
      <c r="GM681" s="36"/>
      <c r="GN681" s="36"/>
      <c r="GO681" s="36"/>
      <c r="GP681" s="36"/>
      <c r="GQ681" s="36"/>
      <c r="GR681" s="36"/>
      <c r="GS681" s="36"/>
      <c r="GT681" s="36"/>
      <c r="GU681" s="36"/>
      <c r="GV681" s="36"/>
      <c r="GW681" s="36"/>
      <c r="GX681" s="36"/>
      <c r="GY681" s="36"/>
      <c r="GZ681" s="36"/>
      <c r="HA681" s="36"/>
      <c r="HB681" s="36"/>
      <c r="HC681" s="36"/>
      <c r="HD681" s="36"/>
      <c r="HE681" s="36"/>
      <c r="HF681" s="36"/>
      <c r="HG681" s="36"/>
      <c r="HH681" s="36"/>
      <c r="HI681" s="36"/>
    </row>
    <row r="682" spans="1:217" s="55" customFormat="1" ht="25.5" hidden="1">
      <c r="A682" s="139" t="s">
        <v>365</v>
      </c>
      <c r="B682" s="90"/>
      <c r="C682" s="90"/>
      <c r="D682" s="222">
        <v>90</v>
      </c>
      <c r="E682" s="222"/>
      <c r="F682" s="222">
        <v>90</v>
      </c>
      <c r="G682" s="222">
        <v>90</v>
      </c>
      <c r="H682" s="222"/>
      <c r="I682" s="222"/>
      <c r="J682" s="222">
        <v>90</v>
      </c>
      <c r="K682" s="222"/>
      <c r="L682" s="222"/>
      <c r="M682" s="222"/>
      <c r="N682" s="222">
        <v>90</v>
      </c>
      <c r="O682" s="222"/>
      <c r="P682" s="222">
        <v>90</v>
      </c>
      <c r="Q682" s="36"/>
      <c r="R682" s="274"/>
      <c r="S682" s="274"/>
      <c r="T682" s="274"/>
      <c r="U682" s="274"/>
      <c r="V682" s="274"/>
      <c r="W682" s="274"/>
      <c r="X682" s="274"/>
      <c r="Y682" s="274"/>
      <c r="Z682" s="274"/>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c r="BT682" s="36"/>
      <c r="BU682" s="36"/>
      <c r="BV682" s="36"/>
      <c r="BW682" s="36"/>
      <c r="BX682" s="36"/>
      <c r="BY682" s="36"/>
      <c r="BZ682" s="36"/>
      <c r="CA682" s="36"/>
      <c r="CB682" s="36"/>
      <c r="CC682" s="36"/>
      <c r="CD682" s="36"/>
      <c r="CE682" s="36"/>
      <c r="CF682" s="36"/>
      <c r="CG682" s="36"/>
      <c r="CH682" s="36"/>
      <c r="CI682" s="36"/>
      <c r="CJ682" s="36"/>
      <c r="CK682" s="36"/>
      <c r="CL682" s="36"/>
      <c r="CM682" s="36"/>
      <c r="CN682" s="36"/>
      <c r="CO682" s="36"/>
      <c r="CP682" s="36"/>
      <c r="CQ682" s="36"/>
      <c r="CR682" s="36"/>
      <c r="CS682" s="36"/>
      <c r="CT682" s="36"/>
      <c r="CU682" s="36"/>
      <c r="CV682" s="36"/>
      <c r="CW682" s="36"/>
      <c r="CX682" s="36"/>
      <c r="CY682" s="36"/>
      <c r="CZ682" s="36"/>
      <c r="DA682" s="36"/>
      <c r="DB682" s="36"/>
      <c r="DC682" s="36"/>
      <c r="DD682" s="36"/>
      <c r="DE682" s="36"/>
      <c r="DF682" s="36"/>
      <c r="DG682" s="36"/>
      <c r="DH682" s="36"/>
      <c r="DI682" s="36"/>
      <c r="DJ682" s="36"/>
      <c r="DK682" s="36"/>
      <c r="DL682" s="36"/>
      <c r="DM682" s="36"/>
      <c r="DN682" s="36"/>
      <c r="DO682" s="36"/>
      <c r="DP682" s="36"/>
      <c r="DQ682" s="36"/>
      <c r="DR682" s="36"/>
      <c r="DS682" s="36"/>
      <c r="DT682" s="36"/>
      <c r="DU682" s="36"/>
      <c r="DV682" s="36"/>
      <c r="DW682" s="36"/>
      <c r="DX682" s="36"/>
      <c r="DY682" s="36"/>
      <c r="DZ682" s="36"/>
      <c r="EA682" s="36"/>
      <c r="EB682" s="36"/>
      <c r="EC682" s="36"/>
      <c r="ED682" s="36"/>
      <c r="EE682" s="36"/>
      <c r="EF682" s="36"/>
      <c r="EG682" s="36"/>
      <c r="EH682" s="36"/>
      <c r="EI682" s="36"/>
      <c r="EJ682" s="36"/>
      <c r="EK682" s="36"/>
      <c r="EL682" s="36"/>
      <c r="EM682" s="36"/>
      <c r="EN682" s="36"/>
      <c r="EO682" s="36"/>
      <c r="EP682" s="36"/>
      <c r="EQ682" s="36"/>
      <c r="ER682" s="36"/>
      <c r="ES682" s="36"/>
      <c r="ET682" s="36"/>
      <c r="EU682" s="36"/>
      <c r="EV682" s="36"/>
      <c r="EW682" s="36"/>
      <c r="EX682" s="36"/>
      <c r="EY682" s="36"/>
      <c r="EZ682" s="36"/>
      <c r="FA682" s="36"/>
      <c r="FB682" s="36"/>
      <c r="FC682" s="36"/>
      <c r="FD682" s="36"/>
      <c r="FE682" s="36"/>
      <c r="FF682" s="36"/>
      <c r="FG682" s="36"/>
      <c r="FH682" s="36"/>
      <c r="FI682" s="36"/>
      <c r="FJ682" s="36"/>
      <c r="FK682" s="36"/>
      <c r="FL682" s="36"/>
      <c r="FM682" s="36"/>
      <c r="FN682" s="36"/>
      <c r="FO682" s="36"/>
      <c r="FP682" s="36"/>
      <c r="FQ682" s="36"/>
      <c r="FR682" s="36"/>
      <c r="FS682" s="36"/>
      <c r="FT682" s="36"/>
      <c r="FU682" s="36"/>
      <c r="FV682" s="36"/>
      <c r="FW682" s="36"/>
      <c r="FX682" s="36"/>
      <c r="FY682" s="36"/>
      <c r="FZ682" s="36"/>
      <c r="GA682" s="36"/>
      <c r="GB682" s="36"/>
      <c r="GC682" s="36"/>
      <c r="GD682" s="36"/>
      <c r="GE682" s="36"/>
      <c r="GF682" s="36"/>
      <c r="GG682" s="36"/>
      <c r="GH682" s="36"/>
      <c r="GI682" s="36"/>
      <c r="GJ682" s="36"/>
      <c r="GK682" s="36"/>
      <c r="GL682" s="36"/>
      <c r="GM682" s="36"/>
      <c r="GN682" s="36"/>
      <c r="GO682" s="36"/>
      <c r="GP682" s="36"/>
      <c r="GQ682" s="36"/>
      <c r="GR682" s="36"/>
      <c r="GS682" s="36"/>
      <c r="GT682" s="36"/>
      <c r="GU682" s="36"/>
      <c r="GV682" s="36"/>
      <c r="GW682" s="36"/>
      <c r="GX682" s="36"/>
      <c r="GY682" s="36"/>
      <c r="GZ682" s="36"/>
      <c r="HA682" s="36"/>
      <c r="HB682" s="36"/>
      <c r="HC682" s="36"/>
      <c r="HD682" s="36"/>
      <c r="HE682" s="36"/>
      <c r="HF682" s="36"/>
      <c r="HG682" s="36"/>
      <c r="HH682" s="36"/>
      <c r="HI682" s="36"/>
    </row>
    <row r="683" spans="1:217" s="55" customFormat="1" ht="12.75" hidden="1">
      <c r="A683" s="139" t="s">
        <v>366</v>
      </c>
      <c r="B683" s="90"/>
      <c r="C683" s="90"/>
      <c r="D683" s="222">
        <v>12</v>
      </c>
      <c r="E683" s="222"/>
      <c r="F683" s="222">
        <f>D683</f>
        <v>12</v>
      </c>
      <c r="G683" s="222">
        <v>12</v>
      </c>
      <c r="H683" s="223"/>
      <c r="I683" s="223"/>
      <c r="J683" s="222">
        <v>12</v>
      </c>
      <c r="K683" s="223"/>
      <c r="L683" s="223"/>
      <c r="M683" s="223"/>
      <c r="N683" s="222">
        <v>12</v>
      </c>
      <c r="O683" s="223"/>
      <c r="P683" s="222">
        <v>12</v>
      </c>
      <c r="Q683" s="36"/>
      <c r="R683" s="274"/>
      <c r="S683" s="274"/>
      <c r="T683" s="274"/>
      <c r="U683" s="274"/>
      <c r="V683" s="274"/>
      <c r="W683" s="274"/>
      <c r="X683" s="274"/>
      <c r="Y683" s="274"/>
      <c r="Z683" s="274"/>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c r="BT683" s="36"/>
      <c r="BU683" s="36"/>
      <c r="BV683" s="36"/>
      <c r="BW683" s="36"/>
      <c r="BX683" s="36"/>
      <c r="BY683" s="36"/>
      <c r="BZ683" s="36"/>
      <c r="CA683" s="36"/>
      <c r="CB683" s="36"/>
      <c r="CC683" s="36"/>
      <c r="CD683" s="36"/>
      <c r="CE683" s="36"/>
      <c r="CF683" s="36"/>
      <c r="CG683" s="36"/>
      <c r="CH683" s="36"/>
      <c r="CI683" s="36"/>
      <c r="CJ683" s="36"/>
      <c r="CK683" s="36"/>
      <c r="CL683" s="36"/>
      <c r="CM683" s="36"/>
      <c r="CN683" s="36"/>
      <c r="CO683" s="36"/>
      <c r="CP683" s="36"/>
      <c r="CQ683" s="36"/>
      <c r="CR683" s="36"/>
      <c r="CS683" s="36"/>
      <c r="CT683" s="36"/>
      <c r="CU683" s="36"/>
      <c r="CV683" s="36"/>
      <c r="CW683" s="36"/>
      <c r="CX683" s="36"/>
      <c r="CY683" s="36"/>
      <c r="CZ683" s="36"/>
      <c r="DA683" s="36"/>
      <c r="DB683" s="36"/>
      <c r="DC683" s="36"/>
      <c r="DD683" s="36"/>
      <c r="DE683" s="36"/>
      <c r="DF683" s="36"/>
      <c r="DG683" s="36"/>
      <c r="DH683" s="36"/>
      <c r="DI683" s="36"/>
      <c r="DJ683" s="36"/>
      <c r="DK683" s="36"/>
      <c r="DL683" s="36"/>
      <c r="DM683" s="36"/>
      <c r="DN683" s="36"/>
      <c r="DO683" s="36"/>
      <c r="DP683" s="36"/>
      <c r="DQ683" s="36"/>
      <c r="DR683" s="36"/>
      <c r="DS683" s="36"/>
      <c r="DT683" s="36"/>
      <c r="DU683" s="36"/>
      <c r="DV683" s="36"/>
      <c r="DW683" s="36"/>
      <c r="DX683" s="36"/>
      <c r="DY683" s="36"/>
      <c r="DZ683" s="36"/>
      <c r="EA683" s="36"/>
      <c r="EB683" s="36"/>
      <c r="EC683" s="36"/>
      <c r="ED683" s="36"/>
      <c r="EE683" s="36"/>
      <c r="EF683" s="36"/>
      <c r="EG683" s="36"/>
      <c r="EH683" s="36"/>
      <c r="EI683" s="36"/>
      <c r="EJ683" s="36"/>
      <c r="EK683" s="36"/>
      <c r="EL683" s="36"/>
      <c r="EM683" s="36"/>
      <c r="EN683" s="36"/>
      <c r="EO683" s="36"/>
      <c r="EP683" s="36"/>
      <c r="EQ683" s="36"/>
      <c r="ER683" s="36"/>
      <c r="ES683" s="36"/>
      <c r="ET683" s="36"/>
      <c r="EU683" s="36"/>
      <c r="EV683" s="36"/>
      <c r="EW683" s="36"/>
      <c r="EX683" s="36"/>
      <c r="EY683" s="36"/>
      <c r="EZ683" s="36"/>
      <c r="FA683" s="36"/>
      <c r="FB683" s="36"/>
      <c r="FC683" s="36"/>
      <c r="FD683" s="36"/>
      <c r="FE683" s="36"/>
      <c r="FF683" s="36"/>
      <c r="FG683" s="36"/>
      <c r="FH683" s="36"/>
      <c r="FI683" s="36"/>
      <c r="FJ683" s="36"/>
      <c r="FK683" s="36"/>
      <c r="FL683" s="36"/>
      <c r="FM683" s="36"/>
      <c r="FN683" s="36"/>
      <c r="FO683" s="36"/>
      <c r="FP683" s="36"/>
      <c r="FQ683" s="36"/>
      <c r="FR683" s="36"/>
      <c r="FS683" s="36"/>
      <c r="FT683" s="36"/>
      <c r="FU683" s="36"/>
      <c r="FV683" s="36"/>
      <c r="FW683" s="36"/>
      <c r="FX683" s="36"/>
      <c r="FY683" s="36"/>
      <c r="FZ683" s="36"/>
      <c r="GA683" s="36"/>
      <c r="GB683" s="36"/>
      <c r="GC683" s="36"/>
      <c r="GD683" s="36"/>
      <c r="GE683" s="36"/>
      <c r="GF683" s="36"/>
      <c r="GG683" s="36"/>
      <c r="GH683" s="36"/>
      <c r="GI683" s="36"/>
      <c r="GJ683" s="36"/>
      <c r="GK683" s="36"/>
      <c r="GL683" s="36"/>
      <c r="GM683" s="36"/>
      <c r="GN683" s="36"/>
      <c r="GO683" s="36"/>
      <c r="GP683" s="36"/>
      <c r="GQ683" s="36"/>
      <c r="GR683" s="36"/>
      <c r="GS683" s="36"/>
      <c r="GT683" s="36"/>
      <c r="GU683" s="36"/>
      <c r="GV683" s="36"/>
      <c r="GW683" s="36"/>
      <c r="GX683" s="36"/>
      <c r="GY683" s="36"/>
      <c r="GZ683" s="36"/>
      <c r="HA683" s="36"/>
      <c r="HB683" s="36"/>
      <c r="HC683" s="36"/>
      <c r="HD683" s="36"/>
      <c r="HE683" s="36"/>
      <c r="HF683" s="36"/>
      <c r="HG683" s="36"/>
      <c r="HH683" s="36"/>
      <c r="HI683" s="36"/>
    </row>
    <row r="684" spans="1:217" s="55" customFormat="1" ht="12.75" hidden="1">
      <c r="A684" s="139" t="s">
        <v>367</v>
      </c>
      <c r="B684" s="90"/>
      <c r="C684" s="90"/>
      <c r="D684" s="222">
        <v>12</v>
      </c>
      <c r="E684" s="222"/>
      <c r="F684" s="222">
        <f>D684</f>
        <v>12</v>
      </c>
      <c r="G684" s="222">
        <v>12</v>
      </c>
      <c r="H684" s="222"/>
      <c r="I684" s="222"/>
      <c r="J684" s="222">
        <v>12</v>
      </c>
      <c r="K684" s="222"/>
      <c r="L684" s="222"/>
      <c r="M684" s="222"/>
      <c r="N684" s="222">
        <v>12</v>
      </c>
      <c r="O684" s="222"/>
      <c r="P684" s="222">
        <v>12</v>
      </c>
      <c r="Q684" s="36"/>
      <c r="R684" s="274"/>
      <c r="S684" s="274"/>
      <c r="T684" s="274"/>
      <c r="U684" s="274"/>
      <c r="V684" s="274"/>
      <c r="W684" s="274"/>
      <c r="X684" s="274"/>
      <c r="Y684" s="274"/>
      <c r="Z684" s="274"/>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c r="BT684" s="36"/>
      <c r="BU684" s="36"/>
      <c r="BV684" s="36"/>
      <c r="BW684" s="36"/>
      <c r="BX684" s="36"/>
      <c r="BY684" s="36"/>
      <c r="BZ684" s="36"/>
      <c r="CA684" s="36"/>
      <c r="CB684" s="36"/>
      <c r="CC684" s="36"/>
      <c r="CD684" s="36"/>
      <c r="CE684" s="36"/>
      <c r="CF684" s="36"/>
      <c r="CG684" s="36"/>
      <c r="CH684" s="36"/>
      <c r="CI684" s="36"/>
      <c r="CJ684" s="36"/>
      <c r="CK684" s="36"/>
      <c r="CL684" s="36"/>
      <c r="CM684" s="36"/>
      <c r="CN684" s="36"/>
      <c r="CO684" s="36"/>
      <c r="CP684" s="36"/>
      <c r="CQ684" s="36"/>
      <c r="CR684" s="36"/>
      <c r="CS684" s="36"/>
      <c r="CT684" s="36"/>
      <c r="CU684" s="36"/>
      <c r="CV684" s="36"/>
      <c r="CW684" s="36"/>
      <c r="CX684" s="36"/>
      <c r="CY684" s="36"/>
      <c r="CZ684" s="36"/>
      <c r="DA684" s="36"/>
      <c r="DB684" s="36"/>
      <c r="DC684" s="36"/>
      <c r="DD684" s="36"/>
      <c r="DE684" s="36"/>
      <c r="DF684" s="36"/>
      <c r="DG684" s="36"/>
      <c r="DH684" s="36"/>
      <c r="DI684" s="36"/>
      <c r="DJ684" s="36"/>
      <c r="DK684" s="36"/>
      <c r="DL684" s="36"/>
      <c r="DM684" s="36"/>
      <c r="DN684" s="36"/>
      <c r="DO684" s="36"/>
      <c r="DP684" s="36"/>
      <c r="DQ684" s="36"/>
      <c r="DR684" s="36"/>
      <c r="DS684" s="36"/>
      <c r="DT684" s="36"/>
      <c r="DU684" s="36"/>
      <c r="DV684" s="36"/>
      <c r="DW684" s="36"/>
      <c r="DX684" s="36"/>
      <c r="DY684" s="36"/>
      <c r="DZ684" s="36"/>
      <c r="EA684" s="36"/>
      <c r="EB684" s="36"/>
      <c r="EC684" s="36"/>
      <c r="ED684" s="36"/>
      <c r="EE684" s="36"/>
      <c r="EF684" s="36"/>
      <c r="EG684" s="36"/>
      <c r="EH684" s="36"/>
      <c r="EI684" s="36"/>
      <c r="EJ684" s="36"/>
      <c r="EK684" s="36"/>
      <c r="EL684" s="36"/>
      <c r="EM684" s="36"/>
      <c r="EN684" s="36"/>
      <c r="EO684" s="36"/>
      <c r="EP684" s="36"/>
      <c r="EQ684" s="36"/>
      <c r="ER684" s="36"/>
      <c r="ES684" s="36"/>
      <c r="ET684" s="36"/>
      <c r="EU684" s="36"/>
      <c r="EV684" s="36"/>
      <c r="EW684" s="36"/>
      <c r="EX684" s="36"/>
      <c r="EY684" s="36"/>
      <c r="EZ684" s="36"/>
      <c r="FA684" s="36"/>
      <c r="FB684" s="36"/>
      <c r="FC684" s="36"/>
      <c r="FD684" s="36"/>
      <c r="FE684" s="36"/>
      <c r="FF684" s="36"/>
      <c r="FG684" s="36"/>
      <c r="FH684" s="36"/>
      <c r="FI684" s="36"/>
      <c r="FJ684" s="36"/>
      <c r="FK684" s="36"/>
      <c r="FL684" s="36"/>
      <c r="FM684" s="36"/>
      <c r="FN684" s="36"/>
      <c r="FO684" s="36"/>
      <c r="FP684" s="36"/>
      <c r="FQ684" s="36"/>
      <c r="FR684" s="36"/>
      <c r="FS684" s="36"/>
      <c r="FT684" s="36"/>
      <c r="FU684" s="36"/>
      <c r="FV684" s="36"/>
      <c r="FW684" s="36"/>
      <c r="FX684" s="36"/>
      <c r="FY684" s="36"/>
      <c r="FZ684" s="36"/>
      <c r="GA684" s="36"/>
      <c r="GB684" s="36"/>
      <c r="GC684" s="36"/>
      <c r="GD684" s="36"/>
      <c r="GE684" s="36"/>
      <c r="GF684" s="36"/>
      <c r="GG684" s="36"/>
      <c r="GH684" s="36"/>
      <c r="GI684" s="36"/>
      <c r="GJ684" s="36"/>
      <c r="GK684" s="36"/>
      <c r="GL684" s="36"/>
      <c r="GM684" s="36"/>
      <c r="GN684" s="36"/>
      <c r="GO684" s="36"/>
      <c r="GP684" s="36"/>
      <c r="GQ684" s="36"/>
      <c r="GR684" s="36"/>
      <c r="GS684" s="36"/>
      <c r="GT684" s="36"/>
      <c r="GU684" s="36"/>
      <c r="GV684" s="36"/>
      <c r="GW684" s="36"/>
      <c r="GX684" s="36"/>
      <c r="GY684" s="36"/>
      <c r="GZ684" s="36"/>
      <c r="HA684" s="36"/>
      <c r="HB684" s="36"/>
      <c r="HC684" s="36"/>
      <c r="HD684" s="36"/>
      <c r="HE684" s="36"/>
      <c r="HF684" s="36"/>
      <c r="HG684" s="36"/>
      <c r="HH684" s="36"/>
      <c r="HI684" s="36"/>
    </row>
    <row r="685" spans="1:217" s="55" customFormat="1" ht="12.75" hidden="1">
      <c r="A685" s="143" t="s">
        <v>187</v>
      </c>
      <c r="B685" s="143"/>
      <c r="C685" s="143"/>
      <c r="D685" s="92"/>
      <c r="E685" s="216"/>
      <c r="F685" s="92"/>
      <c r="G685" s="92"/>
      <c r="H685" s="216"/>
      <c r="I685" s="216"/>
      <c r="J685" s="92"/>
      <c r="K685" s="217"/>
      <c r="L685" s="216"/>
      <c r="M685" s="216"/>
      <c r="N685" s="92"/>
      <c r="O685" s="216"/>
      <c r="P685" s="92"/>
      <c r="Q685" s="36"/>
      <c r="R685" s="274"/>
      <c r="S685" s="274"/>
      <c r="T685" s="274"/>
      <c r="U685" s="274"/>
      <c r="V685" s="274"/>
      <c r="W685" s="274"/>
      <c r="X685" s="274"/>
      <c r="Y685" s="274"/>
      <c r="Z685" s="274"/>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c r="BT685" s="36"/>
      <c r="BU685" s="36"/>
      <c r="BV685" s="36"/>
      <c r="BW685" s="36"/>
      <c r="BX685" s="36"/>
      <c r="BY685" s="36"/>
      <c r="BZ685" s="36"/>
      <c r="CA685" s="36"/>
      <c r="CB685" s="36"/>
      <c r="CC685" s="36"/>
      <c r="CD685" s="36"/>
      <c r="CE685" s="36"/>
      <c r="CF685" s="36"/>
      <c r="CG685" s="36"/>
      <c r="CH685" s="36"/>
      <c r="CI685" s="36"/>
      <c r="CJ685" s="36"/>
      <c r="CK685" s="36"/>
      <c r="CL685" s="36"/>
      <c r="CM685" s="36"/>
      <c r="CN685" s="36"/>
      <c r="CO685" s="36"/>
      <c r="CP685" s="36"/>
      <c r="CQ685" s="36"/>
      <c r="CR685" s="36"/>
      <c r="CS685" s="36"/>
      <c r="CT685" s="36"/>
      <c r="CU685" s="36"/>
      <c r="CV685" s="36"/>
      <c r="CW685" s="36"/>
      <c r="CX685" s="36"/>
      <c r="CY685" s="36"/>
      <c r="CZ685" s="36"/>
      <c r="DA685" s="36"/>
      <c r="DB685" s="36"/>
      <c r="DC685" s="36"/>
      <c r="DD685" s="36"/>
      <c r="DE685" s="36"/>
      <c r="DF685" s="36"/>
      <c r="DG685" s="36"/>
      <c r="DH685" s="36"/>
      <c r="DI685" s="36"/>
      <c r="DJ685" s="36"/>
      <c r="DK685" s="36"/>
      <c r="DL685" s="36"/>
      <c r="DM685" s="36"/>
      <c r="DN685" s="36"/>
      <c r="DO685" s="36"/>
      <c r="DP685" s="36"/>
      <c r="DQ685" s="36"/>
      <c r="DR685" s="36"/>
      <c r="DS685" s="36"/>
      <c r="DT685" s="36"/>
      <c r="DU685" s="36"/>
      <c r="DV685" s="36"/>
      <c r="DW685" s="36"/>
      <c r="DX685" s="36"/>
      <c r="DY685" s="36"/>
      <c r="DZ685" s="36"/>
      <c r="EA685" s="36"/>
      <c r="EB685" s="36"/>
      <c r="EC685" s="36"/>
      <c r="ED685" s="36"/>
      <c r="EE685" s="36"/>
      <c r="EF685" s="36"/>
      <c r="EG685" s="36"/>
      <c r="EH685" s="36"/>
      <c r="EI685" s="36"/>
      <c r="EJ685" s="36"/>
      <c r="EK685" s="36"/>
      <c r="EL685" s="36"/>
      <c r="EM685" s="36"/>
      <c r="EN685" s="36"/>
      <c r="EO685" s="36"/>
      <c r="EP685" s="36"/>
      <c r="EQ685" s="36"/>
      <c r="ER685" s="36"/>
      <c r="ES685" s="36"/>
      <c r="ET685" s="36"/>
      <c r="EU685" s="36"/>
      <c r="EV685" s="36"/>
      <c r="EW685" s="36"/>
      <c r="EX685" s="36"/>
      <c r="EY685" s="36"/>
      <c r="EZ685" s="36"/>
      <c r="FA685" s="36"/>
      <c r="FB685" s="36"/>
      <c r="FC685" s="36"/>
      <c r="FD685" s="36"/>
      <c r="FE685" s="36"/>
      <c r="FF685" s="36"/>
      <c r="FG685" s="36"/>
      <c r="FH685" s="36"/>
      <c r="FI685" s="36"/>
      <c r="FJ685" s="36"/>
      <c r="FK685" s="36"/>
      <c r="FL685" s="36"/>
      <c r="FM685" s="36"/>
      <c r="FN685" s="36"/>
      <c r="FO685" s="36"/>
      <c r="FP685" s="36"/>
      <c r="FQ685" s="36"/>
      <c r="FR685" s="36"/>
      <c r="FS685" s="36"/>
      <c r="FT685" s="36"/>
      <c r="FU685" s="36"/>
      <c r="FV685" s="36"/>
      <c r="FW685" s="36"/>
      <c r="FX685" s="36"/>
      <c r="FY685" s="36"/>
      <c r="FZ685" s="36"/>
      <c r="GA685" s="36"/>
      <c r="GB685" s="36"/>
      <c r="GC685" s="36"/>
      <c r="GD685" s="36"/>
      <c r="GE685" s="36"/>
      <c r="GF685" s="36"/>
      <c r="GG685" s="36"/>
      <c r="GH685" s="36"/>
      <c r="GI685" s="36"/>
      <c r="GJ685" s="36"/>
      <c r="GK685" s="36"/>
      <c r="GL685" s="36"/>
      <c r="GM685" s="36"/>
      <c r="GN685" s="36"/>
      <c r="GO685" s="36"/>
      <c r="GP685" s="36"/>
      <c r="GQ685" s="36"/>
      <c r="GR685" s="36"/>
      <c r="GS685" s="36"/>
      <c r="GT685" s="36"/>
      <c r="GU685" s="36"/>
      <c r="GV685" s="36"/>
      <c r="GW685" s="36"/>
      <c r="GX685" s="36"/>
      <c r="GY685" s="36"/>
      <c r="GZ685" s="36"/>
      <c r="HA685" s="36"/>
      <c r="HB685" s="36"/>
      <c r="HC685" s="36"/>
      <c r="HD685" s="36"/>
      <c r="HE685" s="36"/>
      <c r="HF685" s="36"/>
      <c r="HG685" s="36"/>
      <c r="HH685" s="36"/>
      <c r="HI685" s="36"/>
    </row>
    <row r="686" spans="1:217" s="55" customFormat="1" ht="25.5" hidden="1">
      <c r="A686" s="90" t="s">
        <v>368</v>
      </c>
      <c r="B686" s="90"/>
      <c r="C686" s="90"/>
      <c r="D686" s="91">
        <v>320</v>
      </c>
      <c r="E686" s="221"/>
      <c r="F686" s="217">
        <f aca="true" t="shared" si="48" ref="F686:F691">D686</f>
        <v>320</v>
      </c>
      <c r="G686" s="91">
        <v>340</v>
      </c>
      <c r="H686" s="221"/>
      <c r="I686" s="221"/>
      <c r="J686" s="217">
        <f aca="true" t="shared" si="49" ref="J686:J691">G686</f>
        <v>340</v>
      </c>
      <c r="K686" s="224"/>
      <c r="L686" s="225"/>
      <c r="M686" s="207"/>
      <c r="N686" s="91">
        <v>375</v>
      </c>
      <c r="O686" s="221"/>
      <c r="P686" s="217">
        <f aca="true" t="shared" si="50" ref="P686:P691">N686</f>
        <v>375</v>
      </c>
      <c r="Q686" s="36"/>
      <c r="R686" s="274"/>
      <c r="S686" s="274"/>
      <c r="T686" s="274"/>
      <c r="U686" s="274"/>
      <c r="V686" s="274"/>
      <c r="W686" s="274"/>
      <c r="X686" s="274"/>
      <c r="Y686" s="274"/>
      <c r="Z686" s="274"/>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c r="BU686" s="36"/>
      <c r="BV686" s="36"/>
      <c r="BW686" s="36"/>
      <c r="BX686" s="36"/>
      <c r="BY686" s="36"/>
      <c r="BZ686" s="36"/>
      <c r="CA686" s="36"/>
      <c r="CB686" s="36"/>
      <c r="CC686" s="36"/>
      <c r="CD686" s="36"/>
      <c r="CE686" s="36"/>
      <c r="CF686" s="36"/>
      <c r="CG686" s="36"/>
      <c r="CH686" s="36"/>
      <c r="CI686" s="36"/>
      <c r="CJ686" s="36"/>
      <c r="CK686" s="36"/>
      <c r="CL686" s="36"/>
      <c r="CM686" s="36"/>
      <c r="CN686" s="36"/>
      <c r="CO686" s="36"/>
      <c r="CP686" s="36"/>
      <c r="CQ686" s="36"/>
      <c r="CR686" s="36"/>
      <c r="CS686" s="36"/>
      <c r="CT686" s="36"/>
      <c r="CU686" s="36"/>
      <c r="CV686" s="36"/>
      <c r="CW686" s="36"/>
      <c r="CX686" s="36"/>
      <c r="CY686" s="36"/>
      <c r="CZ686" s="36"/>
      <c r="DA686" s="36"/>
      <c r="DB686" s="36"/>
      <c r="DC686" s="36"/>
      <c r="DD686" s="36"/>
      <c r="DE686" s="36"/>
      <c r="DF686" s="36"/>
      <c r="DG686" s="36"/>
      <c r="DH686" s="36"/>
      <c r="DI686" s="36"/>
      <c r="DJ686" s="36"/>
      <c r="DK686" s="36"/>
      <c r="DL686" s="36"/>
      <c r="DM686" s="36"/>
      <c r="DN686" s="36"/>
      <c r="DO686" s="36"/>
      <c r="DP686" s="36"/>
      <c r="DQ686" s="36"/>
      <c r="DR686" s="36"/>
      <c r="DS686" s="36"/>
      <c r="DT686" s="36"/>
      <c r="DU686" s="36"/>
      <c r="DV686" s="36"/>
      <c r="DW686" s="36"/>
      <c r="DX686" s="36"/>
      <c r="DY686" s="36"/>
      <c r="DZ686" s="36"/>
      <c r="EA686" s="36"/>
      <c r="EB686" s="36"/>
      <c r="EC686" s="36"/>
      <c r="ED686" s="36"/>
      <c r="EE686" s="36"/>
      <c r="EF686" s="36"/>
      <c r="EG686" s="36"/>
      <c r="EH686" s="36"/>
      <c r="EI686" s="36"/>
      <c r="EJ686" s="36"/>
      <c r="EK686" s="36"/>
      <c r="EL686" s="36"/>
      <c r="EM686" s="36"/>
      <c r="EN686" s="36"/>
      <c r="EO686" s="36"/>
      <c r="EP686" s="36"/>
      <c r="EQ686" s="36"/>
      <c r="ER686" s="36"/>
      <c r="ES686" s="36"/>
      <c r="ET686" s="36"/>
      <c r="EU686" s="36"/>
      <c r="EV686" s="36"/>
      <c r="EW686" s="36"/>
      <c r="EX686" s="36"/>
      <c r="EY686" s="36"/>
      <c r="EZ686" s="36"/>
      <c r="FA686" s="36"/>
      <c r="FB686" s="36"/>
      <c r="FC686" s="36"/>
      <c r="FD686" s="36"/>
      <c r="FE686" s="36"/>
      <c r="FF686" s="36"/>
      <c r="FG686" s="36"/>
      <c r="FH686" s="36"/>
      <c r="FI686" s="36"/>
      <c r="FJ686" s="36"/>
      <c r="FK686" s="36"/>
      <c r="FL686" s="36"/>
      <c r="FM686" s="36"/>
      <c r="FN686" s="36"/>
      <c r="FO686" s="36"/>
      <c r="FP686" s="36"/>
      <c r="FQ686" s="36"/>
      <c r="FR686" s="36"/>
      <c r="FS686" s="36"/>
      <c r="FT686" s="36"/>
      <c r="FU686" s="36"/>
      <c r="FV686" s="36"/>
      <c r="FW686" s="36"/>
      <c r="FX686" s="36"/>
      <c r="FY686" s="36"/>
      <c r="FZ686" s="36"/>
      <c r="GA686" s="36"/>
      <c r="GB686" s="36"/>
      <c r="GC686" s="36"/>
      <c r="GD686" s="36"/>
      <c r="GE686" s="36"/>
      <c r="GF686" s="36"/>
      <c r="GG686" s="36"/>
      <c r="GH686" s="36"/>
      <c r="GI686" s="36"/>
      <c r="GJ686" s="36"/>
      <c r="GK686" s="36"/>
      <c r="GL686" s="36"/>
      <c r="GM686" s="36"/>
      <c r="GN686" s="36"/>
      <c r="GO686" s="36"/>
      <c r="GP686" s="36"/>
      <c r="GQ686" s="36"/>
      <c r="GR686" s="36"/>
      <c r="GS686" s="36"/>
      <c r="GT686" s="36"/>
      <c r="GU686" s="36"/>
      <c r="GV686" s="36"/>
      <c r="GW686" s="36"/>
      <c r="GX686" s="36"/>
      <c r="GY686" s="36"/>
      <c r="GZ686" s="36"/>
      <c r="HA686" s="36"/>
      <c r="HB686" s="36"/>
      <c r="HC686" s="36"/>
      <c r="HD686" s="36"/>
      <c r="HE686" s="36"/>
      <c r="HF686" s="36"/>
      <c r="HG686" s="36"/>
      <c r="HH686" s="36"/>
      <c r="HI686" s="36"/>
    </row>
    <row r="687" spans="1:217" s="55" customFormat="1" ht="26.25" customHeight="1" hidden="1">
      <c r="A687" s="90" t="s">
        <v>369</v>
      </c>
      <c r="B687" s="90"/>
      <c r="C687" s="90"/>
      <c r="D687" s="91">
        <v>1000</v>
      </c>
      <c r="E687" s="221"/>
      <c r="F687" s="217">
        <f t="shared" si="48"/>
        <v>1000</v>
      </c>
      <c r="G687" s="91">
        <v>1060</v>
      </c>
      <c r="H687" s="221"/>
      <c r="I687" s="221"/>
      <c r="J687" s="217">
        <f t="shared" si="49"/>
        <v>1060</v>
      </c>
      <c r="K687" s="217"/>
      <c r="L687" s="221"/>
      <c r="M687" s="91"/>
      <c r="N687" s="91">
        <v>1170</v>
      </c>
      <c r="O687" s="221"/>
      <c r="P687" s="217">
        <f t="shared" si="50"/>
        <v>1170</v>
      </c>
      <c r="Q687" s="36"/>
      <c r="R687" s="274"/>
      <c r="S687" s="274"/>
      <c r="T687" s="274"/>
      <c r="U687" s="274"/>
      <c r="V687" s="274"/>
      <c r="W687" s="274"/>
      <c r="X687" s="274"/>
      <c r="Y687" s="274"/>
      <c r="Z687" s="274"/>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c r="BT687" s="36"/>
      <c r="BU687" s="36"/>
      <c r="BV687" s="36"/>
      <c r="BW687" s="36"/>
      <c r="BX687" s="36"/>
      <c r="BY687" s="36"/>
      <c r="BZ687" s="36"/>
      <c r="CA687" s="36"/>
      <c r="CB687" s="36"/>
      <c r="CC687" s="36"/>
      <c r="CD687" s="36"/>
      <c r="CE687" s="36"/>
      <c r="CF687" s="36"/>
      <c r="CG687" s="36"/>
      <c r="CH687" s="36"/>
      <c r="CI687" s="36"/>
      <c r="CJ687" s="36"/>
      <c r="CK687" s="36"/>
      <c r="CL687" s="36"/>
      <c r="CM687" s="36"/>
      <c r="CN687" s="36"/>
      <c r="CO687" s="36"/>
      <c r="CP687" s="36"/>
      <c r="CQ687" s="36"/>
      <c r="CR687" s="36"/>
      <c r="CS687" s="36"/>
      <c r="CT687" s="36"/>
      <c r="CU687" s="36"/>
      <c r="CV687" s="36"/>
      <c r="CW687" s="36"/>
      <c r="CX687" s="36"/>
      <c r="CY687" s="36"/>
      <c r="CZ687" s="36"/>
      <c r="DA687" s="36"/>
      <c r="DB687" s="36"/>
      <c r="DC687" s="36"/>
      <c r="DD687" s="36"/>
      <c r="DE687" s="36"/>
      <c r="DF687" s="36"/>
      <c r="DG687" s="36"/>
      <c r="DH687" s="36"/>
      <c r="DI687" s="36"/>
      <c r="DJ687" s="36"/>
      <c r="DK687" s="36"/>
      <c r="DL687" s="36"/>
      <c r="DM687" s="36"/>
      <c r="DN687" s="36"/>
      <c r="DO687" s="36"/>
      <c r="DP687" s="36"/>
      <c r="DQ687" s="36"/>
      <c r="DR687" s="36"/>
      <c r="DS687" s="36"/>
      <c r="DT687" s="36"/>
      <c r="DU687" s="36"/>
      <c r="DV687" s="36"/>
      <c r="DW687" s="36"/>
      <c r="DX687" s="36"/>
      <c r="DY687" s="36"/>
      <c r="DZ687" s="36"/>
      <c r="EA687" s="36"/>
      <c r="EB687" s="36"/>
      <c r="EC687" s="36"/>
      <c r="ED687" s="36"/>
      <c r="EE687" s="36"/>
      <c r="EF687" s="36"/>
      <c r="EG687" s="36"/>
      <c r="EH687" s="36"/>
      <c r="EI687" s="36"/>
      <c r="EJ687" s="36"/>
      <c r="EK687" s="36"/>
      <c r="EL687" s="36"/>
      <c r="EM687" s="36"/>
      <c r="EN687" s="36"/>
      <c r="EO687" s="36"/>
      <c r="EP687" s="36"/>
      <c r="EQ687" s="36"/>
      <c r="ER687" s="36"/>
      <c r="ES687" s="36"/>
      <c r="ET687" s="36"/>
      <c r="EU687" s="36"/>
      <c r="EV687" s="36"/>
      <c r="EW687" s="36"/>
      <c r="EX687" s="36"/>
      <c r="EY687" s="36"/>
      <c r="EZ687" s="36"/>
      <c r="FA687" s="36"/>
      <c r="FB687" s="36"/>
      <c r="FC687" s="36"/>
      <c r="FD687" s="36"/>
      <c r="FE687" s="36"/>
      <c r="FF687" s="36"/>
      <c r="FG687" s="36"/>
      <c r="FH687" s="36"/>
      <c r="FI687" s="36"/>
      <c r="FJ687" s="36"/>
      <c r="FK687" s="36"/>
      <c r="FL687" s="36"/>
      <c r="FM687" s="36"/>
      <c r="FN687" s="36"/>
      <c r="FO687" s="36"/>
      <c r="FP687" s="36"/>
      <c r="FQ687" s="36"/>
      <c r="FR687" s="36"/>
      <c r="FS687" s="36"/>
      <c r="FT687" s="36"/>
      <c r="FU687" s="36"/>
      <c r="FV687" s="36"/>
      <c r="FW687" s="36"/>
      <c r="FX687" s="36"/>
      <c r="FY687" s="36"/>
      <c r="FZ687" s="36"/>
      <c r="GA687" s="36"/>
      <c r="GB687" s="36"/>
      <c r="GC687" s="36"/>
      <c r="GD687" s="36"/>
      <c r="GE687" s="36"/>
      <c r="GF687" s="36"/>
      <c r="GG687" s="36"/>
      <c r="GH687" s="36"/>
      <c r="GI687" s="36"/>
      <c r="GJ687" s="36"/>
      <c r="GK687" s="36"/>
      <c r="GL687" s="36"/>
      <c r="GM687" s="36"/>
      <c r="GN687" s="36"/>
      <c r="GO687" s="36"/>
      <c r="GP687" s="36"/>
      <c r="GQ687" s="36"/>
      <c r="GR687" s="36"/>
      <c r="GS687" s="36"/>
      <c r="GT687" s="36"/>
      <c r="GU687" s="36"/>
      <c r="GV687" s="36"/>
      <c r="GW687" s="36"/>
      <c r="GX687" s="36"/>
      <c r="GY687" s="36"/>
      <c r="GZ687" s="36"/>
      <c r="HA687" s="36"/>
      <c r="HB687" s="36"/>
      <c r="HC687" s="36"/>
      <c r="HD687" s="36"/>
      <c r="HE687" s="36"/>
      <c r="HF687" s="36"/>
      <c r="HG687" s="36"/>
      <c r="HH687" s="36"/>
      <c r="HI687" s="36"/>
    </row>
    <row r="688" spans="1:217" s="55" customFormat="1" ht="27.75" customHeight="1" hidden="1">
      <c r="A688" s="90" t="s">
        <v>370</v>
      </c>
      <c r="B688" s="90"/>
      <c r="C688" s="90"/>
      <c r="D688" s="91">
        <v>1775</v>
      </c>
      <c r="E688" s="221"/>
      <c r="F688" s="217">
        <f t="shared" si="48"/>
        <v>1775</v>
      </c>
      <c r="G688" s="91">
        <v>1880</v>
      </c>
      <c r="H688" s="221"/>
      <c r="I688" s="221"/>
      <c r="J688" s="217">
        <f t="shared" si="49"/>
        <v>1880</v>
      </c>
      <c r="K688" s="217"/>
      <c r="L688" s="221"/>
      <c r="M688" s="91"/>
      <c r="N688" s="91">
        <v>2070</v>
      </c>
      <c r="O688" s="221"/>
      <c r="P688" s="217">
        <f t="shared" si="50"/>
        <v>2070</v>
      </c>
      <c r="Q688" s="36"/>
      <c r="R688" s="274"/>
      <c r="S688" s="274"/>
      <c r="T688" s="274"/>
      <c r="U688" s="274"/>
      <c r="V688" s="274"/>
      <c r="W688" s="274"/>
      <c r="X688" s="274"/>
      <c r="Y688" s="274"/>
      <c r="Z688" s="274"/>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c r="BT688" s="36"/>
      <c r="BU688" s="36"/>
      <c r="BV688" s="36"/>
      <c r="BW688" s="36"/>
      <c r="BX688" s="36"/>
      <c r="BY688" s="36"/>
      <c r="BZ688" s="36"/>
      <c r="CA688" s="36"/>
      <c r="CB688" s="36"/>
      <c r="CC688" s="36"/>
      <c r="CD688" s="36"/>
      <c r="CE688" s="36"/>
      <c r="CF688" s="36"/>
      <c r="CG688" s="36"/>
      <c r="CH688" s="36"/>
      <c r="CI688" s="36"/>
      <c r="CJ688" s="36"/>
      <c r="CK688" s="36"/>
      <c r="CL688" s="36"/>
      <c r="CM688" s="36"/>
      <c r="CN688" s="36"/>
      <c r="CO688" s="36"/>
      <c r="CP688" s="36"/>
      <c r="CQ688" s="36"/>
      <c r="CR688" s="36"/>
      <c r="CS688" s="36"/>
      <c r="CT688" s="36"/>
      <c r="CU688" s="36"/>
      <c r="CV688" s="36"/>
      <c r="CW688" s="36"/>
      <c r="CX688" s="36"/>
      <c r="CY688" s="36"/>
      <c r="CZ688" s="36"/>
      <c r="DA688" s="36"/>
      <c r="DB688" s="36"/>
      <c r="DC688" s="36"/>
      <c r="DD688" s="36"/>
      <c r="DE688" s="36"/>
      <c r="DF688" s="36"/>
      <c r="DG688" s="36"/>
      <c r="DH688" s="36"/>
      <c r="DI688" s="36"/>
      <c r="DJ688" s="36"/>
      <c r="DK688" s="36"/>
      <c r="DL688" s="36"/>
      <c r="DM688" s="36"/>
      <c r="DN688" s="36"/>
      <c r="DO688" s="36"/>
      <c r="DP688" s="36"/>
      <c r="DQ688" s="36"/>
      <c r="DR688" s="36"/>
      <c r="DS688" s="36"/>
      <c r="DT688" s="36"/>
      <c r="DU688" s="36"/>
      <c r="DV688" s="36"/>
      <c r="DW688" s="36"/>
      <c r="DX688" s="36"/>
      <c r="DY688" s="36"/>
      <c r="DZ688" s="36"/>
      <c r="EA688" s="36"/>
      <c r="EB688" s="36"/>
      <c r="EC688" s="36"/>
      <c r="ED688" s="36"/>
      <c r="EE688" s="36"/>
      <c r="EF688" s="36"/>
      <c r="EG688" s="36"/>
      <c r="EH688" s="36"/>
      <c r="EI688" s="36"/>
      <c r="EJ688" s="36"/>
      <c r="EK688" s="36"/>
      <c r="EL688" s="36"/>
      <c r="EM688" s="36"/>
      <c r="EN688" s="36"/>
      <c r="EO688" s="36"/>
      <c r="EP688" s="36"/>
      <c r="EQ688" s="36"/>
      <c r="ER688" s="36"/>
      <c r="ES688" s="36"/>
      <c r="ET688" s="36"/>
      <c r="EU688" s="36"/>
      <c r="EV688" s="36"/>
      <c r="EW688" s="36"/>
      <c r="EX688" s="36"/>
      <c r="EY688" s="36"/>
      <c r="EZ688" s="36"/>
      <c r="FA688" s="36"/>
      <c r="FB688" s="36"/>
      <c r="FC688" s="36"/>
      <c r="FD688" s="36"/>
      <c r="FE688" s="36"/>
      <c r="FF688" s="36"/>
      <c r="FG688" s="36"/>
      <c r="FH688" s="36"/>
      <c r="FI688" s="36"/>
      <c r="FJ688" s="36"/>
      <c r="FK688" s="36"/>
      <c r="FL688" s="36"/>
      <c r="FM688" s="36"/>
      <c r="FN688" s="36"/>
      <c r="FO688" s="36"/>
      <c r="FP688" s="36"/>
      <c r="FQ688" s="36"/>
      <c r="FR688" s="36"/>
      <c r="FS688" s="36"/>
      <c r="FT688" s="36"/>
      <c r="FU688" s="36"/>
      <c r="FV688" s="36"/>
      <c r="FW688" s="36"/>
      <c r="FX688" s="36"/>
      <c r="FY688" s="36"/>
      <c r="FZ688" s="36"/>
      <c r="GA688" s="36"/>
      <c r="GB688" s="36"/>
      <c r="GC688" s="36"/>
      <c r="GD688" s="36"/>
      <c r="GE688" s="36"/>
      <c r="GF688" s="36"/>
      <c r="GG688" s="36"/>
      <c r="GH688" s="36"/>
      <c r="GI688" s="36"/>
      <c r="GJ688" s="36"/>
      <c r="GK688" s="36"/>
      <c r="GL688" s="36"/>
      <c r="GM688" s="36"/>
      <c r="GN688" s="36"/>
      <c r="GO688" s="36"/>
      <c r="GP688" s="36"/>
      <c r="GQ688" s="36"/>
      <c r="GR688" s="36"/>
      <c r="GS688" s="36"/>
      <c r="GT688" s="36"/>
      <c r="GU688" s="36"/>
      <c r="GV688" s="36"/>
      <c r="GW688" s="36"/>
      <c r="GX688" s="36"/>
      <c r="GY688" s="36"/>
      <c r="GZ688" s="36"/>
      <c r="HA688" s="36"/>
      <c r="HB688" s="36"/>
      <c r="HC688" s="36"/>
      <c r="HD688" s="36"/>
      <c r="HE688" s="36"/>
      <c r="HF688" s="36"/>
      <c r="HG688" s="36"/>
      <c r="HH688" s="36"/>
      <c r="HI688" s="36"/>
    </row>
    <row r="689" spans="1:217" s="55" customFormat="1" ht="28.5" customHeight="1" hidden="1">
      <c r="A689" s="90" t="s">
        <v>371</v>
      </c>
      <c r="B689" s="90"/>
      <c r="C689" s="90"/>
      <c r="D689" s="91">
        <v>370</v>
      </c>
      <c r="E689" s="221"/>
      <c r="F689" s="217">
        <f t="shared" si="48"/>
        <v>370</v>
      </c>
      <c r="G689" s="91">
        <v>395</v>
      </c>
      <c r="H689" s="221"/>
      <c r="I689" s="221"/>
      <c r="J689" s="217">
        <f t="shared" si="49"/>
        <v>395</v>
      </c>
      <c r="K689" s="217"/>
      <c r="L689" s="221"/>
      <c r="M689" s="91"/>
      <c r="N689" s="91">
        <v>435</v>
      </c>
      <c r="O689" s="221"/>
      <c r="P689" s="217">
        <f t="shared" si="50"/>
        <v>435</v>
      </c>
      <c r="Q689" s="36"/>
      <c r="R689" s="274"/>
      <c r="S689" s="274"/>
      <c r="T689" s="274"/>
      <c r="U689" s="274"/>
      <c r="V689" s="274"/>
      <c r="W689" s="274"/>
      <c r="X689" s="274"/>
      <c r="Y689" s="274"/>
      <c r="Z689" s="274"/>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c r="BT689" s="36"/>
      <c r="BU689" s="36"/>
      <c r="BV689" s="36"/>
      <c r="BW689" s="36"/>
      <c r="BX689" s="36"/>
      <c r="BY689" s="36"/>
      <c r="BZ689" s="36"/>
      <c r="CA689" s="36"/>
      <c r="CB689" s="36"/>
      <c r="CC689" s="36"/>
      <c r="CD689" s="36"/>
      <c r="CE689" s="36"/>
      <c r="CF689" s="36"/>
      <c r="CG689" s="36"/>
      <c r="CH689" s="36"/>
      <c r="CI689" s="36"/>
      <c r="CJ689" s="36"/>
      <c r="CK689" s="36"/>
      <c r="CL689" s="36"/>
      <c r="CM689" s="36"/>
      <c r="CN689" s="36"/>
      <c r="CO689" s="36"/>
      <c r="CP689" s="36"/>
      <c r="CQ689" s="36"/>
      <c r="CR689" s="36"/>
      <c r="CS689" s="36"/>
      <c r="CT689" s="36"/>
      <c r="CU689" s="36"/>
      <c r="CV689" s="36"/>
      <c r="CW689" s="36"/>
      <c r="CX689" s="36"/>
      <c r="CY689" s="36"/>
      <c r="CZ689" s="36"/>
      <c r="DA689" s="36"/>
      <c r="DB689" s="36"/>
      <c r="DC689" s="36"/>
      <c r="DD689" s="36"/>
      <c r="DE689" s="36"/>
      <c r="DF689" s="36"/>
      <c r="DG689" s="36"/>
      <c r="DH689" s="36"/>
      <c r="DI689" s="36"/>
      <c r="DJ689" s="36"/>
      <c r="DK689" s="36"/>
      <c r="DL689" s="36"/>
      <c r="DM689" s="36"/>
      <c r="DN689" s="36"/>
      <c r="DO689" s="36"/>
      <c r="DP689" s="36"/>
      <c r="DQ689" s="36"/>
      <c r="DR689" s="36"/>
      <c r="DS689" s="36"/>
      <c r="DT689" s="36"/>
      <c r="DU689" s="36"/>
      <c r="DV689" s="36"/>
      <c r="DW689" s="36"/>
      <c r="DX689" s="36"/>
      <c r="DY689" s="36"/>
      <c r="DZ689" s="36"/>
      <c r="EA689" s="36"/>
      <c r="EB689" s="36"/>
      <c r="EC689" s="36"/>
      <c r="ED689" s="36"/>
      <c r="EE689" s="36"/>
      <c r="EF689" s="36"/>
      <c r="EG689" s="36"/>
      <c r="EH689" s="36"/>
      <c r="EI689" s="36"/>
      <c r="EJ689" s="36"/>
      <c r="EK689" s="36"/>
      <c r="EL689" s="36"/>
      <c r="EM689" s="36"/>
      <c r="EN689" s="36"/>
      <c r="EO689" s="36"/>
      <c r="EP689" s="36"/>
      <c r="EQ689" s="36"/>
      <c r="ER689" s="36"/>
      <c r="ES689" s="36"/>
      <c r="ET689" s="36"/>
      <c r="EU689" s="36"/>
      <c r="EV689" s="36"/>
      <c r="EW689" s="36"/>
      <c r="EX689" s="36"/>
      <c r="EY689" s="36"/>
      <c r="EZ689" s="36"/>
      <c r="FA689" s="36"/>
      <c r="FB689" s="36"/>
      <c r="FC689" s="36"/>
      <c r="FD689" s="36"/>
      <c r="FE689" s="36"/>
      <c r="FF689" s="36"/>
      <c r="FG689" s="36"/>
      <c r="FH689" s="36"/>
      <c r="FI689" s="36"/>
      <c r="FJ689" s="36"/>
      <c r="FK689" s="36"/>
      <c r="FL689" s="36"/>
      <c r="FM689" s="36"/>
      <c r="FN689" s="36"/>
      <c r="FO689" s="36"/>
      <c r="FP689" s="36"/>
      <c r="FQ689" s="36"/>
      <c r="FR689" s="36"/>
      <c r="FS689" s="36"/>
      <c r="FT689" s="36"/>
      <c r="FU689" s="36"/>
      <c r="FV689" s="36"/>
      <c r="FW689" s="36"/>
      <c r="FX689" s="36"/>
      <c r="FY689" s="36"/>
      <c r="FZ689" s="36"/>
      <c r="GA689" s="36"/>
      <c r="GB689" s="36"/>
      <c r="GC689" s="36"/>
      <c r="GD689" s="36"/>
      <c r="GE689" s="36"/>
      <c r="GF689" s="36"/>
      <c r="GG689" s="36"/>
      <c r="GH689" s="36"/>
      <c r="GI689" s="36"/>
      <c r="GJ689" s="36"/>
      <c r="GK689" s="36"/>
      <c r="GL689" s="36"/>
      <c r="GM689" s="36"/>
      <c r="GN689" s="36"/>
      <c r="GO689" s="36"/>
      <c r="GP689" s="36"/>
      <c r="GQ689" s="36"/>
      <c r="GR689" s="36"/>
      <c r="GS689" s="36"/>
      <c r="GT689" s="36"/>
      <c r="GU689" s="36"/>
      <c r="GV689" s="36"/>
      <c r="GW689" s="36"/>
      <c r="GX689" s="36"/>
      <c r="GY689" s="36"/>
      <c r="GZ689" s="36"/>
      <c r="HA689" s="36"/>
      <c r="HB689" s="36"/>
      <c r="HC689" s="36"/>
      <c r="HD689" s="36"/>
      <c r="HE689" s="36"/>
      <c r="HF689" s="36"/>
      <c r="HG689" s="36"/>
      <c r="HH689" s="36"/>
      <c r="HI689" s="36"/>
    </row>
    <row r="690" spans="1:217" s="55" customFormat="1" ht="23.25" customHeight="1" hidden="1">
      <c r="A690" s="90" t="s">
        <v>372</v>
      </c>
      <c r="B690" s="90"/>
      <c r="C690" s="90"/>
      <c r="D690" s="91">
        <v>680</v>
      </c>
      <c r="E690" s="221"/>
      <c r="F690" s="217">
        <f t="shared" si="48"/>
        <v>680</v>
      </c>
      <c r="G690" s="91">
        <v>720</v>
      </c>
      <c r="H690" s="221"/>
      <c r="I690" s="221"/>
      <c r="J690" s="217">
        <f t="shared" si="49"/>
        <v>720</v>
      </c>
      <c r="K690" s="217"/>
      <c r="L690" s="221"/>
      <c r="M690" s="91"/>
      <c r="N690" s="91">
        <v>790</v>
      </c>
      <c r="O690" s="221"/>
      <c r="P690" s="217">
        <f t="shared" si="50"/>
        <v>790</v>
      </c>
      <c r="Q690" s="36"/>
      <c r="R690" s="274"/>
      <c r="S690" s="274"/>
      <c r="T690" s="274"/>
      <c r="U690" s="274"/>
      <c r="V690" s="274"/>
      <c r="W690" s="274"/>
      <c r="X690" s="274"/>
      <c r="Y690" s="274"/>
      <c r="Z690" s="274"/>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c r="BT690" s="36"/>
      <c r="BU690" s="36"/>
      <c r="BV690" s="36"/>
      <c r="BW690" s="36"/>
      <c r="BX690" s="36"/>
      <c r="BY690" s="36"/>
      <c r="BZ690" s="36"/>
      <c r="CA690" s="36"/>
      <c r="CB690" s="36"/>
      <c r="CC690" s="36"/>
      <c r="CD690" s="36"/>
      <c r="CE690" s="36"/>
      <c r="CF690" s="36"/>
      <c r="CG690" s="36"/>
      <c r="CH690" s="36"/>
      <c r="CI690" s="36"/>
      <c r="CJ690" s="36"/>
      <c r="CK690" s="36"/>
      <c r="CL690" s="36"/>
      <c r="CM690" s="36"/>
      <c r="CN690" s="36"/>
      <c r="CO690" s="36"/>
      <c r="CP690" s="36"/>
      <c r="CQ690" s="36"/>
      <c r="CR690" s="36"/>
      <c r="CS690" s="36"/>
      <c r="CT690" s="36"/>
      <c r="CU690" s="36"/>
      <c r="CV690" s="36"/>
      <c r="CW690" s="36"/>
      <c r="CX690" s="36"/>
      <c r="CY690" s="36"/>
      <c r="CZ690" s="36"/>
      <c r="DA690" s="36"/>
      <c r="DB690" s="36"/>
      <c r="DC690" s="36"/>
      <c r="DD690" s="36"/>
      <c r="DE690" s="36"/>
      <c r="DF690" s="36"/>
      <c r="DG690" s="36"/>
      <c r="DH690" s="36"/>
      <c r="DI690" s="36"/>
      <c r="DJ690" s="36"/>
      <c r="DK690" s="36"/>
      <c r="DL690" s="36"/>
      <c r="DM690" s="36"/>
      <c r="DN690" s="36"/>
      <c r="DO690" s="36"/>
      <c r="DP690" s="36"/>
      <c r="DQ690" s="36"/>
      <c r="DR690" s="36"/>
      <c r="DS690" s="36"/>
      <c r="DT690" s="36"/>
      <c r="DU690" s="36"/>
      <c r="DV690" s="36"/>
      <c r="DW690" s="36"/>
      <c r="DX690" s="36"/>
      <c r="DY690" s="36"/>
      <c r="DZ690" s="36"/>
      <c r="EA690" s="36"/>
      <c r="EB690" s="36"/>
      <c r="EC690" s="36"/>
      <c r="ED690" s="36"/>
      <c r="EE690" s="36"/>
      <c r="EF690" s="36"/>
      <c r="EG690" s="36"/>
      <c r="EH690" s="36"/>
      <c r="EI690" s="36"/>
      <c r="EJ690" s="36"/>
      <c r="EK690" s="36"/>
      <c r="EL690" s="36"/>
      <c r="EM690" s="36"/>
      <c r="EN690" s="36"/>
      <c r="EO690" s="36"/>
      <c r="EP690" s="36"/>
      <c r="EQ690" s="36"/>
      <c r="ER690" s="36"/>
      <c r="ES690" s="36"/>
      <c r="ET690" s="36"/>
      <c r="EU690" s="36"/>
      <c r="EV690" s="36"/>
      <c r="EW690" s="36"/>
      <c r="EX690" s="36"/>
      <c r="EY690" s="36"/>
      <c r="EZ690" s="36"/>
      <c r="FA690" s="36"/>
      <c r="FB690" s="36"/>
      <c r="FC690" s="36"/>
      <c r="FD690" s="36"/>
      <c r="FE690" s="36"/>
      <c r="FF690" s="36"/>
      <c r="FG690" s="36"/>
      <c r="FH690" s="36"/>
      <c r="FI690" s="36"/>
      <c r="FJ690" s="36"/>
      <c r="FK690" s="36"/>
      <c r="FL690" s="36"/>
      <c r="FM690" s="36"/>
      <c r="FN690" s="36"/>
      <c r="FO690" s="36"/>
      <c r="FP690" s="36"/>
      <c r="FQ690" s="36"/>
      <c r="FR690" s="36"/>
      <c r="FS690" s="36"/>
      <c r="FT690" s="36"/>
      <c r="FU690" s="36"/>
      <c r="FV690" s="36"/>
      <c r="FW690" s="36"/>
      <c r="FX690" s="36"/>
      <c r="FY690" s="36"/>
      <c r="FZ690" s="36"/>
      <c r="GA690" s="36"/>
      <c r="GB690" s="36"/>
      <c r="GC690" s="36"/>
      <c r="GD690" s="36"/>
      <c r="GE690" s="36"/>
      <c r="GF690" s="36"/>
      <c r="GG690" s="36"/>
      <c r="GH690" s="36"/>
      <c r="GI690" s="36"/>
      <c r="GJ690" s="36"/>
      <c r="GK690" s="36"/>
      <c r="GL690" s="36"/>
      <c r="GM690" s="36"/>
      <c r="GN690" s="36"/>
      <c r="GO690" s="36"/>
      <c r="GP690" s="36"/>
      <c r="GQ690" s="36"/>
      <c r="GR690" s="36"/>
      <c r="GS690" s="36"/>
      <c r="GT690" s="36"/>
      <c r="GU690" s="36"/>
      <c r="GV690" s="36"/>
      <c r="GW690" s="36"/>
      <c r="GX690" s="36"/>
      <c r="GY690" s="36"/>
      <c r="GZ690" s="36"/>
      <c r="HA690" s="36"/>
      <c r="HB690" s="36"/>
      <c r="HC690" s="36"/>
      <c r="HD690" s="36"/>
      <c r="HE690" s="36"/>
      <c r="HF690" s="36"/>
      <c r="HG690" s="36"/>
      <c r="HH690" s="36"/>
      <c r="HI690" s="36"/>
    </row>
    <row r="691" spans="1:217" s="55" customFormat="1" ht="24" customHeight="1" hidden="1">
      <c r="A691" s="90" t="s">
        <v>373</v>
      </c>
      <c r="B691" s="90"/>
      <c r="C691" s="90"/>
      <c r="D691" s="91">
        <v>160</v>
      </c>
      <c r="E691" s="221"/>
      <c r="F691" s="217">
        <f t="shared" si="48"/>
        <v>160</v>
      </c>
      <c r="G691" s="91">
        <v>176</v>
      </c>
      <c r="H691" s="221"/>
      <c r="I691" s="91"/>
      <c r="J691" s="217">
        <f t="shared" si="49"/>
        <v>176</v>
      </c>
      <c r="K691" s="217"/>
      <c r="L691" s="221"/>
      <c r="M691" s="91"/>
      <c r="N691" s="91">
        <v>190</v>
      </c>
      <c r="O691" s="221"/>
      <c r="P691" s="217">
        <f t="shared" si="50"/>
        <v>190</v>
      </c>
      <c r="Q691" s="36"/>
      <c r="R691" s="274"/>
      <c r="S691" s="274"/>
      <c r="T691" s="274"/>
      <c r="U691" s="274"/>
      <c r="V691" s="274"/>
      <c r="W691" s="274"/>
      <c r="X691" s="274"/>
      <c r="Y691" s="274"/>
      <c r="Z691" s="274"/>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c r="CX691" s="36"/>
      <c r="CY691" s="36"/>
      <c r="CZ691" s="36"/>
      <c r="DA691" s="36"/>
      <c r="DB691" s="36"/>
      <c r="DC691" s="36"/>
      <c r="DD691" s="36"/>
      <c r="DE691" s="36"/>
      <c r="DF691" s="36"/>
      <c r="DG691" s="36"/>
      <c r="DH691" s="36"/>
      <c r="DI691" s="36"/>
      <c r="DJ691" s="36"/>
      <c r="DK691" s="36"/>
      <c r="DL691" s="36"/>
      <c r="DM691" s="36"/>
      <c r="DN691" s="36"/>
      <c r="DO691" s="36"/>
      <c r="DP691" s="36"/>
      <c r="DQ691" s="36"/>
      <c r="DR691" s="36"/>
      <c r="DS691" s="36"/>
      <c r="DT691" s="36"/>
      <c r="DU691" s="36"/>
      <c r="DV691" s="36"/>
      <c r="DW691" s="36"/>
      <c r="DX691" s="36"/>
      <c r="DY691" s="36"/>
      <c r="DZ691" s="36"/>
      <c r="EA691" s="36"/>
      <c r="EB691" s="36"/>
      <c r="EC691" s="36"/>
      <c r="ED691" s="36"/>
      <c r="EE691" s="36"/>
      <c r="EF691" s="36"/>
      <c r="EG691" s="36"/>
      <c r="EH691" s="36"/>
      <c r="EI691" s="36"/>
      <c r="EJ691" s="36"/>
      <c r="EK691" s="36"/>
      <c r="EL691" s="36"/>
      <c r="EM691" s="36"/>
      <c r="EN691" s="36"/>
      <c r="EO691" s="36"/>
      <c r="EP691" s="36"/>
      <c r="EQ691" s="36"/>
      <c r="ER691" s="36"/>
      <c r="ES691" s="36"/>
      <c r="ET691" s="36"/>
      <c r="EU691" s="36"/>
      <c r="EV691" s="36"/>
      <c r="EW691" s="36"/>
      <c r="EX691" s="36"/>
      <c r="EY691" s="36"/>
      <c r="EZ691" s="36"/>
      <c r="FA691" s="36"/>
      <c r="FB691" s="36"/>
      <c r="FC691" s="36"/>
      <c r="FD691" s="36"/>
      <c r="FE691" s="36"/>
      <c r="FF691" s="36"/>
      <c r="FG691" s="36"/>
      <c r="FH691" s="36"/>
      <c r="FI691" s="36"/>
      <c r="FJ691" s="36"/>
      <c r="FK691" s="36"/>
      <c r="FL691" s="36"/>
      <c r="FM691" s="36"/>
      <c r="FN691" s="36"/>
      <c r="FO691" s="36"/>
      <c r="FP691" s="36"/>
      <c r="FQ691" s="36"/>
      <c r="FR691" s="36"/>
      <c r="FS691" s="36"/>
      <c r="FT691" s="36"/>
      <c r="FU691" s="36"/>
      <c r="FV691" s="36"/>
      <c r="FW691" s="36"/>
      <c r="FX691" s="36"/>
      <c r="FY691" s="36"/>
      <c r="FZ691" s="36"/>
      <c r="GA691" s="36"/>
      <c r="GB691" s="36"/>
      <c r="GC691" s="36"/>
      <c r="GD691" s="36"/>
      <c r="GE691" s="36"/>
      <c r="GF691" s="36"/>
      <c r="GG691" s="36"/>
      <c r="GH691" s="36"/>
      <c r="GI691" s="36"/>
      <c r="GJ691" s="36"/>
      <c r="GK691" s="36"/>
      <c r="GL691" s="36"/>
      <c r="GM691" s="36"/>
      <c r="GN691" s="36"/>
      <c r="GO691" s="36"/>
      <c r="GP691" s="36"/>
      <c r="GQ691" s="36"/>
      <c r="GR691" s="36"/>
      <c r="GS691" s="36"/>
      <c r="GT691" s="36"/>
      <c r="GU691" s="36"/>
      <c r="GV691" s="36"/>
      <c r="GW691" s="36"/>
      <c r="GX691" s="36"/>
      <c r="GY691" s="36"/>
      <c r="GZ691" s="36"/>
      <c r="HA691" s="36"/>
      <c r="HB691" s="36"/>
      <c r="HC691" s="36"/>
      <c r="HD691" s="36"/>
      <c r="HE691" s="36"/>
      <c r="HF691" s="36"/>
      <c r="HG691" s="36"/>
      <c r="HH691" s="36"/>
      <c r="HI691" s="36"/>
    </row>
    <row r="692" spans="1:16" ht="52.5" customHeight="1" hidden="1">
      <c r="A692" s="90" t="s">
        <v>339</v>
      </c>
      <c r="B692" s="144"/>
      <c r="C692" s="144"/>
      <c r="D692" s="226"/>
      <c r="E692" s="226"/>
      <c r="F692" s="226"/>
      <c r="G692" s="226"/>
      <c r="H692" s="226"/>
      <c r="I692" s="226"/>
      <c r="J692" s="226"/>
      <c r="K692" s="217"/>
      <c r="L692" s="215"/>
      <c r="M692" s="226"/>
      <c r="N692" s="226"/>
      <c r="O692" s="226"/>
      <c r="P692" s="226"/>
    </row>
    <row r="693" spans="1:16" ht="60.75" customHeight="1" hidden="1">
      <c r="A693" s="138" t="s">
        <v>48</v>
      </c>
      <c r="B693" s="142"/>
      <c r="C693" s="142"/>
      <c r="D693" s="214"/>
      <c r="E693" s="214">
        <f>SUM(E695:E698)</f>
        <v>563170</v>
      </c>
      <c r="F693" s="214">
        <f>SUM(F695:F698)</f>
        <v>563170</v>
      </c>
      <c r="G693" s="214"/>
      <c r="H693" s="214">
        <f>SUM(H695:H698)</f>
        <v>597180</v>
      </c>
      <c r="I693" s="214"/>
      <c r="J693" s="214">
        <f>SUM(J695:J698)</f>
        <v>597180</v>
      </c>
      <c r="K693" s="217"/>
      <c r="L693" s="215"/>
      <c r="M693" s="215"/>
      <c r="N693" s="214"/>
      <c r="O693" s="214">
        <f>SUM(O695:O698)</f>
        <v>650440</v>
      </c>
      <c r="P693" s="214">
        <f>SUM(P695:P698)</f>
        <v>650440</v>
      </c>
    </row>
    <row r="694" spans="1:16" ht="13.5" hidden="1">
      <c r="A694" s="143" t="s">
        <v>184</v>
      </c>
      <c r="B694" s="142"/>
      <c r="C694" s="142"/>
      <c r="D694" s="214"/>
      <c r="E694" s="214"/>
      <c r="F694" s="214"/>
      <c r="G694" s="214"/>
      <c r="H694" s="214"/>
      <c r="I694" s="214"/>
      <c r="J694" s="214"/>
      <c r="K694" s="214"/>
      <c r="L694" s="215"/>
      <c r="M694" s="215"/>
      <c r="N694" s="214"/>
      <c r="O694" s="214"/>
      <c r="P694" s="214"/>
    </row>
    <row r="695" spans="1:16" ht="25.5" hidden="1">
      <c r="A695" s="139" t="s">
        <v>340</v>
      </c>
      <c r="B695" s="142"/>
      <c r="C695" s="142"/>
      <c r="D695" s="217"/>
      <c r="E695" s="217">
        <f>E700*E705</f>
        <v>508750</v>
      </c>
      <c r="F695" s="217">
        <f>F700*F705</f>
        <v>508750</v>
      </c>
      <c r="G695" s="217"/>
      <c r="H695" s="217">
        <f>H700*H705</f>
        <v>540000</v>
      </c>
      <c r="I695" s="214"/>
      <c r="J695" s="217">
        <f>J700*J705</f>
        <v>540000</v>
      </c>
      <c r="K695" s="214"/>
      <c r="L695" s="215"/>
      <c r="M695" s="215"/>
      <c r="N695" s="217"/>
      <c r="O695" s="217">
        <f>O700*O705</f>
        <v>587500</v>
      </c>
      <c r="P695" s="217">
        <f>P700*P705</f>
        <v>587500</v>
      </c>
    </row>
    <row r="696" spans="1:16" ht="26.25" customHeight="1" hidden="1">
      <c r="A696" s="139" t="s">
        <v>341</v>
      </c>
      <c r="B696" s="142"/>
      <c r="C696" s="142"/>
      <c r="D696" s="217"/>
      <c r="E696" s="217">
        <f aca="true" t="shared" si="51" ref="E696:F698">E701*E706</f>
        <v>16320</v>
      </c>
      <c r="F696" s="217">
        <f t="shared" si="51"/>
        <v>16320</v>
      </c>
      <c r="G696" s="217"/>
      <c r="H696" s="217">
        <f>H701*H706</f>
        <v>17280</v>
      </c>
      <c r="I696" s="214"/>
      <c r="J696" s="217">
        <f>J701*J706</f>
        <v>17280</v>
      </c>
      <c r="K696" s="214"/>
      <c r="L696" s="215"/>
      <c r="M696" s="215"/>
      <c r="N696" s="217"/>
      <c r="O696" s="217">
        <f aca="true" t="shared" si="52" ref="O696:P698">O701*O706</f>
        <v>18960</v>
      </c>
      <c r="P696" s="217">
        <f t="shared" si="52"/>
        <v>18960</v>
      </c>
    </row>
    <row r="697" spans="1:16" ht="30" customHeight="1" hidden="1">
      <c r="A697" s="139" t="s">
        <v>342</v>
      </c>
      <c r="B697" s="142"/>
      <c r="C697" s="142"/>
      <c r="D697" s="217"/>
      <c r="E697" s="217">
        <f t="shared" si="51"/>
        <v>33300</v>
      </c>
      <c r="F697" s="217">
        <f t="shared" si="51"/>
        <v>33300</v>
      </c>
      <c r="G697" s="217"/>
      <c r="H697" s="217">
        <f>H702*H707</f>
        <v>35100</v>
      </c>
      <c r="I697" s="214"/>
      <c r="J697" s="217">
        <f>J702*J707</f>
        <v>35100</v>
      </c>
      <c r="K697" s="214"/>
      <c r="L697" s="215"/>
      <c r="M697" s="215"/>
      <c r="N697" s="217"/>
      <c r="O697" s="217">
        <f t="shared" si="52"/>
        <v>38700</v>
      </c>
      <c r="P697" s="217">
        <f t="shared" si="52"/>
        <v>38700</v>
      </c>
    </row>
    <row r="698" spans="1:16" ht="33.75" customHeight="1" hidden="1">
      <c r="A698" s="139" t="s">
        <v>343</v>
      </c>
      <c r="B698" s="142"/>
      <c r="C698" s="142"/>
      <c r="D698" s="217"/>
      <c r="E698" s="217">
        <f t="shared" si="51"/>
        <v>4800</v>
      </c>
      <c r="F698" s="217">
        <f t="shared" si="51"/>
        <v>4800</v>
      </c>
      <c r="G698" s="217"/>
      <c r="H698" s="217">
        <f>H703*H708</f>
        <v>4800</v>
      </c>
      <c r="I698" s="217"/>
      <c r="J698" s="217">
        <f>J703*J708</f>
        <v>4800</v>
      </c>
      <c r="K698" s="217"/>
      <c r="L698" s="221"/>
      <c r="M698" s="221"/>
      <c r="N698" s="217"/>
      <c r="O698" s="217">
        <f t="shared" si="52"/>
        <v>5280</v>
      </c>
      <c r="P698" s="217">
        <f t="shared" si="52"/>
        <v>5280</v>
      </c>
    </row>
    <row r="699" spans="1:16" ht="12.75" hidden="1">
      <c r="A699" s="143" t="s">
        <v>185</v>
      </c>
      <c r="B699" s="143"/>
      <c r="C699" s="143"/>
      <c r="D699" s="216"/>
      <c r="E699" s="216"/>
      <c r="F699" s="217"/>
      <c r="G699" s="216"/>
      <c r="H699" s="216"/>
      <c r="I699" s="216"/>
      <c r="J699" s="217"/>
      <c r="K699" s="217"/>
      <c r="L699" s="216"/>
      <c r="M699" s="216"/>
      <c r="N699" s="216"/>
      <c r="O699" s="216"/>
      <c r="P699" s="217"/>
    </row>
    <row r="700" spans="1:16" ht="33" customHeight="1" hidden="1">
      <c r="A700" s="139" t="s">
        <v>317</v>
      </c>
      <c r="B700" s="90"/>
      <c r="C700" s="90"/>
      <c r="D700" s="222"/>
      <c r="E700" s="222">
        <f>60+160+30</f>
        <v>250</v>
      </c>
      <c r="F700" s="222">
        <f>60+160+30</f>
        <v>250</v>
      </c>
      <c r="G700" s="222"/>
      <c r="H700" s="222">
        <f>60+160+30</f>
        <v>250</v>
      </c>
      <c r="I700" s="222"/>
      <c r="J700" s="222">
        <f>60+160+30</f>
        <v>250</v>
      </c>
      <c r="K700" s="222"/>
      <c r="L700" s="222"/>
      <c r="M700" s="222"/>
      <c r="N700" s="222"/>
      <c r="O700" s="222">
        <f>60+160+30</f>
        <v>250</v>
      </c>
      <c r="P700" s="222">
        <f>60+160+30</f>
        <v>250</v>
      </c>
    </row>
    <row r="701" spans="1:16" ht="21.75" customHeight="1" hidden="1">
      <c r="A701" s="139" t="s">
        <v>318</v>
      </c>
      <c r="B701" s="90"/>
      <c r="C701" s="90"/>
      <c r="D701" s="222"/>
      <c r="E701" s="222">
        <v>24</v>
      </c>
      <c r="F701" s="222">
        <v>24</v>
      </c>
      <c r="G701" s="222"/>
      <c r="H701" s="222">
        <v>24</v>
      </c>
      <c r="I701" s="223"/>
      <c r="J701" s="222">
        <v>24</v>
      </c>
      <c r="K701" s="223"/>
      <c r="L701" s="223"/>
      <c r="M701" s="223"/>
      <c r="N701" s="222"/>
      <c r="O701" s="222">
        <v>24</v>
      </c>
      <c r="P701" s="222">
        <v>24</v>
      </c>
    </row>
    <row r="702" spans="1:16" ht="25.5" hidden="1">
      <c r="A702" s="139" t="s">
        <v>319</v>
      </c>
      <c r="B702" s="90"/>
      <c r="C702" s="90"/>
      <c r="D702" s="222"/>
      <c r="E702" s="222">
        <v>90</v>
      </c>
      <c r="F702" s="222">
        <v>90</v>
      </c>
      <c r="G702" s="222"/>
      <c r="H702" s="222">
        <v>90</v>
      </c>
      <c r="I702" s="222"/>
      <c r="J702" s="222">
        <v>90</v>
      </c>
      <c r="K702" s="222"/>
      <c r="L702" s="222"/>
      <c r="M702" s="222"/>
      <c r="N702" s="222"/>
      <c r="O702" s="222">
        <v>90</v>
      </c>
      <c r="P702" s="222">
        <v>90</v>
      </c>
    </row>
    <row r="703" spans="1:16" ht="12.75" hidden="1">
      <c r="A703" s="139" t="s">
        <v>320</v>
      </c>
      <c r="B703" s="90"/>
      <c r="C703" s="90"/>
      <c r="D703" s="222"/>
      <c r="E703" s="222">
        <v>30</v>
      </c>
      <c r="F703" s="222">
        <f>E703</f>
        <v>30</v>
      </c>
      <c r="G703" s="222"/>
      <c r="H703" s="222">
        <v>30</v>
      </c>
      <c r="I703" s="222"/>
      <c r="J703" s="222">
        <v>30</v>
      </c>
      <c r="K703" s="222"/>
      <c r="L703" s="222"/>
      <c r="M703" s="222"/>
      <c r="N703" s="222"/>
      <c r="O703" s="222">
        <v>30</v>
      </c>
      <c r="P703" s="222">
        <v>30</v>
      </c>
    </row>
    <row r="704" spans="1:16" ht="12.75" hidden="1">
      <c r="A704" s="143" t="s">
        <v>187</v>
      </c>
      <c r="B704" s="143"/>
      <c r="C704" s="143"/>
      <c r="D704" s="92"/>
      <c r="E704" s="227"/>
      <c r="F704" s="227"/>
      <c r="G704" s="92"/>
      <c r="H704" s="227"/>
      <c r="I704" s="216"/>
      <c r="J704" s="227"/>
      <c r="K704" s="217"/>
      <c r="L704" s="216"/>
      <c r="M704" s="216"/>
      <c r="N704" s="92"/>
      <c r="O704" s="227"/>
      <c r="P704" s="227"/>
    </row>
    <row r="705" spans="1:16" ht="24" customHeight="1" hidden="1">
      <c r="A705" s="90" t="s">
        <v>344</v>
      </c>
      <c r="B705" s="90"/>
      <c r="C705" s="90"/>
      <c r="D705" s="91"/>
      <c r="E705" s="217">
        <v>2035</v>
      </c>
      <c r="F705" s="217">
        <f>E705</f>
        <v>2035</v>
      </c>
      <c r="G705" s="91"/>
      <c r="H705" s="217">
        <v>2160</v>
      </c>
      <c r="I705" s="221"/>
      <c r="J705" s="217">
        <f>H705</f>
        <v>2160</v>
      </c>
      <c r="K705" s="224"/>
      <c r="L705" s="225"/>
      <c r="M705" s="207"/>
      <c r="N705" s="91"/>
      <c r="O705" s="217">
        <v>2350</v>
      </c>
      <c r="P705" s="217">
        <f>O705</f>
        <v>2350</v>
      </c>
    </row>
    <row r="706" spans="1:16" ht="26.25" customHeight="1" hidden="1">
      <c r="A706" s="90" t="s">
        <v>345</v>
      </c>
      <c r="B706" s="90"/>
      <c r="C706" s="90"/>
      <c r="D706" s="91"/>
      <c r="E706" s="91">
        <v>680</v>
      </c>
      <c r="F706" s="217">
        <f>E706</f>
        <v>680</v>
      </c>
      <c r="G706" s="91"/>
      <c r="H706" s="91">
        <v>720</v>
      </c>
      <c r="I706" s="221"/>
      <c r="J706" s="217">
        <f>H706</f>
        <v>720</v>
      </c>
      <c r="K706" s="217"/>
      <c r="L706" s="221"/>
      <c r="M706" s="91"/>
      <c r="N706" s="91"/>
      <c r="O706" s="91">
        <v>790</v>
      </c>
      <c r="P706" s="217">
        <f>O706</f>
        <v>790</v>
      </c>
    </row>
    <row r="707" spans="1:16" ht="26.25" customHeight="1" hidden="1">
      <c r="A707" s="90" t="s">
        <v>346</v>
      </c>
      <c r="B707" s="90"/>
      <c r="C707" s="90"/>
      <c r="D707" s="91"/>
      <c r="E707" s="91">
        <v>370</v>
      </c>
      <c r="F707" s="217">
        <f>E707</f>
        <v>370</v>
      </c>
      <c r="G707" s="91"/>
      <c r="H707" s="91">
        <v>390</v>
      </c>
      <c r="I707" s="221"/>
      <c r="J707" s="217">
        <f>H707</f>
        <v>390</v>
      </c>
      <c r="K707" s="217"/>
      <c r="L707" s="221"/>
      <c r="M707" s="91"/>
      <c r="N707" s="91"/>
      <c r="O707" s="91">
        <v>430</v>
      </c>
      <c r="P707" s="217">
        <f>O707</f>
        <v>430</v>
      </c>
    </row>
    <row r="708" spans="1:16" ht="30.75" customHeight="1" hidden="1">
      <c r="A708" s="145" t="s">
        <v>347</v>
      </c>
      <c r="B708" s="145"/>
      <c r="C708" s="145"/>
      <c r="D708" s="228"/>
      <c r="E708" s="228">
        <v>160</v>
      </c>
      <c r="F708" s="229">
        <f>E708</f>
        <v>160</v>
      </c>
      <c r="G708" s="228"/>
      <c r="H708" s="228">
        <v>160</v>
      </c>
      <c r="I708" s="228"/>
      <c r="J708" s="229">
        <f>H708</f>
        <v>160</v>
      </c>
      <c r="K708" s="229"/>
      <c r="L708" s="230"/>
      <c r="M708" s="228"/>
      <c r="N708" s="228"/>
      <c r="O708" s="228">
        <v>176</v>
      </c>
      <c r="P708" s="229">
        <f>O708</f>
        <v>176</v>
      </c>
    </row>
    <row r="709" spans="1:16" ht="27" hidden="1">
      <c r="A709" s="146" t="s">
        <v>348</v>
      </c>
      <c r="B709" s="231"/>
      <c r="C709" s="231"/>
      <c r="D709" s="232"/>
      <c r="E709" s="232">
        <f>E711</f>
        <v>73200</v>
      </c>
      <c r="F709" s="232">
        <f>E709</f>
        <v>73200</v>
      </c>
      <c r="G709" s="232"/>
      <c r="H709" s="232">
        <f>H711</f>
        <v>79200</v>
      </c>
      <c r="I709" s="232"/>
      <c r="J709" s="232">
        <f>H709</f>
        <v>79200</v>
      </c>
      <c r="K709" s="232"/>
      <c r="L709" s="233"/>
      <c r="M709" s="233"/>
      <c r="N709" s="232"/>
      <c r="O709" s="232">
        <f>O711</f>
        <v>82800</v>
      </c>
      <c r="P709" s="232">
        <f>O709</f>
        <v>82800</v>
      </c>
    </row>
    <row r="710" spans="1:16" ht="13.5" hidden="1">
      <c r="A710" s="147" t="s">
        <v>184</v>
      </c>
      <c r="B710" s="231"/>
      <c r="C710" s="231"/>
      <c r="D710" s="232"/>
      <c r="E710" s="232"/>
      <c r="F710" s="232"/>
      <c r="G710" s="232"/>
      <c r="H710" s="232"/>
      <c r="I710" s="232"/>
      <c r="J710" s="232"/>
      <c r="K710" s="232"/>
      <c r="L710" s="233"/>
      <c r="M710" s="233"/>
      <c r="N710" s="232"/>
      <c r="O710" s="232"/>
      <c r="P710" s="232"/>
    </row>
    <row r="711" spans="1:16" ht="13.5" hidden="1">
      <c r="A711" s="135" t="s">
        <v>349</v>
      </c>
      <c r="B711" s="231"/>
      <c r="C711" s="231"/>
      <c r="D711" s="234"/>
      <c r="E711" s="234">
        <f>E713*E715</f>
        <v>73200</v>
      </c>
      <c r="F711" s="234">
        <f>E711</f>
        <v>73200</v>
      </c>
      <c r="G711" s="234"/>
      <c r="H711" s="234">
        <f>H713*H715</f>
        <v>79200</v>
      </c>
      <c r="I711" s="235"/>
      <c r="J711" s="234">
        <f>H711</f>
        <v>79200</v>
      </c>
      <c r="K711" s="235"/>
      <c r="L711" s="236"/>
      <c r="M711" s="236"/>
      <c r="N711" s="234"/>
      <c r="O711" s="234">
        <f>O713*O715</f>
        <v>82800</v>
      </c>
      <c r="P711" s="234">
        <f>O711</f>
        <v>82800</v>
      </c>
    </row>
    <row r="712" spans="1:16" ht="15" customHeight="1" hidden="1">
      <c r="A712" s="147" t="s">
        <v>185</v>
      </c>
      <c r="B712" s="237"/>
      <c r="C712" s="237"/>
      <c r="D712" s="236"/>
      <c r="E712" s="236"/>
      <c r="F712" s="234"/>
      <c r="G712" s="236"/>
      <c r="H712" s="236"/>
      <c r="I712" s="236"/>
      <c r="J712" s="234"/>
      <c r="K712" s="234"/>
      <c r="L712" s="236"/>
      <c r="M712" s="236"/>
      <c r="N712" s="236"/>
      <c r="O712" s="236"/>
      <c r="P712" s="234"/>
    </row>
    <row r="713" spans="1:16" ht="15" customHeight="1" hidden="1">
      <c r="A713" s="148" t="s">
        <v>350</v>
      </c>
      <c r="B713" s="238"/>
      <c r="C713" s="238"/>
      <c r="D713" s="239"/>
      <c r="E713" s="240">
        <v>12</v>
      </c>
      <c r="F713" s="240">
        <f>E713</f>
        <v>12</v>
      </c>
      <c r="G713" s="240"/>
      <c r="H713" s="240">
        <v>12</v>
      </c>
      <c r="I713" s="240"/>
      <c r="J713" s="240">
        <f>H713</f>
        <v>12</v>
      </c>
      <c r="K713" s="240" t="e">
        <f>G713/D713*100</f>
        <v>#DIV/0!</v>
      </c>
      <c r="L713" s="240"/>
      <c r="M713" s="240"/>
      <c r="N713" s="240"/>
      <c r="O713" s="240">
        <v>12</v>
      </c>
      <c r="P713" s="240">
        <f>O713</f>
        <v>12</v>
      </c>
    </row>
    <row r="714" spans="1:16" ht="14.25" customHeight="1" hidden="1">
      <c r="A714" s="147" t="s">
        <v>187</v>
      </c>
      <c r="B714" s="237"/>
      <c r="C714" s="237"/>
      <c r="D714" s="236"/>
      <c r="E714" s="236"/>
      <c r="F714" s="234"/>
      <c r="G714" s="236"/>
      <c r="H714" s="236"/>
      <c r="I714" s="236"/>
      <c r="J714" s="234"/>
      <c r="K714" s="234"/>
      <c r="L714" s="236"/>
      <c r="M714" s="236"/>
      <c r="N714" s="236"/>
      <c r="O714" s="236"/>
      <c r="P714" s="234"/>
    </row>
    <row r="715" spans="1:131" s="54" customFormat="1" ht="12.75" hidden="1">
      <c r="A715" s="148" t="s">
        <v>351</v>
      </c>
      <c r="B715" s="241"/>
      <c r="C715" s="241"/>
      <c r="D715" s="118"/>
      <c r="E715" s="118">
        <v>6100</v>
      </c>
      <c r="F715" s="234">
        <f>E715</f>
        <v>6100</v>
      </c>
      <c r="G715" s="118"/>
      <c r="H715" s="118">
        <v>6600</v>
      </c>
      <c r="I715" s="118"/>
      <c r="J715" s="234">
        <f>H715</f>
        <v>6600</v>
      </c>
      <c r="K715" s="234" t="e">
        <f>G715/D715*100</f>
        <v>#DIV/0!</v>
      </c>
      <c r="L715" s="242"/>
      <c r="M715" s="118"/>
      <c r="N715" s="118"/>
      <c r="O715" s="118">
        <v>6900</v>
      </c>
      <c r="P715" s="234">
        <f>O715</f>
        <v>6900</v>
      </c>
      <c r="Q715" s="53"/>
      <c r="R715" s="362"/>
      <c r="S715" s="362"/>
      <c r="T715" s="362"/>
      <c r="U715" s="362"/>
      <c r="V715" s="362"/>
      <c r="W715" s="362"/>
      <c r="X715" s="362"/>
      <c r="Y715" s="362"/>
      <c r="Z715" s="362"/>
      <c r="AA715" s="53"/>
      <c r="AB715" s="53"/>
      <c r="AC715" s="53"/>
      <c r="AD715" s="53"/>
      <c r="AE715" s="53"/>
      <c r="AF715" s="53"/>
      <c r="AG715" s="53"/>
      <c r="AH715" s="53"/>
      <c r="AI715" s="53"/>
      <c r="AJ715" s="53"/>
      <c r="AK715" s="53"/>
      <c r="AL715" s="53"/>
      <c r="AM715" s="53"/>
      <c r="AN715" s="53"/>
      <c r="AO715" s="53"/>
      <c r="AP715" s="53"/>
      <c r="AQ715" s="53"/>
      <c r="AR715" s="53"/>
      <c r="AS715" s="53"/>
      <c r="AT715" s="53"/>
      <c r="AU715" s="53"/>
      <c r="AV715" s="53"/>
      <c r="AW715" s="53"/>
      <c r="AX715" s="53"/>
      <c r="AY715" s="53"/>
      <c r="AZ715" s="53"/>
      <c r="BA715" s="53"/>
      <c r="BB715" s="53"/>
      <c r="BC715" s="53"/>
      <c r="BD715" s="53"/>
      <c r="BE715" s="53"/>
      <c r="BF715" s="53"/>
      <c r="BG715" s="53"/>
      <c r="BH715" s="53"/>
      <c r="BI715" s="53"/>
      <c r="BJ715" s="53"/>
      <c r="BK715" s="53"/>
      <c r="BL715" s="53"/>
      <c r="BM715" s="53"/>
      <c r="BN715" s="53"/>
      <c r="BO715" s="53"/>
      <c r="BP715" s="53"/>
      <c r="BQ715" s="53"/>
      <c r="BR715" s="53"/>
      <c r="BS715" s="53"/>
      <c r="BT715" s="53"/>
      <c r="BU715" s="53"/>
      <c r="BV715" s="53"/>
      <c r="BW715" s="53"/>
      <c r="BX715" s="53"/>
      <c r="BY715" s="53"/>
      <c r="BZ715" s="53"/>
      <c r="CA715" s="53"/>
      <c r="CB715" s="53"/>
      <c r="CC715" s="53"/>
      <c r="CD715" s="53"/>
      <c r="CE715" s="53"/>
      <c r="CF715" s="53"/>
      <c r="CG715" s="53"/>
      <c r="CH715" s="53"/>
      <c r="CI715" s="53"/>
      <c r="CJ715" s="53"/>
      <c r="CK715" s="53"/>
      <c r="CL715" s="53"/>
      <c r="CM715" s="53"/>
      <c r="CN715" s="53"/>
      <c r="CO715" s="53"/>
      <c r="CP715" s="53"/>
      <c r="CQ715" s="53"/>
      <c r="CR715" s="53"/>
      <c r="CS715" s="53"/>
      <c r="CT715" s="53"/>
      <c r="CU715" s="53"/>
      <c r="CV715" s="53"/>
      <c r="CW715" s="53"/>
      <c r="CX715" s="53"/>
      <c r="CY715" s="53"/>
      <c r="CZ715" s="53"/>
      <c r="DA715" s="53"/>
      <c r="DB715" s="53"/>
      <c r="DC715" s="53"/>
      <c r="DD715" s="53"/>
      <c r="DE715" s="53"/>
      <c r="DF715" s="53"/>
      <c r="DG715" s="53"/>
      <c r="DH715" s="53"/>
      <c r="DI715" s="53"/>
      <c r="DJ715" s="53"/>
      <c r="DK715" s="53"/>
      <c r="DL715" s="53"/>
      <c r="DM715" s="53"/>
      <c r="DN715" s="53"/>
      <c r="DO715" s="53"/>
      <c r="DP715" s="53"/>
      <c r="DQ715" s="53"/>
      <c r="DR715" s="53"/>
      <c r="DS715" s="53"/>
      <c r="DT715" s="53"/>
      <c r="DU715" s="53"/>
      <c r="DV715" s="53"/>
      <c r="DW715" s="53"/>
      <c r="DX715" s="53"/>
      <c r="DY715" s="53"/>
      <c r="DZ715" s="53"/>
      <c r="EA715" s="53"/>
    </row>
    <row r="716" spans="1:131" s="84" customFormat="1" ht="32.25" customHeight="1" hidden="1">
      <c r="A716" s="73" t="s">
        <v>72</v>
      </c>
      <c r="B716" s="82"/>
      <c r="C716" s="82"/>
      <c r="D716" s="86">
        <f>D718</f>
        <v>0</v>
      </c>
      <c r="E716" s="86">
        <f aca="true" t="shared" si="53" ref="E716:P716">E718</f>
        <v>0</v>
      </c>
      <c r="F716" s="86">
        <f t="shared" si="53"/>
        <v>0</v>
      </c>
      <c r="G716" s="86">
        <f t="shared" si="53"/>
        <v>0</v>
      </c>
      <c r="H716" s="86">
        <f t="shared" si="53"/>
        <v>0</v>
      </c>
      <c r="I716" s="86">
        <f t="shared" si="53"/>
        <v>0</v>
      </c>
      <c r="J716" s="86">
        <f t="shared" si="53"/>
        <v>0</v>
      </c>
      <c r="K716" s="86">
        <f t="shared" si="53"/>
        <v>0</v>
      </c>
      <c r="L716" s="86">
        <f t="shared" si="53"/>
        <v>0</v>
      </c>
      <c r="M716" s="86">
        <f t="shared" si="53"/>
        <v>0</v>
      </c>
      <c r="N716" s="86">
        <f t="shared" si="53"/>
        <v>0</v>
      </c>
      <c r="O716" s="86">
        <f t="shared" si="53"/>
        <v>0</v>
      </c>
      <c r="P716" s="86">
        <f t="shared" si="53"/>
        <v>0</v>
      </c>
      <c r="Q716" s="83"/>
      <c r="R716" s="358"/>
      <c r="S716" s="358"/>
      <c r="T716" s="358"/>
      <c r="U716" s="358"/>
      <c r="V716" s="358"/>
      <c r="W716" s="358"/>
      <c r="X716" s="358"/>
      <c r="Y716" s="358"/>
      <c r="Z716" s="358"/>
      <c r="AA716" s="83"/>
      <c r="AB716" s="83"/>
      <c r="AC716" s="83"/>
      <c r="AD716" s="83"/>
      <c r="AE716" s="83"/>
      <c r="AF716" s="83"/>
      <c r="AG716" s="83"/>
      <c r="AH716" s="83"/>
      <c r="AI716" s="83"/>
      <c r="AJ716" s="83"/>
      <c r="AK716" s="83"/>
      <c r="AL716" s="83"/>
      <c r="AM716" s="83"/>
      <c r="AN716" s="83"/>
      <c r="AO716" s="83"/>
      <c r="AP716" s="83"/>
      <c r="AQ716" s="83"/>
      <c r="AR716" s="83"/>
      <c r="AS716" s="83"/>
      <c r="AT716" s="83"/>
      <c r="AU716" s="83"/>
      <c r="AV716" s="83"/>
      <c r="AW716" s="83"/>
      <c r="AX716" s="83"/>
      <c r="AY716" s="83"/>
      <c r="AZ716" s="83"/>
      <c r="BA716" s="83"/>
      <c r="BB716" s="83"/>
      <c r="BC716" s="83"/>
      <c r="BD716" s="83"/>
      <c r="BE716" s="83"/>
      <c r="BF716" s="83"/>
      <c r="BG716" s="83"/>
      <c r="BH716" s="83"/>
      <c r="BI716" s="83"/>
      <c r="BJ716" s="83"/>
      <c r="BK716" s="83"/>
      <c r="BL716" s="83"/>
      <c r="BM716" s="83"/>
      <c r="BN716" s="83"/>
      <c r="BO716" s="83"/>
      <c r="BP716" s="83"/>
      <c r="BQ716" s="83"/>
      <c r="BR716" s="83"/>
      <c r="BS716" s="83"/>
      <c r="BT716" s="83"/>
      <c r="BU716" s="83"/>
      <c r="BV716" s="83"/>
      <c r="BW716" s="83"/>
      <c r="BX716" s="83"/>
      <c r="BY716" s="83"/>
      <c r="BZ716" s="83"/>
      <c r="CA716" s="83"/>
      <c r="CB716" s="83"/>
      <c r="CC716" s="83"/>
      <c r="CD716" s="83"/>
      <c r="CE716" s="83"/>
      <c r="CF716" s="83"/>
      <c r="CG716" s="83"/>
      <c r="CH716" s="83"/>
      <c r="CI716" s="83"/>
      <c r="CJ716" s="83"/>
      <c r="CK716" s="83"/>
      <c r="CL716" s="83"/>
      <c r="CM716" s="83"/>
      <c r="CN716" s="83"/>
      <c r="CO716" s="83"/>
      <c r="CP716" s="83"/>
      <c r="CQ716" s="83"/>
      <c r="CR716" s="83"/>
      <c r="CS716" s="83"/>
      <c r="CT716" s="83"/>
      <c r="CU716" s="83"/>
      <c r="CV716" s="83"/>
      <c r="CW716" s="83"/>
      <c r="CX716" s="83"/>
      <c r="CY716" s="83"/>
      <c r="CZ716" s="83"/>
      <c r="DA716" s="83"/>
      <c r="DB716" s="83"/>
      <c r="DC716" s="83"/>
      <c r="DD716" s="83"/>
      <c r="DE716" s="83"/>
      <c r="DF716" s="83"/>
      <c r="DG716" s="83"/>
      <c r="DH716" s="83"/>
      <c r="DI716" s="83"/>
      <c r="DJ716" s="83"/>
      <c r="DK716" s="83"/>
      <c r="DL716" s="83"/>
      <c r="DM716" s="83"/>
      <c r="DN716" s="83"/>
      <c r="DO716" s="83"/>
      <c r="DP716" s="83"/>
      <c r="DQ716" s="83"/>
      <c r="DR716" s="83"/>
      <c r="DS716" s="83"/>
      <c r="DT716" s="83"/>
      <c r="DU716" s="83"/>
      <c r="DV716" s="83"/>
      <c r="DW716" s="83"/>
      <c r="DX716" s="83"/>
      <c r="DY716" s="83"/>
      <c r="DZ716" s="83"/>
      <c r="EA716" s="83"/>
    </row>
    <row r="717" spans="1:131" s="94" customFormat="1" ht="12.75" hidden="1">
      <c r="A717" s="139" t="s">
        <v>77</v>
      </c>
      <c r="B717" s="90"/>
      <c r="C717" s="90"/>
      <c r="D717" s="91"/>
      <c r="E717" s="92"/>
      <c r="F717" s="92"/>
      <c r="G717" s="92"/>
      <c r="H717" s="92"/>
      <c r="I717" s="92"/>
      <c r="J717" s="92"/>
      <c r="K717" s="92"/>
      <c r="L717" s="92"/>
      <c r="M717" s="92"/>
      <c r="N717" s="92"/>
      <c r="O717" s="92"/>
      <c r="P717" s="92"/>
      <c r="Q717" s="93"/>
      <c r="R717" s="358"/>
      <c r="S717" s="358"/>
      <c r="T717" s="358"/>
      <c r="U717" s="358"/>
      <c r="V717" s="358"/>
      <c r="W717" s="358"/>
      <c r="X717" s="358"/>
      <c r="Y717" s="358"/>
      <c r="Z717" s="358"/>
      <c r="AA717" s="93"/>
      <c r="AB717" s="93"/>
      <c r="AC717" s="93"/>
      <c r="AD717" s="93"/>
      <c r="AE717" s="93"/>
      <c r="AF717" s="93"/>
      <c r="AG717" s="93"/>
      <c r="AH717" s="93"/>
      <c r="AI717" s="93"/>
      <c r="AJ717" s="93"/>
      <c r="AK717" s="93"/>
      <c r="AL717" s="93"/>
      <c r="AM717" s="93"/>
      <c r="AN717" s="93"/>
      <c r="AO717" s="93"/>
      <c r="AP717" s="93"/>
      <c r="AQ717" s="93"/>
      <c r="AR717" s="93"/>
      <c r="AS717" s="93"/>
      <c r="AT717" s="93"/>
      <c r="AU717" s="93"/>
      <c r="AV717" s="93"/>
      <c r="AW717" s="93"/>
      <c r="AX717" s="93"/>
      <c r="AY717" s="93"/>
      <c r="AZ717" s="93"/>
      <c r="BA717" s="93"/>
      <c r="BB717" s="93"/>
      <c r="BC717" s="93"/>
      <c r="BD717" s="93"/>
      <c r="BE717" s="93"/>
      <c r="BF717" s="93"/>
      <c r="BG717" s="93"/>
      <c r="BH717" s="93"/>
      <c r="BI717" s="93"/>
      <c r="BJ717" s="93"/>
      <c r="BK717" s="93"/>
      <c r="BL717" s="93"/>
      <c r="BM717" s="93"/>
      <c r="BN717" s="93"/>
      <c r="BO717" s="93"/>
      <c r="BP717" s="93"/>
      <c r="BQ717" s="93"/>
      <c r="BR717" s="93"/>
      <c r="BS717" s="93"/>
      <c r="BT717" s="93"/>
      <c r="BU717" s="93"/>
      <c r="BV717" s="93"/>
      <c r="BW717" s="93"/>
      <c r="BX717" s="93"/>
      <c r="BY717" s="93"/>
      <c r="BZ717" s="93"/>
      <c r="CA717" s="93"/>
      <c r="CB717" s="93"/>
      <c r="CC717" s="93"/>
      <c r="CD717" s="93"/>
      <c r="CE717" s="93"/>
      <c r="CF717" s="93"/>
      <c r="CG717" s="93"/>
      <c r="CH717" s="93"/>
      <c r="CI717" s="93"/>
      <c r="CJ717" s="93"/>
      <c r="CK717" s="93"/>
      <c r="CL717" s="93"/>
      <c r="CM717" s="93"/>
      <c r="CN717" s="93"/>
      <c r="CO717" s="93"/>
      <c r="CP717" s="93"/>
      <c r="CQ717" s="93"/>
      <c r="CR717" s="93"/>
      <c r="CS717" s="93"/>
      <c r="CT717" s="93"/>
      <c r="CU717" s="93"/>
      <c r="CV717" s="93"/>
      <c r="CW717" s="93"/>
      <c r="CX717" s="93"/>
      <c r="CY717" s="93"/>
      <c r="CZ717" s="93"/>
      <c r="DA717" s="93"/>
      <c r="DB717" s="93"/>
      <c r="DC717" s="93"/>
      <c r="DD717" s="93"/>
      <c r="DE717" s="93"/>
      <c r="DF717" s="93"/>
      <c r="DG717" s="93"/>
      <c r="DH717" s="93"/>
      <c r="DI717" s="93"/>
      <c r="DJ717" s="93"/>
      <c r="DK717" s="93"/>
      <c r="DL717" s="93"/>
      <c r="DM717" s="93"/>
      <c r="DN717" s="93"/>
      <c r="DO717" s="93"/>
      <c r="DP717" s="93"/>
      <c r="DQ717" s="93"/>
      <c r="DR717" s="93"/>
      <c r="DS717" s="93"/>
      <c r="DT717" s="93"/>
      <c r="DU717" s="93"/>
      <c r="DV717" s="93"/>
      <c r="DW717" s="93"/>
      <c r="DX717" s="93"/>
      <c r="DY717" s="93"/>
      <c r="DZ717" s="93"/>
      <c r="EA717" s="93"/>
    </row>
    <row r="718" spans="1:131" s="71" customFormat="1" ht="32.25" customHeight="1" hidden="1">
      <c r="A718" s="113" t="s">
        <v>78</v>
      </c>
      <c r="B718" s="87"/>
      <c r="C718" s="87"/>
      <c r="D718" s="105">
        <f>D719</f>
        <v>0</v>
      </c>
      <c r="E718" s="105">
        <f>E719</f>
        <v>0</v>
      </c>
      <c r="F718" s="105">
        <f>D718+E718</f>
        <v>0</v>
      </c>
      <c r="G718" s="105">
        <f>G719</f>
        <v>0</v>
      </c>
      <c r="H718" s="105">
        <f>H719</f>
        <v>0</v>
      </c>
      <c r="I718" s="105">
        <f>I719+I726</f>
        <v>0</v>
      </c>
      <c r="J718" s="105">
        <f>G718+H718</f>
        <v>0</v>
      </c>
      <c r="K718" s="105">
        <f>K719+K726</f>
        <v>0</v>
      </c>
      <c r="L718" s="105">
        <f>L719+L726</f>
        <v>0</v>
      </c>
      <c r="M718" s="105">
        <f>M719+M726</f>
        <v>0</v>
      </c>
      <c r="N718" s="105">
        <f>N719</f>
        <v>0</v>
      </c>
      <c r="O718" s="105">
        <f>O719</f>
        <v>0</v>
      </c>
      <c r="P718" s="105">
        <f>N718+O718</f>
        <v>0</v>
      </c>
      <c r="Q718" s="70"/>
      <c r="R718" s="358"/>
      <c r="S718" s="358"/>
      <c r="T718" s="358"/>
      <c r="U718" s="358"/>
      <c r="V718" s="358"/>
      <c r="W718" s="358"/>
      <c r="X718" s="358"/>
      <c r="Y718" s="358"/>
      <c r="Z718" s="358"/>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c r="BR718" s="70"/>
      <c r="BS718" s="70"/>
      <c r="BT718" s="70"/>
      <c r="BU718" s="70"/>
      <c r="BV718" s="70"/>
      <c r="BW718" s="70"/>
      <c r="BX718" s="70"/>
      <c r="BY718" s="70"/>
      <c r="BZ718" s="70"/>
      <c r="CA718" s="70"/>
      <c r="CB718" s="70"/>
      <c r="CC718" s="70"/>
      <c r="CD718" s="70"/>
      <c r="CE718" s="70"/>
      <c r="CF718" s="70"/>
      <c r="CG718" s="70"/>
      <c r="CH718" s="70"/>
      <c r="CI718" s="70"/>
      <c r="CJ718" s="70"/>
      <c r="CK718" s="70"/>
      <c r="CL718" s="70"/>
      <c r="CM718" s="70"/>
      <c r="CN718" s="70"/>
      <c r="CO718" s="70"/>
      <c r="CP718" s="70"/>
      <c r="CQ718" s="70"/>
      <c r="CR718" s="70"/>
      <c r="CS718" s="70"/>
      <c r="CT718" s="70"/>
      <c r="CU718" s="70"/>
      <c r="CV718" s="70"/>
      <c r="CW718" s="70"/>
      <c r="CX718" s="70"/>
      <c r="CY718" s="70"/>
      <c r="CZ718" s="70"/>
      <c r="DA718" s="70"/>
      <c r="DB718" s="70"/>
      <c r="DC718" s="70"/>
      <c r="DD718" s="70"/>
      <c r="DE718" s="70"/>
      <c r="DF718" s="70"/>
      <c r="DG718" s="70"/>
      <c r="DH718" s="70"/>
      <c r="DI718" s="70"/>
      <c r="DJ718" s="70"/>
      <c r="DK718" s="70"/>
      <c r="DL718" s="70"/>
      <c r="DM718" s="70"/>
      <c r="DN718" s="70"/>
      <c r="DO718" s="70"/>
      <c r="DP718" s="70"/>
      <c r="DQ718" s="70"/>
      <c r="DR718" s="70"/>
      <c r="DS718" s="70"/>
      <c r="DT718" s="70"/>
      <c r="DU718" s="70"/>
      <c r="DV718" s="70"/>
      <c r="DW718" s="70"/>
      <c r="DX718" s="70"/>
      <c r="DY718" s="70"/>
      <c r="DZ718" s="70"/>
      <c r="EA718" s="70"/>
    </row>
    <row r="719" spans="1:131" s="11" customFormat="1" ht="27" hidden="1">
      <c r="A719" s="138" t="s">
        <v>79</v>
      </c>
      <c r="B719" s="146"/>
      <c r="C719" s="146"/>
      <c r="D719" s="206">
        <f>D723*D725</f>
        <v>0</v>
      </c>
      <c r="E719" s="206"/>
      <c r="F719" s="206">
        <f>E719</f>
        <v>0</v>
      </c>
      <c r="G719" s="206"/>
      <c r="H719" s="206"/>
      <c r="I719" s="206"/>
      <c r="J719" s="206">
        <f>H719</f>
        <v>0</v>
      </c>
      <c r="K719" s="206"/>
      <c r="L719" s="206"/>
      <c r="M719" s="206"/>
      <c r="N719" s="206"/>
      <c r="O719" s="206"/>
      <c r="P719" s="206">
        <f>O719</f>
        <v>0</v>
      </c>
      <c r="Q719" s="10"/>
      <c r="R719" s="357"/>
      <c r="S719" s="357"/>
      <c r="T719" s="357"/>
      <c r="U719" s="357"/>
      <c r="V719" s="357"/>
      <c r="W719" s="357"/>
      <c r="X719" s="357"/>
      <c r="Y719" s="357"/>
      <c r="Z719" s="357"/>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10"/>
      <c r="CD719" s="10"/>
      <c r="CE719" s="10"/>
      <c r="CF719" s="10"/>
      <c r="CG719" s="10"/>
      <c r="CH719" s="10"/>
      <c r="CI719" s="10"/>
      <c r="CJ719" s="10"/>
      <c r="CK719" s="10"/>
      <c r="CL719" s="10"/>
      <c r="CM719" s="10"/>
      <c r="CN719" s="10"/>
      <c r="CO719" s="10"/>
      <c r="CP719" s="10"/>
      <c r="CQ719" s="10"/>
      <c r="CR719" s="10"/>
      <c r="CS719" s="10"/>
      <c r="CT719" s="10"/>
      <c r="CU719" s="10"/>
      <c r="CV719" s="10"/>
      <c r="CW719" s="10"/>
      <c r="CX719" s="10"/>
      <c r="CY719" s="10"/>
      <c r="CZ719" s="10"/>
      <c r="DA719" s="10"/>
      <c r="DB719" s="10"/>
      <c r="DC719" s="10"/>
      <c r="DD719" s="10"/>
      <c r="DE719" s="10"/>
      <c r="DF719" s="10"/>
      <c r="DG719" s="10"/>
      <c r="DH719" s="10"/>
      <c r="DI719" s="10"/>
      <c r="DJ719" s="10"/>
      <c r="DK719" s="10"/>
      <c r="DL719" s="10"/>
      <c r="DM719" s="10"/>
      <c r="DN719" s="10"/>
      <c r="DO719" s="10"/>
      <c r="DP719" s="10"/>
      <c r="DQ719" s="10"/>
      <c r="DR719" s="10"/>
      <c r="DS719" s="10"/>
      <c r="DT719" s="10"/>
      <c r="DU719" s="10"/>
      <c r="DV719" s="10"/>
      <c r="DW719" s="10"/>
      <c r="DX719" s="10"/>
      <c r="DY719" s="10"/>
      <c r="DZ719" s="10"/>
      <c r="EA719" s="10"/>
    </row>
    <row r="720" spans="1:131" s="11" customFormat="1" ht="13.5" hidden="1">
      <c r="A720" s="149" t="s">
        <v>184</v>
      </c>
      <c r="B720" s="146"/>
      <c r="C720" s="146"/>
      <c r="D720" s="206"/>
      <c r="E720" s="206"/>
      <c r="F720" s="206"/>
      <c r="G720" s="206"/>
      <c r="H720" s="206"/>
      <c r="I720" s="206"/>
      <c r="J720" s="206"/>
      <c r="K720" s="206"/>
      <c r="L720" s="206"/>
      <c r="M720" s="206"/>
      <c r="N720" s="206"/>
      <c r="O720" s="206"/>
      <c r="P720" s="206"/>
      <c r="Q720" s="10"/>
      <c r="R720" s="357"/>
      <c r="S720" s="357"/>
      <c r="T720" s="357"/>
      <c r="U720" s="357"/>
      <c r="V720" s="357"/>
      <c r="W720" s="357"/>
      <c r="X720" s="357"/>
      <c r="Y720" s="357"/>
      <c r="Z720" s="357"/>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c r="CP720" s="10"/>
      <c r="CQ720" s="10"/>
      <c r="CR720" s="10"/>
      <c r="CS720" s="10"/>
      <c r="CT720" s="10"/>
      <c r="CU720" s="10"/>
      <c r="CV720" s="10"/>
      <c r="CW720" s="10"/>
      <c r="CX720" s="10"/>
      <c r="CY720" s="10"/>
      <c r="CZ720" s="10"/>
      <c r="DA720" s="10"/>
      <c r="DB720" s="10"/>
      <c r="DC720" s="10"/>
      <c r="DD720" s="10"/>
      <c r="DE720" s="10"/>
      <c r="DF720" s="10"/>
      <c r="DG720" s="10"/>
      <c r="DH720" s="10"/>
      <c r="DI720" s="10"/>
      <c r="DJ720" s="10"/>
      <c r="DK720" s="10"/>
      <c r="DL720" s="10"/>
      <c r="DM720" s="10"/>
      <c r="DN720" s="10"/>
      <c r="DO720" s="10"/>
      <c r="DP720" s="10"/>
      <c r="DQ720" s="10"/>
      <c r="DR720" s="10"/>
      <c r="DS720" s="10"/>
      <c r="DT720" s="10"/>
      <c r="DU720" s="10"/>
      <c r="DV720" s="10"/>
      <c r="DW720" s="10"/>
      <c r="DX720" s="10"/>
      <c r="DY720" s="10"/>
      <c r="DZ720" s="10"/>
      <c r="EA720" s="10"/>
    </row>
    <row r="721" spans="1:131" s="11" customFormat="1" ht="26.25" hidden="1">
      <c r="A721" s="150" t="s">
        <v>564</v>
      </c>
      <c r="B721" s="146"/>
      <c r="C721" s="146"/>
      <c r="D721" s="206"/>
      <c r="E721" s="206"/>
      <c r="F721" s="206"/>
      <c r="G721" s="206"/>
      <c r="H721" s="206"/>
      <c r="I721" s="206"/>
      <c r="J721" s="206"/>
      <c r="K721" s="206"/>
      <c r="L721" s="206"/>
      <c r="M721" s="206"/>
      <c r="N721" s="206"/>
      <c r="O721" s="206"/>
      <c r="P721" s="206"/>
      <c r="Q721" s="10"/>
      <c r="R721" s="357"/>
      <c r="S721" s="357"/>
      <c r="T721" s="357"/>
      <c r="U721" s="357"/>
      <c r="V721" s="357"/>
      <c r="W721" s="357"/>
      <c r="X721" s="357"/>
      <c r="Y721" s="357"/>
      <c r="Z721" s="357"/>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10"/>
      <c r="CD721" s="10"/>
      <c r="CE721" s="10"/>
      <c r="CF721" s="10"/>
      <c r="CG721" s="10"/>
      <c r="CH721" s="10"/>
      <c r="CI721" s="10"/>
      <c r="CJ721" s="10"/>
      <c r="CK721" s="10"/>
      <c r="CL721" s="10"/>
      <c r="CM721" s="10"/>
      <c r="CN721" s="10"/>
      <c r="CO721" s="10"/>
      <c r="CP721" s="10"/>
      <c r="CQ721" s="10"/>
      <c r="CR721" s="10"/>
      <c r="CS721" s="10"/>
      <c r="CT721" s="10"/>
      <c r="CU721" s="10"/>
      <c r="CV721" s="10"/>
      <c r="CW721" s="10"/>
      <c r="CX721" s="10"/>
      <c r="CY721" s="10"/>
      <c r="CZ721" s="10"/>
      <c r="DA721" s="10"/>
      <c r="DB721" s="10"/>
      <c r="DC721" s="10"/>
      <c r="DD721" s="10"/>
      <c r="DE721" s="10"/>
      <c r="DF721" s="10"/>
      <c r="DG721" s="10"/>
      <c r="DH721" s="10"/>
      <c r="DI721" s="10"/>
      <c r="DJ721" s="10"/>
      <c r="DK721" s="10"/>
      <c r="DL721" s="10"/>
      <c r="DM721" s="10"/>
      <c r="DN721" s="10"/>
      <c r="DO721" s="10"/>
      <c r="DP721" s="10"/>
      <c r="DQ721" s="10"/>
      <c r="DR721" s="10"/>
      <c r="DS721" s="10"/>
      <c r="DT721" s="10"/>
      <c r="DU721" s="10"/>
      <c r="DV721" s="10"/>
      <c r="DW721" s="10"/>
      <c r="DX721" s="10"/>
      <c r="DY721" s="10"/>
      <c r="DZ721" s="10"/>
      <c r="EA721" s="10"/>
    </row>
    <row r="722" spans="1:16" ht="16.5" customHeight="1" hidden="1">
      <c r="A722" s="134" t="s">
        <v>185</v>
      </c>
      <c r="B722" s="148"/>
      <c r="C722" s="148"/>
      <c r="D722" s="118"/>
      <c r="E722" s="118"/>
      <c r="F722" s="118"/>
      <c r="G722" s="118"/>
      <c r="H722" s="118"/>
      <c r="I722" s="118"/>
      <c r="J722" s="118"/>
      <c r="K722" s="118"/>
      <c r="L722" s="118"/>
      <c r="M722" s="118"/>
      <c r="N722" s="118"/>
      <c r="O722" s="118"/>
      <c r="P722" s="118"/>
    </row>
    <row r="723" spans="1:16" ht="12.75" hidden="1">
      <c r="A723" s="135" t="s">
        <v>75</v>
      </c>
      <c r="B723" s="148"/>
      <c r="C723" s="148"/>
      <c r="D723" s="118"/>
      <c r="E723" s="243"/>
      <c r="F723" s="243">
        <f>E723</f>
        <v>0</v>
      </c>
      <c r="G723" s="118"/>
      <c r="H723" s="243"/>
      <c r="I723" s="243"/>
      <c r="J723" s="243">
        <f>H723</f>
        <v>0</v>
      </c>
      <c r="K723" s="243"/>
      <c r="L723" s="243"/>
      <c r="M723" s="243"/>
      <c r="N723" s="243"/>
      <c r="O723" s="243"/>
      <c r="P723" s="243">
        <v>0</v>
      </c>
    </row>
    <row r="724" spans="1:16" ht="17.25" customHeight="1" hidden="1">
      <c r="A724" s="147" t="s">
        <v>187</v>
      </c>
      <c r="B724" s="148"/>
      <c r="C724" s="148"/>
      <c r="D724" s="118"/>
      <c r="E724" s="118"/>
      <c r="F724" s="118"/>
      <c r="G724" s="118"/>
      <c r="H724" s="118"/>
      <c r="I724" s="118"/>
      <c r="J724" s="118"/>
      <c r="K724" s="118"/>
      <c r="L724" s="118"/>
      <c r="M724" s="118"/>
      <c r="N724" s="118"/>
      <c r="O724" s="118"/>
      <c r="P724" s="118"/>
    </row>
    <row r="725" spans="1:16" ht="22.5" customHeight="1" hidden="1">
      <c r="A725" s="135" t="s">
        <v>76</v>
      </c>
      <c r="B725" s="148"/>
      <c r="C725" s="148"/>
      <c r="D725" s="118"/>
      <c r="E725" s="118"/>
      <c r="F725" s="118">
        <f>E725</f>
        <v>0</v>
      </c>
      <c r="G725" s="118"/>
      <c r="H725" s="118"/>
      <c r="I725" s="118"/>
      <c r="J725" s="118">
        <f>H725</f>
        <v>0</v>
      </c>
      <c r="K725" s="118"/>
      <c r="L725" s="118"/>
      <c r="M725" s="118"/>
      <c r="N725" s="118"/>
      <c r="O725" s="118"/>
      <c r="P725" s="118">
        <v>0</v>
      </c>
    </row>
    <row r="726" spans="1:131" s="84" customFormat="1" ht="32.25" customHeight="1" hidden="1">
      <c r="A726" s="73" t="s">
        <v>316</v>
      </c>
      <c r="B726" s="82"/>
      <c r="C726" s="82"/>
      <c r="D726" s="86">
        <f>D728</f>
        <v>0</v>
      </c>
      <c r="E726" s="86">
        <f aca="true" t="shared" si="54" ref="E726:P726">E728</f>
        <v>855700</v>
      </c>
      <c r="F726" s="86">
        <f t="shared" si="54"/>
        <v>855700</v>
      </c>
      <c r="G726" s="86">
        <f t="shared" si="54"/>
        <v>0</v>
      </c>
      <c r="H726" s="86">
        <f t="shared" si="54"/>
        <v>2368500</v>
      </c>
      <c r="I726" s="86">
        <f t="shared" si="54"/>
        <v>0</v>
      </c>
      <c r="J726" s="86">
        <f t="shared" si="54"/>
        <v>2368500</v>
      </c>
      <c r="K726" s="86">
        <f t="shared" si="54"/>
        <v>0</v>
      </c>
      <c r="L726" s="86">
        <f t="shared" si="54"/>
        <v>0</v>
      </c>
      <c r="M726" s="86">
        <f t="shared" si="54"/>
        <v>0</v>
      </c>
      <c r="N726" s="86">
        <f t="shared" si="54"/>
        <v>0</v>
      </c>
      <c r="O726" s="86">
        <f t="shared" si="54"/>
        <v>2487000</v>
      </c>
      <c r="P726" s="86">
        <f t="shared" si="54"/>
        <v>2487000</v>
      </c>
      <c r="Q726" s="83"/>
      <c r="R726" s="358"/>
      <c r="S726" s="358"/>
      <c r="T726" s="358"/>
      <c r="U726" s="358"/>
      <c r="V726" s="358"/>
      <c r="W726" s="358"/>
      <c r="X726" s="358"/>
      <c r="Y726" s="358"/>
      <c r="Z726" s="358"/>
      <c r="AA726" s="83"/>
      <c r="AB726" s="83"/>
      <c r="AC726" s="83"/>
      <c r="AD726" s="83"/>
      <c r="AE726" s="83"/>
      <c r="AF726" s="83"/>
      <c r="AG726" s="83"/>
      <c r="AH726" s="83"/>
      <c r="AI726" s="83"/>
      <c r="AJ726" s="83"/>
      <c r="AK726" s="83"/>
      <c r="AL726" s="83"/>
      <c r="AM726" s="83"/>
      <c r="AN726" s="83"/>
      <c r="AO726" s="83"/>
      <c r="AP726" s="83"/>
      <c r="AQ726" s="83"/>
      <c r="AR726" s="83"/>
      <c r="AS726" s="83"/>
      <c r="AT726" s="83"/>
      <c r="AU726" s="83"/>
      <c r="AV726" s="83"/>
      <c r="AW726" s="83"/>
      <c r="AX726" s="83"/>
      <c r="AY726" s="83"/>
      <c r="AZ726" s="83"/>
      <c r="BA726" s="83"/>
      <c r="BB726" s="83"/>
      <c r="BC726" s="83"/>
      <c r="BD726" s="83"/>
      <c r="BE726" s="83"/>
      <c r="BF726" s="83"/>
      <c r="BG726" s="83"/>
      <c r="BH726" s="83"/>
      <c r="BI726" s="83"/>
      <c r="BJ726" s="83"/>
      <c r="BK726" s="83"/>
      <c r="BL726" s="83"/>
      <c r="BM726" s="83"/>
      <c r="BN726" s="83"/>
      <c r="BO726" s="83"/>
      <c r="BP726" s="83"/>
      <c r="BQ726" s="83"/>
      <c r="BR726" s="83"/>
      <c r="BS726" s="83"/>
      <c r="BT726" s="83"/>
      <c r="BU726" s="83"/>
      <c r="BV726" s="83"/>
      <c r="BW726" s="83"/>
      <c r="BX726" s="83"/>
      <c r="BY726" s="83"/>
      <c r="BZ726" s="83"/>
      <c r="CA726" s="83"/>
      <c r="CB726" s="83"/>
      <c r="CC726" s="83"/>
      <c r="CD726" s="83"/>
      <c r="CE726" s="83"/>
      <c r="CF726" s="83"/>
      <c r="CG726" s="83"/>
      <c r="CH726" s="83"/>
      <c r="CI726" s="83"/>
      <c r="CJ726" s="83"/>
      <c r="CK726" s="83"/>
      <c r="CL726" s="83"/>
      <c r="CM726" s="83"/>
      <c r="CN726" s="83"/>
      <c r="CO726" s="83"/>
      <c r="CP726" s="83"/>
      <c r="CQ726" s="83"/>
      <c r="CR726" s="83"/>
      <c r="CS726" s="83"/>
      <c r="CT726" s="83"/>
      <c r="CU726" s="83"/>
      <c r="CV726" s="83"/>
      <c r="CW726" s="83"/>
      <c r="CX726" s="83"/>
      <c r="CY726" s="83"/>
      <c r="CZ726" s="83"/>
      <c r="DA726" s="83"/>
      <c r="DB726" s="83"/>
      <c r="DC726" s="83"/>
      <c r="DD726" s="83"/>
      <c r="DE726" s="83"/>
      <c r="DF726" s="83"/>
      <c r="DG726" s="83"/>
      <c r="DH726" s="83"/>
      <c r="DI726" s="83"/>
      <c r="DJ726" s="83"/>
      <c r="DK726" s="83"/>
      <c r="DL726" s="83"/>
      <c r="DM726" s="83"/>
      <c r="DN726" s="83"/>
      <c r="DO726" s="83"/>
      <c r="DP726" s="83"/>
      <c r="DQ726" s="83"/>
      <c r="DR726" s="83"/>
      <c r="DS726" s="83"/>
      <c r="DT726" s="83"/>
      <c r="DU726" s="83"/>
      <c r="DV726" s="83"/>
      <c r="DW726" s="83"/>
      <c r="DX726" s="83"/>
      <c r="DY726" s="83"/>
      <c r="DZ726" s="83"/>
      <c r="EA726" s="83"/>
    </row>
    <row r="727" spans="1:131" s="94" customFormat="1" ht="32.25" customHeight="1" hidden="1">
      <c r="A727" s="139" t="s">
        <v>416</v>
      </c>
      <c r="B727" s="90"/>
      <c r="C727" s="90"/>
      <c r="D727" s="91"/>
      <c r="E727" s="92"/>
      <c r="F727" s="92"/>
      <c r="G727" s="92"/>
      <c r="H727" s="92"/>
      <c r="I727" s="92"/>
      <c r="J727" s="92"/>
      <c r="K727" s="92"/>
      <c r="L727" s="92"/>
      <c r="M727" s="92"/>
      <c r="N727" s="92"/>
      <c r="O727" s="92"/>
      <c r="P727" s="92"/>
      <c r="Q727" s="93"/>
      <c r="R727" s="358"/>
      <c r="S727" s="358"/>
      <c r="T727" s="358"/>
      <c r="U727" s="358"/>
      <c r="V727" s="358"/>
      <c r="W727" s="358"/>
      <c r="X727" s="358"/>
      <c r="Y727" s="358"/>
      <c r="Z727" s="358"/>
      <c r="AA727" s="93"/>
      <c r="AB727" s="93"/>
      <c r="AC727" s="93"/>
      <c r="AD727" s="93"/>
      <c r="AE727" s="93"/>
      <c r="AF727" s="93"/>
      <c r="AG727" s="93"/>
      <c r="AH727" s="93"/>
      <c r="AI727" s="93"/>
      <c r="AJ727" s="93"/>
      <c r="AK727" s="93"/>
      <c r="AL727" s="93"/>
      <c r="AM727" s="93"/>
      <c r="AN727" s="93"/>
      <c r="AO727" s="93"/>
      <c r="AP727" s="93"/>
      <c r="AQ727" s="93"/>
      <c r="AR727" s="93"/>
      <c r="AS727" s="93"/>
      <c r="AT727" s="93"/>
      <c r="AU727" s="93"/>
      <c r="AV727" s="93"/>
      <c r="AW727" s="93"/>
      <c r="AX727" s="93"/>
      <c r="AY727" s="93"/>
      <c r="AZ727" s="93"/>
      <c r="BA727" s="93"/>
      <c r="BB727" s="93"/>
      <c r="BC727" s="93"/>
      <c r="BD727" s="93"/>
      <c r="BE727" s="93"/>
      <c r="BF727" s="93"/>
      <c r="BG727" s="93"/>
      <c r="BH727" s="93"/>
      <c r="BI727" s="93"/>
      <c r="BJ727" s="93"/>
      <c r="BK727" s="93"/>
      <c r="BL727" s="93"/>
      <c r="BM727" s="93"/>
      <c r="BN727" s="93"/>
      <c r="BO727" s="93"/>
      <c r="BP727" s="93"/>
      <c r="BQ727" s="93"/>
      <c r="BR727" s="93"/>
      <c r="BS727" s="93"/>
      <c r="BT727" s="93"/>
      <c r="BU727" s="93"/>
      <c r="BV727" s="93"/>
      <c r="BW727" s="93"/>
      <c r="BX727" s="93"/>
      <c r="BY727" s="93"/>
      <c r="BZ727" s="93"/>
      <c r="CA727" s="93"/>
      <c r="CB727" s="93"/>
      <c r="CC727" s="93"/>
      <c r="CD727" s="93"/>
      <c r="CE727" s="93"/>
      <c r="CF727" s="93"/>
      <c r="CG727" s="93"/>
      <c r="CH727" s="93"/>
      <c r="CI727" s="93"/>
      <c r="CJ727" s="93"/>
      <c r="CK727" s="93"/>
      <c r="CL727" s="93"/>
      <c r="CM727" s="93"/>
      <c r="CN727" s="93"/>
      <c r="CO727" s="93"/>
      <c r="CP727" s="93"/>
      <c r="CQ727" s="93"/>
      <c r="CR727" s="93"/>
      <c r="CS727" s="93"/>
      <c r="CT727" s="93"/>
      <c r="CU727" s="93"/>
      <c r="CV727" s="93"/>
      <c r="CW727" s="93"/>
      <c r="CX727" s="93"/>
      <c r="CY727" s="93"/>
      <c r="CZ727" s="93"/>
      <c r="DA727" s="93"/>
      <c r="DB727" s="93"/>
      <c r="DC727" s="93"/>
      <c r="DD727" s="93"/>
      <c r="DE727" s="93"/>
      <c r="DF727" s="93"/>
      <c r="DG727" s="93"/>
      <c r="DH727" s="93"/>
      <c r="DI727" s="93"/>
      <c r="DJ727" s="93"/>
      <c r="DK727" s="93"/>
      <c r="DL727" s="93"/>
      <c r="DM727" s="93"/>
      <c r="DN727" s="93"/>
      <c r="DO727" s="93"/>
      <c r="DP727" s="93"/>
      <c r="DQ727" s="93"/>
      <c r="DR727" s="93"/>
      <c r="DS727" s="93"/>
      <c r="DT727" s="93"/>
      <c r="DU727" s="93"/>
      <c r="DV727" s="93"/>
      <c r="DW727" s="93"/>
      <c r="DX727" s="93"/>
      <c r="DY727" s="93"/>
      <c r="DZ727" s="93"/>
      <c r="EA727" s="93"/>
    </row>
    <row r="728" spans="1:131" s="71" customFormat="1" ht="12.75" hidden="1">
      <c r="A728" s="68" t="s">
        <v>73</v>
      </c>
      <c r="B728" s="87"/>
      <c r="C728" s="87"/>
      <c r="D728" s="89">
        <f>D729+D736</f>
        <v>0</v>
      </c>
      <c r="E728" s="89">
        <f>E729+E736</f>
        <v>855700</v>
      </c>
      <c r="F728" s="89">
        <f>D728+E728</f>
        <v>855700</v>
      </c>
      <c r="G728" s="89">
        <f>G729+G736</f>
        <v>0</v>
      </c>
      <c r="H728" s="89">
        <f>H729+H736</f>
        <v>2368500</v>
      </c>
      <c r="I728" s="89">
        <f>I729+I736</f>
        <v>0</v>
      </c>
      <c r="J728" s="89">
        <f>G728+H728</f>
        <v>2368500</v>
      </c>
      <c r="K728" s="89">
        <f>K729+K736</f>
        <v>0</v>
      </c>
      <c r="L728" s="89">
        <f>L729+L736</f>
        <v>0</v>
      </c>
      <c r="M728" s="89">
        <f>M729+M736</f>
        <v>0</v>
      </c>
      <c r="N728" s="89">
        <f>N729+N736</f>
        <v>0</v>
      </c>
      <c r="O728" s="89">
        <f>O729+O736</f>
        <v>2487000</v>
      </c>
      <c r="P728" s="89">
        <f>N728+O728</f>
        <v>2487000</v>
      </c>
      <c r="Q728" s="70"/>
      <c r="R728" s="358"/>
      <c r="S728" s="358"/>
      <c r="T728" s="358"/>
      <c r="U728" s="358"/>
      <c r="V728" s="358"/>
      <c r="W728" s="358"/>
      <c r="X728" s="358"/>
      <c r="Y728" s="358"/>
      <c r="Z728" s="358"/>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c r="BR728" s="70"/>
      <c r="BS728" s="70"/>
      <c r="BT728" s="70"/>
      <c r="BU728" s="70"/>
      <c r="BV728" s="70"/>
      <c r="BW728" s="70"/>
      <c r="BX728" s="70"/>
      <c r="BY728" s="70"/>
      <c r="BZ728" s="70"/>
      <c r="CA728" s="70"/>
      <c r="CB728" s="70"/>
      <c r="CC728" s="70"/>
      <c r="CD728" s="70"/>
      <c r="CE728" s="70"/>
      <c r="CF728" s="70"/>
      <c r="CG728" s="70"/>
      <c r="CH728" s="70"/>
      <c r="CI728" s="70"/>
      <c r="CJ728" s="70"/>
      <c r="CK728" s="70"/>
      <c r="CL728" s="70"/>
      <c r="CM728" s="70"/>
      <c r="CN728" s="70"/>
      <c r="CO728" s="70"/>
      <c r="CP728" s="70"/>
      <c r="CQ728" s="70"/>
      <c r="CR728" s="70"/>
      <c r="CS728" s="70"/>
      <c r="CT728" s="70"/>
      <c r="CU728" s="70"/>
      <c r="CV728" s="70"/>
      <c r="CW728" s="70"/>
      <c r="CX728" s="70"/>
      <c r="CY728" s="70"/>
      <c r="CZ728" s="70"/>
      <c r="DA728" s="70"/>
      <c r="DB728" s="70"/>
      <c r="DC728" s="70"/>
      <c r="DD728" s="70"/>
      <c r="DE728" s="70"/>
      <c r="DF728" s="70"/>
      <c r="DG728" s="70"/>
      <c r="DH728" s="70"/>
      <c r="DI728" s="70"/>
      <c r="DJ728" s="70"/>
      <c r="DK728" s="70"/>
      <c r="DL728" s="70"/>
      <c r="DM728" s="70"/>
      <c r="DN728" s="70"/>
      <c r="DO728" s="70"/>
      <c r="DP728" s="70"/>
      <c r="DQ728" s="70"/>
      <c r="DR728" s="70"/>
      <c r="DS728" s="70"/>
      <c r="DT728" s="70"/>
      <c r="DU728" s="70"/>
      <c r="DV728" s="70"/>
      <c r="DW728" s="70"/>
      <c r="DX728" s="70"/>
      <c r="DY728" s="70"/>
      <c r="DZ728" s="70"/>
      <c r="EA728" s="70"/>
    </row>
    <row r="729" spans="1:131" s="11" customFormat="1" ht="13.5" hidden="1">
      <c r="A729" s="138" t="s">
        <v>74</v>
      </c>
      <c r="B729" s="146"/>
      <c r="C729" s="146"/>
      <c r="D729" s="206"/>
      <c r="E729" s="206">
        <f>E731</f>
        <v>300700</v>
      </c>
      <c r="F729" s="206">
        <f>E729</f>
        <v>300700</v>
      </c>
      <c r="G729" s="206"/>
      <c r="H729" s="206">
        <f>H731</f>
        <v>368500</v>
      </c>
      <c r="I729" s="206"/>
      <c r="J729" s="206">
        <f>H729</f>
        <v>368500</v>
      </c>
      <c r="K729" s="206"/>
      <c r="L729" s="206"/>
      <c r="M729" s="206"/>
      <c r="N729" s="206"/>
      <c r="O729" s="206">
        <f>O731</f>
        <v>387000</v>
      </c>
      <c r="P729" s="206">
        <f>O729</f>
        <v>387000</v>
      </c>
      <c r="Q729" s="10"/>
      <c r="R729" s="357"/>
      <c r="S729" s="357"/>
      <c r="T729" s="357"/>
      <c r="U729" s="357"/>
      <c r="V729" s="357"/>
      <c r="W729" s="357"/>
      <c r="X729" s="357"/>
      <c r="Y729" s="357"/>
      <c r="Z729" s="357"/>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10"/>
      <c r="CD729" s="10"/>
      <c r="CE729" s="10"/>
      <c r="CF729" s="10"/>
      <c r="CG729" s="10"/>
      <c r="CH729" s="10"/>
      <c r="CI729" s="10"/>
      <c r="CJ729" s="10"/>
      <c r="CK729" s="10"/>
      <c r="CL729" s="10"/>
      <c r="CM729" s="10"/>
      <c r="CN729" s="10"/>
      <c r="CO729" s="10"/>
      <c r="CP729" s="10"/>
      <c r="CQ729" s="10"/>
      <c r="CR729" s="10"/>
      <c r="CS729" s="10"/>
      <c r="CT729" s="10"/>
      <c r="CU729" s="10"/>
      <c r="CV729" s="10"/>
      <c r="CW729" s="10"/>
      <c r="CX729" s="10"/>
      <c r="CY729" s="10"/>
      <c r="CZ729" s="10"/>
      <c r="DA729" s="10"/>
      <c r="DB729" s="10"/>
      <c r="DC729" s="10"/>
      <c r="DD729" s="10"/>
      <c r="DE729" s="10"/>
      <c r="DF729" s="10"/>
      <c r="DG729" s="10"/>
      <c r="DH729" s="10"/>
      <c r="DI729" s="10"/>
      <c r="DJ729" s="10"/>
      <c r="DK729" s="10"/>
      <c r="DL729" s="10"/>
      <c r="DM729" s="10"/>
      <c r="DN729" s="10"/>
      <c r="DO729" s="10"/>
      <c r="DP729" s="10"/>
      <c r="DQ729" s="10"/>
      <c r="DR729" s="10"/>
      <c r="DS729" s="10"/>
      <c r="DT729" s="10"/>
      <c r="DU729" s="10"/>
      <c r="DV729" s="10"/>
      <c r="DW729" s="10"/>
      <c r="DX729" s="10"/>
      <c r="DY729" s="10"/>
      <c r="DZ729" s="10"/>
      <c r="EA729" s="10"/>
    </row>
    <row r="730" spans="1:16" ht="13.5" customHeight="1" hidden="1">
      <c r="A730" s="149" t="s">
        <v>184</v>
      </c>
      <c r="B730" s="148"/>
      <c r="C730" s="148"/>
      <c r="D730" s="118"/>
      <c r="E730" s="118"/>
      <c r="F730" s="118"/>
      <c r="G730" s="118"/>
      <c r="H730" s="118"/>
      <c r="I730" s="118"/>
      <c r="J730" s="118"/>
      <c r="K730" s="118"/>
      <c r="L730" s="118"/>
      <c r="M730" s="118"/>
      <c r="N730" s="118"/>
      <c r="O730" s="118"/>
      <c r="P730" s="118"/>
    </row>
    <row r="731" spans="1:16" ht="26.25" customHeight="1" hidden="1">
      <c r="A731" s="150" t="s">
        <v>168</v>
      </c>
      <c r="B731" s="148"/>
      <c r="C731" s="148"/>
      <c r="D731" s="118"/>
      <c r="E731" s="118">
        <f>350000-49300</f>
        <v>300700</v>
      </c>
      <c r="F731" s="118">
        <f>E731</f>
        <v>300700</v>
      </c>
      <c r="G731" s="118"/>
      <c r="H731" s="118">
        <v>368500</v>
      </c>
      <c r="I731" s="118"/>
      <c r="J731" s="118">
        <f>H731</f>
        <v>368500</v>
      </c>
      <c r="K731" s="118"/>
      <c r="L731" s="118"/>
      <c r="M731" s="118"/>
      <c r="N731" s="118"/>
      <c r="O731" s="118">
        <v>387000</v>
      </c>
      <c r="P731" s="118">
        <f>O731</f>
        <v>387000</v>
      </c>
    </row>
    <row r="732" spans="1:16" ht="16.5" customHeight="1" hidden="1">
      <c r="A732" s="134" t="s">
        <v>185</v>
      </c>
      <c r="B732" s="148"/>
      <c r="C732" s="148"/>
      <c r="D732" s="118"/>
      <c r="E732" s="118"/>
      <c r="F732" s="118"/>
      <c r="G732" s="118"/>
      <c r="H732" s="118"/>
      <c r="I732" s="118"/>
      <c r="J732" s="118"/>
      <c r="K732" s="118"/>
      <c r="L732" s="118"/>
      <c r="M732" s="118"/>
      <c r="N732" s="118"/>
      <c r="O732" s="118"/>
      <c r="P732" s="118"/>
    </row>
    <row r="733" spans="1:16" ht="15.75" customHeight="1" hidden="1">
      <c r="A733" s="135" t="s">
        <v>326</v>
      </c>
      <c r="B733" s="148"/>
      <c r="C733" s="148"/>
      <c r="D733" s="118"/>
      <c r="E733" s="243">
        <f>E731/E735</f>
        <v>214.78571428571428</v>
      </c>
      <c r="F733" s="243">
        <f>E733</f>
        <v>214.78571428571428</v>
      </c>
      <c r="G733" s="118"/>
      <c r="H733" s="243">
        <f>H731/H735</f>
        <v>246.6532797858099</v>
      </c>
      <c r="I733" s="243"/>
      <c r="J733" s="243">
        <f>H733</f>
        <v>246.6532797858099</v>
      </c>
      <c r="K733" s="243"/>
      <c r="L733" s="243"/>
      <c r="M733" s="243"/>
      <c r="N733" s="243"/>
      <c r="O733" s="243">
        <f>O731/O735</f>
        <v>244.3181818181818</v>
      </c>
      <c r="P733" s="243">
        <f>P731/P735</f>
        <v>244.3181818181818</v>
      </c>
    </row>
    <row r="734" spans="1:16" ht="17.25" customHeight="1" hidden="1">
      <c r="A734" s="147" t="s">
        <v>187</v>
      </c>
      <c r="B734" s="148"/>
      <c r="C734" s="148"/>
      <c r="D734" s="118"/>
      <c r="E734" s="118"/>
      <c r="F734" s="118"/>
      <c r="G734" s="118"/>
      <c r="H734" s="118"/>
      <c r="I734" s="118"/>
      <c r="J734" s="118"/>
      <c r="K734" s="118"/>
      <c r="L734" s="118"/>
      <c r="M734" s="118"/>
      <c r="N734" s="118"/>
      <c r="O734" s="118"/>
      <c r="P734" s="118"/>
    </row>
    <row r="735" spans="1:16" ht="15" customHeight="1" hidden="1">
      <c r="A735" s="135" t="s">
        <v>399</v>
      </c>
      <c r="B735" s="148"/>
      <c r="C735" s="148"/>
      <c r="D735" s="118"/>
      <c r="E735" s="118">
        <v>1400</v>
      </c>
      <c r="F735" s="118">
        <f>E735</f>
        <v>1400</v>
      </c>
      <c r="G735" s="118"/>
      <c r="H735" s="118">
        <v>1494</v>
      </c>
      <c r="I735" s="118"/>
      <c r="J735" s="118">
        <f>H735</f>
        <v>1494</v>
      </c>
      <c r="K735" s="118"/>
      <c r="L735" s="118"/>
      <c r="M735" s="118"/>
      <c r="N735" s="118"/>
      <c r="O735" s="118">
        <v>1584</v>
      </c>
      <c r="P735" s="118">
        <v>1584</v>
      </c>
    </row>
    <row r="736" spans="1:131" s="43" customFormat="1" ht="27" hidden="1">
      <c r="A736" s="138" t="s">
        <v>80</v>
      </c>
      <c r="B736" s="142"/>
      <c r="C736" s="142"/>
      <c r="D736" s="226"/>
      <c r="E736" s="226">
        <f>E738</f>
        <v>555000</v>
      </c>
      <c r="F736" s="226">
        <f>E736</f>
        <v>555000</v>
      </c>
      <c r="G736" s="226"/>
      <c r="H736" s="226">
        <f>H738</f>
        <v>2000000</v>
      </c>
      <c r="I736" s="226"/>
      <c r="J736" s="226">
        <f>H736</f>
        <v>2000000</v>
      </c>
      <c r="K736" s="226"/>
      <c r="L736" s="226"/>
      <c r="M736" s="226"/>
      <c r="N736" s="226"/>
      <c r="O736" s="226">
        <f>O738</f>
        <v>2100000</v>
      </c>
      <c r="P736" s="226">
        <f>O736</f>
        <v>2100000</v>
      </c>
      <c r="Q736" s="52"/>
      <c r="R736" s="357"/>
      <c r="S736" s="357"/>
      <c r="T736" s="357"/>
      <c r="U736" s="357"/>
      <c r="V736" s="357"/>
      <c r="W736" s="357"/>
      <c r="X736" s="357"/>
      <c r="Y736" s="357"/>
      <c r="Z736" s="357"/>
      <c r="AA736" s="52"/>
      <c r="AB736" s="52"/>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2"/>
      <c r="AZ736" s="52"/>
      <c r="BA736" s="52"/>
      <c r="BB736" s="52"/>
      <c r="BC736" s="52"/>
      <c r="BD736" s="52"/>
      <c r="BE736" s="52"/>
      <c r="BF736" s="52"/>
      <c r="BG736" s="52"/>
      <c r="BH736" s="52"/>
      <c r="BI736" s="52"/>
      <c r="BJ736" s="52"/>
      <c r="BK736" s="52"/>
      <c r="BL736" s="52"/>
      <c r="BM736" s="52"/>
      <c r="BN736" s="52"/>
      <c r="BO736" s="52"/>
      <c r="BP736" s="52"/>
      <c r="BQ736" s="52"/>
      <c r="BR736" s="52"/>
      <c r="BS736" s="52"/>
      <c r="BT736" s="52"/>
      <c r="BU736" s="52"/>
      <c r="BV736" s="52"/>
      <c r="BW736" s="52"/>
      <c r="BX736" s="52"/>
      <c r="BY736" s="52"/>
      <c r="BZ736" s="52"/>
      <c r="CA736" s="52"/>
      <c r="CB736" s="52"/>
      <c r="CC736" s="52"/>
      <c r="CD736" s="52"/>
      <c r="CE736" s="52"/>
      <c r="CF736" s="52"/>
      <c r="CG736" s="52"/>
      <c r="CH736" s="52"/>
      <c r="CI736" s="52"/>
      <c r="CJ736" s="52"/>
      <c r="CK736" s="52"/>
      <c r="CL736" s="52"/>
      <c r="CM736" s="52"/>
      <c r="CN736" s="52"/>
      <c r="CO736" s="52"/>
      <c r="CP736" s="52"/>
      <c r="CQ736" s="52"/>
      <c r="CR736" s="52"/>
      <c r="CS736" s="52"/>
      <c r="CT736" s="52"/>
      <c r="CU736" s="52"/>
      <c r="CV736" s="52"/>
      <c r="CW736" s="52"/>
      <c r="CX736" s="52"/>
      <c r="CY736" s="52"/>
      <c r="CZ736" s="52"/>
      <c r="DA736" s="52"/>
      <c r="DB736" s="52"/>
      <c r="DC736" s="52"/>
      <c r="DD736" s="52"/>
      <c r="DE736" s="52"/>
      <c r="DF736" s="52"/>
      <c r="DG736" s="52"/>
      <c r="DH736" s="52"/>
      <c r="DI736" s="52"/>
      <c r="DJ736" s="52"/>
      <c r="DK736" s="52"/>
      <c r="DL736" s="52"/>
      <c r="DM736" s="52"/>
      <c r="DN736" s="52"/>
      <c r="DO736" s="52"/>
      <c r="DP736" s="52"/>
      <c r="DQ736" s="52"/>
      <c r="DR736" s="52"/>
      <c r="DS736" s="52"/>
      <c r="DT736" s="52"/>
      <c r="DU736" s="52"/>
      <c r="DV736" s="52"/>
      <c r="DW736" s="52"/>
      <c r="DX736" s="52"/>
      <c r="DY736" s="52"/>
      <c r="DZ736" s="52"/>
      <c r="EA736" s="52"/>
    </row>
    <row r="737" spans="1:16" ht="15" customHeight="1" hidden="1">
      <c r="A737" s="149" t="s">
        <v>184</v>
      </c>
      <c r="B737" s="148"/>
      <c r="C737" s="148"/>
      <c r="D737" s="118"/>
      <c r="E737" s="118"/>
      <c r="F737" s="118"/>
      <c r="G737" s="118"/>
      <c r="H737" s="118"/>
      <c r="I737" s="118"/>
      <c r="J737" s="118"/>
      <c r="K737" s="118"/>
      <c r="L737" s="118"/>
      <c r="M737" s="118"/>
      <c r="N737" s="118"/>
      <c r="O737" s="118"/>
      <c r="P737" s="118"/>
    </row>
    <row r="738" spans="1:16" ht="15" customHeight="1" hidden="1">
      <c r="A738" s="150" t="s">
        <v>205</v>
      </c>
      <c r="B738" s="148"/>
      <c r="C738" s="148"/>
      <c r="D738" s="118"/>
      <c r="E738" s="118">
        <f>1950000-1395000</f>
        <v>555000</v>
      </c>
      <c r="F738" s="118">
        <f>E738</f>
        <v>555000</v>
      </c>
      <c r="G738" s="118"/>
      <c r="H738" s="118">
        <v>2000000</v>
      </c>
      <c r="I738" s="118"/>
      <c r="J738" s="118">
        <f>H738</f>
        <v>2000000</v>
      </c>
      <c r="K738" s="118"/>
      <c r="L738" s="118"/>
      <c r="M738" s="118"/>
      <c r="N738" s="118"/>
      <c r="O738" s="118">
        <v>2100000</v>
      </c>
      <c r="P738" s="118">
        <f>O738</f>
        <v>2100000</v>
      </c>
    </row>
    <row r="739" spans="1:16" ht="15" customHeight="1" hidden="1">
      <c r="A739" s="134" t="s">
        <v>185</v>
      </c>
      <c r="B739" s="148"/>
      <c r="C739" s="148"/>
      <c r="D739" s="118"/>
      <c r="E739" s="118"/>
      <c r="F739" s="118"/>
      <c r="G739" s="118"/>
      <c r="H739" s="118"/>
      <c r="I739" s="118"/>
      <c r="J739" s="118"/>
      <c r="K739" s="118"/>
      <c r="L739" s="118"/>
      <c r="M739" s="118"/>
      <c r="N739" s="118"/>
      <c r="O739" s="118"/>
      <c r="P739" s="118"/>
    </row>
    <row r="740" spans="1:16" ht="25.5" hidden="1">
      <c r="A740" s="135" t="s">
        <v>243</v>
      </c>
      <c r="B740" s="148"/>
      <c r="C740" s="148"/>
      <c r="D740" s="243"/>
      <c r="E740" s="243">
        <v>8</v>
      </c>
      <c r="F740" s="243">
        <f>E740</f>
        <v>8</v>
      </c>
      <c r="G740" s="243"/>
      <c r="H740" s="243">
        <v>9</v>
      </c>
      <c r="I740" s="243"/>
      <c r="J740" s="243">
        <f>H740</f>
        <v>9</v>
      </c>
      <c r="K740" s="243"/>
      <c r="L740" s="243"/>
      <c r="M740" s="243"/>
      <c r="N740" s="243"/>
      <c r="O740" s="243">
        <v>9</v>
      </c>
      <c r="P740" s="243">
        <f>O740</f>
        <v>9</v>
      </c>
    </row>
    <row r="741" spans="1:16" ht="15" customHeight="1" hidden="1">
      <c r="A741" s="134" t="s">
        <v>187</v>
      </c>
      <c r="B741" s="148"/>
      <c r="C741" s="148"/>
      <c r="D741" s="118"/>
      <c r="E741" s="118"/>
      <c r="F741" s="118"/>
      <c r="G741" s="118"/>
      <c r="H741" s="118"/>
      <c r="I741" s="118"/>
      <c r="J741" s="118"/>
      <c r="K741" s="118"/>
      <c r="L741" s="118"/>
      <c r="M741" s="118"/>
      <c r="N741" s="118"/>
      <c r="O741" s="118"/>
      <c r="P741" s="118"/>
    </row>
    <row r="742" spans="1:16" ht="25.5" hidden="1">
      <c r="A742" s="135" t="s">
        <v>417</v>
      </c>
      <c r="B742" s="148"/>
      <c r="C742" s="148"/>
      <c r="D742" s="118"/>
      <c r="E742" s="118">
        <f>E738/E740</f>
        <v>69375</v>
      </c>
      <c r="F742" s="118">
        <f>E742</f>
        <v>69375</v>
      </c>
      <c r="G742" s="118"/>
      <c r="H742" s="118">
        <f>H738/H740</f>
        <v>222222.22222222222</v>
      </c>
      <c r="I742" s="118"/>
      <c r="J742" s="118">
        <f>H742</f>
        <v>222222.22222222222</v>
      </c>
      <c r="K742" s="118"/>
      <c r="L742" s="118"/>
      <c r="M742" s="118"/>
      <c r="N742" s="118"/>
      <c r="O742" s="118">
        <f>O738/O740</f>
        <v>233333.33333333334</v>
      </c>
      <c r="P742" s="118">
        <f>O742</f>
        <v>233333.33333333334</v>
      </c>
    </row>
    <row r="743" spans="1:131" s="76" customFormat="1" ht="27.75" customHeight="1" hidden="1">
      <c r="A743" s="73" t="s">
        <v>297</v>
      </c>
      <c r="B743" s="73"/>
      <c r="C743" s="73"/>
      <c r="D743" s="74">
        <f>D745</f>
        <v>350000</v>
      </c>
      <c r="E743" s="74">
        <f>E745</f>
        <v>0</v>
      </c>
      <c r="F743" s="74">
        <f>F745</f>
        <v>350000</v>
      </c>
      <c r="G743" s="74">
        <f>G745</f>
        <v>603000</v>
      </c>
      <c r="H743" s="74"/>
      <c r="I743" s="74">
        <f>I745</f>
        <v>0</v>
      </c>
      <c r="J743" s="74">
        <f>G743</f>
        <v>603000</v>
      </c>
      <c r="K743" s="74" t="e">
        <f>#REF!+K745</f>
        <v>#REF!</v>
      </c>
      <c r="L743" s="74" t="e">
        <f>#REF!+L745</f>
        <v>#REF!</v>
      </c>
      <c r="M743" s="74" t="e">
        <f>#REF!+M745</f>
        <v>#REF!</v>
      </c>
      <c r="N743" s="74">
        <f>N745</f>
        <v>450000</v>
      </c>
      <c r="O743" s="74"/>
      <c r="P743" s="74">
        <f>N743+O743</f>
        <v>450000</v>
      </c>
      <c r="Q743" s="75"/>
      <c r="R743" s="360"/>
      <c r="S743" s="360"/>
      <c r="T743" s="360"/>
      <c r="U743" s="360"/>
      <c r="V743" s="360"/>
      <c r="W743" s="360"/>
      <c r="X743" s="360"/>
      <c r="Y743" s="360"/>
      <c r="Z743" s="360"/>
      <c r="AA743" s="75"/>
      <c r="AB743" s="75"/>
      <c r="AC743" s="75"/>
      <c r="AD743" s="75"/>
      <c r="AE743" s="75"/>
      <c r="AF743" s="75"/>
      <c r="AG743" s="75"/>
      <c r="AH743" s="75"/>
      <c r="AI743" s="75"/>
      <c r="AJ743" s="75"/>
      <c r="AK743" s="75"/>
      <c r="AL743" s="75"/>
      <c r="AM743" s="75"/>
      <c r="AN743" s="75"/>
      <c r="AO743" s="75"/>
      <c r="AP743" s="75"/>
      <c r="AQ743" s="75"/>
      <c r="AR743" s="75"/>
      <c r="AS743" s="75"/>
      <c r="AT743" s="75"/>
      <c r="AU743" s="75"/>
      <c r="AV743" s="75"/>
      <c r="AW743" s="75"/>
      <c r="AX743" s="75"/>
      <c r="AY743" s="75"/>
      <c r="AZ743" s="75"/>
      <c r="BA743" s="75"/>
      <c r="BB743" s="75"/>
      <c r="BC743" s="75"/>
      <c r="BD743" s="75"/>
      <c r="BE743" s="75"/>
      <c r="BF743" s="75"/>
      <c r="BG743" s="75"/>
      <c r="BH743" s="75"/>
      <c r="BI743" s="75"/>
      <c r="BJ743" s="75"/>
      <c r="BK743" s="75"/>
      <c r="BL743" s="75"/>
      <c r="BM743" s="75"/>
      <c r="BN743" s="75"/>
      <c r="BO743" s="75"/>
      <c r="BP743" s="75"/>
      <c r="BQ743" s="75"/>
      <c r="BR743" s="75"/>
      <c r="BS743" s="75"/>
      <c r="BT743" s="75"/>
      <c r="BU743" s="75"/>
      <c r="BV743" s="75"/>
      <c r="BW743" s="75"/>
      <c r="BX743" s="75"/>
      <c r="BY743" s="75"/>
      <c r="BZ743" s="75"/>
      <c r="CA743" s="75"/>
      <c r="CB743" s="75"/>
      <c r="CC743" s="75"/>
      <c r="CD743" s="75"/>
      <c r="CE743" s="75"/>
      <c r="CF743" s="75"/>
      <c r="CG743" s="75"/>
      <c r="CH743" s="75"/>
      <c r="CI743" s="75"/>
      <c r="CJ743" s="75"/>
      <c r="CK743" s="75"/>
      <c r="CL743" s="75"/>
      <c r="CM743" s="75"/>
      <c r="CN743" s="75"/>
      <c r="CO743" s="75"/>
      <c r="CP743" s="75"/>
      <c r="CQ743" s="75"/>
      <c r="CR743" s="75"/>
      <c r="CS743" s="75"/>
      <c r="CT743" s="75"/>
      <c r="CU743" s="75"/>
      <c r="CV743" s="75"/>
      <c r="CW743" s="75"/>
      <c r="CX743" s="75"/>
      <c r="CY743" s="75"/>
      <c r="CZ743" s="75"/>
      <c r="DA743" s="75"/>
      <c r="DB743" s="75"/>
      <c r="DC743" s="75"/>
      <c r="DD743" s="75"/>
      <c r="DE743" s="75"/>
      <c r="DF743" s="75"/>
      <c r="DG743" s="75"/>
      <c r="DH743" s="75"/>
      <c r="DI743" s="75"/>
      <c r="DJ743" s="75"/>
      <c r="DK743" s="75"/>
      <c r="DL743" s="75"/>
      <c r="DM743" s="75"/>
      <c r="DN743" s="75"/>
      <c r="DO743" s="75"/>
      <c r="DP743" s="75"/>
      <c r="DQ743" s="75"/>
      <c r="DR743" s="75"/>
      <c r="DS743" s="75"/>
      <c r="DT743" s="75"/>
      <c r="DU743" s="75"/>
      <c r="DV743" s="75"/>
      <c r="DW743" s="75"/>
      <c r="DX743" s="75"/>
      <c r="DY743" s="75"/>
      <c r="DZ743" s="75"/>
      <c r="EA743" s="75"/>
    </row>
    <row r="744" spans="1:131" s="37" customFormat="1" ht="25.5" hidden="1">
      <c r="A744" s="139" t="s">
        <v>338</v>
      </c>
      <c r="B744" s="159"/>
      <c r="C744" s="159"/>
      <c r="D744" s="169"/>
      <c r="E744" s="169"/>
      <c r="F744" s="169"/>
      <c r="G744" s="169"/>
      <c r="H744" s="169"/>
      <c r="I744" s="169"/>
      <c r="J744" s="169"/>
      <c r="K744" s="169"/>
      <c r="L744" s="169"/>
      <c r="M744" s="169"/>
      <c r="N744" s="169"/>
      <c r="O744" s="169"/>
      <c r="P744" s="169"/>
      <c r="Q744" s="36"/>
      <c r="R744" s="274"/>
      <c r="S744" s="274"/>
      <c r="T744" s="274"/>
      <c r="U744" s="274"/>
      <c r="V744" s="274"/>
      <c r="W744" s="274"/>
      <c r="X744" s="274"/>
      <c r="Y744" s="274"/>
      <c r="Z744" s="274"/>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c r="BT744" s="36"/>
      <c r="BU744" s="36"/>
      <c r="BV744" s="36"/>
      <c r="BW744" s="36"/>
      <c r="BX744" s="36"/>
      <c r="BY744" s="36"/>
      <c r="BZ744" s="36"/>
      <c r="CA744" s="36"/>
      <c r="CB744" s="36"/>
      <c r="CC744" s="36"/>
      <c r="CD744" s="36"/>
      <c r="CE744" s="36"/>
      <c r="CF744" s="36"/>
      <c r="CG744" s="36"/>
      <c r="CH744" s="36"/>
      <c r="CI744" s="36"/>
      <c r="CJ744" s="36"/>
      <c r="CK744" s="36"/>
      <c r="CL744" s="36"/>
      <c r="CM744" s="36"/>
      <c r="CN744" s="36"/>
      <c r="CO744" s="36"/>
      <c r="CP744" s="36"/>
      <c r="CQ744" s="36"/>
      <c r="CR744" s="36"/>
      <c r="CS744" s="36"/>
      <c r="CT744" s="36"/>
      <c r="CU744" s="36"/>
      <c r="CV744" s="36"/>
      <c r="CW744" s="36"/>
      <c r="CX744" s="36"/>
      <c r="CY744" s="36"/>
      <c r="CZ744" s="36"/>
      <c r="DA744" s="36"/>
      <c r="DB744" s="36"/>
      <c r="DC744" s="36"/>
      <c r="DD744" s="36"/>
      <c r="DE744" s="36"/>
      <c r="DF744" s="36"/>
      <c r="DG744" s="36"/>
      <c r="DH744" s="36"/>
      <c r="DI744" s="36"/>
      <c r="DJ744" s="36"/>
      <c r="DK744" s="36"/>
      <c r="DL744" s="36"/>
      <c r="DM744" s="36"/>
      <c r="DN744" s="36"/>
      <c r="DO744" s="36"/>
      <c r="DP744" s="36"/>
      <c r="DQ744" s="36"/>
      <c r="DR744" s="36"/>
      <c r="DS744" s="36"/>
      <c r="DT744" s="36"/>
      <c r="DU744" s="36"/>
      <c r="DV744" s="36"/>
      <c r="DW744" s="36"/>
      <c r="DX744" s="36"/>
      <c r="DY744" s="36"/>
      <c r="DZ744" s="36"/>
      <c r="EA744" s="36"/>
    </row>
    <row r="745" spans="1:131" s="96" customFormat="1" ht="25.5" hidden="1">
      <c r="A745" s="68" t="s">
        <v>81</v>
      </c>
      <c r="B745" s="69"/>
      <c r="C745" s="69"/>
      <c r="D745" s="67">
        <f>D747</f>
        <v>350000</v>
      </c>
      <c r="E745" s="67"/>
      <c r="F745" s="67">
        <f>D745+E745</f>
        <v>350000</v>
      </c>
      <c r="G745" s="67">
        <f>G747</f>
        <v>603000</v>
      </c>
      <c r="H745" s="67"/>
      <c r="I745" s="67">
        <f>I747</f>
        <v>0</v>
      </c>
      <c r="J745" s="67">
        <f>G745</f>
        <v>603000</v>
      </c>
      <c r="K745" s="67"/>
      <c r="L745" s="67"/>
      <c r="M745" s="67"/>
      <c r="N745" s="67">
        <f>N747</f>
        <v>450000</v>
      </c>
      <c r="O745" s="67"/>
      <c r="P745" s="67">
        <f>N745+O745</f>
        <v>450000</v>
      </c>
      <c r="Q745" s="95"/>
      <c r="R745" s="358"/>
      <c r="S745" s="358"/>
      <c r="T745" s="358"/>
      <c r="U745" s="358"/>
      <c r="V745" s="358"/>
      <c r="W745" s="358"/>
      <c r="X745" s="358"/>
      <c r="Y745" s="358"/>
      <c r="Z745" s="358"/>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5"/>
      <c r="AY745" s="95"/>
      <c r="AZ745" s="95"/>
      <c r="BA745" s="95"/>
      <c r="BB745" s="95"/>
      <c r="BC745" s="95"/>
      <c r="BD745" s="95"/>
      <c r="BE745" s="95"/>
      <c r="BF745" s="95"/>
      <c r="BG745" s="95"/>
      <c r="BH745" s="95"/>
      <c r="BI745" s="95"/>
      <c r="BJ745" s="95"/>
      <c r="BK745" s="95"/>
      <c r="BL745" s="95"/>
      <c r="BM745" s="95"/>
      <c r="BN745" s="95"/>
      <c r="BO745" s="95"/>
      <c r="BP745" s="95"/>
      <c r="BQ745" s="95"/>
      <c r="BR745" s="95"/>
      <c r="BS745" s="95"/>
      <c r="BT745" s="95"/>
      <c r="BU745" s="95"/>
      <c r="BV745" s="95"/>
      <c r="BW745" s="95"/>
      <c r="BX745" s="95"/>
      <c r="BY745" s="95"/>
      <c r="BZ745" s="95"/>
      <c r="CA745" s="95"/>
      <c r="CB745" s="95"/>
      <c r="CC745" s="95"/>
      <c r="CD745" s="95"/>
      <c r="CE745" s="95"/>
      <c r="CF745" s="95"/>
      <c r="CG745" s="95"/>
      <c r="CH745" s="95"/>
      <c r="CI745" s="95"/>
      <c r="CJ745" s="95"/>
      <c r="CK745" s="95"/>
      <c r="CL745" s="95"/>
      <c r="CM745" s="95"/>
      <c r="CN745" s="95"/>
      <c r="CO745" s="95"/>
      <c r="CP745" s="95"/>
      <c r="CQ745" s="95"/>
      <c r="CR745" s="95"/>
      <c r="CS745" s="95"/>
      <c r="CT745" s="95"/>
      <c r="CU745" s="95"/>
      <c r="CV745" s="95"/>
      <c r="CW745" s="95"/>
      <c r="CX745" s="95"/>
      <c r="CY745" s="95"/>
      <c r="CZ745" s="95"/>
      <c r="DA745" s="95"/>
      <c r="DB745" s="95"/>
      <c r="DC745" s="95"/>
      <c r="DD745" s="95"/>
      <c r="DE745" s="95"/>
      <c r="DF745" s="95"/>
      <c r="DG745" s="95"/>
      <c r="DH745" s="95"/>
      <c r="DI745" s="95"/>
      <c r="DJ745" s="95"/>
      <c r="DK745" s="95"/>
      <c r="DL745" s="95"/>
      <c r="DM745" s="95"/>
      <c r="DN745" s="95"/>
      <c r="DO745" s="95"/>
      <c r="DP745" s="95"/>
      <c r="DQ745" s="95"/>
      <c r="DR745" s="95"/>
      <c r="DS745" s="95"/>
      <c r="DT745" s="95"/>
      <c r="DU745" s="95"/>
      <c r="DV745" s="95"/>
      <c r="DW745" s="95"/>
      <c r="DX745" s="95"/>
      <c r="DY745" s="95"/>
      <c r="DZ745" s="95"/>
      <c r="EA745" s="95"/>
    </row>
    <row r="746" spans="1:16" ht="12.75" hidden="1">
      <c r="A746" s="134" t="s">
        <v>184</v>
      </c>
      <c r="B746" s="165"/>
      <c r="C746" s="165"/>
      <c r="D746" s="132"/>
      <c r="E746" s="132"/>
      <c r="F746" s="132"/>
      <c r="G746" s="132"/>
      <c r="H746" s="132"/>
      <c r="I746" s="132"/>
      <c r="J746" s="132"/>
      <c r="K746" s="132"/>
      <c r="L746" s="132"/>
      <c r="M746" s="132"/>
      <c r="N746" s="132"/>
      <c r="O746" s="132"/>
      <c r="P746" s="132"/>
    </row>
    <row r="747" spans="1:16" ht="28.5" customHeight="1" hidden="1">
      <c r="A747" s="135" t="s">
        <v>298</v>
      </c>
      <c r="B747" s="165"/>
      <c r="C747" s="165"/>
      <c r="D747" s="132">
        <f>350000+1160000-1160000</f>
        <v>350000</v>
      </c>
      <c r="E747" s="132"/>
      <c r="F747" s="132">
        <f>D747</f>
        <v>350000</v>
      </c>
      <c r="G747" s="132">
        <f>400000+203000</f>
        <v>603000</v>
      </c>
      <c r="H747" s="132"/>
      <c r="I747" s="132"/>
      <c r="J747" s="132">
        <f>G747+H747</f>
        <v>603000</v>
      </c>
      <c r="K747" s="132"/>
      <c r="L747" s="132"/>
      <c r="M747" s="132"/>
      <c r="N747" s="132">
        <v>450000</v>
      </c>
      <c r="O747" s="132"/>
      <c r="P747" s="132">
        <f>N747+O747</f>
        <v>450000</v>
      </c>
    </row>
    <row r="748" spans="1:16" ht="12.75" hidden="1">
      <c r="A748" s="134" t="s">
        <v>185</v>
      </c>
      <c r="B748" s="165"/>
      <c r="C748" s="165"/>
      <c r="D748" s="132"/>
      <c r="E748" s="132"/>
      <c r="F748" s="132"/>
      <c r="G748" s="132"/>
      <c r="H748" s="132"/>
      <c r="I748" s="132"/>
      <c r="J748" s="132"/>
      <c r="K748" s="132"/>
      <c r="L748" s="132"/>
      <c r="M748" s="132"/>
      <c r="N748" s="132"/>
      <c r="O748" s="132"/>
      <c r="P748" s="132"/>
    </row>
    <row r="749" spans="1:16" ht="30.75" customHeight="1" hidden="1">
      <c r="A749" s="135" t="s">
        <v>299</v>
      </c>
      <c r="B749" s="165"/>
      <c r="C749" s="165"/>
      <c r="D749" s="167">
        <v>1</v>
      </c>
      <c r="E749" s="167"/>
      <c r="F749" s="167">
        <f>D749</f>
        <v>1</v>
      </c>
      <c r="G749" s="167">
        <v>2</v>
      </c>
      <c r="H749" s="167"/>
      <c r="I749" s="167"/>
      <c r="J749" s="167">
        <f>G749</f>
        <v>2</v>
      </c>
      <c r="K749" s="167"/>
      <c r="L749" s="167"/>
      <c r="M749" s="167"/>
      <c r="N749" s="167">
        <v>1</v>
      </c>
      <c r="O749" s="167"/>
      <c r="P749" s="167">
        <f>N749+O749</f>
        <v>1</v>
      </c>
    </row>
    <row r="750" spans="1:16" ht="12.75" hidden="1">
      <c r="A750" s="134" t="s">
        <v>187</v>
      </c>
      <c r="B750" s="165"/>
      <c r="C750" s="165"/>
      <c r="D750" s="132"/>
      <c r="E750" s="132"/>
      <c r="F750" s="132"/>
      <c r="G750" s="132"/>
      <c r="H750" s="132"/>
      <c r="I750" s="132"/>
      <c r="J750" s="132"/>
      <c r="K750" s="132"/>
      <c r="L750" s="132"/>
      <c r="M750" s="132"/>
      <c r="N750" s="132"/>
      <c r="O750" s="132"/>
      <c r="P750" s="132"/>
    </row>
    <row r="751" spans="1:16" ht="26.25" customHeight="1" hidden="1">
      <c r="A751" s="135" t="s">
        <v>300</v>
      </c>
      <c r="B751" s="165"/>
      <c r="C751" s="165"/>
      <c r="D751" s="132">
        <f>D747/D749</f>
        <v>350000</v>
      </c>
      <c r="E751" s="132"/>
      <c r="F751" s="132">
        <f>F747/F749</f>
        <v>350000</v>
      </c>
      <c r="G751" s="132">
        <f>G747/G749</f>
        <v>301500</v>
      </c>
      <c r="H751" s="132"/>
      <c r="I751" s="132"/>
      <c r="J751" s="132">
        <f>G751+H751</f>
        <v>301500</v>
      </c>
      <c r="K751" s="132"/>
      <c r="L751" s="132"/>
      <c r="M751" s="132"/>
      <c r="N751" s="132">
        <f>N747/N749</f>
        <v>450000</v>
      </c>
      <c r="O751" s="132"/>
      <c r="P751" s="132">
        <f>P747/P749</f>
        <v>450000</v>
      </c>
    </row>
    <row r="752" spans="1:131" s="76" customFormat="1" ht="22.5" customHeight="1" hidden="1">
      <c r="A752" s="73" t="s">
        <v>302</v>
      </c>
      <c r="B752" s="97"/>
      <c r="C752" s="97"/>
      <c r="D752" s="74">
        <f>D754</f>
        <v>6071400</v>
      </c>
      <c r="E752" s="74">
        <f aca="true" t="shared" si="55" ref="E752:Q752">E754</f>
        <v>0</v>
      </c>
      <c r="F752" s="74">
        <f t="shared" si="55"/>
        <v>6071400</v>
      </c>
      <c r="G752" s="74">
        <f>G754</f>
        <v>66439000</v>
      </c>
      <c r="H752" s="74">
        <f t="shared" si="55"/>
        <v>0</v>
      </c>
      <c r="I752" s="74" t="e">
        <f t="shared" si="55"/>
        <v>#REF!</v>
      </c>
      <c r="J752" s="74">
        <f t="shared" si="55"/>
        <v>66439000</v>
      </c>
      <c r="K752" s="74" t="e">
        <f t="shared" si="55"/>
        <v>#REF!</v>
      </c>
      <c r="L752" s="74" t="e">
        <f t="shared" si="55"/>
        <v>#REF!</v>
      </c>
      <c r="M752" s="74" t="e">
        <f t="shared" si="55"/>
        <v>#REF!</v>
      </c>
      <c r="N752" s="74">
        <f t="shared" si="55"/>
        <v>1234200</v>
      </c>
      <c r="O752" s="74">
        <f t="shared" si="55"/>
        <v>0</v>
      </c>
      <c r="P752" s="74">
        <f t="shared" si="55"/>
        <v>1234200</v>
      </c>
      <c r="Q752" s="74">
        <f t="shared" si="55"/>
        <v>0</v>
      </c>
      <c r="R752" s="360"/>
      <c r="S752" s="360"/>
      <c r="T752" s="360"/>
      <c r="U752" s="360"/>
      <c r="V752" s="360"/>
      <c r="W752" s="360"/>
      <c r="X752" s="360"/>
      <c r="Y752" s="360"/>
      <c r="Z752" s="360"/>
      <c r="AA752" s="75"/>
      <c r="AB752" s="75"/>
      <c r="AC752" s="75"/>
      <c r="AD752" s="75"/>
      <c r="AE752" s="75"/>
      <c r="AF752" s="75"/>
      <c r="AG752" s="75"/>
      <c r="AH752" s="75"/>
      <c r="AI752" s="75"/>
      <c r="AJ752" s="75"/>
      <c r="AK752" s="75"/>
      <c r="AL752" s="75"/>
      <c r="AM752" s="75"/>
      <c r="AN752" s="75"/>
      <c r="AO752" s="75"/>
      <c r="AP752" s="75"/>
      <c r="AQ752" s="75"/>
      <c r="AR752" s="75"/>
      <c r="AS752" s="75"/>
      <c r="AT752" s="75"/>
      <c r="AU752" s="75"/>
      <c r="AV752" s="75"/>
      <c r="AW752" s="75"/>
      <c r="AX752" s="75"/>
      <c r="AY752" s="75"/>
      <c r="AZ752" s="75"/>
      <c r="BA752" s="75"/>
      <c r="BB752" s="75"/>
      <c r="BC752" s="75"/>
      <c r="BD752" s="75"/>
      <c r="BE752" s="75"/>
      <c r="BF752" s="75"/>
      <c r="BG752" s="75"/>
      <c r="BH752" s="75"/>
      <c r="BI752" s="75"/>
      <c r="BJ752" s="75"/>
      <c r="BK752" s="75"/>
      <c r="BL752" s="75"/>
      <c r="BM752" s="75"/>
      <c r="BN752" s="75"/>
      <c r="BO752" s="75"/>
      <c r="BP752" s="75"/>
      <c r="BQ752" s="75"/>
      <c r="BR752" s="75"/>
      <c r="BS752" s="75"/>
      <c r="BT752" s="75"/>
      <c r="BU752" s="75"/>
      <c r="BV752" s="75"/>
      <c r="BW752" s="75"/>
      <c r="BX752" s="75"/>
      <c r="BY752" s="75"/>
      <c r="BZ752" s="75"/>
      <c r="CA752" s="75"/>
      <c r="CB752" s="75"/>
      <c r="CC752" s="75"/>
      <c r="CD752" s="75"/>
      <c r="CE752" s="75"/>
      <c r="CF752" s="75"/>
      <c r="CG752" s="75"/>
      <c r="CH752" s="75"/>
      <c r="CI752" s="75"/>
      <c r="CJ752" s="75"/>
      <c r="CK752" s="75"/>
      <c r="CL752" s="75"/>
      <c r="CM752" s="75"/>
      <c r="CN752" s="75"/>
      <c r="CO752" s="75"/>
      <c r="CP752" s="75"/>
      <c r="CQ752" s="75"/>
      <c r="CR752" s="75"/>
      <c r="CS752" s="75"/>
      <c r="CT752" s="75"/>
      <c r="CU752" s="75"/>
      <c r="CV752" s="75"/>
      <c r="CW752" s="75"/>
      <c r="CX752" s="75"/>
      <c r="CY752" s="75"/>
      <c r="CZ752" s="75"/>
      <c r="DA752" s="75"/>
      <c r="DB752" s="75"/>
      <c r="DC752" s="75"/>
      <c r="DD752" s="75"/>
      <c r="DE752" s="75"/>
      <c r="DF752" s="75"/>
      <c r="DG752" s="75"/>
      <c r="DH752" s="75"/>
      <c r="DI752" s="75"/>
      <c r="DJ752" s="75"/>
      <c r="DK752" s="75"/>
      <c r="DL752" s="75"/>
      <c r="DM752" s="75"/>
      <c r="DN752" s="75"/>
      <c r="DO752" s="75"/>
      <c r="DP752" s="75"/>
      <c r="DQ752" s="75"/>
      <c r="DR752" s="75"/>
      <c r="DS752" s="75"/>
      <c r="DT752" s="75"/>
      <c r="DU752" s="75"/>
      <c r="DV752" s="75"/>
      <c r="DW752" s="75"/>
      <c r="DX752" s="75"/>
      <c r="DY752" s="75"/>
      <c r="DZ752" s="75"/>
      <c r="EA752" s="75"/>
    </row>
    <row r="753" spans="1:16" ht="12.75" hidden="1">
      <c r="A753" s="135" t="s">
        <v>246</v>
      </c>
      <c r="B753" s="165"/>
      <c r="C753" s="165"/>
      <c r="D753" s="132"/>
      <c r="E753" s="132"/>
      <c r="F753" s="132"/>
      <c r="G753" s="132"/>
      <c r="H753" s="132"/>
      <c r="I753" s="132"/>
      <c r="J753" s="132"/>
      <c r="K753" s="132"/>
      <c r="L753" s="132"/>
      <c r="M753" s="132"/>
      <c r="N753" s="132"/>
      <c r="O753" s="132"/>
      <c r="P753" s="132"/>
    </row>
    <row r="754" spans="1:131" s="71" customFormat="1" ht="31.5" customHeight="1" hidden="1">
      <c r="A754" s="68" t="s">
        <v>113</v>
      </c>
      <c r="B754" s="69"/>
      <c r="C754" s="69"/>
      <c r="D754" s="67">
        <f>D755+D762+D765+D768+D776+D783+D791+D798+D805+D812</f>
        <v>6071400</v>
      </c>
      <c r="E754" s="67">
        <f>E755+E762+E765+E768+E776+E783+E791+E798+E805+E812</f>
        <v>0</v>
      </c>
      <c r="F754" s="67">
        <f>D754+E754</f>
        <v>6071400</v>
      </c>
      <c r="G754" s="67">
        <f>G755+G762+G765+G768+G776+G783+G791+G798+G805+G812</f>
        <v>66439000</v>
      </c>
      <c r="H754" s="67">
        <f>H755+H762+H765+H768+H776+H783+H791+H798+H805</f>
        <v>0</v>
      </c>
      <c r="I754" s="67" t="e">
        <f>I755+I762+I768+I776+I783+I791+#REF!+I798</f>
        <v>#REF!</v>
      </c>
      <c r="J754" s="67">
        <f>G754+H754</f>
        <v>66439000</v>
      </c>
      <c r="K754" s="67" t="e">
        <f>K755+K762+K768+K776+K783+K791+#REF!+K798</f>
        <v>#REF!</v>
      </c>
      <c r="L754" s="67" t="e">
        <f>L755+L762+L768+L776+L783+L791+#REF!+L798</f>
        <v>#REF!</v>
      </c>
      <c r="M754" s="67" t="e">
        <f>M755+M762+M768+M776+M783+M791+#REF!+M798</f>
        <v>#REF!</v>
      </c>
      <c r="N754" s="67">
        <f>N755+N762+N765+N768+N776+N783+N791+N798+N805</f>
        <v>1234200</v>
      </c>
      <c r="O754" s="67">
        <f>O755+O762+O765+O768+O776+O783+O791+O798+O805</f>
        <v>0</v>
      </c>
      <c r="P754" s="67">
        <f>N754+O754</f>
        <v>1234200</v>
      </c>
      <c r="Q754" s="70"/>
      <c r="R754" s="358"/>
      <c r="S754" s="358"/>
      <c r="T754" s="358"/>
      <c r="U754" s="358"/>
      <c r="V754" s="358"/>
      <c r="W754" s="358"/>
      <c r="X754" s="358"/>
      <c r="Y754" s="358"/>
      <c r="Z754" s="358"/>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c r="BR754" s="70"/>
      <c r="BS754" s="70"/>
      <c r="BT754" s="70"/>
      <c r="BU754" s="70"/>
      <c r="BV754" s="70"/>
      <c r="BW754" s="70"/>
      <c r="BX754" s="70"/>
      <c r="BY754" s="70"/>
      <c r="BZ754" s="70"/>
      <c r="CA754" s="70"/>
      <c r="CB754" s="70"/>
      <c r="CC754" s="70"/>
      <c r="CD754" s="70"/>
      <c r="CE754" s="70"/>
      <c r="CF754" s="70"/>
      <c r="CG754" s="70"/>
      <c r="CH754" s="70"/>
      <c r="CI754" s="70"/>
      <c r="CJ754" s="70"/>
      <c r="CK754" s="70"/>
      <c r="CL754" s="70"/>
      <c r="CM754" s="70"/>
      <c r="CN754" s="70"/>
      <c r="CO754" s="70"/>
      <c r="CP754" s="70"/>
      <c r="CQ754" s="70"/>
      <c r="CR754" s="70"/>
      <c r="CS754" s="70"/>
      <c r="CT754" s="70"/>
      <c r="CU754" s="70"/>
      <c r="CV754" s="70"/>
      <c r="CW754" s="70"/>
      <c r="CX754" s="70"/>
      <c r="CY754" s="70"/>
      <c r="CZ754" s="70"/>
      <c r="DA754" s="70"/>
      <c r="DB754" s="70"/>
      <c r="DC754" s="70"/>
      <c r="DD754" s="70"/>
      <c r="DE754" s="70"/>
      <c r="DF754" s="70"/>
      <c r="DG754" s="70"/>
      <c r="DH754" s="70"/>
      <c r="DI754" s="70"/>
      <c r="DJ754" s="70"/>
      <c r="DK754" s="70"/>
      <c r="DL754" s="70"/>
      <c r="DM754" s="70"/>
      <c r="DN754" s="70"/>
      <c r="DO754" s="70"/>
      <c r="DP754" s="70"/>
      <c r="DQ754" s="70"/>
      <c r="DR754" s="70"/>
      <c r="DS754" s="70"/>
      <c r="DT754" s="70"/>
      <c r="DU754" s="70"/>
      <c r="DV754" s="70"/>
      <c r="DW754" s="70"/>
      <c r="DX754" s="70"/>
      <c r="DY754" s="70"/>
      <c r="DZ754" s="70"/>
      <c r="EA754" s="70"/>
    </row>
    <row r="755" spans="1:131" s="43" customFormat="1" ht="34.5" customHeight="1" hidden="1">
      <c r="A755" s="138" t="s">
        <v>126</v>
      </c>
      <c r="B755" s="160"/>
      <c r="C755" s="160"/>
      <c r="D755" s="161">
        <f>D757</f>
        <v>588400</v>
      </c>
      <c r="E755" s="161"/>
      <c r="F755" s="161">
        <f>F757</f>
        <v>588400</v>
      </c>
      <c r="G755" s="161">
        <f>G757</f>
        <v>578000</v>
      </c>
      <c r="H755" s="161"/>
      <c r="I755" s="161">
        <f>3448484+120000</f>
        <v>3568484</v>
      </c>
      <c r="J755" s="161">
        <f>G755</f>
        <v>578000</v>
      </c>
      <c r="K755" s="161">
        <f>3448484+120000</f>
        <v>3568484</v>
      </c>
      <c r="L755" s="161">
        <f>3448484+120000</f>
        <v>3568484</v>
      </c>
      <c r="M755" s="161">
        <f>3448484+120000</f>
        <v>3568484</v>
      </c>
      <c r="N755" s="161"/>
      <c r="O755" s="161"/>
      <c r="P755" s="161">
        <f>N755</f>
        <v>0</v>
      </c>
      <c r="Q755" s="52"/>
      <c r="R755" s="357"/>
      <c r="S755" s="357"/>
      <c r="T755" s="357"/>
      <c r="U755" s="357"/>
      <c r="V755" s="357"/>
      <c r="W755" s="357"/>
      <c r="X755" s="357"/>
      <c r="Y755" s="357"/>
      <c r="Z755" s="357"/>
      <c r="AA755" s="52"/>
      <c r="AB755" s="52"/>
      <c r="AC755" s="52"/>
      <c r="AD755" s="52"/>
      <c r="AE755" s="52"/>
      <c r="AF755" s="52"/>
      <c r="AG755" s="52"/>
      <c r="AH755" s="52"/>
      <c r="AI755" s="52"/>
      <c r="AJ755" s="52"/>
      <c r="AK755" s="52"/>
      <c r="AL755" s="52"/>
      <c r="AM755" s="52"/>
      <c r="AN755" s="52"/>
      <c r="AO755" s="52"/>
      <c r="AP755" s="52"/>
      <c r="AQ755" s="52"/>
      <c r="AR755" s="52"/>
      <c r="AS755" s="52"/>
      <c r="AT755" s="52"/>
      <c r="AU755" s="52"/>
      <c r="AV755" s="52"/>
      <c r="AW755" s="52"/>
      <c r="AX755" s="52"/>
      <c r="AY755" s="52"/>
      <c r="AZ755" s="52"/>
      <c r="BA755" s="52"/>
      <c r="BB755" s="52"/>
      <c r="BC755" s="52"/>
      <c r="BD755" s="52"/>
      <c r="BE755" s="52"/>
      <c r="BF755" s="52"/>
      <c r="BG755" s="52"/>
      <c r="BH755" s="52"/>
      <c r="BI755" s="52"/>
      <c r="BJ755" s="52"/>
      <c r="BK755" s="52"/>
      <c r="BL755" s="52"/>
      <c r="BM755" s="52"/>
      <c r="BN755" s="52"/>
      <c r="BO755" s="52"/>
      <c r="BP755" s="52"/>
      <c r="BQ755" s="52"/>
      <c r="BR755" s="52"/>
      <c r="BS755" s="52"/>
      <c r="BT755" s="52"/>
      <c r="BU755" s="52"/>
      <c r="BV755" s="52"/>
      <c r="BW755" s="52"/>
      <c r="BX755" s="52"/>
      <c r="BY755" s="52"/>
      <c r="BZ755" s="52"/>
      <c r="CA755" s="52"/>
      <c r="CB755" s="52"/>
      <c r="CC755" s="52"/>
      <c r="CD755" s="52"/>
      <c r="CE755" s="52"/>
      <c r="CF755" s="52"/>
      <c r="CG755" s="52"/>
      <c r="CH755" s="52"/>
      <c r="CI755" s="52"/>
      <c r="CJ755" s="52"/>
      <c r="CK755" s="52"/>
      <c r="CL755" s="52"/>
      <c r="CM755" s="52"/>
      <c r="CN755" s="52"/>
      <c r="CO755" s="52"/>
      <c r="CP755" s="52"/>
      <c r="CQ755" s="52"/>
      <c r="CR755" s="52"/>
      <c r="CS755" s="52"/>
      <c r="CT755" s="52"/>
      <c r="CU755" s="52"/>
      <c r="CV755" s="52"/>
      <c r="CW755" s="52"/>
      <c r="CX755" s="52"/>
      <c r="CY755" s="52"/>
      <c r="CZ755" s="52"/>
      <c r="DA755" s="52"/>
      <c r="DB755" s="52"/>
      <c r="DC755" s="52"/>
      <c r="DD755" s="52"/>
      <c r="DE755" s="52"/>
      <c r="DF755" s="52"/>
      <c r="DG755" s="52"/>
      <c r="DH755" s="52"/>
      <c r="DI755" s="52"/>
      <c r="DJ755" s="52"/>
      <c r="DK755" s="52"/>
      <c r="DL755" s="52"/>
      <c r="DM755" s="52"/>
      <c r="DN755" s="52"/>
      <c r="DO755" s="52"/>
      <c r="DP755" s="52"/>
      <c r="DQ755" s="52"/>
      <c r="DR755" s="52"/>
      <c r="DS755" s="52"/>
      <c r="DT755" s="52"/>
      <c r="DU755" s="52"/>
      <c r="DV755" s="52"/>
      <c r="DW755" s="52"/>
      <c r="DX755" s="52"/>
      <c r="DY755" s="52"/>
      <c r="DZ755" s="52"/>
      <c r="EA755" s="52"/>
    </row>
    <row r="756" spans="1:16" ht="12" customHeight="1" hidden="1">
      <c r="A756" s="134" t="s">
        <v>184</v>
      </c>
      <c r="B756" s="165"/>
      <c r="C756" s="165"/>
      <c r="D756" s="132"/>
      <c r="E756" s="132"/>
      <c r="F756" s="132"/>
      <c r="G756" s="132"/>
      <c r="H756" s="132"/>
      <c r="I756" s="132"/>
      <c r="J756" s="132"/>
      <c r="K756" s="132"/>
      <c r="L756" s="132"/>
      <c r="M756" s="132"/>
      <c r="N756" s="132"/>
      <c r="O756" s="132"/>
      <c r="P756" s="132"/>
    </row>
    <row r="757" spans="1:16" ht="13.5" customHeight="1" hidden="1">
      <c r="A757" s="135" t="s">
        <v>205</v>
      </c>
      <c r="B757" s="165"/>
      <c r="C757" s="165"/>
      <c r="D757" s="132">
        <f>264000+269000+55400</f>
        <v>588400</v>
      </c>
      <c r="E757" s="132"/>
      <c r="F757" s="132">
        <f>D757</f>
        <v>588400</v>
      </c>
      <c r="G757" s="132">
        <f>276000+2000+300000</f>
        <v>578000</v>
      </c>
      <c r="H757" s="132"/>
      <c r="I757" s="132"/>
      <c r="J757" s="132">
        <f>SUM(G757)</f>
        <v>578000</v>
      </c>
      <c r="K757" s="132"/>
      <c r="L757" s="132"/>
      <c r="M757" s="132"/>
      <c r="N757" s="132"/>
      <c r="O757" s="132"/>
      <c r="P757" s="132">
        <f>N757</f>
        <v>0</v>
      </c>
    </row>
    <row r="758" spans="1:16" ht="12" customHeight="1" hidden="1">
      <c r="A758" s="134" t="s">
        <v>185</v>
      </c>
      <c r="B758" s="165"/>
      <c r="C758" s="165"/>
      <c r="D758" s="132"/>
      <c r="E758" s="132"/>
      <c r="F758" s="132"/>
      <c r="G758" s="132"/>
      <c r="H758" s="132"/>
      <c r="I758" s="132"/>
      <c r="J758" s="132"/>
      <c r="K758" s="132"/>
      <c r="L758" s="132"/>
      <c r="M758" s="132"/>
      <c r="N758" s="132"/>
      <c r="O758" s="132"/>
      <c r="P758" s="132"/>
    </row>
    <row r="759" spans="1:16" ht="25.5" hidden="1">
      <c r="A759" s="139" t="s">
        <v>154</v>
      </c>
      <c r="B759" s="165"/>
      <c r="C759" s="165"/>
      <c r="D759" s="132">
        <v>12</v>
      </c>
      <c r="E759" s="132"/>
      <c r="F759" s="132">
        <f>D759</f>
        <v>12</v>
      </c>
      <c r="G759" s="132">
        <v>12</v>
      </c>
      <c r="H759" s="132"/>
      <c r="I759" s="132"/>
      <c r="J759" s="132">
        <f>G759</f>
        <v>12</v>
      </c>
      <c r="K759" s="132"/>
      <c r="L759" s="132"/>
      <c r="M759" s="132"/>
      <c r="N759" s="132">
        <v>0</v>
      </c>
      <c r="O759" s="132"/>
      <c r="P759" s="132">
        <v>0</v>
      </c>
    </row>
    <row r="760" spans="1:16" ht="12.75" hidden="1">
      <c r="A760" s="134" t="s">
        <v>187</v>
      </c>
      <c r="B760" s="165"/>
      <c r="C760" s="165"/>
      <c r="D760" s="132"/>
      <c r="E760" s="132"/>
      <c r="F760" s="132"/>
      <c r="G760" s="132"/>
      <c r="H760" s="132"/>
      <c r="I760" s="132"/>
      <c r="J760" s="132"/>
      <c r="K760" s="132"/>
      <c r="L760" s="132"/>
      <c r="M760" s="132"/>
      <c r="N760" s="132"/>
      <c r="O760" s="132"/>
      <c r="P760" s="132"/>
    </row>
    <row r="761" spans="1:16" ht="25.5" hidden="1">
      <c r="A761" s="135" t="s">
        <v>301</v>
      </c>
      <c r="B761" s="165"/>
      <c r="C761" s="165"/>
      <c r="D761" s="132">
        <f>SUM(D757)/D759</f>
        <v>49033.333333333336</v>
      </c>
      <c r="E761" s="132"/>
      <c r="F761" s="132">
        <f>D761</f>
        <v>49033.333333333336</v>
      </c>
      <c r="G761" s="132">
        <f>SUM(G757)/G759</f>
        <v>48166.666666666664</v>
      </c>
      <c r="H761" s="132"/>
      <c r="I761" s="132"/>
      <c r="J761" s="132">
        <f>G761</f>
        <v>48166.666666666664</v>
      </c>
      <c r="K761" s="132"/>
      <c r="L761" s="132"/>
      <c r="M761" s="132"/>
      <c r="N761" s="132"/>
      <c r="O761" s="132"/>
      <c r="P761" s="132"/>
    </row>
    <row r="762" spans="1:131" s="37" customFormat="1" ht="27" hidden="1">
      <c r="A762" s="138" t="s">
        <v>82</v>
      </c>
      <c r="B762" s="163"/>
      <c r="C762" s="163"/>
      <c r="D762" s="161"/>
      <c r="E762" s="161"/>
      <c r="F762" s="161"/>
      <c r="G762" s="162"/>
      <c r="H762" s="162"/>
      <c r="I762" s="162"/>
      <c r="J762" s="162"/>
      <c r="K762" s="162"/>
      <c r="L762" s="162"/>
      <c r="M762" s="162"/>
      <c r="N762" s="162"/>
      <c r="O762" s="162"/>
      <c r="P762" s="162"/>
      <c r="Q762" s="36"/>
      <c r="R762" s="274"/>
      <c r="S762" s="274"/>
      <c r="T762" s="274"/>
      <c r="U762" s="274"/>
      <c r="V762" s="274"/>
      <c r="W762" s="274"/>
      <c r="X762" s="274"/>
      <c r="Y762" s="274"/>
      <c r="Z762" s="274"/>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c r="BT762" s="36"/>
      <c r="BU762" s="36"/>
      <c r="BV762" s="36"/>
      <c r="BW762" s="36"/>
      <c r="BX762" s="36"/>
      <c r="BY762" s="36"/>
      <c r="BZ762" s="36"/>
      <c r="CA762" s="36"/>
      <c r="CB762" s="36"/>
      <c r="CC762" s="36"/>
      <c r="CD762" s="36"/>
      <c r="CE762" s="36"/>
      <c r="CF762" s="36"/>
      <c r="CG762" s="36"/>
      <c r="CH762" s="36"/>
      <c r="CI762" s="36"/>
      <c r="CJ762" s="36"/>
      <c r="CK762" s="36"/>
      <c r="CL762" s="36"/>
      <c r="CM762" s="36"/>
      <c r="CN762" s="36"/>
      <c r="CO762" s="36"/>
      <c r="CP762" s="36"/>
      <c r="CQ762" s="36"/>
      <c r="CR762" s="36"/>
      <c r="CS762" s="36"/>
      <c r="CT762" s="36"/>
      <c r="CU762" s="36"/>
      <c r="CV762" s="36"/>
      <c r="CW762" s="36"/>
      <c r="CX762" s="36"/>
      <c r="CY762" s="36"/>
      <c r="CZ762" s="36"/>
      <c r="DA762" s="36"/>
      <c r="DB762" s="36"/>
      <c r="DC762" s="36"/>
      <c r="DD762" s="36"/>
      <c r="DE762" s="36"/>
      <c r="DF762" s="36"/>
      <c r="DG762" s="36"/>
      <c r="DH762" s="36"/>
      <c r="DI762" s="36"/>
      <c r="DJ762" s="36"/>
      <c r="DK762" s="36"/>
      <c r="DL762" s="36"/>
      <c r="DM762" s="36"/>
      <c r="DN762" s="36"/>
      <c r="DO762" s="36"/>
      <c r="DP762" s="36"/>
      <c r="DQ762" s="36"/>
      <c r="DR762" s="36"/>
      <c r="DS762" s="36"/>
      <c r="DT762" s="36"/>
      <c r="DU762" s="36"/>
      <c r="DV762" s="36"/>
      <c r="DW762" s="36"/>
      <c r="DX762" s="36"/>
      <c r="DY762" s="36"/>
      <c r="DZ762" s="36"/>
      <c r="EA762" s="36"/>
    </row>
    <row r="763" spans="1:16" ht="15.75" customHeight="1" hidden="1">
      <c r="A763" s="134" t="s">
        <v>184</v>
      </c>
      <c r="B763" s="165"/>
      <c r="C763" s="165"/>
      <c r="D763" s="132"/>
      <c r="E763" s="132"/>
      <c r="F763" s="132"/>
      <c r="G763" s="132"/>
      <c r="H763" s="132"/>
      <c r="I763" s="132"/>
      <c r="J763" s="132"/>
      <c r="K763" s="132"/>
      <c r="L763" s="132"/>
      <c r="M763" s="132"/>
      <c r="N763" s="132"/>
      <c r="O763" s="132"/>
      <c r="P763" s="132"/>
    </row>
    <row r="764" spans="1:16" ht="15.75" customHeight="1" hidden="1">
      <c r="A764" s="135" t="s">
        <v>205</v>
      </c>
      <c r="B764" s="165"/>
      <c r="C764" s="165"/>
      <c r="D764" s="132">
        <f>D762</f>
        <v>0</v>
      </c>
      <c r="E764" s="132"/>
      <c r="F764" s="132">
        <f>D764</f>
        <v>0</v>
      </c>
      <c r="G764" s="132"/>
      <c r="H764" s="132"/>
      <c r="I764" s="132"/>
      <c r="J764" s="132"/>
      <c r="K764" s="132"/>
      <c r="L764" s="132"/>
      <c r="M764" s="132"/>
      <c r="N764" s="132"/>
      <c r="O764" s="132"/>
      <c r="P764" s="132"/>
    </row>
    <row r="765" spans="1:131" s="37" customFormat="1" ht="27" hidden="1">
      <c r="A765" s="138" t="s">
        <v>83</v>
      </c>
      <c r="B765" s="163"/>
      <c r="C765" s="163"/>
      <c r="D765" s="161"/>
      <c r="E765" s="161"/>
      <c r="F765" s="161">
        <f>D765</f>
        <v>0</v>
      </c>
      <c r="G765" s="162"/>
      <c r="H765" s="162"/>
      <c r="I765" s="162"/>
      <c r="J765" s="162"/>
      <c r="K765" s="162"/>
      <c r="L765" s="162"/>
      <c r="M765" s="162"/>
      <c r="N765" s="162"/>
      <c r="O765" s="162"/>
      <c r="P765" s="162"/>
      <c r="Q765" s="36"/>
      <c r="R765" s="274"/>
      <c r="S765" s="274"/>
      <c r="T765" s="274"/>
      <c r="U765" s="274"/>
      <c r="V765" s="274"/>
      <c r="W765" s="274"/>
      <c r="X765" s="274"/>
      <c r="Y765" s="274"/>
      <c r="Z765" s="274"/>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c r="BF765" s="36"/>
      <c r="BG765" s="36"/>
      <c r="BH765" s="36"/>
      <c r="BI765" s="36"/>
      <c r="BJ765" s="36"/>
      <c r="BK765" s="36"/>
      <c r="BL765" s="36"/>
      <c r="BM765" s="36"/>
      <c r="BN765" s="36"/>
      <c r="BO765" s="36"/>
      <c r="BP765" s="36"/>
      <c r="BQ765" s="36"/>
      <c r="BR765" s="36"/>
      <c r="BS765" s="36"/>
      <c r="BT765" s="36"/>
      <c r="BU765" s="36"/>
      <c r="BV765" s="36"/>
      <c r="BW765" s="36"/>
      <c r="BX765" s="36"/>
      <c r="BY765" s="36"/>
      <c r="BZ765" s="36"/>
      <c r="CA765" s="36"/>
      <c r="CB765" s="36"/>
      <c r="CC765" s="36"/>
      <c r="CD765" s="36"/>
      <c r="CE765" s="36"/>
      <c r="CF765" s="36"/>
      <c r="CG765" s="36"/>
      <c r="CH765" s="36"/>
      <c r="CI765" s="36"/>
      <c r="CJ765" s="36"/>
      <c r="CK765" s="36"/>
      <c r="CL765" s="36"/>
      <c r="CM765" s="36"/>
      <c r="CN765" s="36"/>
      <c r="CO765" s="36"/>
      <c r="CP765" s="36"/>
      <c r="CQ765" s="36"/>
      <c r="CR765" s="36"/>
      <c r="CS765" s="36"/>
      <c r="CT765" s="36"/>
      <c r="CU765" s="36"/>
      <c r="CV765" s="36"/>
      <c r="CW765" s="36"/>
      <c r="CX765" s="36"/>
      <c r="CY765" s="36"/>
      <c r="CZ765" s="36"/>
      <c r="DA765" s="36"/>
      <c r="DB765" s="36"/>
      <c r="DC765" s="36"/>
      <c r="DD765" s="36"/>
      <c r="DE765" s="36"/>
      <c r="DF765" s="36"/>
      <c r="DG765" s="36"/>
      <c r="DH765" s="36"/>
      <c r="DI765" s="36"/>
      <c r="DJ765" s="36"/>
      <c r="DK765" s="36"/>
      <c r="DL765" s="36"/>
      <c r="DM765" s="36"/>
      <c r="DN765" s="36"/>
      <c r="DO765" s="36"/>
      <c r="DP765" s="36"/>
      <c r="DQ765" s="36"/>
      <c r="DR765" s="36"/>
      <c r="DS765" s="36"/>
      <c r="DT765" s="36"/>
      <c r="DU765" s="36"/>
      <c r="DV765" s="36"/>
      <c r="DW765" s="36"/>
      <c r="DX765" s="36"/>
      <c r="DY765" s="36"/>
      <c r="DZ765" s="36"/>
      <c r="EA765" s="36"/>
    </row>
    <row r="766" spans="1:16" ht="15.75" customHeight="1" hidden="1">
      <c r="A766" s="134" t="s">
        <v>184</v>
      </c>
      <c r="B766" s="165"/>
      <c r="C766" s="165"/>
      <c r="D766" s="132"/>
      <c r="E766" s="132"/>
      <c r="F766" s="132"/>
      <c r="G766" s="132"/>
      <c r="H766" s="132"/>
      <c r="I766" s="132"/>
      <c r="J766" s="132"/>
      <c r="K766" s="132"/>
      <c r="L766" s="132"/>
      <c r="M766" s="132"/>
      <c r="N766" s="132"/>
      <c r="O766" s="132"/>
      <c r="P766" s="132"/>
    </row>
    <row r="767" spans="1:16" ht="15.75" customHeight="1" hidden="1">
      <c r="A767" s="135" t="s">
        <v>205</v>
      </c>
      <c r="B767" s="165"/>
      <c r="C767" s="165"/>
      <c r="D767" s="132"/>
      <c r="E767" s="132"/>
      <c r="F767" s="132">
        <f>D767</f>
        <v>0</v>
      </c>
      <c r="G767" s="132"/>
      <c r="H767" s="132"/>
      <c r="I767" s="132"/>
      <c r="J767" s="132"/>
      <c r="K767" s="132"/>
      <c r="L767" s="132"/>
      <c r="M767" s="132"/>
      <c r="N767" s="132"/>
      <c r="O767" s="132"/>
      <c r="P767" s="132"/>
    </row>
    <row r="768" spans="1:131" s="43" customFormat="1" ht="15" customHeight="1" hidden="1">
      <c r="A768" s="138" t="s">
        <v>84</v>
      </c>
      <c r="B768" s="160"/>
      <c r="C768" s="160"/>
      <c r="D768" s="169">
        <f>500000-55400-444600</f>
        <v>0</v>
      </c>
      <c r="E768" s="169"/>
      <c r="F768" s="169">
        <f>D768</f>
        <v>0</v>
      </c>
      <c r="G768" s="169">
        <f>500000-374000</f>
        <v>126000</v>
      </c>
      <c r="H768" s="169"/>
      <c r="I768" s="169"/>
      <c r="J768" s="169">
        <f>G768+H768</f>
        <v>126000</v>
      </c>
      <c r="K768" s="161"/>
      <c r="L768" s="161"/>
      <c r="M768" s="161"/>
      <c r="N768" s="169"/>
      <c r="O768" s="169"/>
      <c r="P768" s="169">
        <f>N768+O768</f>
        <v>0</v>
      </c>
      <c r="Q768" s="52"/>
      <c r="R768" s="357"/>
      <c r="S768" s="357"/>
      <c r="T768" s="357"/>
      <c r="U768" s="357"/>
      <c r="V768" s="357"/>
      <c r="W768" s="357"/>
      <c r="X768" s="357"/>
      <c r="Y768" s="357"/>
      <c r="Z768" s="357"/>
      <c r="AA768" s="52"/>
      <c r="AB768" s="52"/>
      <c r="AC768" s="52"/>
      <c r="AD768" s="52"/>
      <c r="AE768" s="52"/>
      <c r="AF768" s="52"/>
      <c r="AG768" s="52"/>
      <c r="AH768" s="52"/>
      <c r="AI768" s="52"/>
      <c r="AJ768" s="52"/>
      <c r="AK768" s="52"/>
      <c r="AL768" s="52"/>
      <c r="AM768" s="52"/>
      <c r="AN768" s="52"/>
      <c r="AO768" s="52"/>
      <c r="AP768" s="52"/>
      <c r="AQ768" s="52"/>
      <c r="AR768" s="52"/>
      <c r="AS768" s="52"/>
      <c r="AT768" s="52"/>
      <c r="AU768" s="52"/>
      <c r="AV768" s="52"/>
      <c r="AW768" s="52"/>
      <c r="AX768" s="52"/>
      <c r="AY768" s="52"/>
      <c r="AZ768" s="52"/>
      <c r="BA768" s="52"/>
      <c r="BB768" s="52"/>
      <c r="BC768" s="52"/>
      <c r="BD768" s="52"/>
      <c r="BE768" s="52"/>
      <c r="BF768" s="52"/>
      <c r="BG768" s="52"/>
      <c r="BH768" s="52"/>
      <c r="BI768" s="52"/>
      <c r="BJ768" s="52"/>
      <c r="BK768" s="52"/>
      <c r="BL768" s="52"/>
      <c r="BM768" s="52"/>
      <c r="BN768" s="52"/>
      <c r="BO768" s="52"/>
      <c r="BP768" s="52"/>
      <c r="BQ768" s="52"/>
      <c r="BR768" s="52"/>
      <c r="BS768" s="52"/>
      <c r="BT768" s="52"/>
      <c r="BU768" s="52"/>
      <c r="BV768" s="52"/>
      <c r="BW768" s="52"/>
      <c r="BX768" s="52"/>
      <c r="BY768" s="52"/>
      <c r="BZ768" s="52"/>
      <c r="CA768" s="52"/>
      <c r="CB768" s="52"/>
      <c r="CC768" s="52"/>
      <c r="CD768" s="52"/>
      <c r="CE768" s="52"/>
      <c r="CF768" s="52"/>
      <c r="CG768" s="52"/>
      <c r="CH768" s="52"/>
      <c r="CI768" s="52"/>
      <c r="CJ768" s="52"/>
      <c r="CK768" s="52"/>
      <c r="CL768" s="52"/>
      <c r="CM768" s="52"/>
      <c r="CN768" s="52"/>
      <c r="CO768" s="52"/>
      <c r="CP768" s="52"/>
      <c r="CQ768" s="52"/>
      <c r="CR768" s="52"/>
      <c r="CS768" s="52"/>
      <c r="CT768" s="52"/>
      <c r="CU768" s="52"/>
      <c r="CV768" s="52"/>
      <c r="CW768" s="52"/>
      <c r="CX768" s="52"/>
      <c r="CY768" s="52"/>
      <c r="CZ768" s="52"/>
      <c r="DA768" s="52"/>
      <c r="DB768" s="52"/>
      <c r="DC768" s="52"/>
      <c r="DD768" s="52"/>
      <c r="DE768" s="52"/>
      <c r="DF768" s="52"/>
      <c r="DG768" s="52"/>
      <c r="DH768" s="52"/>
      <c r="DI768" s="52"/>
      <c r="DJ768" s="52"/>
      <c r="DK768" s="52"/>
      <c r="DL768" s="52"/>
      <c r="DM768" s="52"/>
      <c r="DN768" s="52"/>
      <c r="DO768" s="52"/>
      <c r="DP768" s="52"/>
      <c r="DQ768" s="52"/>
      <c r="DR768" s="52"/>
      <c r="DS768" s="52"/>
      <c r="DT768" s="52"/>
      <c r="DU768" s="52"/>
      <c r="DV768" s="52"/>
      <c r="DW768" s="52"/>
      <c r="DX768" s="52"/>
      <c r="DY768" s="52"/>
      <c r="DZ768" s="52"/>
      <c r="EA768" s="52"/>
    </row>
    <row r="769" spans="1:16" ht="12" customHeight="1" hidden="1">
      <c r="A769" s="134" t="s">
        <v>184</v>
      </c>
      <c r="B769" s="165"/>
      <c r="C769" s="165"/>
      <c r="D769" s="132"/>
      <c r="E769" s="132"/>
      <c r="F769" s="132"/>
      <c r="G769" s="132"/>
      <c r="H769" s="132"/>
      <c r="I769" s="132"/>
      <c r="J769" s="162"/>
      <c r="K769" s="132"/>
      <c r="L769" s="132"/>
      <c r="M769" s="132"/>
      <c r="N769" s="132"/>
      <c r="O769" s="132"/>
      <c r="P769" s="182"/>
    </row>
    <row r="770" spans="1:16" ht="12" customHeight="1" hidden="1">
      <c r="A770" s="135" t="s">
        <v>205</v>
      </c>
      <c r="B770" s="165"/>
      <c r="C770" s="165"/>
      <c r="D770" s="132">
        <f>D768</f>
        <v>0</v>
      </c>
      <c r="E770" s="132"/>
      <c r="F770" s="132">
        <f>D770</f>
        <v>0</v>
      </c>
      <c r="G770" s="132">
        <f>G768</f>
        <v>126000</v>
      </c>
      <c r="H770" s="132"/>
      <c r="I770" s="132"/>
      <c r="J770" s="162">
        <f aca="true" t="shared" si="56" ref="J770:J775">G770+H770</f>
        <v>126000</v>
      </c>
      <c r="K770" s="132"/>
      <c r="L770" s="132"/>
      <c r="M770" s="132"/>
      <c r="N770" s="132">
        <f>N768</f>
        <v>0</v>
      </c>
      <c r="O770" s="132"/>
      <c r="P770" s="182">
        <f aca="true" t="shared" si="57" ref="P770:P775">N770+O770</f>
        <v>0</v>
      </c>
    </row>
    <row r="771" spans="1:16" ht="12" customHeight="1" hidden="1">
      <c r="A771" s="134" t="s">
        <v>185</v>
      </c>
      <c r="B771" s="165"/>
      <c r="C771" s="165"/>
      <c r="D771" s="132"/>
      <c r="E771" s="132"/>
      <c r="F771" s="132"/>
      <c r="G771" s="132"/>
      <c r="H771" s="132"/>
      <c r="I771" s="132"/>
      <c r="J771" s="162"/>
      <c r="K771" s="132"/>
      <c r="L771" s="132"/>
      <c r="M771" s="132"/>
      <c r="N771" s="132"/>
      <c r="O771" s="132"/>
      <c r="P771" s="182"/>
    </row>
    <row r="772" spans="1:16" ht="12.75" hidden="1">
      <c r="A772" s="135" t="s">
        <v>169</v>
      </c>
      <c r="B772" s="165"/>
      <c r="C772" s="165"/>
      <c r="D772" s="167">
        <v>0</v>
      </c>
      <c r="E772" s="167"/>
      <c r="F772" s="167">
        <v>57</v>
      </c>
      <c r="G772" s="167">
        <v>27</v>
      </c>
      <c r="H772" s="167"/>
      <c r="I772" s="167"/>
      <c r="J772" s="170">
        <f t="shared" si="56"/>
        <v>27</v>
      </c>
      <c r="K772" s="167"/>
      <c r="L772" s="167"/>
      <c r="M772" s="167"/>
      <c r="N772" s="167"/>
      <c r="O772" s="167"/>
      <c r="P772" s="281">
        <f t="shared" si="57"/>
        <v>0</v>
      </c>
    </row>
    <row r="773" spans="1:16" ht="15.75" customHeight="1" hidden="1">
      <c r="A773" s="135" t="s">
        <v>256</v>
      </c>
      <c r="B773" s="165"/>
      <c r="C773" s="165"/>
      <c r="D773" s="132">
        <v>0</v>
      </c>
      <c r="E773" s="132"/>
      <c r="F773" s="132">
        <f>D773</f>
        <v>0</v>
      </c>
      <c r="G773" s="132">
        <v>27</v>
      </c>
      <c r="H773" s="132"/>
      <c r="I773" s="132"/>
      <c r="J773" s="162">
        <f t="shared" si="56"/>
        <v>27</v>
      </c>
      <c r="K773" s="132"/>
      <c r="L773" s="132"/>
      <c r="M773" s="132"/>
      <c r="N773" s="132"/>
      <c r="O773" s="132"/>
      <c r="P773" s="182">
        <f t="shared" si="57"/>
        <v>0</v>
      </c>
    </row>
    <row r="774" spans="1:16" ht="12.75" customHeight="1" hidden="1">
      <c r="A774" s="134" t="s">
        <v>187</v>
      </c>
      <c r="B774" s="165"/>
      <c r="C774" s="165"/>
      <c r="D774" s="132"/>
      <c r="E774" s="132"/>
      <c r="F774" s="132"/>
      <c r="G774" s="132"/>
      <c r="H774" s="132"/>
      <c r="I774" s="132"/>
      <c r="J774" s="162"/>
      <c r="K774" s="132"/>
      <c r="L774" s="132"/>
      <c r="M774" s="132"/>
      <c r="N774" s="132"/>
      <c r="O774" s="132"/>
      <c r="P774" s="182"/>
    </row>
    <row r="775" spans="1:16" ht="17.25" customHeight="1" hidden="1">
      <c r="A775" s="135" t="s">
        <v>257</v>
      </c>
      <c r="B775" s="165"/>
      <c r="C775" s="165"/>
      <c r="D775" s="132">
        <v>0</v>
      </c>
      <c r="E775" s="132"/>
      <c r="F775" s="132">
        <f>D775</f>
        <v>0</v>
      </c>
      <c r="G775" s="132">
        <v>1950.89</v>
      </c>
      <c r="H775" s="132"/>
      <c r="I775" s="132"/>
      <c r="J775" s="162">
        <f t="shared" si="56"/>
        <v>1950.89</v>
      </c>
      <c r="K775" s="132"/>
      <c r="L775" s="132"/>
      <c r="M775" s="132"/>
      <c r="N775" s="132"/>
      <c r="O775" s="132"/>
      <c r="P775" s="182">
        <f t="shared" si="57"/>
        <v>0</v>
      </c>
    </row>
    <row r="776" spans="1:131" s="43" customFormat="1" ht="30.75" customHeight="1" hidden="1">
      <c r="A776" s="138" t="s">
        <v>85</v>
      </c>
      <c r="B776" s="160"/>
      <c r="C776" s="160"/>
      <c r="D776" s="161">
        <f>600000-389000-11000</f>
        <v>200000</v>
      </c>
      <c r="E776" s="161"/>
      <c r="F776" s="161">
        <f>D776</f>
        <v>200000</v>
      </c>
      <c r="G776" s="161">
        <v>600000</v>
      </c>
      <c r="H776" s="161"/>
      <c r="I776" s="161"/>
      <c r="J776" s="161">
        <f>G776+H776</f>
        <v>600000</v>
      </c>
      <c r="K776" s="161"/>
      <c r="L776" s="161"/>
      <c r="M776" s="161"/>
      <c r="N776" s="161">
        <v>634200</v>
      </c>
      <c r="O776" s="161"/>
      <c r="P776" s="161">
        <f>M776+N776</f>
        <v>634200</v>
      </c>
      <c r="Q776" s="52"/>
      <c r="R776" s="357"/>
      <c r="S776" s="357"/>
      <c r="T776" s="357"/>
      <c r="U776" s="357"/>
      <c r="V776" s="357"/>
      <c r="W776" s="357"/>
      <c r="X776" s="357"/>
      <c r="Y776" s="357"/>
      <c r="Z776" s="357"/>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c r="BA776" s="52"/>
      <c r="BB776" s="52"/>
      <c r="BC776" s="52"/>
      <c r="BD776" s="52"/>
      <c r="BE776" s="52"/>
      <c r="BF776" s="52"/>
      <c r="BG776" s="52"/>
      <c r="BH776" s="52"/>
      <c r="BI776" s="52"/>
      <c r="BJ776" s="52"/>
      <c r="BK776" s="52"/>
      <c r="BL776" s="52"/>
      <c r="BM776" s="52"/>
      <c r="BN776" s="52"/>
      <c r="BO776" s="52"/>
      <c r="BP776" s="52"/>
      <c r="BQ776" s="52"/>
      <c r="BR776" s="52"/>
      <c r="BS776" s="52"/>
      <c r="BT776" s="52"/>
      <c r="BU776" s="52"/>
      <c r="BV776" s="52"/>
      <c r="BW776" s="52"/>
      <c r="BX776" s="52"/>
      <c r="BY776" s="52"/>
      <c r="BZ776" s="52"/>
      <c r="CA776" s="52"/>
      <c r="CB776" s="52"/>
      <c r="CC776" s="52"/>
      <c r="CD776" s="52"/>
      <c r="CE776" s="52"/>
      <c r="CF776" s="52"/>
      <c r="CG776" s="52"/>
      <c r="CH776" s="52"/>
      <c r="CI776" s="52"/>
      <c r="CJ776" s="52"/>
      <c r="CK776" s="52"/>
      <c r="CL776" s="52"/>
      <c r="CM776" s="52"/>
      <c r="CN776" s="52"/>
      <c r="CO776" s="52"/>
      <c r="CP776" s="52"/>
      <c r="CQ776" s="52"/>
      <c r="CR776" s="52"/>
      <c r="CS776" s="52"/>
      <c r="CT776" s="52"/>
      <c r="CU776" s="52"/>
      <c r="CV776" s="52"/>
      <c r="CW776" s="52"/>
      <c r="CX776" s="52"/>
      <c r="CY776" s="52"/>
      <c r="CZ776" s="52"/>
      <c r="DA776" s="52"/>
      <c r="DB776" s="52"/>
      <c r="DC776" s="52"/>
      <c r="DD776" s="52"/>
      <c r="DE776" s="52"/>
      <c r="DF776" s="52"/>
      <c r="DG776" s="52"/>
      <c r="DH776" s="52"/>
      <c r="DI776" s="52"/>
      <c r="DJ776" s="52"/>
      <c r="DK776" s="52"/>
      <c r="DL776" s="52"/>
      <c r="DM776" s="52"/>
      <c r="DN776" s="52"/>
      <c r="DO776" s="52"/>
      <c r="DP776" s="52"/>
      <c r="DQ776" s="52"/>
      <c r="DR776" s="52"/>
      <c r="DS776" s="52"/>
      <c r="DT776" s="52"/>
      <c r="DU776" s="52"/>
      <c r="DV776" s="52"/>
      <c r="DW776" s="52"/>
      <c r="DX776" s="52"/>
      <c r="DY776" s="52"/>
      <c r="DZ776" s="52"/>
      <c r="EA776" s="52"/>
    </row>
    <row r="777" spans="1:16" ht="11.25" customHeight="1" hidden="1">
      <c r="A777" s="134" t="s">
        <v>184</v>
      </c>
      <c r="B777" s="165"/>
      <c r="C777" s="165"/>
      <c r="D777" s="132"/>
      <c r="E777" s="132"/>
      <c r="F777" s="132"/>
      <c r="G777" s="132"/>
      <c r="H777" s="132"/>
      <c r="I777" s="132"/>
      <c r="J777" s="182"/>
      <c r="K777" s="132"/>
      <c r="L777" s="132"/>
      <c r="M777" s="132"/>
      <c r="N777" s="132"/>
      <c r="O777" s="132"/>
      <c r="P777" s="245"/>
    </row>
    <row r="778" spans="1:16" ht="14.25" customHeight="1" hidden="1">
      <c r="A778" s="135" t="s">
        <v>205</v>
      </c>
      <c r="B778" s="165"/>
      <c r="C778" s="165"/>
      <c r="D778" s="132">
        <f>D776</f>
        <v>200000</v>
      </c>
      <c r="E778" s="132"/>
      <c r="F778" s="132">
        <f>D778+E778</f>
        <v>200000</v>
      </c>
      <c r="G778" s="132">
        <f>G776</f>
        <v>600000</v>
      </c>
      <c r="H778" s="132"/>
      <c r="I778" s="132"/>
      <c r="J778" s="182">
        <f>G778+H778</f>
        <v>600000</v>
      </c>
      <c r="K778" s="132"/>
      <c r="L778" s="132"/>
      <c r="M778" s="132"/>
      <c r="N778" s="132">
        <f>N776</f>
        <v>634200</v>
      </c>
      <c r="O778" s="132"/>
      <c r="P778" s="245">
        <f>M778+N778</f>
        <v>634200</v>
      </c>
    </row>
    <row r="779" spans="1:16" ht="10.5" customHeight="1" hidden="1">
      <c r="A779" s="134" t="s">
        <v>185</v>
      </c>
      <c r="B779" s="165"/>
      <c r="C779" s="165"/>
      <c r="D779" s="132"/>
      <c r="E779" s="132"/>
      <c r="F779" s="132"/>
      <c r="G779" s="132"/>
      <c r="H779" s="132"/>
      <c r="I779" s="132"/>
      <c r="J779" s="182"/>
      <c r="K779" s="132"/>
      <c r="L779" s="132"/>
      <c r="M779" s="132"/>
      <c r="N779" s="132"/>
      <c r="O779" s="132"/>
      <c r="P779" s="245"/>
    </row>
    <row r="780" spans="1:16" ht="12.75" hidden="1">
      <c r="A780" s="135" t="s">
        <v>259</v>
      </c>
      <c r="B780" s="165"/>
      <c r="C780" s="165"/>
      <c r="D780" s="167">
        <v>55</v>
      </c>
      <c r="E780" s="167"/>
      <c r="F780" s="167">
        <f>D780</f>
        <v>55</v>
      </c>
      <c r="G780" s="167">
        <v>200</v>
      </c>
      <c r="H780" s="167"/>
      <c r="I780" s="167"/>
      <c r="J780" s="281">
        <f>G780+H780</f>
        <v>200</v>
      </c>
      <c r="K780" s="167"/>
      <c r="L780" s="167"/>
      <c r="M780" s="167"/>
      <c r="N780" s="167">
        <v>200</v>
      </c>
      <c r="O780" s="167"/>
      <c r="P780" s="256">
        <f>M780+N780</f>
        <v>200</v>
      </c>
    </row>
    <row r="781" spans="1:16" ht="12.75" hidden="1">
      <c r="A781" s="134" t="s">
        <v>187</v>
      </c>
      <c r="B781" s="165"/>
      <c r="C781" s="165"/>
      <c r="D781" s="132"/>
      <c r="E781" s="132"/>
      <c r="F781" s="132"/>
      <c r="G781" s="132"/>
      <c r="H781" s="132"/>
      <c r="I781" s="132"/>
      <c r="J781" s="182"/>
      <c r="K781" s="132"/>
      <c r="L781" s="132"/>
      <c r="M781" s="132"/>
      <c r="N781" s="132"/>
      <c r="O781" s="132"/>
      <c r="P781" s="245"/>
    </row>
    <row r="782" spans="1:16" ht="12.75" hidden="1">
      <c r="A782" s="135" t="s">
        <v>260</v>
      </c>
      <c r="B782" s="165"/>
      <c r="C782" s="165"/>
      <c r="D782" s="132">
        <f>D778/D780</f>
        <v>3636.3636363636365</v>
      </c>
      <c r="E782" s="132"/>
      <c r="F782" s="132">
        <f>D782</f>
        <v>3636.3636363636365</v>
      </c>
      <c r="G782" s="132">
        <f>G778/G780</f>
        <v>3000</v>
      </c>
      <c r="H782" s="132"/>
      <c r="I782" s="132"/>
      <c r="J782" s="182">
        <f>G782+H782</f>
        <v>3000</v>
      </c>
      <c r="K782" s="132"/>
      <c r="L782" s="132"/>
      <c r="M782" s="132"/>
      <c r="N782" s="132">
        <f>N778/N780</f>
        <v>3171</v>
      </c>
      <c r="O782" s="132"/>
      <c r="P782" s="245">
        <f>M782+N782</f>
        <v>3171</v>
      </c>
    </row>
    <row r="783" spans="1:131" s="43" customFormat="1" ht="27" hidden="1">
      <c r="A783" s="138" t="s">
        <v>173</v>
      </c>
      <c r="B783" s="160"/>
      <c r="C783" s="160"/>
      <c r="D783" s="161">
        <f>350000-271000-100</f>
        <v>78900</v>
      </c>
      <c r="E783" s="161"/>
      <c r="F783" s="161">
        <f>D783+E783</f>
        <v>78900</v>
      </c>
      <c r="G783" s="161">
        <f>371700-271700</f>
        <v>100000</v>
      </c>
      <c r="H783" s="161"/>
      <c r="I783" s="161"/>
      <c r="J783" s="161">
        <f>G783+H783</f>
        <v>100000</v>
      </c>
      <c r="K783" s="161"/>
      <c r="L783" s="161"/>
      <c r="M783" s="161"/>
      <c r="N783" s="161">
        <v>393000</v>
      </c>
      <c r="O783" s="161"/>
      <c r="P783" s="161">
        <f>M783+N783</f>
        <v>393000</v>
      </c>
      <c r="Q783" s="52"/>
      <c r="R783" s="357"/>
      <c r="S783" s="357"/>
      <c r="T783" s="357"/>
      <c r="U783" s="357"/>
      <c r="V783" s="357"/>
      <c r="W783" s="357"/>
      <c r="X783" s="357"/>
      <c r="Y783" s="357"/>
      <c r="Z783" s="357"/>
      <c r="AA783" s="52"/>
      <c r="AB783" s="52"/>
      <c r="AC783" s="52"/>
      <c r="AD783" s="52"/>
      <c r="AE783" s="52"/>
      <c r="AF783" s="52"/>
      <c r="AG783" s="52"/>
      <c r="AH783" s="52"/>
      <c r="AI783" s="52"/>
      <c r="AJ783" s="52"/>
      <c r="AK783" s="52"/>
      <c r="AL783" s="52"/>
      <c r="AM783" s="52"/>
      <c r="AN783" s="52"/>
      <c r="AO783" s="52"/>
      <c r="AP783" s="52"/>
      <c r="AQ783" s="52"/>
      <c r="AR783" s="52"/>
      <c r="AS783" s="52"/>
      <c r="AT783" s="52"/>
      <c r="AU783" s="52"/>
      <c r="AV783" s="52"/>
      <c r="AW783" s="52"/>
      <c r="AX783" s="52"/>
      <c r="AY783" s="52"/>
      <c r="AZ783" s="52"/>
      <c r="BA783" s="52"/>
      <c r="BB783" s="52"/>
      <c r="BC783" s="52"/>
      <c r="BD783" s="52"/>
      <c r="BE783" s="52"/>
      <c r="BF783" s="52"/>
      <c r="BG783" s="52"/>
      <c r="BH783" s="52"/>
      <c r="BI783" s="52"/>
      <c r="BJ783" s="52"/>
      <c r="BK783" s="52"/>
      <c r="BL783" s="52"/>
      <c r="BM783" s="52"/>
      <c r="BN783" s="52"/>
      <c r="BO783" s="52"/>
      <c r="BP783" s="52"/>
      <c r="BQ783" s="52"/>
      <c r="BR783" s="52"/>
      <c r="BS783" s="52"/>
      <c r="BT783" s="52"/>
      <c r="BU783" s="52"/>
      <c r="BV783" s="52"/>
      <c r="BW783" s="52"/>
      <c r="BX783" s="52"/>
      <c r="BY783" s="52"/>
      <c r="BZ783" s="52"/>
      <c r="CA783" s="52"/>
      <c r="CB783" s="52"/>
      <c r="CC783" s="52"/>
      <c r="CD783" s="52"/>
      <c r="CE783" s="52"/>
      <c r="CF783" s="52"/>
      <c r="CG783" s="52"/>
      <c r="CH783" s="52"/>
      <c r="CI783" s="52"/>
      <c r="CJ783" s="52"/>
      <c r="CK783" s="52"/>
      <c r="CL783" s="52"/>
      <c r="CM783" s="52"/>
      <c r="CN783" s="52"/>
      <c r="CO783" s="52"/>
      <c r="CP783" s="52"/>
      <c r="CQ783" s="52"/>
      <c r="CR783" s="52"/>
      <c r="CS783" s="52"/>
      <c r="CT783" s="52"/>
      <c r="CU783" s="52"/>
      <c r="CV783" s="52"/>
      <c r="CW783" s="52"/>
      <c r="CX783" s="52"/>
      <c r="CY783" s="52"/>
      <c r="CZ783" s="52"/>
      <c r="DA783" s="52"/>
      <c r="DB783" s="52"/>
      <c r="DC783" s="52"/>
      <c r="DD783" s="52"/>
      <c r="DE783" s="52"/>
      <c r="DF783" s="52"/>
      <c r="DG783" s="52"/>
      <c r="DH783" s="52"/>
      <c r="DI783" s="52"/>
      <c r="DJ783" s="52"/>
      <c r="DK783" s="52"/>
      <c r="DL783" s="52"/>
      <c r="DM783" s="52"/>
      <c r="DN783" s="52"/>
      <c r="DO783" s="52"/>
      <c r="DP783" s="52"/>
      <c r="DQ783" s="52"/>
      <c r="DR783" s="52"/>
      <c r="DS783" s="52"/>
      <c r="DT783" s="52"/>
      <c r="DU783" s="52"/>
      <c r="DV783" s="52"/>
      <c r="DW783" s="52"/>
      <c r="DX783" s="52"/>
      <c r="DY783" s="52"/>
      <c r="DZ783" s="52"/>
      <c r="EA783" s="52"/>
    </row>
    <row r="784" spans="1:16" ht="12.75" hidden="1">
      <c r="A784" s="134" t="s">
        <v>184</v>
      </c>
      <c r="B784" s="165"/>
      <c r="C784" s="165"/>
      <c r="D784" s="132"/>
      <c r="E784" s="132"/>
      <c r="F784" s="132"/>
      <c r="G784" s="132"/>
      <c r="H784" s="132"/>
      <c r="I784" s="132"/>
      <c r="J784" s="182"/>
      <c r="K784" s="132"/>
      <c r="L784" s="132"/>
      <c r="M784" s="132"/>
      <c r="N784" s="132"/>
      <c r="O784" s="132"/>
      <c r="P784" s="245">
        <f aca="true" t="shared" si="58" ref="P784:P790">M784+N784</f>
        <v>0</v>
      </c>
    </row>
    <row r="785" spans="1:16" ht="12.75" hidden="1">
      <c r="A785" s="135" t="s">
        <v>170</v>
      </c>
      <c r="B785" s="165"/>
      <c r="C785" s="165"/>
      <c r="D785" s="132">
        <f>D783</f>
        <v>78900</v>
      </c>
      <c r="E785" s="132">
        <f>E783</f>
        <v>0</v>
      </c>
      <c r="F785" s="132">
        <f>D785+E785</f>
        <v>78900</v>
      </c>
      <c r="G785" s="132">
        <f>G783</f>
        <v>100000</v>
      </c>
      <c r="H785" s="132"/>
      <c r="I785" s="132"/>
      <c r="J785" s="182">
        <f aca="true" t="shared" si="59" ref="J785:J797">G785+H785</f>
        <v>100000</v>
      </c>
      <c r="K785" s="132"/>
      <c r="L785" s="132"/>
      <c r="M785" s="132"/>
      <c r="N785" s="132">
        <f>N783</f>
        <v>393000</v>
      </c>
      <c r="O785" s="132"/>
      <c r="P785" s="132">
        <f t="shared" si="58"/>
        <v>393000</v>
      </c>
    </row>
    <row r="786" spans="1:16" ht="12.75" hidden="1">
      <c r="A786" s="134" t="s">
        <v>185</v>
      </c>
      <c r="B786" s="165"/>
      <c r="C786" s="165"/>
      <c r="D786" s="132"/>
      <c r="E786" s="132"/>
      <c r="F786" s="132"/>
      <c r="G786" s="132"/>
      <c r="H786" s="132"/>
      <c r="I786" s="132"/>
      <c r="J786" s="182"/>
      <c r="K786" s="132"/>
      <c r="L786" s="132"/>
      <c r="M786" s="132"/>
      <c r="N786" s="132"/>
      <c r="O786" s="132"/>
      <c r="P786" s="132">
        <f t="shared" si="58"/>
        <v>0</v>
      </c>
    </row>
    <row r="787" spans="1:16" ht="13.5" customHeight="1" hidden="1">
      <c r="A787" s="151" t="s">
        <v>172</v>
      </c>
      <c r="B787" s="165"/>
      <c r="C787" s="165"/>
      <c r="D787" s="170">
        <v>5</v>
      </c>
      <c r="E787" s="167"/>
      <c r="F787" s="167">
        <f>D787+E787</f>
        <v>5</v>
      </c>
      <c r="G787" s="167">
        <v>5</v>
      </c>
      <c r="H787" s="167"/>
      <c r="I787" s="167"/>
      <c r="J787" s="281">
        <f t="shared" si="59"/>
        <v>5</v>
      </c>
      <c r="K787" s="167"/>
      <c r="L787" s="167"/>
      <c r="M787" s="167"/>
      <c r="N787" s="167">
        <v>5</v>
      </c>
      <c r="O787" s="167"/>
      <c r="P787" s="167">
        <f t="shared" si="58"/>
        <v>5</v>
      </c>
    </row>
    <row r="788" spans="1:16" ht="18" customHeight="1" hidden="1">
      <c r="A788" s="151" t="s">
        <v>328</v>
      </c>
      <c r="B788" s="165"/>
      <c r="C788" s="165"/>
      <c r="D788" s="162">
        <v>0</v>
      </c>
      <c r="E788" s="132"/>
      <c r="F788" s="132">
        <f>D788+E788</f>
        <v>0</v>
      </c>
      <c r="G788" s="132">
        <v>0</v>
      </c>
      <c r="H788" s="132"/>
      <c r="I788" s="132"/>
      <c r="J788" s="182">
        <f t="shared" si="59"/>
        <v>0</v>
      </c>
      <c r="K788" s="132"/>
      <c r="L788" s="132"/>
      <c r="M788" s="132"/>
      <c r="N788" s="132">
        <v>0</v>
      </c>
      <c r="O788" s="132"/>
      <c r="P788" s="132">
        <f t="shared" si="58"/>
        <v>0</v>
      </c>
    </row>
    <row r="789" spans="1:16" ht="12.75" hidden="1">
      <c r="A789" s="134" t="s">
        <v>187</v>
      </c>
      <c r="B789" s="165"/>
      <c r="C789" s="165"/>
      <c r="D789" s="132"/>
      <c r="E789" s="132"/>
      <c r="F789" s="132"/>
      <c r="G789" s="132"/>
      <c r="H789" s="132"/>
      <c r="I789" s="132"/>
      <c r="J789" s="182"/>
      <c r="K789" s="132"/>
      <c r="L789" s="132"/>
      <c r="M789" s="132"/>
      <c r="N789" s="132"/>
      <c r="O789" s="132"/>
      <c r="P789" s="132">
        <f t="shared" si="58"/>
        <v>0</v>
      </c>
    </row>
    <row r="790" spans="1:16" ht="25.5" hidden="1">
      <c r="A790" s="135" t="s">
        <v>171</v>
      </c>
      <c r="B790" s="165"/>
      <c r="C790" s="165"/>
      <c r="D790" s="132">
        <f>D785/D787</f>
        <v>15780</v>
      </c>
      <c r="E790" s="132"/>
      <c r="F790" s="132">
        <f>D790+E790</f>
        <v>15780</v>
      </c>
      <c r="G790" s="132">
        <f>G785/G787</f>
        <v>20000</v>
      </c>
      <c r="H790" s="132"/>
      <c r="I790" s="132"/>
      <c r="J790" s="182">
        <f t="shared" si="59"/>
        <v>20000</v>
      </c>
      <c r="K790" s="132"/>
      <c r="L790" s="132"/>
      <c r="M790" s="132"/>
      <c r="N790" s="132">
        <f>N785/N787</f>
        <v>78600</v>
      </c>
      <c r="O790" s="132"/>
      <c r="P790" s="132">
        <f t="shared" si="58"/>
        <v>78600</v>
      </c>
    </row>
    <row r="791" spans="1:26" s="43" customFormat="1" ht="27" hidden="1">
      <c r="A791" s="138" t="s">
        <v>560</v>
      </c>
      <c r="B791" s="160"/>
      <c r="C791" s="160"/>
      <c r="D791" s="161">
        <f>13000-13000</f>
        <v>0</v>
      </c>
      <c r="E791" s="161"/>
      <c r="F791" s="161">
        <f>D791</f>
        <v>0</v>
      </c>
      <c r="G791" s="161">
        <f>15000+45000</f>
        <v>60000</v>
      </c>
      <c r="H791" s="161"/>
      <c r="I791" s="161"/>
      <c r="J791" s="161">
        <f t="shared" si="59"/>
        <v>60000</v>
      </c>
      <c r="K791" s="161"/>
      <c r="L791" s="161"/>
      <c r="M791" s="161"/>
      <c r="N791" s="161">
        <v>17000</v>
      </c>
      <c r="O791" s="161"/>
      <c r="P791" s="161">
        <f>N791</f>
        <v>17000</v>
      </c>
      <c r="Q791" s="42"/>
      <c r="R791" s="365"/>
      <c r="S791" s="365"/>
      <c r="T791" s="365"/>
      <c r="U791" s="365"/>
      <c r="V791" s="365"/>
      <c r="W791" s="365"/>
      <c r="X791" s="365"/>
      <c r="Y791" s="365"/>
      <c r="Z791" s="365"/>
    </row>
    <row r="792" spans="1:131" ht="12.75" hidden="1">
      <c r="A792" s="134" t="s">
        <v>184</v>
      </c>
      <c r="B792" s="165"/>
      <c r="C792" s="165"/>
      <c r="D792" s="132"/>
      <c r="E792" s="132"/>
      <c r="F792" s="132"/>
      <c r="G792" s="132"/>
      <c r="H792" s="132"/>
      <c r="I792" s="132"/>
      <c r="J792" s="182"/>
      <c r="K792" s="132"/>
      <c r="L792" s="132"/>
      <c r="M792" s="132"/>
      <c r="N792" s="132"/>
      <c r="O792" s="132"/>
      <c r="P792" s="132"/>
      <c r="Q792" s="3"/>
      <c r="R792" s="275"/>
      <c r="S792" s="275"/>
      <c r="T792" s="275"/>
      <c r="U792" s="275"/>
      <c r="V792" s="275"/>
      <c r="W792" s="275"/>
      <c r="X792" s="275"/>
      <c r="Y792" s="275"/>
      <c r="Z792" s="275"/>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row>
    <row r="793" spans="1:131" ht="12.75" hidden="1">
      <c r="A793" s="135" t="s">
        <v>205</v>
      </c>
      <c r="B793" s="165"/>
      <c r="C793" s="165"/>
      <c r="D793" s="132">
        <f>D791</f>
        <v>0</v>
      </c>
      <c r="E793" s="132"/>
      <c r="F793" s="132">
        <f>D793</f>
        <v>0</v>
      </c>
      <c r="G793" s="132">
        <f>G791</f>
        <v>60000</v>
      </c>
      <c r="H793" s="132"/>
      <c r="I793" s="132"/>
      <c r="J793" s="182">
        <f t="shared" si="59"/>
        <v>60000</v>
      </c>
      <c r="K793" s="132"/>
      <c r="L793" s="132"/>
      <c r="M793" s="132"/>
      <c r="N793" s="132">
        <f>N791</f>
        <v>17000</v>
      </c>
      <c r="O793" s="132"/>
      <c r="P793" s="132">
        <f>N793</f>
        <v>17000</v>
      </c>
      <c r="Q793" s="3"/>
      <c r="R793" s="275"/>
      <c r="S793" s="275"/>
      <c r="T793" s="275"/>
      <c r="U793" s="275"/>
      <c r="V793" s="275"/>
      <c r="W793" s="275"/>
      <c r="X793" s="275"/>
      <c r="Y793" s="275"/>
      <c r="Z793" s="275"/>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row>
    <row r="794" spans="1:131" ht="12.75" hidden="1">
      <c r="A794" s="134" t="s">
        <v>185</v>
      </c>
      <c r="B794" s="165"/>
      <c r="C794" s="165"/>
      <c r="D794" s="132"/>
      <c r="E794" s="132"/>
      <c r="F794" s="132"/>
      <c r="G794" s="132"/>
      <c r="H794" s="132"/>
      <c r="I794" s="132"/>
      <c r="J794" s="182"/>
      <c r="K794" s="132"/>
      <c r="L794" s="132"/>
      <c r="M794" s="132"/>
      <c r="N794" s="132"/>
      <c r="O794" s="132"/>
      <c r="P794" s="132"/>
      <c r="Q794" s="3"/>
      <c r="R794" s="275"/>
      <c r="S794" s="275"/>
      <c r="T794" s="275"/>
      <c r="U794" s="275"/>
      <c r="V794" s="275"/>
      <c r="W794" s="275"/>
      <c r="X794" s="275"/>
      <c r="Y794" s="275"/>
      <c r="Z794" s="275"/>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row>
    <row r="795" spans="1:131" ht="12.75" hidden="1">
      <c r="A795" s="135" t="s">
        <v>331</v>
      </c>
      <c r="B795" s="165"/>
      <c r="C795" s="165"/>
      <c r="D795" s="167">
        <v>0</v>
      </c>
      <c r="E795" s="167"/>
      <c r="F795" s="167">
        <f>D795</f>
        <v>0</v>
      </c>
      <c r="G795" s="167">
        <v>3</v>
      </c>
      <c r="H795" s="167"/>
      <c r="I795" s="167"/>
      <c r="J795" s="281">
        <f t="shared" si="59"/>
        <v>3</v>
      </c>
      <c r="K795" s="167"/>
      <c r="L795" s="167"/>
      <c r="M795" s="167"/>
      <c r="N795" s="167">
        <v>1</v>
      </c>
      <c r="O795" s="167"/>
      <c r="P795" s="167">
        <f>N795</f>
        <v>1</v>
      </c>
      <c r="Q795" s="3"/>
      <c r="R795" s="275"/>
      <c r="S795" s="275"/>
      <c r="T795" s="275"/>
      <c r="U795" s="275"/>
      <c r="V795" s="275"/>
      <c r="W795" s="275"/>
      <c r="X795" s="275"/>
      <c r="Y795" s="275"/>
      <c r="Z795" s="275"/>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row>
    <row r="796" spans="1:131" ht="12.75" hidden="1">
      <c r="A796" s="134" t="s">
        <v>187</v>
      </c>
      <c r="B796" s="165"/>
      <c r="C796" s="165"/>
      <c r="D796" s="132"/>
      <c r="E796" s="132"/>
      <c r="F796" s="132"/>
      <c r="G796" s="132"/>
      <c r="H796" s="132"/>
      <c r="I796" s="132"/>
      <c r="J796" s="182"/>
      <c r="K796" s="132"/>
      <c r="L796" s="132"/>
      <c r="M796" s="132"/>
      <c r="N796" s="132"/>
      <c r="O796" s="132"/>
      <c r="P796" s="132"/>
      <c r="Q796" s="3"/>
      <c r="R796" s="275"/>
      <c r="S796" s="275"/>
      <c r="T796" s="275"/>
      <c r="U796" s="275"/>
      <c r="V796" s="275"/>
      <c r="W796" s="275"/>
      <c r="X796" s="275"/>
      <c r="Y796" s="275"/>
      <c r="Z796" s="275"/>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row>
    <row r="797" spans="1:131" ht="12.75" hidden="1">
      <c r="A797" s="135" t="s">
        <v>321</v>
      </c>
      <c r="B797" s="165"/>
      <c r="C797" s="165"/>
      <c r="D797" s="132" t="e">
        <f>D793/D795</f>
        <v>#DIV/0!</v>
      </c>
      <c r="E797" s="132"/>
      <c r="F797" s="132" t="e">
        <f>D797</f>
        <v>#DIV/0!</v>
      </c>
      <c r="G797" s="132">
        <f>G793/G795</f>
        <v>20000</v>
      </c>
      <c r="H797" s="132"/>
      <c r="I797" s="132"/>
      <c r="J797" s="182">
        <f t="shared" si="59"/>
        <v>20000</v>
      </c>
      <c r="K797" s="132"/>
      <c r="L797" s="132"/>
      <c r="M797" s="132"/>
      <c r="N797" s="132">
        <f>N793/N795</f>
        <v>17000</v>
      </c>
      <c r="O797" s="132"/>
      <c r="P797" s="132">
        <f>N797</f>
        <v>17000</v>
      </c>
      <c r="Q797" s="3"/>
      <c r="R797" s="275"/>
      <c r="S797" s="275"/>
      <c r="T797" s="275"/>
      <c r="U797" s="275"/>
      <c r="V797" s="275"/>
      <c r="W797" s="275"/>
      <c r="X797" s="275"/>
      <c r="Y797" s="275"/>
      <c r="Z797" s="275"/>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row>
    <row r="798" spans="1:26" s="37" customFormat="1" ht="27" hidden="1">
      <c r="A798" s="138" t="s">
        <v>127</v>
      </c>
      <c r="B798" s="163"/>
      <c r="C798" s="163"/>
      <c r="D798" s="169">
        <f>100000+120000-25000</f>
        <v>195000</v>
      </c>
      <c r="E798" s="169"/>
      <c r="F798" s="169">
        <f>D798</f>
        <v>195000</v>
      </c>
      <c r="G798" s="169">
        <f>120000+98000+100000</f>
        <v>318000</v>
      </c>
      <c r="H798" s="169"/>
      <c r="I798" s="169"/>
      <c r="J798" s="169">
        <f>G798+H798</f>
        <v>318000</v>
      </c>
      <c r="K798" s="169"/>
      <c r="L798" s="169"/>
      <c r="M798" s="169"/>
      <c r="N798" s="169">
        <v>140000</v>
      </c>
      <c r="O798" s="169"/>
      <c r="P798" s="169">
        <f>N798+O798</f>
        <v>140000</v>
      </c>
      <c r="Q798" s="98"/>
      <c r="R798" s="275"/>
      <c r="S798" s="275"/>
      <c r="T798" s="275"/>
      <c r="U798" s="275"/>
      <c r="V798" s="275"/>
      <c r="W798" s="275"/>
      <c r="X798" s="275"/>
      <c r="Y798" s="275"/>
      <c r="Z798" s="275"/>
    </row>
    <row r="799" spans="1:131" ht="12.75" hidden="1">
      <c r="A799" s="135" t="s">
        <v>184</v>
      </c>
      <c r="B799" s="165"/>
      <c r="C799" s="165"/>
      <c r="D799" s="132"/>
      <c r="E799" s="132"/>
      <c r="F799" s="132"/>
      <c r="G799" s="132"/>
      <c r="H799" s="132"/>
      <c r="I799" s="132"/>
      <c r="J799" s="132"/>
      <c r="K799" s="132"/>
      <c r="L799" s="132"/>
      <c r="M799" s="132"/>
      <c r="N799" s="132"/>
      <c r="O799" s="132"/>
      <c r="P799" s="162">
        <f aca="true" t="shared" si="60" ref="P799:P804">N799+O799</f>
        <v>0</v>
      </c>
      <c r="Q799" s="3"/>
      <c r="R799" s="275"/>
      <c r="S799" s="275"/>
      <c r="T799" s="275"/>
      <c r="U799" s="275"/>
      <c r="V799" s="275"/>
      <c r="W799" s="275"/>
      <c r="X799" s="275"/>
      <c r="Y799" s="275"/>
      <c r="Z799" s="275"/>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row>
    <row r="800" spans="1:131" ht="12.75" hidden="1">
      <c r="A800" s="135" t="s">
        <v>205</v>
      </c>
      <c r="B800" s="165"/>
      <c r="C800" s="165"/>
      <c r="D800" s="132">
        <f>D798</f>
        <v>195000</v>
      </c>
      <c r="E800" s="132"/>
      <c r="F800" s="132">
        <f>F798</f>
        <v>195000</v>
      </c>
      <c r="G800" s="132">
        <f>G798</f>
        <v>318000</v>
      </c>
      <c r="H800" s="132"/>
      <c r="I800" s="132"/>
      <c r="J800" s="132">
        <f>G800+H800</f>
        <v>318000</v>
      </c>
      <c r="K800" s="132"/>
      <c r="L800" s="132"/>
      <c r="M800" s="132"/>
      <c r="N800" s="132">
        <f>N798</f>
        <v>140000</v>
      </c>
      <c r="O800" s="132"/>
      <c r="P800" s="162">
        <f t="shared" si="60"/>
        <v>140000</v>
      </c>
      <c r="Q800" s="3"/>
      <c r="R800" s="275"/>
      <c r="S800" s="275"/>
      <c r="T800" s="275"/>
      <c r="U800" s="275"/>
      <c r="V800" s="275"/>
      <c r="W800" s="275"/>
      <c r="X800" s="275"/>
      <c r="Y800" s="275"/>
      <c r="Z800" s="275"/>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row>
    <row r="801" spans="1:131" ht="12.75" hidden="1">
      <c r="A801" s="135" t="s">
        <v>525</v>
      </c>
      <c r="B801" s="165"/>
      <c r="C801" s="165"/>
      <c r="D801" s="132"/>
      <c r="E801" s="132"/>
      <c r="F801" s="132"/>
      <c r="G801" s="132"/>
      <c r="H801" s="132"/>
      <c r="I801" s="132"/>
      <c r="J801" s="132"/>
      <c r="K801" s="132"/>
      <c r="L801" s="132"/>
      <c r="M801" s="132"/>
      <c r="N801" s="132"/>
      <c r="O801" s="132"/>
      <c r="P801" s="162"/>
      <c r="Q801" s="3"/>
      <c r="R801" s="275"/>
      <c r="S801" s="275"/>
      <c r="T801" s="275"/>
      <c r="U801" s="275"/>
      <c r="V801" s="275"/>
      <c r="W801" s="275"/>
      <c r="X801" s="275"/>
      <c r="Y801" s="275"/>
      <c r="Z801" s="275"/>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row>
    <row r="802" spans="1:131" ht="12.75" hidden="1">
      <c r="A802" s="135" t="s">
        <v>331</v>
      </c>
      <c r="B802" s="165"/>
      <c r="C802" s="165"/>
      <c r="D802" s="167">
        <v>6</v>
      </c>
      <c r="E802" s="167"/>
      <c r="F802" s="167">
        <v>6</v>
      </c>
      <c r="G802" s="167">
        <v>9</v>
      </c>
      <c r="H802" s="167"/>
      <c r="I802" s="167"/>
      <c r="J802" s="167">
        <f>G802+H802</f>
        <v>9</v>
      </c>
      <c r="K802" s="167"/>
      <c r="L802" s="167"/>
      <c r="M802" s="167"/>
      <c r="N802" s="167">
        <v>6</v>
      </c>
      <c r="O802" s="167"/>
      <c r="P802" s="170">
        <f t="shared" si="60"/>
        <v>6</v>
      </c>
      <c r="Q802" s="3"/>
      <c r="R802" s="275"/>
      <c r="S802" s="275"/>
      <c r="T802" s="275"/>
      <c r="U802" s="275"/>
      <c r="V802" s="275"/>
      <c r="W802" s="275"/>
      <c r="X802" s="275"/>
      <c r="Y802" s="275"/>
      <c r="Z802" s="275"/>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row>
    <row r="803" spans="1:131" ht="12.75" hidden="1">
      <c r="A803" s="135" t="s">
        <v>526</v>
      </c>
      <c r="B803" s="165"/>
      <c r="C803" s="165"/>
      <c r="D803" s="132"/>
      <c r="E803" s="132"/>
      <c r="F803" s="132"/>
      <c r="G803" s="132"/>
      <c r="H803" s="132"/>
      <c r="I803" s="132"/>
      <c r="J803" s="132"/>
      <c r="K803" s="132"/>
      <c r="L803" s="132"/>
      <c r="M803" s="132"/>
      <c r="N803" s="132"/>
      <c r="O803" s="132"/>
      <c r="P803" s="162"/>
      <c r="Q803" s="3"/>
      <c r="R803" s="275"/>
      <c r="S803" s="275"/>
      <c r="T803" s="275"/>
      <c r="U803" s="275"/>
      <c r="V803" s="275"/>
      <c r="W803" s="275"/>
      <c r="X803" s="275"/>
      <c r="Y803" s="275"/>
      <c r="Z803" s="275"/>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row>
    <row r="804" spans="1:131" ht="12.75" hidden="1">
      <c r="A804" s="135" t="s">
        <v>321</v>
      </c>
      <c r="B804" s="165"/>
      <c r="C804" s="165"/>
      <c r="D804" s="132">
        <f>D800/D802</f>
        <v>32500</v>
      </c>
      <c r="E804" s="132"/>
      <c r="F804" s="132">
        <f>D804</f>
        <v>32500</v>
      </c>
      <c r="G804" s="132">
        <f>G800/G802</f>
        <v>35333.333333333336</v>
      </c>
      <c r="H804" s="132"/>
      <c r="I804" s="132"/>
      <c r="J804" s="132">
        <f>G804+H804</f>
        <v>35333.333333333336</v>
      </c>
      <c r="K804" s="132"/>
      <c r="L804" s="132"/>
      <c r="M804" s="132"/>
      <c r="N804" s="132">
        <f>N800/N802</f>
        <v>23333.333333333332</v>
      </c>
      <c r="O804" s="132"/>
      <c r="P804" s="162">
        <f t="shared" si="60"/>
        <v>23333.333333333332</v>
      </c>
      <c r="Q804" s="3"/>
      <c r="R804" s="275"/>
      <c r="S804" s="275"/>
      <c r="T804" s="275"/>
      <c r="U804" s="275"/>
      <c r="V804" s="275"/>
      <c r="W804" s="275"/>
      <c r="X804" s="275"/>
      <c r="Y804" s="275"/>
      <c r="Z804" s="275"/>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row>
    <row r="805" spans="1:131" ht="29.25" customHeight="1" hidden="1">
      <c r="A805" s="138" t="s">
        <v>505</v>
      </c>
      <c r="B805" s="165"/>
      <c r="C805" s="165"/>
      <c r="D805" s="9">
        <f>D807</f>
        <v>9100</v>
      </c>
      <c r="E805" s="9"/>
      <c r="F805" s="9">
        <f>D805+E805</f>
        <v>9100</v>
      </c>
      <c r="G805" s="9">
        <f>G807</f>
        <v>45000</v>
      </c>
      <c r="H805" s="9"/>
      <c r="I805" s="9"/>
      <c r="J805" s="9">
        <f aca="true" t="shared" si="61" ref="J805:J811">G805+H805</f>
        <v>45000</v>
      </c>
      <c r="K805" s="9"/>
      <c r="L805" s="9"/>
      <c r="M805" s="9"/>
      <c r="N805" s="9">
        <f>N807</f>
        <v>50000</v>
      </c>
      <c r="O805" s="9"/>
      <c r="P805" s="9">
        <f aca="true" t="shared" si="62" ref="P805:P811">N805+O805</f>
        <v>50000</v>
      </c>
      <c r="Q805" s="3"/>
      <c r="R805" s="275"/>
      <c r="S805" s="275"/>
      <c r="T805" s="275"/>
      <c r="U805" s="275"/>
      <c r="V805" s="275"/>
      <c r="W805" s="275"/>
      <c r="X805" s="275"/>
      <c r="Y805" s="275"/>
      <c r="Z805" s="275"/>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row>
    <row r="806" spans="1:131" ht="12.75" hidden="1">
      <c r="A806" s="134" t="s">
        <v>184</v>
      </c>
      <c r="B806" s="165"/>
      <c r="C806" s="165"/>
      <c r="D806" s="132"/>
      <c r="E806" s="132"/>
      <c r="F806" s="132"/>
      <c r="G806" s="132"/>
      <c r="H806" s="132"/>
      <c r="I806" s="132"/>
      <c r="J806" s="132"/>
      <c r="K806" s="132"/>
      <c r="L806" s="132"/>
      <c r="M806" s="132"/>
      <c r="N806" s="132"/>
      <c r="O806" s="132"/>
      <c r="P806" s="132">
        <f t="shared" si="62"/>
        <v>0</v>
      </c>
      <c r="Q806" s="3"/>
      <c r="R806" s="275"/>
      <c r="S806" s="275"/>
      <c r="T806" s="275"/>
      <c r="U806" s="275"/>
      <c r="V806" s="275"/>
      <c r="W806" s="275"/>
      <c r="X806" s="275"/>
      <c r="Y806" s="275"/>
      <c r="Z806" s="275"/>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row>
    <row r="807" spans="1:131" ht="12.75" hidden="1">
      <c r="A807" s="135" t="s">
        <v>205</v>
      </c>
      <c r="B807" s="165"/>
      <c r="C807" s="165"/>
      <c r="D807" s="132">
        <f>D809*D811</f>
        <v>9100</v>
      </c>
      <c r="E807" s="132"/>
      <c r="F807" s="132">
        <f>D807+E807</f>
        <v>9100</v>
      </c>
      <c r="G807" s="132">
        <f>G809*G811</f>
        <v>45000</v>
      </c>
      <c r="H807" s="132"/>
      <c r="I807" s="132"/>
      <c r="J807" s="132">
        <f t="shared" si="61"/>
        <v>45000</v>
      </c>
      <c r="K807" s="132"/>
      <c r="L807" s="132"/>
      <c r="M807" s="132"/>
      <c r="N807" s="132">
        <f>N809*N811</f>
        <v>50000</v>
      </c>
      <c r="O807" s="132"/>
      <c r="P807" s="132">
        <f t="shared" si="62"/>
        <v>50000</v>
      </c>
      <c r="Q807" s="3"/>
      <c r="R807" s="275"/>
      <c r="S807" s="275"/>
      <c r="T807" s="275"/>
      <c r="U807" s="275"/>
      <c r="V807" s="275"/>
      <c r="W807" s="275"/>
      <c r="X807" s="275"/>
      <c r="Y807" s="275"/>
      <c r="Z807" s="275"/>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row>
    <row r="808" spans="1:131" ht="12.75" hidden="1">
      <c r="A808" s="134" t="s">
        <v>185</v>
      </c>
      <c r="B808" s="165"/>
      <c r="C808" s="165"/>
      <c r="D808" s="132"/>
      <c r="E808" s="132"/>
      <c r="F808" s="132"/>
      <c r="G808" s="132"/>
      <c r="H808" s="132"/>
      <c r="I808" s="132"/>
      <c r="J808" s="132"/>
      <c r="K808" s="132"/>
      <c r="L808" s="132"/>
      <c r="M808" s="132"/>
      <c r="N808" s="132"/>
      <c r="O808" s="132"/>
      <c r="P808" s="132">
        <f t="shared" si="62"/>
        <v>0</v>
      </c>
      <c r="Q808" s="3"/>
      <c r="R808" s="275"/>
      <c r="S808" s="275"/>
      <c r="T808" s="275"/>
      <c r="U808" s="275"/>
      <c r="V808" s="275"/>
      <c r="W808" s="275"/>
      <c r="X808" s="275"/>
      <c r="Y808" s="275"/>
      <c r="Z808" s="275"/>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row>
    <row r="809" spans="1:131" ht="12.75" hidden="1">
      <c r="A809" s="135" t="s">
        <v>331</v>
      </c>
      <c r="B809" s="165"/>
      <c r="C809" s="165"/>
      <c r="D809" s="167">
        <v>1</v>
      </c>
      <c r="E809" s="167"/>
      <c r="F809" s="167">
        <f>D809+E809</f>
        <v>1</v>
      </c>
      <c r="G809" s="167">
        <v>2</v>
      </c>
      <c r="H809" s="167"/>
      <c r="I809" s="167"/>
      <c r="J809" s="167">
        <f t="shared" si="61"/>
        <v>2</v>
      </c>
      <c r="K809" s="167"/>
      <c r="L809" s="167"/>
      <c r="M809" s="167"/>
      <c r="N809" s="167">
        <v>2</v>
      </c>
      <c r="O809" s="167"/>
      <c r="P809" s="167">
        <f t="shared" si="62"/>
        <v>2</v>
      </c>
      <c r="Q809" s="3"/>
      <c r="R809" s="275"/>
      <c r="S809" s="275"/>
      <c r="T809" s="275"/>
      <c r="U809" s="275"/>
      <c r="V809" s="275"/>
      <c r="W809" s="275"/>
      <c r="X809" s="275"/>
      <c r="Y809" s="275"/>
      <c r="Z809" s="275"/>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row>
    <row r="810" spans="1:131" ht="12.75" hidden="1">
      <c r="A810" s="134" t="s">
        <v>187</v>
      </c>
      <c r="B810" s="165"/>
      <c r="C810" s="165"/>
      <c r="D810" s="132"/>
      <c r="E810" s="132"/>
      <c r="F810" s="132"/>
      <c r="G810" s="132"/>
      <c r="H810" s="132"/>
      <c r="I810" s="132"/>
      <c r="J810" s="132"/>
      <c r="K810" s="132"/>
      <c r="L810" s="132"/>
      <c r="M810" s="132"/>
      <c r="N810" s="132"/>
      <c r="O810" s="132"/>
      <c r="P810" s="132">
        <f t="shared" si="62"/>
        <v>0</v>
      </c>
      <c r="Q810" s="3"/>
      <c r="R810" s="275"/>
      <c r="S810" s="275"/>
      <c r="T810" s="275"/>
      <c r="U810" s="275"/>
      <c r="V810" s="275"/>
      <c r="W810" s="275"/>
      <c r="X810" s="275"/>
      <c r="Y810" s="275"/>
      <c r="Z810" s="275"/>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row>
    <row r="811" spans="1:131" ht="12.75" hidden="1">
      <c r="A811" s="135" t="s">
        <v>321</v>
      </c>
      <c r="B811" s="165"/>
      <c r="C811" s="165"/>
      <c r="D811" s="132">
        <v>9100</v>
      </c>
      <c r="E811" s="132"/>
      <c r="F811" s="132">
        <f>D811+E811</f>
        <v>9100</v>
      </c>
      <c r="G811" s="132">
        <v>22500</v>
      </c>
      <c r="H811" s="132"/>
      <c r="I811" s="132"/>
      <c r="J811" s="132">
        <f t="shared" si="61"/>
        <v>22500</v>
      </c>
      <c r="K811" s="132"/>
      <c r="L811" s="132"/>
      <c r="M811" s="132"/>
      <c r="N811" s="132">
        <v>25000</v>
      </c>
      <c r="O811" s="132"/>
      <c r="P811" s="132">
        <f t="shared" si="62"/>
        <v>25000</v>
      </c>
      <c r="Q811" s="3"/>
      <c r="R811" s="275"/>
      <c r="S811" s="275"/>
      <c r="T811" s="275"/>
      <c r="U811" s="275"/>
      <c r="V811" s="275"/>
      <c r="W811" s="275"/>
      <c r="X811" s="275"/>
      <c r="Y811" s="275"/>
      <c r="Z811" s="275"/>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row>
    <row r="812" spans="1:131" ht="135" hidden="1">
      <c r="A812" s="171" t="s">
        <v>578</v>
      </c>
      <c r="B812" s="165"/>
      <c r="C812" s="165"/>
      <c r="D812" s="161">
        <v>5000000</v>
      </c>
      <c r="E812" s="312"/>
      <c r="F812" s="161">
        <f>D812</f>
        <v>5000000</v>
      </c>
      <c r="G812" s="161">
        <f>6000000+30000000+500000+3000000+950000+3162000+16000000+1000000+4000000</f>
        <v>64612000</v>
      </c>
      <c r="H812" s="132"/>
      <c r="I812" s="132"/>
      <c r="J812" s="164">
        <f>G812+H812</f>
        <v>64612000</v>
      </c>
      <c r="K812" s="132"/>
      <c r="L812" s="132"/>
      <c r="M812" s="132"/>
      <c r="N812" s="132"/>
      <c r="O812" s="132"/>
      <c r="P812" s="132"/>
      <c r="Q812" s="3"/>
      <c r="R812" s="275"/>
      <c r="S812" s="275"/>
      <c r="T812" s="275"/>
      <c r="U812" s="275"/>
      <c r="V812" s="275"/>
      <c r="W812" s="275"/>
      <c r="X812" s="275"/>
      <c r="Y812" s="275"/>
      <c r="Z812" s="275"/>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row>
    <row r="813" spans="1:131" ht="12.75" hidden="1">
      <c r="A813" s="134" t="s">
        <v>184</v>
      </c>
      <c r="B813" s="165"/>
      <c r="C813" s="165"/>
      <c r="D813" s="132"/>
      <c r="E813" s="132"/>
      <c r="F813" s="132"/>
      <c r="G813" s="132"/>
      <c r="H813" s="132"/>
      <c r="I813" s="132"/>
      <c r="J813" s="245"/>
      <c r="K813" s="132"/>
      <c r="L813" s="132"/>
      <c r="M813" s="132"/>
      <c r="N813" s="132"/>
      <c r="O813" s="132"/>
      <c r="P813" s="132"/>
      <c r="Q813" s="3"/>
      <c r="R813" s="275"/>
      <c r="S813" s="275"/>
      <c r="T813" s="275"/>
      <c r="U813" s="275"/>
      <c r="V813" s="275"/>
      <c r="W813" s="275"/>
      <c r="X813" s="275"/>
      <c r="Y813" s="275"/>
      <c r="Z813" s="275"/>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row>
    <row r="814" spans="1:131" ht="12.75" hidden="1">
      <c r="A814" s="135" t="s">
        <v>205</v>
      </c>
      <c r="B814" s="165"/>
      <c r="C814" s="165"/>
      <c r="D814" s="132">
        <f>D812</f>
        <v>5000000</v>
      </c>
      <c r="E814" s="132"/>
      <c r="F814" s="132">
        <f>D814+E814</f>
        <v>5000000</v>
      </c>
      <c r="G814" s="132">
        <f>G812</f>
        <v>64612000</v>
      </c>
      <c r="H814" s="132"/>
      <c r="I814" s="132"/>
      <c r="J814" s="132">
        <f>G814+H814</f>
        <v>64612000</v>
      </c>
      <c r="K814" s="132"/>
      <c r="L814" s="132"/>
      <c r="M814" s="132"/>
      <c r="N814" s="132"/>
      <c r="O814" s="132"/>
      <c r="P814" s="132"/>
      <c r="Q814" s="3"/>
      <c r="R814" s="275"/>
      <c r="S814" s="275"/>
      <c r="T814" s="275"/>
      <c r="U814" s="275"/>
      <c r="V814" s="275"/>
      <c r="W814" s="275"/>
      <c r="X814" s="275"/>
      <c r="Y814" s="275"/>
      <c r="Z814" s="275"/>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row>
    <row r="815" spans="1:131" ht="12.75" hidden="1">
      <c r="A815" s="134" t="s">
        <v>185</v>
      </c>
      <c r="B815" s="165"/>
      <c r="C815" s="165"/>
      <c r="D815" s="132"/>
      <c r="E815" s="132"/>
      <c r="F815" s="132"/>
      <c r="G815" s="132"/>
      <c r="H815" s="132"/>
      <c r="I815" s="132"/>
      <c r="J815" s="132"/>
      <c r="K815" s="132"/>
      <c r="L815" s="132"/>
      <c r="M815" s="132"/>
      <c r="N815" s="132"/>
      <c r="O815" s="132"/>
      <c r="P815" s="132"/>
      <c r="Q815" s="3"/>
      <c r="R815" s="275"/>
      <c r="S815" s="275"/>
      <c r="T815" s="275"/>
      <c r="U815" s="275"/>
      <c r="V815" s="275"/>
      <c r="W815" s="275"/>
      <c r="X815" s="275"/>
      <c r="Y815" s="275"/>
      <c r="Z815" s="275"/>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row>
    <row r="816" spans="1:131" ht="20.25" customHeight="1" hidden="1">
      <c r="A816" s="135" t="s">
        <v>174</v>
      </c>
      <c r="B816" s="165"/>
      <c r="C816" s="165"/>
      <c r="D816" s="167">
        <v>1</v>
      </c>
      <c r="E816" s="167"/>
      <c r="F816" s="167">
        <f>D816</f>
        <v>1</v>
      </c>
      <c r="G816" s="167">
        <v>1</v>
      </c>
      <c r="H816" s="167"/>
      <c r="I816" s="167"/>
      <c r="J816" s="167">
        <f>G816+H816</f>
        <v>1</v>
      </c>
      <c r="K816" s="132"/>
      <c r="L816" s="132"/>
      <c r="M816" s="132"/>
      <c r="N816" s="132"/>
      <c r="O816" s="132"/>
      <c r="P816" s="132"/>
      <c r="Q816" s="3"/>
      <c r="R816" s="275"/>
      <c r="S816" s="275"/>
      <c r="T816" s="275"/>
      <c r="U816" s="275"/>
      <c r="V816" s="275"/>
      <c r="W816" s="275"/>
      <c r="X816" s="275"/>
      <c r="Y816" s="275"/>
      <c r="Z816" s="275"/>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row>
    <row r="817" spans="1:131" ht="12.75" hidden="1">
      <c r="A817" s="134" t="s">
        <v>187</v>
      </c>
      <c r="B817" s="165"/>
      <c r="C817" s="165"/>
      <c r="D817" s="132"/>
      <c r="E817" s="132"/>
      <c r="F817" s="132"/>
      <c r="G817" s="132"/>
      <c r="H817" s="132"/>
      <c r="I817" s="132"/>
      <c r="J817" s="132"/>
      <c r="K817" s="132"/>
      <c r="L817" s="132"/>
      <c r="M817" s="132"/>
      <c r="N817" s="132"/>
      <c r="O817" s="132"/>
      <c r="P817" s="132"/>
      <c r="Q817" s="3"/>
      <c r="R817" s="275"/>
      <c r="S817" s="275"/>
      <c r="T817" s="275"/>
      <c r="U817" s="275"/>
      <c r="V817" s="275"/>
      <c r="W817" s="275"/>
      <c r="X817" s="275"/>
      <c r="Y817" s="275"/>
      <c r="Z817" s="275"/>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row>
    <row r="818" spans="1:131" ht="18.75" customHeight="1" hidden="1">
      <c r="A818" s="135" t="s">
        <v>175</v>
      </c>
      <c r="B818" s="165"/>
      <c r="C818" s="165"/>
      <c r="D818" s="132">
        <f>D814/D816</f>
        <v>5000000</v>
      </c>
      <c r="E818" s="132"/>
      <c r="F818" s="132">
        <f>D818</f>
        <v>5000000</v>
      </c>
      <c r="G818" s="132">
        <f>G814/G816</f>
        <v>64612000</v>
      </c>
      <c r="H818" s="132"/>
      <c r="I818" s="132"/>
      <c r="J818" s="132">
        <f>G818+H818</f>
        <v>64612000</v>
      </c>
      <c r="K818" s="132"/>
      <c r="L818" s="132"/>
      <c r="M818" s="132"/>
      <c r="N818" s="132"/>
      <c r="O818" s="132"/>
      <c r="P818" s="132"/>
      <c r="Q818" s="3"/>
      <c r="R818" s="275"/>
      <c r="S818" s="275"/>
      <c r="T818" s="275"/>
      <c r="U818" s="275"/>
      <c r="V818" s="275"/>
      <c r="W818" s="275"/>
      <c r="X818" s="275"/>
      <c r="Y818" s="275"/>
      <c r="Z818" s="275"/>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row>
    <row r="819" spans="1:26" s="76" customFormat="1" ht="27.75" customHeight="1" hidden="1">
      <c r="A819" s="73" t="s">
        <v>303</v>
      </c>
      <c r="B819" s="97"/>
      <c r="C819" s="97"/>
      <c r="D819" s="74">
        <f>D821</f>
        <v>2899999.9999989998</v>
      </c>
      <c r="E819" s="74"/>
      <c r="F819" s="74">
        <f>D819</f>
        <v>2899999.9999989998</v>
      </c>
      <c r="G819" s="74">
        <f>G821</f>
        <v>4896499.9998</v>
      </c>
      <c r="H819" s="74"/>
      <c r="I819" s="74">
        <f>I821</f>
        <v>0</v>
      </c>
      <c r="J819" s="74">
        <f>J821</f>
        <v>4896499.9998</v>
      </c>
      <c r="K819" s="74"/>
      <c r="L819" s="74"/>
      <c r="M819" s="74"/>
      <c r="N819" s="74">
        <f>N821</f>
        <v>5181299.999999</v>
      </c>
      <c r="O819" s="74"/>
      <c r="P819" s="74">
        <f>P821</f>
        <v>5181299.999999</v>
      </c>
      <c r="Q819" s="99"/>
      <c r="R819" s="366"/>
      <c r="S819" s="366"/>
      <c r="T819" s="366"/>
      <c r="U819" s="366"/>
      <c r="V819" s="366"/>
      <c r="W819" s="366"/>
      <c r="X819" s="366"/>
      <c r="Y819" s="366"/>
      <c r="Z819" s="366"/>
    </row>
    <row r="820" spans="1:131" ht="51" customHeight="1" hidden="1">
      <c r="A820" s="135" t="s">
        <v>261</v>
      </c>
      <c r="B820" s="165"/>
      <c r="C820" s="165"/>
      <c r="D820" s="162"/>
      <c r="E820" s="162"/>
      <c r="F820" s="162"/>
      <c r="G820" s="162"/>
      <c r="H820" s="162"/>
      <c r="I820" s="162"/>
      <c r="J820" s="162"/>
      <c r="K820" s="162"/>
      <c r="L820" s="162"/>
      <c r="M820" s="162"/>
      <c r="N820" s="162"/>
      <c r="O820" s="162"/>
      <c r="P820" s="162"/>
      <c r="Q820" s="3"/>
      <c r="R820" s="275"/>
      <c r="S820" s="275"/>
      <c r="T820" s="275"/>
      <c r="U820" s="275"/>
      <c r="V820" s="275"/>
      <c r="W820" s="275"/>
      <c r="X820" s="275"/>
      <c r="Y820" s="275"/>
      <c r="Z820" s="275"/>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row>
    <row r="821" spans="1:26" s="101" customFormat="1" ht="18.75" customHeight="1" hidden="1">
      <c r="A821" s="68" t="s">
        <v>86</v>
      </c>
      <c r="B821" s="69"/>
      <c r="C821" s="69"/>
      <c r="D821" s="89">
        <f>D822+D829+D836</f>
        <v>2899999.9999989998</v>
      </c>
      <c r="E821" s="89">
        <f aca="true" t="shared" si="63" ref="E821:O821">E822+E829</f>
        <v>0</v>
      </c>
      <c r="F821" s="89">
        <f>D821+E821</f>
        <v>2899999.9999989998</v>
      </c>
      <c r="G821" s="89">
        <f>G822+G829+G836</f>
        <v>4896499.9998</v>
      </c>
      <c r="H821" s="89">
        <f t="shared" si="63"/>
        <v>0</v>
      </c>
      <c r="I821" s="89">
        <f t="shared" si="63"/>
        <v>0</v>
      </c>
      <c r="J821" s="89">
        <f>G821+H821</f>
        <v>4896499.9998</v>
      </c>
      <c r="K821" s="89">
        <f t="shared" si="63"/>
        <v>0</v>
      </c>
      <c r="L821" s="89">
        <f t="shared" si="63"/>
        <v>0</v>
      </c>
      <c r="M821" s="89">
        <f t="shared" si="63"/>
        <v>0</v>
      </c>
      <c r="N821" s="89">
        <f>N822+N829+N836</f>
        <v>5181299.999999</v>
      </c>
      <c r="O821" s="89">
        <f t="shared" si="63"/>
        <v>0</v>
      </c>
      <c r="P821" s="89">
        <f>N821+O821</f>
        <v>5181299.999999</v>
      </c>
      <c r="Q821" s="100"/>
      <c r="R821" s="367"/>
      <c r="S821" s="367"/>
      <c r="T821" s="367"/>
      <c r="U821" s="367"/>
      <c r="V821" s="367"/>
      <c r="W821" s="367"/>
      <c r="X821" s="367"/>
      <c r="Y821" s="367"/>
      <c r="Z821" s="367"/>
    </row>
    <row r="822" spans="1:26" s="16" customFormat="1" ht="45" customHeight="1" hidden="1">
      <c r="A822" s="152" t="s">
        <v>101</v>
      </c>
      <c r="B822" s="244"/>
      <c r="C822" s="244"/>
      <c r="D822" s="226">
        <f>1600500-1100500</f>
        <v>500000</v>
      </c>
      <c r="E822" s="226"/>
      <c r="F822" s="226">
        <f>D822+E822</f>
        <v>500000</v>
      </c>
      <c r="G822" s="161">
        <v>1696500</v>
      </c>
      <c r="H822" s="161"/>
      <c r="I822" s="161">
        <f>I826*I828</f>
        <v>0</v>
      </c>
      <c r="J822" s="161">
        <f>G822</f>
        <v>1696500</v>
      </c>
      <c r="K822" s="161">
        <f>K826*K828</f>
        <v>0</v>
      </c>
      <c r="L822" s="161">
        <f>L826*L828</f>
        <v>0</v>
      </c>
      <c r="M822" s="161">
        <f>M826*M828</f>
        <v>0</v>
      </c>
      <c r="N822" s="161">
        <v>1781300</v>
      </c>
      <c r="O822" s="161"/>
      <c r="P822" s="161">
        <f>N822</f>
        <v>1781300</v>
      </c>
      <c r="Q822" s="15"/>
      <c r="R822" s="368"/>
      <c r="S822" s="368"/>
      <c r="T822" s="368"/>
      <c r="U822" s="368"/>
      <c r="V822" s="368"/>
      <c r="W822" s="368"/>
      <c r="X822" s="368"/>
      <c r="Y822" s="368"/>
      <c r="Z822" s="368"/>
    </row>
    <row r="823" spans="1:26" s="12" customFormat="1" ht="12.75" hidden="1">
      <c r="A823" s="134" t="s">
        <v>184</v>
      </c>
      <c r="B823" s="8"/>
      <c r="C823" s="8"/>
      <c r="D823" s="246"/>
      <c r="E823" s="246"/>
      <c r="F823" s="247"/>
      <c r="G823" s="169"/>
      <c r="H823" s="169"/>
      <c r="I823" s="169"/>
      <c r="J823" s="169"/>
      <c r="K823" s="169"/>
      <c r="L823" s="169"/>
      <c r="M823" s="169"/>
      <c r="N823" s="169"/>
      <c r="O823" s="169"/>
      <c r="P823" s="169"/>
      <c r="Q823" s="14"/>
      <c r="R823" s="369"/>
      <c r="S823" s="369"/>
      <c r="T823" s="369"/>
      <c r="U823" s="369"/>
      <c r="V823" s="369"/>
      <c r="W823" s="369"/>
      <c r="X823" s="369"/>
      <c r="Y823" s="369"/>
      <c r="Z823" s="369"/>
    </row>
    <row r="824" spans="1:26" s="12" customFormat="1" ht="27.75" customHeight="1" hidden="1">
      <c r="A824" s="135" t="s">
        <v>262</v>
      </c>
      <c r="B824" s="8"/>
      <c r="C824" s="8"/>
      <c r="D824" s="207">
        <v>500</v>
      </c>
      <c r="E824" s="246"/>
      <c r="F824" s="247"/>
      <c r="G824" s="162">
        <v>500</v>
      </c>
      <c r="H824" s="169"/>
      <c r="I824" s="169"/>
      <c r="J824" s="162">
        <f>G824+H824</f>
        <v>500</v>
      </c>
      <c r="K824" s="169"/>
      <c r="L824" s="169"/>
      <c r="M824" s="169"/>
      <c r="N824" s="162">
        <f>N826</f>
        <v>500</v>
      </c>
      <c r="O824" s="162"/>
      <c r="P824" s="162">
        <f>N824+O824</f>
        <v>500</v>
      </c>
      <c r="Q824" s="14"/>
      <c r="R824" s="369"/>
      <c r="S824" s="369"/>
      <c r="T824" s="369"/>
      <c r="U824" s="369"/>
      <c r="V824" s="369"/>
      <c r="W824" s="369"/>
      <c r="X824" s="369"/>
      <c r="Y824" s="369"/>
      <c r="Z824" s="369"/>
    </row>
    <row r="825" spans="1:26" s="12" customFormat="1" ht="12.75" hidden="1">
      <c r="A825" s="134" t="s">
        <v>185</v>
      </c>
      <c r="B825" s="8"/>
      <c r="C825" s="8"/>
      <c r="D825" s="246"/>
      <c r="E825" s="246"/>
      <c r="F825" s="247"/>
      <c r="G825" s="169"/>
      <c r="H825" s="169"/>
      <c r="I825" s="169"/>
      <c r="J825" s="162"/>
      <c r="K825" s="169"/>
      <c r="L825" s="169"/>
      <c r="M825" s="169"/>
      <c r="N825" s="169"/>
      <c r="O825" s="169"/>
      <c r="P825" s="162"/>
      <c r="Q825" s="14"/>
      <c r="R825" s="369"/>
      <c r="S825" s="369"/>
      <c r="T825" s="369"/>
      <c r="U825" s="369"/>
      <c r="V825" s="369"/>
      <c r="W825" s="369"/>
      <c r="X825" s="369"/>
      <c r="Y825" s="369"/>
      <c r="Z825" s="369"/>
    </row>
    <row r="826" spans="1:26" s="12" customFormat="1" ht="12.75" hidden="1">
      <c r="A826" s="135" t="s">
        <v>263</v>
      </c>
      <c r="B826" s="8"/>
      <c r="C826" s="8"/>
      <c r="D826" s="207">
        <v>500</v>
      </c>
      <c r="E826" s="246"/>
      <c r="F826" s="247"/>
      <c r="G826" s="162">
        <f>G824</f>
        <v>500</v>
      </c>
      <c r="H826" s="162"/>
      <c r="I826" s="162"/>
      <c r="J826" s="162">
        <f>G826+H826</f>
        <v>500</v>
      </c>
      <c r="K826" s="162">
        <f>K824</f>
        <v>0</v>
      </c>
      <c r="L826" s="162">
        <f>L824</f>
        <v>0</v>
      </c>
      <c r="M826" s="162">
        <f>M824</f>
        <v>0</v>
      </c>
      <c r="N826" s="162">
        <v>500</v>
      </c>
      <c r="O826" s="162"/>
      <c r="P826" s="162">
        <f>N826+O826</f>
        <v>500</v>
      </c>
      <c r="Q826" s="14"/>
      <c r="R826" s="369"/>
      <c r="S826" s="369"/>
      <c r="T826" s="369"/>
      <c r="U826" s="369"/>
      <c r="V826" s="369"/>
      <c r="W826" s="369"/>
      <c r="X826" s="369"/>
      <c r="Y826" s="369"/>
      <c r="Z826" s="369"/>
    </row>
    <row r="827" spans="1:26" s="12" customFormat="1" ht="12.75" hidden="1">
      <c r="A827" s="134" t="s">
        <v>187</v>
      </c>
      <c r="B827" s="8"/>
      <c r="C827" s="8"/>
      <c r="D827" s="246"/>
      <c r="E827" s="246"/>
      <c r="F827" s="247"/>
      <c r="G827" s="169"/>
      <c r="H827" s="169"/>
      <c r="I827" s="169"/>
      <c r="J827" s="162"/>
      <c r="K827" s="169"/>
      <c r="L827" s="169"/>
      <c r="M827" s="169"/>
      <c r="N827" s="169"/>
      <c r="O827" s="169"/>
      <c r="P827" s="162"/>
      <c r="Q827" s="14"/>
      <c r="R827" s="369"/>
      <c r="S827" s="369"/>
      <c r="T827" s="369"/>
      <c r="U827" s="369"/>
      <c r="V827" s="369"/>
      <c r="W827" s="369"/>
      <c r="X827" s="369"/>
      <c r="Y827" s="369"/>
      <c r="Z827" s="369"/>
    </row>
    <row r="828" spans="1:26" s="12" customFormat="1" ht="17.25" customHeight="1" hidden="1">
      <c r="A828" s="135" t="s">
        <v>264</v>
      </c>
      <c r="B828" s="8"/>
      <c r="C828" s="8"/>
      <c r="D828" s="246">
        <f>D822/D824</f>
        <v>1000</v>
      </c>
      <c r="E828" s="246"/>
      <c r="F828" s="247"/>
      <c r="G828" s="162">
        <f>G822/G826</f>
        <v>3393</v>
      </c>
      <c r="H828" s="169"/>
      <c r="I828" s="169"/>
      <c r="J828" s="162">
        <f>G828+H828</f>
        <v>3393</v>
      </c>
      <c r="K828" s="169"/>
      <c r="L828" s="169"/>
      <c r="M828" s="169"/>
      <c r="N828" s="162">
        <f>N822/N826</f>
        <v>3562.6</v>
      </c>
      <c r="O828" s="162"/>
      <c r="P828" s="162">
        <f>N828+O828</f>
        <v>3562.6</v>
      </c>
      <c r="Q828" s="14"/>
      <c r="R828" s="369"/>
      <c r="S828" s="369"/>
      <c r="T828" s="369"/>
      <c r="U828" s="369"/>
      <c r="V828" s="369"/>
      <c r="W828" s="369"/>
      <c r="X828" s="369"/>
      <c r="Y828" s="369"/>
      <c r="Z828" s="369"/>
    </row>
    <row r="829" spans="1:26" s="18" customFormat="1" ht="57" customHeight="1" hidden="1">
      <c r="A829" s="152" t="s">
        <v>138</v>
      </c>
      <c r="B829" s="133"/>
      <c r="C829" s="133"/>
      <c r="D829" s="226">
        <f>2400800-400800-600000</f>
        <v>1400000</v>
      </c>
      <c r="E829" s="226"/>
      <c r="F829" s="226">
        <f>D829+E829</f>
        <v>1400000</v>
      </c>
      <c r="G829" s="161">
        <f>2544800-344800-145000</f>
        <v>2055000</v>
      </c>
      <c r="H829" s="161"/>
      <c r="I829" s="161">
        <f>I833*I835</f>
        <v>0</v>
      </c>
      <c r="J829" s="161">
        <f>G829</f>
        <v>2055000</v>
      </c>
      <c r="K829" s="161">
        <f>K833*K835</f>
        <v>0</v>
      </c>
      <c r="L829" s="161">
        <f>L833*L835</f>
        <v>0</v>
      </c>
      <c r="M829" s="161">
        <f>M833*M835</f>
        <v>0</v>
      </c>
      <c r="N829" s="161">
        <f>2672000-272000</f>
        <v>2400000</v>
      </c>
      <c r="O829" s="161"/>
      <c r="P829" s="161">
        <f>N829</f>
        <v>2400000</v>
      </c>
      <c r="Q829" s="17"/>
      <c r="R829" s="370"/>
      <c r="S829" s="370"/>
      <c r="T829" s="370"/>
      <c r="U829" s="370"/>
      <c r="V829" s="370"/>
      <c r="W829" s="370"/>
      <c r="X829" s="370"/>
      <c r="Y829" s="370"/>
      <c r="Z829" s="370"/>
    </row>
    <row r="830" spans="1:131" ht="12.75" hidden="1">
      <c r="A830" s="134" t="s">
        <v>184</v>
      </c>
      <c r="B830" s="165"/>
      <c r="C830" s="165"/>
      <c r="D830" s="248"/>
      <c r="E830" s="248"/>
      <c r="F830" s="248"/>
      <c r="G830" s="162"/>
      <c r="H830" s="162"/>
      <c r="I830" s="162"/>
      <c r="J830" s="162"/>
      <c r="K830" s="162"/>
      <c r="L830" s="162"/>
      <c r="M830" s="162"/>
      <c r="N830" s="162"/>
      <c r="O830" s="162"/>
      <c r="P830" s="162"/>
      <c r="Q830" s="3"/>
      <c r="R830" s="275"/>
      <c r="S830" s="275"/>
      <c r="T830" s="275"/>
      <c r="U830" s="275"/>
      <c r="V830" s="275"/>
      <c r="W830" s="275"/>
      <c r="X830" s="275"/>
      <c r="Y830" s="275"/>
      <c r="Z830" s="275"/>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row>
    <row r="831" spans="1:131" ht="33" customHeight="1" hidden="1">
      <c r="A831" s="135" t="s">
        <v>262</v>
      </c>
      <c r="B831" s="165"/>
      <c r="C831" s="165"/>
      <c r="D831" s="91">
        <v>30</v>
      </c>
      <c r="E831" s="91"/>
      <c r="F831" s="91">
        <f>D831</f>
        <v>30</v>
      </c>
      <c r="G831" s="91">
        <f>G833</f>
        <v>30</v>
      </c>
      <c r="H831" s="91"/>
      <c r="I831" s="91"/>
      <c r="J831" s="162">
        <f>G831+H831</f>
        <v>30</v>
      </c>
      <c r="K831" s="91">
        <f>H831</f>
        <v>0</v>
      </c>
      <c r="L831" s="91">
        <f>J831</f>
        <v>30</v>
      </c>
      <c r="M831" s="91">
        <f>K831</f>
        <v>0</v>
      </c>
      <c r="N831" s="91">
        <f>N833</f>
        <v>30</v>
      </c>
      <c r="O831" s="91"/>
      <c r="P831" s="91">
        <f>N831</f>
        <v>30</v>
      </c>
      <c r="Q831" s="3"/>
      <c r="R831" s="275"/>
      <c r="S831" s="275"/>
      <c r="T831" s="275"/>
      <c r="U831" s="275"/>
      <c r="V831" s="275"/>
      <c r="W831" s="275"/>
      <c r="X831" s="275"/>
      <c r="Y831" s="275"/>
      <c r="Z831" s="275"/>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row>
    <row r="832" spans="1:131" ht="12.75" hidden="1">
      <c r="A832" s="134" t="s">
        <v>185</v>
      </c>
      <c r="B832" s="165"/>
      <c r="C832" s="165"/>
      <c r="D832" s="91"/>
      <c r="E832" s="91"/>
      <c r="F832" s="91"/>
      <c r="G832" s="162"/>
      <c r="H832" s="162"/>
      <c r="I832" s="162"/>
      <c r="J832" s="162"/>
      <c r="K832" s="162"/>
      <c r="L832" s="162"/>
      <c r="M832" s="162"/>
      <c r="N832" s="162"/>
      <c r="O832" s="162"/>
      <c r="P832" s="162"/>
      <c r="Q832" s="3"/>
      <c r="R832" s="275"/>
      <c r="S832" s="275"/>
      <c r="T832" s="275"/>
      <c r="U832" s="275"/>
      <c r="V832" s="275"/>
      <c r="W832" s="275"/>
      <c r="X832" s="275"/>
      <c r="Y832" s="275"/>
      <c r="Z832" s="275"/>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row>
    <row r="833" spans="1:131" ht="22.5" customHeight="1" hidden="1">
      <c r="A833" s="135" t="s">
        <v>393</v>
      </c>
      <c r="B833" s="165"/>
      <c r="C833" s="165"/>
      <c r="D833" s="91">
        <v>30</v>
      </c>
      <c r="E833" s="91"/>
      <c r="F833" s="91">
        <f>D833</f>
        <v>30</v>
      </c>
      <c r="G833" s="162">
        <v>30</v>
      </c>
      <c r="H833" s="162"/>
      <c r="I833" s="162"/>
      <c r="J833" s="162">
        <f>G833+H833</f>
        <v>30</v>
      </c>
      <c r="K833" s="162"/>
      <c r="L833" s="162"/>
      <c r="M833" s="162"/>
      <c r="N833" s="162">
        <v>30</v>
      </c>
      <c r="O833" s="162"/>
      <c r="P833" s="162">
        <f>N833</f>
        <v>30</v>
      </c>
      <c r="Q833" s="3"/>
      <c r="R833" s="275"/>
      <c r="S833" s="275"/>
      <c r="T833" s="275"/>
      <c r="U833" s="275"/>
      <c r="V833" s="275"/>
      <c r="W833" s="275"/>
      <c r="X833" s="275"/>
      <c r="Y833" s="275"/>
      <c r="Z833" s="275"/>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row>
    <row r="834" spans="1:131" ht="12.75" hidden="1">
      <c r="A834" s="134" t="s">
        <v>187</v>
      </c>
      <c r="B834" s="165"/>
      <c r="C834" s="165"/>
      <c r="D834" s="91"/>
      <c r="E834" s="91"/>
      <c r="F834" s="91"/>
      <c r="G834" s="162"/>
      <c r="H834" s="162"/>
      <c r="I834" s="162"/>
      <c r="J834" s="162"/>
      <c r="K834" s="162"/>
      <c r="L834" s="162"/>
      <c r="M834" s="162"/>
      <c r="N834" s="162"/>
      <c r="O834" s="162"/>
      <c r="P834" s="162"/>
      <c r="Q834" s="3"/>
      <c r="R834" s="275"/>
      <c r="S834" s="275"/>
      <c r="T834" s="275"/>
      <c r="U834" s="275"/>
      <c r="V834" s="275"/>
      <c r="W834" s="275"/>
      <c r="X834" s="275"/>
      <c r="Y834" s="275"/>
      <c r="Z834" s="275"/>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row>
    <row r="835" spans="1:131" ht="12" customHeight="1" hidden="1">
      <c r="A835" s="135" t="s">
        <v>264</v>
      </c>
      <c r="B835" s="165"/>
      <c r="C835" s="165"/>
      <c r="D835" s="91">
        <f>D829/D833</f>
        <v>46666.666666666664</v>
      </c>
      <c r="E835" s="91"/>
      <c r="F835" s="91">
        <f>D835</f>
        <v>46666.666666666664</v>
      </c>
      <c r="G835" s="162">
        <f>G829/G831</f>
        <v>68500</v>
      </c>
      <c r="H835" s="162"/>
      <c r="I835" s="162"/>
      <c r="J835" s="162">
        <f>G835+H835</f>
        <v>68500</v>
      </c>
      <c r="K835" s="162"/>
      <c r="L835" s="162"/>
      <c r="M835" s="162"/>
      <c r="N835" s="162">
        <f>N829/N831</f>
        <v>80000</v>
      </c>
      <c r="O835" s="162"/>
      <c r="P835" s="162">
        <f>N835</f>
        <v>80000</v>
      </c>
      <c r="Q835" s="3"/>
      <c r="R835" s="275"/>
      <c r="S835" s="275"/>
      <c r="T835" s="275"/>
      <c r="U835" s="275"/>
      <c r="V835" s="275"/>
      <c r="W835" s="275"/>
      <c r="X835" s="275"/>
      <c r="Y835" s="275"/>
      <c r="Z835" s="275"/>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row>
    <row r="836" spans="1:26" s="116" customFormat="1" ht="47.25" customHeight="1" hidden="1">
      <c r="A836" s="153" t="s">
        <v>100</v>
      </c>
      <c r="B836" s="173"/>
      <c r="C836" s="173"/>
      <c r="D836" s="249">
        <f>D840*D842</f>
        <v>999999.999999</v>
      </c>
      <c r="E836" s="249"/>
      <c r="F836" s="249">
        <f>D836</f>
        <v>999999.999999</v>
      </c>
      <c r="G836" s="250">
        <f>G840*G842</f>
        <v>1144999.9997999999</v>
      </c>
      <c r="H836" s="250"/>
      <c r="I836" s="250"/>
      <c r="J836" s="250">
        <f>G836</f>
        <v>1144999.9997999999</v>
      </c>
      <c r="K836" s="250"/>
      <c r="L836" s="250"/>
      <c r="M836" s="250"/>
      <c r="N836" s="250">
        <f>N840*N842</f>
        <v>999999.999999</v>
      </c>
      <c r="O836" s="250"/>
      <c r="P836" s="250">
        <f>N836</f>
        <v>999999.999999</v>
      </c>
      <c r="Q836" s="115"/>
      <c r="R836" s="275"/>
      <c r="S836" s="275"/>
      <c r="T836" s="275"/>
      <c r="U836" s="275"/>
      <c r="V836" s="275"/>
      <c r="W836" s="275"/>
      <c r="X836" s="275"/>
      <c r="Y836" s="275"/>
      <c r="Z836" s="275"/>
    </row>
    <row r="837" spans="1:131" ht="12.75" hidden="1">
      <c r="A837" s="134" t="s">
        <v>184</v>
      </c>
      <c r="B837" s="165"/>
      <c r="C837" s="165"/>
      <c r="D837" s="91"/>
      <c r="E837" s="91"/>
      <c r="F837" s="91"/>
      <c r="G837" s="162"/>
      <c r="H837" s="162"/>
      <c r="I837" s="162"/>
      <c r="J837" s="162"/>
      <c r="K837" s="162"/>
      <c r="L837" s="162"/>
      <c r="M837" s="162"/>
      <c r="N837" s="162"/>
      <c r="O837" s="162"/>
      <c r="P837" s="162"/>
      <c r="Q837" s="3"/>
      <c r="R837" s="275"/>
      <c r="S837" s="275"/>
      <c r="T837" s="275"/>
      <c r="U837" s="275"/>
      <c r="V837" s="275"/>
      <c r="W837" s="275"/>
      <c r="X837" s="275"/>
      <c r="Y837" s="275"/>
      <c r="Z837" s="275"/>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row>
    <row r="838" spans="1:131" ht="30.75" customHeight="1" hidden="1">
      <c r="A838" s="135" t="s">
        <v>262</v>
      </c>
      <c r="B838" s="165"/>
      <c r="C838" s="165"/>
      <c r="D838" s="91">
        <v>3</v>
      </c>
      <c r="E838" s="91"/>
      <c r="F838" s="91">
        <f>D838</f>
        <v>3</v>
      </c>
      <c r="G838" s="162">
        <v>6</v>
      </c>
      <c r="H838" s="162"/>
      <c r="I838" s="162"/>
      <c r="J838" s="162">
        <f>G838</f>
        <v>6</v>
      </c>
      <c r="K838" s="162"/>
      <c r="L838" s="162"/>
      <c r="M838" s="162"/>
      <c r="N838" s="162">
        <v>3</v>
      </c>
      <c r="O838" s="162"/>
      <c r="P838" s="162">
        <f>N838</f>
        <v>3</v>
      </c>
      <c r="Q838" s="3"/>
      <c r="R838" s="275"/>
      <c r="S838" s="275"/>
      <c r="T838" s="275"/>
      <c r="U838" s="275"/>
      <c r="V838" s="275"/>
      <c r="W838" s="275"/>
      <c r="X838" s="275"/>
      <c r="Y838" s="275"/>
      <c r="Z838" s="275"/>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row>
    <row r="839" spans="1:131" ht="12.75" hidden="1">
      <c r="A839" s="134" t="s">
        <v>185</v>
      </c>
      <c r="B839" s="165"/>
      <c r="C839" s="165"/>
      <c r="D839" s="91"/>
      <c r="E839" s="91"/>
      <c r="F839" s="91"/>
      <c r="G839" s="162"/>
      <c r="H839" s="162"/>
      <c r="I839" s="162"/>
      <c r="J839" s="162"/>
      <c r="K839" s="162"/>
      <c r="L839" s="162"/>
      <c r="M839" s="162"/>
      <c r="N839" s="162"/>
      <c r="O839" s="162"/>
      <c r="P839" s="162"/>
      <c r="Q839" s="3"/>
      <c r="R839" s="275"/>
      <c r="S839" s="275"/>
      <c r="T839" s="275"/>
      <c r="U839" s="275"/>
      <c r="V839" s="275"/>
      <c r="W839" s="275"/>
      <c r="X839" s="275"/>
      <c r="Y839" s="275"/>
      <c r="Z839" s="275"/>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row>
    <row r="840" spans="1:131" ht="20.25" customHeight="1" hidden="1">
      <c r="A840" s="135" t="s">
        <v>393</v>
      </c>
      <c r="B840" s="165"/>
      <c r="C840" s="165"/>
      <c r="D840" s="91">
        <v>3</v>
      </c>
      <c r="E840" s="91"/>
      <c r="F840" s="91">
        <f>D840</f>
        <v>3</v>
      </c>
      <c r="G840" s="162">
        <v>6</v>
      </c>
      <c r="H840" s="162"/>
      <c r="I840" s="162"/>
      <c r="J840" s="162">
        <f>G840</f>
        <v>6</v>
      </c>
      <c r="K840" s="162"/>
      <c r="L840" s="162"/>
      <c r="M840" s="162"/>
      <c r="N840" s="162">
        <v>3</v>
      </c>
      <c r="O840" s="162"/>
      <c r="P840" s="162">
        <f>N840</f>
        <v>3</v>
      </c>
      <c r="Q840" s="3"/>
      <c r="R840" s="275"/>
      <c r="S840" s="275"/>
      <c r="T840" s="275"/>
      <c r="U840" s="275"/>
      <c r="V840" s="275"/>
      <c r="W840" s="275"/>
      <c r="X840" s="275"/>
      <c r="Y840" s="275"/>
      <c r="Z840" s="275"/>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row>
    <row r="841" spans="1:131" ht="12.75" hidden="1">
      <c r="A841" s="134" t="s">
        <v>187</v>
      </c>
      <c r="B841" s="165"/>
      <c r="C841" s="165"/>
      <c r="D841" s="91"/>
      <c r="E841" s="91"/>
      <c r="F841" s="91"/>
      <c r="G841" s="162"/>
      <c r="H841" s="162"/>
      <c r="I841" s="162"/>
      <c r="J841" s="162"/>
      <c r="K841" s="162"/>
      <c r="L841" s="162"/>
      <c r="M841" s="162"/>
      <c r="N841" s="162"/>
      <c r="O841" s="162"/>
      <c r="P841" s="162"/>
      <c r="Q841" s="3"/>
      <c r="R841" s="275"/>
      <c r="S841" s="275"/>
      <c r="T841" s="275"/>
      <c r="U841" s="275"/>
      <c r="V841" s="275"/>
      <c r="W841" s="275"/>
      <c r="X841" s="275"/>
      <c r="Y841" s="275"/>
      <c r="Z841" s="275"/>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row>
    <row r="842" spans="1:131" ht="12.75" hidden="1">
      <c r="A842" s="135" t="s">
        <v>264</v>
      </c>
      <c r="B842" s="165"/>
      <c r="C842" s="165"/>
      <c r="D842" s="91">
        <v>333333.333333</v>
      </c>
      <c r="E842" s="91"/>
      <c r="F842" s="91">
        <f>D842</f>
        <v>333333.333333</v>
      </c>
      <c r="G842" s="162">
        <v>190833.3333</v>
      </c>
      <c r="H842" s="162"/>
      <c r="I842" s="162"/>
      <c r="J842" s="162">
        <f>G842</f>
        <v>190833.3333</v>
      </c>
      <c r="K842" s="162"/>
      <c r="L842" s="162"/>
      <c r="M842" s="162"/>
      <c r="N842" s="162">
        <v>333333.333333</v>
      </c>
      <c r="O842" s="162"/>
      <c r="P842" s="162">
        <f>N842</f>
        <v>333333.333333</v>
      </c>
      <c r="Q842" s="3"/>
      <c r="R842" s="275"/>
      <c r="S842" s="275"/>
      <c r="T842" s="275"/>
      <c r="U842" s="275"/>
      <c r="V842" s="275"/>
      <c r="W842" s="275"/>
      <c r="X842" s="275"/>
      <c r="Y842" s="275"/>
      <c r="Z842" s="275"/>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row>
    <row r="843" spans="1:26" s="76" customFormat="1" ht="33.75" customHeight="1" hidden="1">
      <c r="A843" s="73" t="s">
        <v>304</v>
      </c>
      <c r="B843" s="97"/>
      <c r="C843" s="97"/>
      <c r="D843" s="74">
        <f>D845</f>
        <v>0</v>
      </c>
      <c r="E843" s="74">
        <f>E845</f>
        <v>7151600</v>
      </c>
      <c r="F843" s="74">
        <f aca="true" t="shared" si="64" ref="F843:P843">F845</f>
        <v>7151600</v>
      </c>
      <c r="G843" s="74">
        <f t="shared" si="64"/>
        <v>0</v>
      </c>
      <c r="H843" s="74">
        <f t="shared" si="64"/>
        <v>8323500</v>
      </c>
      <c r="I843" s="74">
        <f t="shared" si="64"/>
        <v>0</v>
      </c>
      <c r="J843" s="74">
        <f t="shared" si="64"/>
        <v>8323500</v>
      </c>
      <c r="K843" s="74">
        <f t="shared" si="64"/>
        <v>0</v>
      </c>
      <c r="L843" s="74">
        <f t="shared" si="64"/>
        <v>0</v>
      </c>
      <c r="M843" s="74">
        <f t="shared" si="64"/>
        <v>0</v>
      </c>
      <c r="N843" s="74">
        <f t="shared" si="64"/>
        <v>0</v>
      </c>
      <c r="O843" s="74">
        <f t="shared" si="64"/>
        <v>0</v>
      </c>
      <c r="P843" s="74">
        <f t="shared" si="64"/>
        <v>0</v>
      </c>
      <c r="Q843" s="99"/>
      <c r="R843" s="366"/>
      <c r="S843" s="366"/>
      <c r="T843" s="366"/>
      <c r="U843" s="366"/>
      <c r="V843" s="366"/>
      <c r="W843" s="366"/>
      <c r="X843" s="366"/>
      <c r="Y843" s="366"/>
      <c r="Z843" s="366"/>
    </row>
    <row r="844" spans="1:131" ht="12.75" hidden="1">
      <c r="A844" s="135" t="s">
        <v>266</v>
      </c>
      <c r="B844" s="165"/>
      <c r="C844" s="165"/>
      <c r="D844" s="132"/>
      <c r="E844" s="132"/>
      <c r="F844" s="132"/>
      <c r="G844" s="132"/>
      <c r="H844" s="132"/>
      <c r="I844" s="132"/>
      <c r="J844" s="132"/>
      <c r="K844" s="132"/>
      <c r="L844" s="132"/>
      <c r="M844" s="132"/>
      <c r="N844" s="132"/>
      <c r="O844" s="132"/>
      <c r="P844" s="132"/>
      <c r="Q844" s="3"/>
      <c r="R844" s="275"/>
      <c r="S844" s="275"/>
      <c r="T844" s="275"/>
      <c r="U844" s="275"/>
      <c r="V844" s="275"/>
      <c r="W844" s="275"/>
      <c r="X844" s="275"/>
      <c r="Y844" s="275"/>
      <c r="Z844" s="275"/>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row>
    <row r="845" spans="1:26" s="71" customFormat="1" ht="32.25" customHeight="1" hidden="1">
      <c r="A845" s="68" t="s">
        <v>87</v>
      </c>
      <c r="B845" s="69"/>
      <c r="C845" s="69"/>
      <c r="D845" s="67"/>
      <c r="E845" s="67">
        <f>E847</f>
        <v>7151600</v>
      </c>
      <c r="F845" s="67">
        <f>D845+E845</f>
        <v>7151600</v>
      </c>
      <c r="G845" s="67"/>
      <c r="H845" s="67">
        <f>H847</f>
        <v>8323500</v>
      </c>
      <c r="I845" s="67">
        <f>I847</f>
        <v>0</v>
      </c>
      <c r="J845" s="67">
        <f>H845+I845</f>
        <v>8323500</v>
      </c>
      <c r="K845" s="67"/>
      <c r="L845" s="67"/>
      <c r="M845" s="67"/>
      <c r="N845" s="67"/>
      <c r="O845" s="67">
        <f>O849*O851</f>
        <v>0</v>
      </c>
      <c r="P845" s="67">
        <f>O845</f>
        <v>0</v>
      </c>
      <c r="Q845" s="100"/>
      <c r="R845" s="371"/>
      <c r="S845" s="371"/>
      <c r="T845" s="371"/>
      <c r="U845" s="371"/>
      <c r="V845" s="371"/>
      <c r="W845" s="371"/>
      <c r="X845" s="371"/>
      <c r="Y845" s="371"/>
      <c r="Z845" s="371"/>
    </row>
    <row r="846" spans="1:131" ht="12.75" hidden="1">
      <c r="A846" s="134" t="s">
        <v>184</v>
      </c>
      <c r="B846" s="165"/>
      <c r="C846" s="165"/>
      <c r="D846" s="132"/>
      <c r="E846" s="132"/>
      <c r="F846" s="132"/>
      <c r="G846" s="132"/>
      <c r="H846" s="132"/>
      <c r="I846" s="132"/>
      <c r="J846" s="175"/>
      <c r="K846" s="132"/>
      <c r="L846" s="132"/>
      <c r="M846" s="132"/>
      <c r="N846" s="132"/>
      <c r="O846" s="132"/>
      <c r="P846" s="132"/>
      <c r="Q846" s="3"/>
      <c r="R846" s="275"/>
      <c r="S846" s="275"/>
      <c r="T846" s="275"/>
      <c r="U846" s="275"/>
      <c r="V846" s="275"/>
      <c r="W846" s="275"/>
      <c r="X846" s="275"/>
      <c r="Y846" s="275"/>
      <c r="Z846" s="275"/>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row>
    <row r="847" spans="1:131" ht="12.75" hidden="1">
      <c r="A847" s="135" t="s">
        <v>205</v>
      </c>
      <c r="B847" s="165"/>
      <c r="C847" s="165"/>
      <c r="D847" s="132"/>
      <c r="E847" s="132">
        <f>20400000-3800000+5000000-16360000+1911600</f>
        <v>7151600</v>
      </c>
      <c r="F847" s="132">
        <f>D847+E847</f>
        <v>7151600</v>
      </c>
      <c r="G847" s="132"/>
      <c r="H847" s="132">
        <f>2160000+6163500</f>
        <v>8323500</v>
      </c>
      <c r="I847" s="132"/>
      <c r="J847" s="175">
        <f>H847+I847</f>
        <v>8323500</v>
      </c>
      <c r="K847" s="132"/>
      <c r="L847" s="132"/>
      <c r="M847" s="132"/>
      <c r="N847" s="132"/>
      <c r="O847" s="132"/>
      <c r="P847" s="132"/>
      <c r="Q847" s="3"/>
      <c r="R847" s="275"/>
      <c r="S847" s="275"/>
      <c r="T847" s="275"/>
      <c r="U847" s="275"/>
      <c r="V847" s="275"/>
      <c r="W847" s="275"/>
      <c r="X847" s="275"/>
      <c r="Y847" s="275"/>
      <c r="Z847" s="275"/>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row>
    <row r="848" spans="1:131" ht="12.75" hidden="1">
      <c r="A848" s="134" t="s">
        <v>185</v>
      </c>
      <c r="B848" s="165"/>
      <c r="C848" s="165"/>
      <c r="D848" s="132"/>
      <c r="E848" s="132"/>
      <c r="F848" s="132"/>
      <c r="G848" s="132"/>
      <c r="H848" s="132"/>
      <c r="I848" s="132"/>
      <c r="J848" s="175"/>
      <c r="K848" s="132"/>
      <c r="L848" s="132"/>
      <c r="M848" s="132"/>
      <c r="N848" s="132"/>
      <c r="O848" s="132"/>
      <c r="P848" s="132"/>
      <c r="Q848" s="3"/>
      <c r="R848" s="275"/>
      <c r="S848" s="275"/>
      <c r="T848" s="275"/>
      <c r="U848" s="275"/>
      <c r="V848" s="275"/>
      <c r="W848" s="275"/>
      <c r="X848" s="275"/>
      <c r="Y848" s="275"/>
      <c r="Z848" s="275"/>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row>
    <row r="849" spans="1:131" ht="25.5" hidden="1">
      <c r="A849" s="135" t="s">
        <v>267</v>
      </c>
      <c r="B849" s="165"/>
      <c r="C849" s="165"/>
      <c r="D849" s="132"/>
      <c r="E849" s="167">
        <v>2</v>
      </c>
      <c r="F849" s="167">
        <f>D849+E849</f>
        <v>2</v>
      </c>
      <c r="G849" s="132"/>
      <c r="H849" s="167">
        <v>1</v>
      </c>
      <c r="I849" s="132"/>
      <c r="J849" s="309">
        <f>H849+I849</f>
        <v>1</v>
      </c>
      <c r="K849" s="132"/>
      <c r="L849" s="132"/>
      <c r="M849" s="132"/>
      <c r="N849" s="132"/>
      <c r="O849" s="132"/>
      <c r="P849" s="132"/>
      <c r="Q849" s="3"/>
      <c r="R849" s="275"/>
      <c r="S849" s="275"/>
      <c r="T849" s="275"/>
      <c r="U849" s="275"/>
      <c r="V849" s="275"/>
      <c r="W849" s="275"/>
      <c r="X849" s="275"/>
      <c r="Y849" s="275"/>
      <c r="Z849" s="275"/>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row>
    <row r="850" spans="1:131" ht="12.75" hidden="1">
      <c r="A850" s="134" t="s">
        <v>187</v>
      </c>
      <c r="B850" s="165"/>
      <c r="C850" s="165"/>
      <c r="D850" s="132"/>
      <c r="E850" s="132"/>
      <c r="F850" s="132"/>
      <c r="G850" s="132"/>
      <c r="H850" s="132"/>
      <c r="I850" s="132"/>
      <c r="J850" s="175"/>
      <c r="K850" s="132"/>
      <c r="L850" s="132"/>
      <c r="M850" s="132"/>
      <c r="N850" s="132"/>
      <c r="O850" s="132"/>
      <c r="P850" s="132"/>
      <c r="Q850" s="3"/>
      <c r="R850" s="275"/>
      <c r="S850" s="275"/>
      <c r="T850" s="275"/>
      <c r="U850" s="275"/>
      <c r="V850" s="275"/>
      <c r="W850" s="275"/>
      <c r="X850" s="275"/>
      <c r="Y850" s="275"/>
      <c r="Z850" s="275"/>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row>
    <row r="851" spans="1:131" ht="24.75" customHeight="1" hidden="1">
      <c r="A851" s="135" t="s">
        <v>268</v>
      </c>
      <c r="B851" s="165"/>
      <c r="C851" s="165"/>
      <c r="D851" s="132"/>
      <c r="E851" s="132">
        <f>E847/E849</f>
        <v>3575800</v>
      </c>
      <c r="F851" s="132">
        <f>D851+E851</f>
        <v>3575800</v>
      </c>
      <c r="G851" s="132"/>
      <c r="H851" s="132">
        <f>H847/H849</f>
        <v>8323500</v>
      </c>
      <c r="I851" s="132"/>
      <c r="J851" s="175">
        <f>H851+I851</f>
        <v>8323500</v>
      </c>
      <c r="K851" s="132"/>
      <c r="L851" s="132"/>
      <c r="M851" s="132"/>
      <c r="N851" s="132"/>
      <c r="O851" s="132"/>
      <c r="P851" s="251"/>
      <c r="Q851" s="3"/>
      <c r="R851" s="275"/>
      <c r="S851" s="275"/>
      <c r="T851" s="275"/>
      <c r="U851" s="275"/>
      <c r="V851" s="275"/>
      <c r="W851" s="275"/>
      <c r="X851" s="275"/>
      <c r="Y851" s="275"/>
      <c r="Z851" s="275"/>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row>
    <row r="852" spans="1:26" s="76" customFormat="1" ht="22.5" customHeight="1" hidden="1">
      <c r="A852" s="73" t="s">
        <v>305</v>
      </c>
      <c r="B852" s="97"/>
      <c r="C852" s="97"/>
      <c r="D852" s="74">
        <f>D854</f>
        <v>8896240</v>
      </c>
      <c r="E852" s="74">
        <f aca="true" t="shared" si="65" ref="E852:P852">E854</f>
        <v>3103760</v>
      </c>
      <c r="F852" s="74">
        <f t="shared" si="65"/>
        <v>12000000</v>
      </c>
      <c r="G852" s="74">
        <f t="shared" si="65"/>
        <v>3905746</v>
      </c>
      <c r="H852" s="74">
        <f t="shared" si="65"/>
        <v>9917787.61</v>
      </c>
      <c r="I852" s="74">
        <f t="shared" si="65"/>
        <v>13823533.61</v>
      </c>
      <c r="J852" s="74">
        <f t="shared" si="65"/>
        <v>13823533.61</v>
      </c>
      <c r="K852" s="74">
        <f t="shared" si="65"/>
        <v>0</v>
      </c>
      <c r="L852" s="74">
        <f t="shared" si="65"/>
        <v>0</v>
      </c>
      <c r="M852" s="74">
        <f t="shared" si="65"/>
        <v>0</v>
      </c>
      <c r="N852" s="74">
        <f t="shared" si="65"/>
        <v>0</v>
      </c>
      <c r="O852" s="74">
        <f t="shared" si="65"/>
        <v>15000000</v>
      </c>
      <c r="P852" s="74">
        <f t="shared" si="65"/>
        <v>15000000</v>
      </c>
      <c r="Q852" s="99"/>
      <c r="R852" s="366"/>
      <c r="S852" s="366"/>
      <c r="T852" s="366"/>
      <c r="U852" s="366"/>
      <c r="V852" s="366"/>
      <c r="W852" s="366"/>
      <c r="X852" s="366"/>
      <c r="Y852" s="366"/>
      <c r="Z852" s="366"/>
    </row>
    <row r="853" spans="1:131" ht="48.75" customHeight="1" hidden="1">
      <c r="A853" s="135" t="s">
        <v>330</v>
      </c>
      <c r="B853" s="165"/>
      <c r="C853" s="165"/>
      <c r="D853" s="132"/>
      <c r="E853" s="132"/>
      <c r="F853" s="132"/>
      <c r="G853" s="132"/>
      <c r="H853" s="132"/>
      <c r="I853" s="132"/>
      <c r="J853" s="132"/>
      <c r="K853" s="132"/>
      <c r="L853" s="132"/>
      <c r="M853" s="132"/>
      <c r="N853" s="132"/>
      <c r="O853" s="132"/>
      <c r="P853" s="132"/>
      <c r="Q853" s="3"/>
      <c r="R853" s="275"/>
      <c r="S853" s="275"/>
      <c r="T853" s="275"/>
      <c r="U853" s="275"/>
      <c r="V853" s="275"/>
      <c r="W853" s="275"/>
      <c r="X853" s="275"/>
      <c r="Y853" s="275"/>
      <c r="Z853" s="275"/>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row>
    <row r="854" spans="1:26" s="71" customFormat="1" ht="33.75" customHeight="1" hidden="1">
      <c r="A854" s="68" t="s">
        <v>88</v>
      </c>
      <c r="B854" s="69"/>
      <c r="C854" s="69"/>
      <c r="D854" s="67">
        <f>D856</f>
        <v>8896240</v>
      </c>
      <c r="E854" s="67">
        <f>E856</f>
        <v>3103760</v>
      </c>
      <c r="F854" s="67">
        <f>D854+E854</f>
        <v>12000000</v>
      </c>
      <c r="G854" s="67">
        <f>G856</f>
        <v>3905746</v>
      </c>
      <c r="H854" s="67">
        <f>H856</f>
        <v>9917787.61</v>
      </c>
      <c r="I854" s="67">
        <f>G854+H854</f>
        <v>13823533.61</v>
      </c>
      <c r="J854" s="67">
        <f>G854+H854</f>
        <v>13823533.61</v>
      </c>
      <c r="K854" s="67"/>
      <c r="L854" s="67"/>
      <c r="M854" s="67"/>
      <c r="N854" s="67">
        <f>N858*N860</f>
        <v>0</v>
      </c>
      <c r="O854" s="67">
        <f>O858*O860</f>
        <v>15000000</v>
      </c>
      <c r="P854" s="67">
        <f>N854+O854</f>
        <v>15000000</v>
      </c>
      <c r="Q854" s="100"/>
      <c r="R854" s="371"/>
      <c r="S854" s="371"/>
      <c r="T854" s="371"/>
      <c r="U854" s="371"/>
      <c r="V854" s="371"/>
      <c r="W854" s="371"/>
      <c r="X854" s="371"/>
      <c r="Y854" s="371"/>
      <c r="Z854" s="371"/>
    </row>
    <row r="855" spans="1:131" ht="12.75" hidden="1">
      <c r="A855" s="134" t="s">
        <v>184</v>
      </c>
      <c r="B855" s="165"/>
      <c r="C855" s="165"/>
      <c r="D855" s="132"/>
      <c r="E855" s="132"/>
      <c r="F855" s="132"/>
      <c r="G855" s="132"/>
      <c r="H855" s="132"/>
      <c r="I855" s="132"/>
      <c r="J855" s="132"/>
      <c r="K855" s="132"/>
      <c r="L855" s="132"/>
      <c r="M855" s="132"/>
      <c r="N855" s="132"/>
      <c r="O855" s="132"/>
      <c r="P855" s="132"/>
      <c r="Q855" s="3"/>
      <c r="R855" s="275"/>
      <c r="S855" s="275"/>
      <c r="T855" s="275"/>
      <c r="U855" s="275"/>
      <c r="V855" s="275"/>
      <c r="W855" s="275"/>
      <c r="X855" s="275"/>
      <c r="Y855" s="275"/>
      <c r="Z855" s="275"/>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row>
    <row r="856" spans="1:131" ht="12.75" hidden="1">
      <c r="A856" s="135" t="s">
        <v>205</v>
      </c>
      <c r="B856" s="165"/>
      <c r="C856" s="165"/>
      <c r="D856" s="132">
        <v>8896240</v>
      </c>
      <c r="E856" s="132">
        <v>3103760</v>
      </c>
      <c r="F856" s="132">
        <f>D856+E856</f>
        <v>12000000</v>
      </c>
      <c r="G856" s="132">
        <f>3192750+712996</f>
        <v>3905746</v>
      </c>
      <c r="H856" s="132">
        <f>9807250+110537.61</f>
        <v>9917787.61</v>
      </c>
      <c r="I856" s="132"/>
      <c r="J856" s="132">
        <f>G856+H856</f>
        <v>13823533.61</v>
      </c>
      <c r="K856" s="132"/>
      <c r="L856" s="132"/>
      <c r="M856" s="132"/>
      <c r="N856" s="132"/>
      <c r="O856" s="132">
        <v>15000000</v>
      </c>
      <c r="P856" s="132">
        <f>N856+O856</f>
        <v>15000000</v>
      </c>
      <c r="Q856" s="3"/>
      <c r="R856" s="275"/>
      <c r="S856" s="275"/>
      <c r="T856" s="275"/>
      <c r="U856" s="275"/>
      <c r="V856" s="275"/>
      <c r="W856" s="275"/>
      <c r="X856" s="275"/>
      <c r="Y856" s="275"/>
      <c r="Z856" s="275"/>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row>
    <row r="857" spans="1:131" ht="12.75" hidden="1">
      <c r="A857" s="134" t="s">
        <v>185</v>
      </c>
      <c r="B857" s="165"/>
      <c r="C857" s="165"/>
      <c r="D857" s="132"/>
      <c r="E857" s="132"/>
      <c r="F857" s="132"/>
      <c r="G857" s="132"/>
      <c r="H857" s="132"/>
      <c r="I857" s="132"/>
      <c r="J857" s="132"/>
      <c r="K857" s="132"/>
      <c r="L857" s="132"/>
      <c r="M857" s="132"/>
      <c r="N857" s="132"/>
      <c r="O857" s="132"/>
      <c r="P857" s="132"/>
      <c r="Q857" s="3"/>
      <c r="R857" s="275"/>
      <c r="S857" s="275"/>
      <c r="T857" s="275"/>
      <c r="U857" s="275"/>
      <c r="V857" s="275"/>
      <c r="W857" s="275"/>
      <c r="X857" s="275"/>
      <c r="Y857" s="275"/>
      <c r="Z857" s="275"/>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row>
    <row r="858" spans="1:131" ht="12.75" hidden="1">
      <c r="A858" s="135" t="s">
        <v>273</v>
      </c>
      <c r="B858" s="165"/>
      <c r="C858" s="165"/>
      <c r="D858" s="132">
        <v>1</v>
      </c>
      <c r="E858" s="132">
        <v>1</v>
      </c>
      <c r="F858" s="162">
        <v>1</v>
      </c>
      <c r="G858" s="162">
        <v>1</v>
      </c>
      <c r="H858" s="162">
        <v>1</v>
      </c>
      <c r="I858" s="162"/>
      <c r="J858" s="162">
        <v>1</v>
      </c>
      <c r="K858" s="162"/>
      <c r="L858" s="162"/>
      <c r="M858" s="162"/>
      <c r="N858" s="162"/>
      <c r="O858" s="162">
        <v>1</v>
      </c>
      <c r="P858" s="162">
        <f>N858+O858</f>
        <v>1</v>
      </c>
      <c r="Q858" s="3"/>
      <c r="R858" s="275"/>
      <c r="S858" s="275"/>
      <c r="T858" s="275"/>
      <c r="U858" s="275"/>
      <c r="V858" s="275"/>
      <c r="W858" s="275"/>
      <c r="X858" s="275"/>
      <c r="Y858" s="275"/>
      <c r="Z858" s="275"/>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row>
    <row r="859" spans="1:131" ht="12.75" hidden="1">
      <c r="A859" s="134" t="s">
        <v>187</v>
      </c>
      <c r="B859" s="165"/>
      <c r="C859" s="165"/>
      <c r="D859" s="132"/>
      <c r="E859" s="132"/>
      <c r="F859" s="132"/>
      <c r="G859" s="132"/>
      <c r="H859" s="132"/>
      <c r="I859" s="132"/>
      <c r="J859" s="132"/>
      <c r="K859" s="132"/>
      <c r="L859" s="132"/>
      <c r="M859" s="132"/>
      <c r="N859" s="132"/>
      <c r="O859" s="132"/>
      <c r="P859" s="132"/>
      <c r="Q859" s="3"/>
      <c r="R859" s="275"/>
      <c r="S859" s="275"/>
      <c r="T859" s="275"/>
      <c r="U859" s="275"/>
      <c r="V859" s="275"/>
      <c r="W859" s="275"/>
      <c r="X859" s="275"/>
      <c r="Y859" s="275"/>
      <c r="Z859" s="275"/>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row>
    <row r="860" spans="1:131" ht="12.75" hidden="1">
      <c r="A860" s="135" t="s">
        <v>274</v>
      </c>
      <c r="B860" s="165"/>
      <c r="C860" s="165"/>
      <c r="D860" s="132">
        <f>D856/D858</f>
        <v>8896240</v>
      </c>
      <c r="E860" s="132">
        <f>E856/E858</f>
        <v>3103760</v>
      </c>
      <c r="F860" s="132">
        <f>D860+E860</f>
        <v>12000000</v>
      </c>
      <c r="G860" s="132">
        <f>G856/G858</f>
        <v>3905746</v>
      </c>
      <c r="H860" s="132">
        <f>H856/H858</f>
        <v>9917787.61</v>
      </c>
      <c r="I860" s="132"/>
      <c r="J860" s="132">
        <f>G860+H860</f>
        <v>13823533.61</v>
      </c>
      <c r="K860" s="186"/>
      <c r="L860" s="186"/>
      <c r="M860" s="186"/>
      <c r="N860" s="186"/>
      <c r="O860" s="186">
        <f>O856/O858</f>
        <v>15000000</v>
      </c>
      <c r="P860" s="132">
        <f>N860+O860</f>
        <v>15000000</v>
      </c>
      <c r="Q860" s="3"/>
      <c r="R860" s="275"/>
      <c r="S860" s="275"/>
      <c r="T860" s="275"/>
      <c r="U860" s="275"/>
      <c r="V860" s="275"/>
      <c r="W860" s="275"/>
      <c r="X860" s="275"/>
      <c r="Y860" s="275"/>
      <c r="Z860" s="275"/>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row>
    <row r="861" spans="1:26" s="76" customFormat="1" ht="31.5" customHeight="1" hidden="1">
      <c r="A861" s="73" t="s">
        <v>322</v>
      </c>
      <c r="B861" s="97"/>
      <c r="C861" s="97"/>
      <c r="D861" s="74">
        <f>D863</f>
        <v>110000</v>
      </c>
      <c r="E861" s="74"/>
      <c r="F861" s="74">
        <f aca="true" t="shared" si="66" ref="F861:Q861">F863</f>
        <v>110000</v>
      </c>
      <c r="G861" s="74">
        <f t="shared" si="66"/>
        <v>805000</v>
      </c>
      <c r="H861" s="74"/>
      <c r="I861" s="74">
        <f t="shared" si="66"/>
        <v>0</v>
      </c>
      <c r="J861" s="74">
        <f t="shared" si="66"/>
        <v>805000</v>
      </c>
      <c r="K861" s="74">
        <f t="shared" si="66"/>
        <v>0</v>
      </c>
      <c r="L861" s="74">
        <f t="shared" si="66"/>
        <v>0</v>
      </c>
      <c r="M861" s="74">
        <f t="shared" si="66"/>
        <v>0</v>
      </c>
      <c r="N861" s="74">
        <f>N863</f>
        <v>340000</v>
      </c>
      <c r="O861" s="74"/>
      <c r="P861" s="74">
        <f t="shared" si="66"/>
        <v>340000</v>
      </c>
      <c r="Q861" s="74">
        <f t="shared" si="66"/>
        <v>0</v>
      </c>
      <c r="R861" s="366"/>
      <c r="S861" s="366"/>
      <c r="T861" s="366"/>
      <c r="U861" s="366"/>
      <c r="V861" s="366"/>
      <c r="W861" s="366"/>
      <c r="X861" s="366"/>
      <c r="Y861" s="366"/>
      <c r="Z861" s="366"/>
    </row>
    <row r="862" spans="1:131" ht="12.75" hidden="1">
      <c r="A862" s="135" t="s">
        <v>307</v>
      </c>
      <c r="B862" s="165"/>
      <c r="C862" s="165"/>
      <c r="D862" s="132"/>
      <c r="E862" s="132"/>
      <c r="F862" s="132"/>
      <c r="G862" s="132"/>
      <c r="H862" s="132"/>
      <c r="I862" s="132"/>
      <c r="J862" s="132"/>
      <c r="K862" s="132"/>
      <c r="L862" s="132"/>
      <c r="M862" s="132"/>
      <c r="N862" s="132"/>
      <c r="O862" s="132"/>
      <c r="P862" s="132"/>
      <c r="Q862" s="3"/>
      <c r="R862" s="275"/>
      <c r="S862" s="275"/>
      <c r="T862" s="275"/>
      <c r="U862" s="275"/>
      <c r="V862" s="275"/>
      <c r="W862" s="275"/>
      <c r="X862" s="275"/>
      <c r="Y862" s="275"/>
      <c r="Z862" s="275"/>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row>
    <row r="863" spans="1:26" s="71" customFormat="1" ht="31.5" customHeight="1" hidden="1">
      <c r="A863" s="68" t="s">
        <v>89</v>
      </c>
      <c r="B863" s="69"/>
      <c r="C863" s="69"/>
      <c r="D863" s="89">
        <f>D865</f>
        <v>110000</v>
      </c>
      <c r="E863" s="89"/>
      <c r="F863" s="89">
        <f>D863+E863</f>
        <v>110000</v>
      </c>
      <c r="G863" s="67">
        <f>G865</f>
        <v>805000</v>
      </c>
      <c r="H863" s="67"/>
      <c r="I863" s="67"/>
      <c r="J863" s="67">
        <f>J865</f>
        <v>805000</v>
      </c>
      <c r="K863" s="67"/>
      <c r="L863" s="67"/>
      <c r="M863" s="67"/>
      <c r="N863" s="67">
        <f>N865</f>
        <v>340000</v>
      </c>
      <c r="O863" s="67"/>
      <c r="P863" s="67">
        <f>N863</f>
        <v>340000</v>
      </c>
      <c r="Q863" s="100"/>
      <c r="R863" s="371"/>
      <c r="S863" s="371"/>
      <c r="T863" s="371"/>
      <c r="U863" s="371"/>
      <c r="V863" s="371"/>
      <c r="W863" s="371"/>
      <c r="X863" s="371"/>
      <c r="Y863" s="371"/>
      <c r="Z863" s="371"/>
    </row>
    <row r="864" spans="1:131" ht="12.75" hidden="1">
      <c r="A864" s="134" t="s">
        <v>184</v>
      </c>
      <c r="B864" s="165"/>
      <c r="C864" s="165"/>
      <c r="D864" s="252"/>
      <c r="E864" s="252"/>
      <c r="F864" s="252"/>
      <c r="G864" s="132"/>
      <c r="H864" s="132"/>
      <c r="I864" s="132"/>
      <c r="J864" s="132"/>
      <c r="K864" s="132"/>
      <c r="L864" s="132"/>
      <c r="M864" s="132"/>
      <c r="N864" s="132"/>
      <c r="O864" s="132"/>
      <c r="P864" s="132"/>
      <c r="Q864" s="3"/>
      <c r="R864" s="275"/>
      <c r="S864" s="275"/>
      <c r="T864" s="275"/>
      <c r="U864" s="275"/>
      <c r="V864" s="275"/>
      <c r="W864" s="275"/>
      <c r="X864" s="275"/>
      <c r="Y864" s="275"/>
      <c r="Z864" s="275"/>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row>
    <row r="865" spans="1:131" ht="10.5" customHeight="1" hidden="1">
      <c r="A865" s="135" t="s">
        <v>205</v>
      </c>
      <c r="B865" s="165"/>
      <c r="C865" s="165"/>
      <c r="D865" s="252">
        <f>300000-190000</f>
        <v>110000</v>
      </c>
      <c r="E865" s="252"/>
      <c r="F865" s="252">
        <f>D865+E865</f>
        <v>110000</v>
      </c>
      <c r="G865" s="132">
        <f>320000+100000+235000+150000</f>
        <v>805000</v>
      </c>
      <c r="H865" s="132"/>
      <c r="I865" s="132"/>
      <c r="J865" s="132">
        <f>G865+H865</f>
        <v>805000</v>
      </c>
      <c r="K865" s="132"/>
      <c r="L865" s="132"/>
      <c r="M865" s="132"/>
      <c r="N865" s="132">
        <v>340000</v>
      </c>
      <c r="O865" s="132"/>
      <c r="P865" s="132">
        <f>P869*P872</f>
        <v>340000</v>
      </c>
      <c r="Q865" s="3"/>
      <c r="R865" s="275"/>
      <c r="S865" s="275"/>
      <c r="T865" s="275"/>
      <c r="U865" s="275"/>
      <c r="V865" s="275"/>
      <c r="W865" s="275"/>
      <c r="X865" s="275"/>
      <c r="Y865" s="275"/>
      <c r="Z865" s="275"/>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row>
    <row r="866" spans="1:131" ht="13.5" customHeight="1" hidden="1">
      <c r="A866" s="134" t="s">
        <v>185</v>
      </c>
      <c r="B866" s="165"/>
      <c r="C866" s="165"/>
      <c r="D866" s="252"/>
      <c r="E866" s="252"/>
      <c r="F866" s="252"/>
      <c r="G866" s="132"/>
      <c r="H866" s="132"/>
      <c r="I866" s="132"/>
      <c r="J866" s="132"/>
      <c r="K866" s="132"/>
      <c r="L866" s="132"/>
      <c r="M866" s="132"/>
      <c r="N866" s="132"/>
      <c r="O866" s="132"/>
      <c r="P866" s="132"/>
      <c r="Q866" s="3"/>
      <c r="R866" s="275"/>
      <c r="S866" s="275"/>
      <c r="T866" s="275"/>
      <c r="U866" s="275"/>
      <c r="V866" s="275"/>
      <c r="W866" s="275"/>
      <c r="X866" s="275"/>
      <c r="Y866" s="275"/>
      <c r="Z866" s="275"/>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row>
    <row r="867" spans="1:131" ht="1.5" customHeight="1" hidden="1">
      <c r="A867" s="135" t="s">
        <v>265</v>
      </c>
      <c r="B867" s="165"/>
      <c r="C867" s="165"/>
      <c r="D867" s="252"/>
      <c r="E867" s="252"/>
      <c r="F867" s="252">
        <f>D867+E867</f>
        <v>0</v>
      </c>
      <c r="G867" s="252"/>
      <c r="H867" s="252"/>
      <c r="I867" s="252"/>
      <c r="J867" s="252"/>
      <c r="K867" s="132"/>
      <c r="L867" s="132"/>
      <c r="M867" s="132"/>
      <c r="N867" s="132"/>
      <c r="O867" s="132"/>
      <c r="P867" s="132"/>
      <c r="Q867" s="3"/>
      <c r="R867" s="275"/>
      <c r="S867" s="275"/>
      <c r="T867" s="275"/>
      <c r="U867" s="275"/>
      <c r="V867" s="275"/>
      <c r="W867" s="275"/>
      <c r="X867" s="275"/>
      <c r="Y867" s="275"/>
      <c r="Z867" s="275"/>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row>
    <row r="868" spans="1:131" ht="63.75" hidden="1">
      <c r="A868" s="135" t="s">
        <v>576</v>
      </c>
      <c r="B868" s="165"/>
      <c r="C868" s="165"/>
      <c r="D868" s="252"/>
      <c r="E868" s="252"/>
      <c r="F868" s="252"/>
      <c r="G868" s="310">
        <f>350+4</f>
        <v>354</v>
      </c>
      <c r="H868" s="252"/>
      <c r="I868" s="252"/>
      <c r="J868" s="310">
        <f>G868+H868</f>
        <v>354</v>
      </c>
      <c r="K868" s="132"/>
      <c r="L868" s="132"/>
      <c r="M868" s="132"/>
      <c r="N868" s="132"/>
      <c r="O868" s="132"/>
      <c r="P868" s="132"/>
      <c r="Q868" s="3"/>
      <c r="R868" s="275"/>
      <c r="S868" s="275"/>
      <c r="T868" s="275"/>
      <c r="U868" s="275"/>
      <c r="V868" s="275"/>
      <c r="W868" s="275"/>
      <c r="X868" s="275"/>
      <c r="Y868" s="275"/>
      <c r="Z868" s="275"/>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row>
    <row r="869" spans="1:131" ht="15" customHeight="1" hidden="1">
      <c r="A869" s="135" t="s">
        <v>269</v>
      </c>
      <c r="B869" s="165"/>
      <c r="C869" s="165"/>
      <c r="D869" s="310">
        <v>7</v>
      </c>
      <c r="E869" s="310"/>
      <c r="F869" s="310">
        <f>D869+E869</f>
        <v>7</v>
      </c>
      <c r="G869" s="310">
        <v>20</v>
      </c>
      <c r="H869" s="310"/>
      <c r="I869" s="310"/>
      <c r="J869" s="310">
        <f>G869+H869</f>
        <v>20</v>
      </c>
      <c r="K869" s="132"/>
      <c r="L869" s="132"/>
      <c r="M869" s="132"/>
      <c r="N869" s="167">
        <v>20</v>
      </c>
      <c r="O869" s="132"/>
      <c r="P869" s="167">
        <f>N869</f>
        <v>20</v>
      </c>
      <c r="Q869" s="3"/>
      <c r="R869" s="275"/>
      <c r="S869" s="275"/>
      <c r="T869" s="275"/>
      <c r="U869" s="275"/>
      <c r="V869" s="275"/>
      <c r="W869" s="275"/>
      <c r="X869" s="275"/>
      <c r="Y869" s="275"/>
      <c r="Z869" s="275"/>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row>
    <row r="870" spans="1:131" ht="10.5" customHeight="1" hidden="1">
      <c r="A870" s="134" t="s">
        <v>187</v>
      </c>
      <c r="B870" s="165"/>
      <c r="C870" s="165"/>
      <c r="D870" s="252"/>
      <c r="E870" s="252"/>
      <c r="F870" s="252"/>
      <c r="G870" s="132"/>
      <c r="H870" s="132"/>
      <c r="I870" s="132"/>
      <c r="J870" s="310"/>
      <c r="K870" s="132"/>
      <c r="L870" s="132"/>
      <c r="M870" s="132"/>
      <c r="N870" s="132"/>
      <c r="O870" s="132"/>
      <c r="P870" s="132"/>
      <c r="Q870" s="3"/>
      <c r="R870" s="275"/>
      <c r="S870" s="275"/>
      <c r="T870" s="275"/>
      <c r="U870" s="275"/>
      <c r="V870" s="275"/>
      <c r="W870" s="275"/>
      <c r="X870" s="275"/>
      <c r="Y870" s="275"/>
      <c r="Z870" s="275"/>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row>
    <row r="871" spans="1:131" ht="25.5" hidden="1">
      <c r="A871" s="135" t="s">
        <v>577</v>
      </c>
      <c r="B871" s="165"/>
      <c r="C871" s="165"/>
      <c r="D871" s="252"/>
      <c r="E871" s="252"/>
      <c r="F871" s="252"/>
      <c r="G871" s="132">
        <f>(100000+235000+150000)/G868</f>
        <v>1370.0564971751412</v>
      </c>
      <c r="H871" s="132"/>
      <c r="I871" s="132"/>
      <c r="J871" s="252">
        <f>G871+H871</f>
        <v>1370.0564971751412</v>
      </c>
      <c r="K871" s="132"/>
      <c r="L871" s="132"/>
      <c r="M871" s="132"/>
      <c r="N871" s="132"/>
      <c r="O871" s="132"/>
      <c r="P871" s="132"/>
      <c r="Q871" s="3"/>
      <c r="R871" s="275"/>
      <c r="S871" s="275"/>
      <c r="T871" s="275"/>
      <c r="U871" s="275"/>
      <c r="V871" s="275"/>
      <c r="W871" s="275"/>
      <c r="X871" s="275"/>
      <c r="Y871" s="275"/>
      <c r="Z871" s="275"/>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row>
    <row r="872" spans="1:131" ht="22.5" customHeight="1" hidden="1">
      <c r="A872" s="135" t="s">
        <v>270</v>
      </c>
      <c r="B872" s="165"/>
      <c r="C872" s="165"/>
      <c r="D872" s="132">
        <f>D865/D869</f>
        <v>15714.285714285714</v>
      </c>
      <c r="E872" s="132"/>
      <c r="F872" s="252">
        <f>D872+E872</f>
        <v>15714.285714285714</v>
      </c>
      <c r="G872" s="311">
        <f>320000/G869</f>
        <v>16000</v>
      </c>
      <c r="H872" s="311"/>
      <c r="I872" s="311"/>
      <c r="J872" s="311">
        <f>G872+H872</f>
        <v>16000</v>
      </c>
      <c r="K872" s="311"/>
      <c r="L872" s="311"/>
      <c r="M872" s="311"/>
      <c r="N872" s="311">
        <f>N865/N869</f>
        <v>17000</v>
      </c>
      <c r="O872" s="311"/>
      <c r="P872" s="311">
        <f>N872</f>
        <v>17000</v>
      </c>
      <c r="Q872" s="3"/>
      <c r="R872" s="275"/>
      <c r="S872" s="275"/>
      <c r="T872" s="275"/>
      <c r="U872" s="275"/>
      <c r="V872" s="275"/>
      <c r="W872" s="275"/>
      <c r="X872" s="275"/>
      <c r="Y872" s="275"/>
      <c r="Z872" s="275"/>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row>
    <row r="873" spans="1:26" s="76" customFormat="1" ht="29.25" customHeight="1" hidden="1">
      <c r="A873" s="102" t="s">
        <v>323</v>
      </c>
      <c r="B873" s="97"/>
      <c r="C873" s="97"/>
      <c r="D873" s="74">
        <f>D874</f>
        <v>124000</v>
      </c>
      <c r="E873" s="74"/>
      <c r="F873" s="74">
        <f>F874</f>
        <v>124000</v>
      </c>
      <c r="G873" s="74">
        <f>G874</f>
        <v>252600</v>
      </c>
      <c r="H873" s="74"/>
      <c r="I873" s="74">
        <f>I874</f>
        <v>0</v>
      </c>
      <c r="J873" s="74">
        <f>G873</f>
        <v>252600</v>
      </c>
      <c r="K873" s="103"/>
      <c r="L873" s="103"/>
      <c r="M873" s="103"/>
      <c r="N873" s="74">
        <f>N874</f>
        <v>255300</v>
      </c>
      <c r="O873" s="74"/>
      <c r="P873" s="74">
        <f>N873</f>
        <v>255300</v>
      </c>
      <c r="Q873" s="99"/>
      <c r="R873" s="366"/>
      <c r="S873" s="366"/>
      <c r="T873" s="366"/>
      <c r="U873" s="366"/>
      <c r="V873" s="366"/>
      <c r="W873" s="366"/>
      <c r="X873" s="366"/>
      <c r="Y873" s="366"/>
      <c r="Z873" s="366"/>
    </row>
    <row r="874" spans="1:26" s="71" customFormat="1" ht="19.5" customHeight="1" hidden="1">
      <c r="A874" s="68" t="s">
        <v>90</v>
      </c>
      <c r="B874" s="69"/>
      <c r="C874" s="69"/>
      <c r="D874" s="67">
        <f>D876</f>
        <v>124000</v>
      </c>
      <c r="E874" s="67"/>
      <c r="F874" s="104">
        <f>D874</f>
        <v>124000</v>
      </c>
      <c r="G874" s="67">
        <f>G878*G880</f>
        <v>252600</v>
      </c>
      <c r="H874" s="67"/>
      <c r="I874" s="67"/>
      <c r="J874" s="67">
        <f>G874</f>
        <v>252600</v>
      </c>
      <c r="K874" s="67"/>
      <c r="L874" s="67"/>
      <c r="M874" s="67"/>
      <c r="N874" s="67">
        <f>N878*N880</f>
        <v>255300</v>
      </c>
      <c r="O874" s="67"/>
      <c r="P874" s="67">
        <f>N874</f>
        <v>255300</v>
      </c>
      <c r="Q874" s="100"/>
      <c r="R874" s="371"/>
      <c r="S874" s="371"/>
      <c r="T874" s="371"/>
      <c r="U874" s="371"/>
      <c r="V874" s="371"/>
      <c r="W874" s="371"/>
      <c r="X874" s="371"/>
      <c r="Y874" s="371"/>
      <c r="Z874" s="371"/>
    </row>
    <row r="875" spans="1:131" ht="12.75" hidden="1">
      <c r="A875" s="134" t="s">
        <v>184</v>
      </c>
      <c r="B875" s="165"/>
      <c r="C875" s="165"/>
      <c r="D875" s="162"/>
      <c r="E875" s="162"/>
      <c r="F875" s="162"/>
      <c r="G875" s="162"/>
      <c r="H875" s="162"/>
      <c r="I875" s="162"/>
      <c r="J875" s="162"/>
      <c r="K875" s="162"/>
      <c r="L875" s="162"/>
      <c r="M875" s="162"/>
      <c r="N875" s="162"/>
      <c r="O875" s="162"/>
      <c r="P875" s="162"/>
      <c r="Q875" s="3"/>
      <c r="R875" s="275"/>
      <c r="S875" s="275"/>
      <c r="T875" s="275"/>
      <c r="U875" s="275"/>
      <c r="V875" s="275"/>
      <c r="W875" s="275"/>
      <c r="X875" s="275"/>
      <c r="Y875" s="275"/>
      <c r="Z875" s="275"/>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row>
    <row r="876" spans="1:131" ht="25.5" hidden="1">
      <c r="A876" s="135" t="s">
        <v>207</v>
      </c>
      <c r="B876" s="165"/>
      <c r="C876" s="165"/>
      <c r="D876" s="162">
        <f>781700+50000-581700-50000-76000</f>
        <v>124000</v>
      </c>
      <c r="E876" s="162"/>
      <c r="F876" s="162">
        <f>D876</f>
        <v>124000</v>
      </c>
      <c r="G876" s="162">
        <f>828600+52600-628600</f>
        <v>252600</v>
      </c>
      <c r="H876" s="162"/>
      <c r="I876" s="162"/>
      <c r="J876" s="162">
        <f>G876</f>
        <v>252600</v>
      </c>
      <c r="K876" s="162"/>
      <c r="L876" s="162"/>
      <c r="M876" s="162"/>
      <c r="N876" s="162">
        <f>870000+55300-670000</f>
        <v>255300</v>
      </c>
      <c r="O876" s="162"/>
      <c r="P876" s="162">
        <f>N876</f>
        <v>255300</v>
      </c>
      <c r="Q876" s="3"/>
      <c r="R876" s="275"/>
      <c r="S876" s="275"/>
      <c r="T876" s="275"/>
      <c r="U876" s="275"/>
      <c r="V876" s="275"/>
      <c r="W876" s="275"/>
      <c r="X876" s="275"/>
      <c r="Y876" s="275"/>
      <c r="Z876" s="275"/>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row>
    <row r="877" spans="1:131" ht="12.75" hidden="1">
      <c r="A877" s="134" t="s">
        <v>185</v>
      </c>
      <c r="B877" s="165"/>
      <c r="C877" s="165"/>
      <c r="D877" s="162"/>
      <c r="E877" s="162"/>
      <c r="F877" s="162"/>
      <c r="G877" s="162"/>
      <c r="H877" s="162"/>
      <c r="I877" s="162"/>
      <c r="J877" s="162"/>
      <c r="K877" s="162"/>
      <c r="L877" s="162"/>
      <c r="M877" s="162"/>
      <c r="N877" s="162"/>
      <c r="O877" s="162"/>
      <c r="P877" s="162"/>
      <c r="Q877" s="3"/>
      <c r="R877" s="275"/>
      <c r="S877" s="275"/>
      <c r="T877" s="275"/>
      <c r="U877" s="275"/>
      <c r="V877" s="275"/>
      <c r="W877" s="275"/>
      <c r="X877" s="275"/>
      <c r="Y877" s="275"/>
      <c r="Z877" s="275"/>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row>
    <row r="878" spans="1:131" ht="27.75" customHeight="1" hidden="1">
      <c r="A878" s="135" t="s">
        <v>125</v>
      </c>
      <c r="B878" s="165"/>
      <c r="C878" s="165"/>
      <c r="D878" s="162">
        <v>8</v>
      </c>
      <c r="E878" s="162"/>
      <c r="F878" s="162">
        <f>D878</f>
        <v>8</v>
      </c>
      <c r="G878" s="162">
        <v>8</v>
      </c>
      <c r="H878" s="162"/>
      <c r="I878" s="162"/>
      <c r="J878" s="162">
        <f>G878</f>
        <v>8</v>
      </c>
      <c r="K878" s="162"/>
      <c r="L878" s="162"/>
      <c r="M878" s="162"/>
      <c r="N878" s="162">
        <v>8</v>
      </c>
      <c r="O878" s="162"/>
      <c r="P878" s="162">
        <f>N878</f>
        <v>8</v>
      </c>
      <c r="Q878" s="3"/>
      <c r="R878" s="275"/>
      <c r="S878" s="275"/>
      <c r="T878" s="275"/>
      <c r="U878" s="275"/>
      <c r="V878" s="275"/>
      <c r="W878" s="275"/>
      <c r="X878" s="275"/>
      <c r="Y878" s="275"/>
      <c r="Z878" s="275"/>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row>
    <row r="879" spans="1:131" ht="12.75" hidden="1">
      <c r="A879" s="134" t="s">
        <v>187</v>
      </c>
      <c r="B879" s="165"/>
      <c r="C879" s="165"/>
      <c r="D879" s="162"/>
      <c r="E879" s="162"/>
      <c r="F879" s="162"/>
      <c r="G879" s="162"/>
      <c r="H879" s="162"/>
      <c r="I879" s="162"/>
      <c r="J879" s="162"/>
      <c r="K879" s="162"/>
      <c r="L879" s="162"/>
      <c r="M879" s="162"/>
      <c r="N879" s="162"/>
      <c r="O879" s="162"/>
      <c r="P879" s="162"/>
      <c r="Q879" s="3"/>
      <c r="R879" s="275"/>
      <c r="S879" s="275"/>
      <c r="T879" s="275"/>
      <c r="U879" s="275"/>
      <c r="V879" s="275"/>
      <c r="W879" s="275"/>
      <c r="X879" s="275"/>
      <c r="Y879" s="275"/>
      <c r="Z879" s="275"/>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row>
    <row r="880" spans="1:131" ht="29.25" customHeight="1" hidden="1">
      <c r="A880" s="135" t="s">
        <v>208</v>
      </c>
      <c r="B880" s="165"/>
      <c r="C880" s="165"/>
      <c r="D880" s="162">
        <f>D876/D878</f>
        <v>15500</v>
      </c>
      <c r="E880" s="162"/>
      <c r="F880" s="162">
        <f>D880</f>
        <v>15500</v>
      </c>
      <c r="G880" s="162">
        <f>G876/G878</f>
        <v>31575</v>
      </c>
      <c r="H880" s="162"/>
      <c r="I880" s="162"/>
      <c r="J880" s="162">
        <f>G880</f>
        <v>31575</v>
      </c>
      <c r="K880" s="162"/>
      <c r="L880" s="162"/>
      <c r="M880" s="162"/>
      <c r="N880" s="162">
        <f>N876/N878</f>
        <v>31912.5</v>
      </c>
      <c r="O880" s="162"/>
      <c r="P880" s="162">
        <f>N880</f>
        <v>31912.5</v>
      </c>
      <c r="Q880" s="3"/>
      <c r="R880" s="275"/>
      <c r="S880" s="275"/>
      <c r="T880" s="275"/>
      <c r="U880" s="275"/>
      <c r="V880" s="275"/>
      <c r="W880" s="275"/>
      <c r="X880" s="275"/>
      <c r="Y880" s="275"/>
      <c r="Z880" s="275"/>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row>
    <row r="881" spans="1:26" s="76" customFormat="1" ht="12.75" hidden="1">
      <c r="A881" s="73" t="s">
        <v>394</v>
      </c>
      <c r="B881" s="97"/>
      <c r="C881" s="97"/>
      <c r="D881" s="74"/>
      <c r="E881" s="74">
        <f>E883</f>
        <v>12983283</v>
      </c>
      <c r="F881" s="74">
        <f>D881+E881</f>
        <v>12983283</v>
      </c>
      <c r="G881" s="74"/>
      <c r="H881" s="74">
        <f>H883</f>
        <v>129400000</v>
      </c>
      <c r="I881" s="74" t="e">
        <f>I883+#REF!</f>
        <v>#REF!</v>
      </c>
      <c r="J881" s="74">
        <f>J883</f>
        <v>129400000</v>
      </c>
      <c r="K881" s="74" t="e">
        <f>K883+#REF!</f>
        <v>#REF!</v>
      </c>
      <c r="L881" s="74" t="e">
        <f>L883+#REF!</f>
        <v>#REF!</v>
      </c>
      <c r="M881" s="74" t="e">
        <f>M883+#REF!</f>
        <v>#REF!</v>
      </c>
      <c r="N881" s="74"/>
      <c r="O881" s="74">
        <f>O883</f>
        <v>77570000</v>
      </c>
      <c r="P881" s="74">
        <f>P883</f>
        <v>77570000</v>
      </c>
      <c r="Q881" s="99"/>
      <c r="R881" s="366"/>
      <c r="S881" s="366"/>
      <c r="T881" s="366"/>
      <c r="U881" s="366"/>
      <c r="V881" s="366"/>
      <c r="W881" s="366"/>
      <c r="X881" s="366"/>
      <c r="Y881" s="366"/>
      <c r="Z881" s="366"/>
    </row>
    <row r="882" spans="1:131" ht="12.75" hidden="1">
      <c r="A882" s="139" t="s">
        <v>285</v>
      </c>
      <c r="B882" s="163"/>
      <c r="C882" s="163"/>
      <c r="D882" s="162"/>
      <c r="E882" s="162"/>
      <c r="F882" s="162"/>
      <c r="G882" s="162"/>
      <c r="H882" s="162"/>
      <c r="I882" s="162"/>
      <c r="J882" s="162"/>
      <c r="K882" s="162"/>
      <c r="L882" s="162"/>
      <c r="M882" s="162"/>
      <c r="N882" s="162"/>
      <c r="O882" s="162"/>
      <c r="P882" s="162"/>
      <c r="Q882" s="3"/>
      <c r="R882" s="275"/>
      <c r="S882" s="275"/>
      <c r="T882" s="275"/>
      <c r="U882" s="275"/>
      <c r="V882" s="275"/>
      <c r="W882" s="275"/>
      <c r="X882" s="275"/>
      <c r="Y882" s="275"/>
      <c r="Z882" s="275"/>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row>
    <row r="883" spans="1:26" s="71" customFormat="1" ht="30.75" customHeight="1" hidden="1">
      <c r="A883" s="68" t="s">
        <v>91</v>
      </c>
      <c r="B883" s="69"/>
      <c r="C883" s="69"/>
      <c r="D883" s="105"/>
      <c r="E883" s="105">
        <f>E885</f>
        <v>12983283</v>
      </c>
      <c r="F883" s="105">
        <f>D883+E883</f>
        <v>12983283</v>
      </c>
      <c r="G883" s="67"/>
      <c r="H883" s="67">
        <f>SUM(H885)</f>
        <v>129400000</v>
      </c>
      <c r="I883" s="67"/>
      <c r="J883" s="67">
        <f>G883+H883+I883</f>
        <v>129400000</v>
      </c>
      <c r="K883" s="67"/>
      <c r="L883" s="67"/>
      <c r="M883" s="67"/>
      <c r="N883" s="67"/>
      <c r="O883" s="67">
        <f>O885</f>
        <v>77570000</v>
      </c>
      <c r="P883" s="67">
        <f>N883+O883</f>
        <v>77570000</v>
      </c>
      <c r="Q883" s="100"/>
      <c r="R883" s="371"/>
      <c r="S883" s="371"/>
      <c r="T883" s="371"/>
      <c r="U883" s="371"/>
      <c r="V883" s="371"/>
      <c r="W883" s="371"/>
      <c r="X883" s="371"/>
      <c r="Y883" s="371"/>
      <c r="Z883" s="371"/>
    </row>
    <row r="884" spans="1:26" s="11" customFormat="1" ht="13.5" hidden="1">
      <c r="A884" s="138" t="s">
        <v>184</v>
      </c>
      <c r="B884" s="160"/>
      <c r="C884" s="160"/>
      <c r="D884" s="253"/>
      <c r="E884" s="253"/>
      <c r="F884" s="253"/>
      <c r="G884" s="161"/>
      <c r="H884" s="161"/>
      <c r="I884" s="161"/>
      <c r="J884" s="161"/>
      <c r="K884" s="161"/>
      <c r="L884" s="161"/>
      <c r="M884" s="161"/>
      <c r="N884" s="161"/>
      <c r="O884" s="161"/>
      <c r="P884" s="161"/>
      <c r="Q884" s="15"/>
      <c r="R884" s="365"/>
      <c r="S884" s="365"/>
      <c r="T884" s="365"/>
      <c r="U884" s="365"/>
      <c r="V884" s="365"/>
      <c r="W884" s="365"/>
      <c r="X884" s="365"/>
      <c r="Y884" s="365"/>
      <c r="Z884" s="365"/>
    </row>
    <row r="885" spans="1:26" s="11" customFormat="1" ht="12.75" hidden="1">
      <c r="A885" s="154" t="s">
        <v>205</v>
      </c>
      <c r="B885" s="254"/>
      <c r="C885" s="254"/>
      <c r="D885" s="246"/>
      <c r="E885" s="246">
        <f>70233800-56410000-400-240117-600000</f>
        <v>12983283</v>
      </c>
      <c r="F885" s="246">
        <f>E885</f>
        <v>12983283</v>
      </c>
      <c r="G885" s="182"/>
      <c r="H885" s="182">
        <f>68900000+7000000+53500000</f>
        <v>129400000</v>
      </c>
      <c r="I885" s="182"/>
      <c r="J885" s="182">
        <f>H885</f>
        <v>129400000</v>
      </c>
      <c r="K885" s="182"/>
      <c r="L885" s="182"/>
      <c r="M885" s="182"/>
      <c r="N885" s="182"/>
      <c r="O885" s="182">
        <v>77570000</v>
      </c>
      <c r="P885" s="182">
        <f>O885</f>
        <v>77570000</v>
      </c>
      <c r="Q885" s="15"/>
      <c r="R885" s="365"/>
      <c r="S885" s="365"/>
      <c r="T885" s="365"/>
      <c r="U885" s="365"/>
      <c r="V885" s="365"/>
      <c r="W885" s="365"/>
      <c r="X885" s="365"/>
      <c r="Y885" s="365"/>
      <c r="Z885" s="365"/>
    </row>
    <row r="886" spans="1:26" s="11" customFormat="1" ht="13.5" hidden="1">
      <c r="A886" s="138" t="s">
        <v>185</v>
      </c>
      <c r="B886" s="160"/>
      <c r="C886" s="160"/>
      <c r="D886" s="253"/>
      <c r="E886" s="253"/>
      <c r="F886" s="253"/>
      <c r="G886" s="161"/>
      <c r="H886" s="161"/>
      <c r="I886" s="161"/>
      <c r="J886" s="161"/>
      <c r="K886" s="161"/>
      <c r="L886" s="161"/>
      <c r="M886" s="161"/>
      <c r="N886" s="161"/>
      <c r="O886" s="161"/>
      <c r="P886" s="161"/>
      <c r="Q886" s="15"/>
      <c r="R886" s="365"/>
      <c r="S886" s="365"/>
      <c r="T886" s="365"/>
      <c r="U886" s="365"/>
      <c r="V886" s="365"/>
      <c r="W886" s="365"/>
      <c r="X886" s="365"/>
      <c r="Y886" s="365"/>
      <c r="Z886" s="365"/>
    </row>
    <row r="887" spans="1:26" s="11" customFormat="1" ht="12.75" hidden="1">
      <c r="A887" s="154" t="s">
        <v>278</v>
      </c>
      <c r="B887" s="254"/>
      <c r="C887" s="254"/>
      <c r="D887" s="246"/>
      <c r="E887" s="246">
        <v>5</v>
      </c>
      <c r="F887" s="246">
        <f>E887</f>
        <v>5</v>
      </c>
      <c r="G887" s="182"/>
      <c r="H887" s="182">
        <v>20</v>
      </c>
      <c r="I887" s="182"/>
      <c r="J887" s="182">
        <f>H887</f>
        <v>20</v>
      </c>
      <c r="K887" s="182">
        <f>H887</f>
        <v>20</v>
      </c>
      <c r="L887" s="182">
        <f>J887</f>
        <v>20</v>
      </c>
      <c r="M887" s="182">
        <f>K887</f>
        <v>20</v>
      </c>
      <c r="N887" s="182"/>
      <c r="O887" s="182">
        <v>17</v>
      </c>
      <c r="P887" s="182">
        <f>O887</f>
        <v>17</v>
      </c>
      <c r="Q887" s="15"/>
      <c r="R887" s="365"/>
      <c r="S887" s="365"/>
      <c r="T887" s="365"/>
      <c r="U887" s="365"/>
      <c r="V887" s="365"/>
      <c r="W887" s="365"/>
      <c r="X887" s="365"/>
      <c r="Y887" s="365"/>
      <c r="Z887" s="365"/>
    </row>
    <row r="888" spans="1:26" s="11" customFormat="1" ht="12.75" hidden="1">
      <c r="A888" s="154" t="s">
        <v>187</v>
      </c>
      <c r="B888" s="254"/>
      <c r="C888" s="254"/>
      <c r="D888" s="246"/>
      <c r="E888" s="246"/>
      <c r="F888" s="246"/>
      <c r="G888" s="182"/>
      <c r="H888" s="182"/>
      <c r="I888" s="182"/>
      <c r="J888" s="182"/>
      <c r="K888" s="182"/>
      <c r="L888" s="182"/>
      <c r="M888" s="182"/>
      <c r="N888" s="182"/>
      <c r="O888" s="182"/>
      <c r="P888" s="182"/>
      <c r="Q888" s="15"/>
      <c r="R888" s="365"/>
      <c r="S888" s="365"/>
      <c r="T888" s="365"/>
      <c r="U888" s="365"/>
      <c r="V888" s="365"/>
      <c r="W888" s="365"/>
      <c r="X888" s="365"/>
      <c r="Y888" s="365"/>
      <c r="Z888" s="365"/>
    </row>
    <row r="889" spans="1:26" s="11" customFormat="1" ht="25.5" hidden="1">
      <c r="A889" s="154" t="s">
        <v>337</v>
      </c>
      <c r="B889" s="254"/>
      <c r="C889" s="254"/>
      <c r="D889" s="246"/>
      <c r="E889" s="182">
        <f>E885/E887</f>
        <v>2596656.6</v>
      </c>
      <c r="F889" s="182">
        <f>E889</f>
        <v>2596656.6</v>
      </c>
      <c r="G889" s="182"/>
      <c r="H889" s="182">
        <f>SUM(H885)/H887</f>
        <v>6470000</v>
      </c>
      <c r="I889" s="182"/>
      <c r="J889" s="182">
        <f>SUM(J885)/J887</f>
        <v>6470000</v>
      </c>
      <c r="K889" s="182"/>
      <c r="L889" s="182"/>
      <c r="M889" s="182"/>
      <c r="N889" s="182"/>
      <c r="O889" s="182">
        <f>SUM(O885)/O887</f>
        <v>4562941.176470588</v>
      </c>
      <c r="P889" s="182">
        <f>SUM(P885)/P887</f>
        <v>4562941.176470588</v>
      </c>
      <c r="Q889" s="15"/>
      <c r="R889" s="365"/>
      <c r="S889" s="365"/>
      <c r="T889" s="365"/>
      <c r="U889" s="365"/>
      <c r="V889" s="365"/>
      <c r="W889" s="365"/>
      <c r="X889" s="365"/>
      <c r="Y889" s="365"/>
      <c r="Z889" s="365"/>
    </row>
    <row r="890" spans="1:26" s="84" customFormat="1" ht="27" customHeight="1" hidden="1">
      <c r="A890" s="73" t="s">
        <v>395</v>
      </c>
      <c r="B890" s="97"/>
      <c r="C890" s="97"/>
      <c r="D890" s="106"/>
      <c r="E890" s="74">
        <f>E892</f>
        <v>4778000</v>
      </c>
      <c r="F890" s="74">
        <f>E890</f>
        <v>4778000</v>
      </c>
      <c r="G890" s="74"/>
      <c r="H890" s="74">
        <f>H892</f>
        <v>56900000</v>
      </c>
      <c r="I890" s="74"/>
      <c r="J890" s="74">
        <f>H890</f>
        <v>56900000</v>
      </c>
      <c r="K890" s="74"/>
      <c r="L890" s="74"/>
      <c r="M890" s="74"/>
      <c r="N890" s="74"/>
      <c r="O890" s="74">
        <f>O892</f>
        <v>49300000</v>
      </c>
      <c r="P890" s="74">
        <f>O890</f>
        <v>49300000</v>
      </c>
      <c r="Q890" s="107"/>
      <c r="R890" s="371"/>
      <c r="S890" s="371"/>
      <c r="T890" s="371"/>
      <c r="U890" s="371"/>
      <c r="V890" s="371"/>
      <c r="W890" s="371"/>
      <c r="X890" s="371"/>
      <c r="Y890" s="371"/>
      <c r="Z890" s="371"/>
    </row>
    <row r="891" spans="1:26" s="11" customFormat="1" ht="12.75" hidden="1">
      <c r="A891" s="139" t="s">
        <v>398</v>
      </c>
      <c r="B891" s="254"/>
      <c r="C891" s="254"/>
      <c r="D891" s="246"/>
      <c r="E891" s="182"/>
      <c r="F891" s="182"/>
      <c r="G891" s="182"/>
      <c r="H891" s="182"/>
      <c r="I891" s="182"/>
      <c r="J891" s="182"/>
      <c r="K891" s="182"/>
      <c r="L891" s="182"/>
      <c r="M891" s="182"/>
      <c r="N891" s="182"/>
      <c r="O891" s="182"/>
      <c r="P891" s="182"/>
      <c r="Q891" s="15"/>
      <c r="R891" s="365"/>
      <c r="S891" s="365"/>
      <c r="T891" s="365"/>
      <c r="U891" s="365"/>
      <c r="V891" s="365"/>
      <c r="W891" s="365"/>
      <c r="X891" s="365"/>
      <c r="Y891" s="365"/>
      <c r="Z891" s="365"/>
    </row>
    <row r="892" spans="1:26" s="71" customFormat="1" ht="25.5" hidden="1">
      <c r="A892" s="68" t="s">
        <v>92</v>
      </c>
      <c r="B892" s="69"/>
      <c r="C892" s="69"/>
      <c r="D892" s="105"/>
      <c r="E892" s="67">
        <f>E894</f>
        <v>4778000</v>
      </c>
      <c r="F892" s="67">
        <f>E892</f>
        <v>4778000</v>
      </c>
      <c r="G892" s="67"/>
      <c r="H892" s="67">
        <f>H894</f>
        <v>56900000</v>
      </c>
      <c r="I892" s="67"/>
      <c r="J892" s="67">
        <f>H892</f>
        <v>56900000</v>
      </c>
      <c r="K892" s="67"/>
      <c r="L892" s="67"/>
      <c r="M892" s="67"/>
      <c r="N892" s="67"/>
      <c r="O892" s="67">
        <f>O894</f>
        <v>49300000</v>
      </c>
      <c r="P892" s="67">
        <f>O892</f>
        <v>49300000</v>
      </c>
      <c r="Q892" s="100"/>
      <c r="R892" s="371"/>
      <c r="S892" s="371"/>
      <c r="T892" s="371"/>
      <c r="U892" s="371"/>
      <c r="V892" s="371"/>
      <c r="W892" s="371"/>
      <c r="X892" s="371"/>
      <c r="Y892" s="371"/>
      <c r="Z892" s="371"/>
    </row>
    <row r="893" spans="1:26" s="11" customFormat="1" ht="13.5" hidden="1">
      <c r="A893" s="138" t="s">
        <v>184</v>
      </c>
      <c r="B893" s="254"/>
      <c r="C893" s="254"/>
      <c r="D893" s="246"/>
      <c r="E893" s="182"/>
      <c r="F893" s="182"/>
      <c r="G893" s="182"/>
      <c r="H893" s="182"/>
      <c r="I893" s="182"/>
      <c r="J893" s="182"/>
      <c r="K893" s="182"/>
      <c r="L893" s="182"/>
      <c r="M893" s="182"/>
      <c r="N893" s="182"/>
      <c r="O893" s="182"/>
      <c r="P893" s="182"/>
      <c r="Q893" s="15"/>
      <c r="R893" s="365"/>
      <c r="S893" s="365"/>
      <c r="T893" s="365"/>
      <c r="U893" s="365"/>
      <c r="V893" s="365"/>
      <c r="W893" s="365"/>
      <c r="X893" s="365"/>
      <c r="Y893" s="365"/>
      <c r="Z893" s="365"/>
    </row>
    <row r="894" spans="1:26" s="11" customFormat="1" ht="12.75" hidden="1">
      <c r="A894" s="154" t="s">
        <v>205</v>
      </c>
      <c r="B894" s="254"/>
      <c r="C894" s="254"/>
      <c r="D894" s="246"/>
      <c r="E894" s="182">
        <f>64650000-59872000</f>
        <v>4778000</v>
      </c>
      <c r="F894" s="182">
        <f>E894</f>
        <v>4778000</v>
      </c>
      <c r="G894" s="182"/>
      <c r="H894" s="182">
        <f>101400000+7000000-53500000+2000000</f>
        <v>56900000</v>
      </c>
      <c r="I894" s="182"/>
      <c r="J894" s="182">
        <f>H894</f>
        <v>56900000</v>
      </c>
      <c r="K894" s="182"/>
      <c r="L894" s="182"/>
      <c r="M894" s="182"/>
      <c r="N894" s="182"/>
      <c r="O894" s="182">
        <v>49300000</v>
      </c>
      <c r="P894" s="182">
        <f>O894</f>
        <v>49300000</v>
      </c>
      <c r="Q894" s="15"/>
      <c r="R894" s="365"/>
      <c r="S894" s="365"/>
      <c r="T894" s="365"/>
      <c r="U894" s="365"/>
      <c r="V894" s="365"/>
      <c r="W894" s="365"/>
      <c r="X894" s="365"/>
      <c r="Y894" s="365"/>
      <c r="Z894" s="365"/>
    </row>
    <row r="895" spans="1:26" s="11" customFormat="1" ht="13.5" hidden="1">
      <c r="A895" s="138" t="s">
        <v>185</v>
      </c>
      <c r="B895" s="254"/>
      <c r="C895" s="254"/>
      <c r="D895" s="246"/>
      <c r="E895" s="182"/>
      <c r="F895" s="182"/>
      <c r="G895" s="182"/>
      <c r="H895" s="182"/>
      <c r="I895" s="182"/>
      <c r="J895" s="182"/>
      <c r="K895" s="182"/>
      <c r="L895" s="182"/>
      <c r="M895" s="182"/>
      <c r="N895" s="182"/>
      <c r="O895" s="182"/>
      <c r="P895" s="182"/>
      <c r="Q895" s="15"/>
      <c r="R895" s="365"/>
      <c r="S895" s="365"/>
      <c r="T895" s="365"/>
      <c r="U895" s="365"/>
      <c r="V895" s="365"/>
      <c r="W895" s="365"/>
      <c r="X895" s="365"/>
      <c r="Y895" s="365"/>
      <c r="Z895" s="365"/>
    </row>
    <row r="896" spans="1:26" s="11" customFormat="1" ht="12.75" hidden="1">
      <c r="A896" s="154" t="s">
        <v>278</v>
      </c>
      <c r="B896" s="254"/>
      <c r="C896" s="254"/>
      <c r="D896" s="246"/>
      <c r="E896" s="182">
        <v>8</v>
      </c>
      <c r="F896" s="182">
        <f>E896</f>
        <v>8</v>
      </c>
      <c r="G896" s="182"/>
      <c r="H896" s="182">
        <f>14+1+1</f>
        <v>16</v>
      </c>
      <c r="I896" s="182"/>
      <c r="J896" s="182">
        <f>H896</f>
        <v>16</v>
      </c>
      <c r="K896" s="182"/>
      <c r="L896" s="182"/>
      <c r="M896" s="182"/>
      <c r="N896" s="182"/>
      <c r="O896" s="182">
        <f>14+1</f>
        <v>15</v>
      </c>
      <c r="P896" s="182">
        <f>O896</f>
        <v>15</v>
      </c>
      <c r="Q896" s="15"/>
      <c r="R896" s="365"/>
      <c r="S896" s="365"/>
      <c r="T896" s="365"/>
      <c r="U896" s="365"/>
      <c r="V896" s="365"/>
      <c r="W896" s="365"/>
      <c r="X896" s="365"/>
      <c r="Y896" s="365"/>
      <c r="Z896" s="365"/>
    </row>
    <row r="897" spans="1:26" s="11" customFormat="1" ht="13.5" hidden="1">
      <c r="A897" s="138" t="s">
        <v>187</v>
      </c>
      <c r="B897" s="254"/>
      <c r="C897" s="254"/>
      <c r="D897" s="246"/>
      <c r="E897" s="182"/>
      <c r="F897" s="182"/>
      <c r="G897" s="182"/>
      <c r="H897" s="182"/>
      <c r="I897" s="182"/>
      <c r="J897" s="182"/>
      <c r="K897" s="182"/>
      <c r="L897" s="182"/>
      <c r="M897" s="182"/>
      <c r="N897" s="182"/>
      <c r="O897" s="182"/>
      <c r="P897" s="182"/>
      <c r="Q897" s="15"/>
      <c r="R897" s="365"/>
      <c r="S897" s="365"/>
      <c r="T897" s="365"/>
      <c r="U897" s="365"/>
      <c r="V897" s="365"/>
      <c r="W897" s="365"/>
      <c r="X897" s="365"/>
      <c r="Y897" s="365"/>
      <c r="Z897" s="365"/>
    </row>
    <row r="898" spans="1:26" s="11" customFormat="1" ht="25.5" hidden="1">
      <c r="A898" s="154" t="s">
        <v>337</v>
      </c>
      <c r="B898" s="254"/>
      <c r="C898" s="254"/>
      <c r="D898" s="246"/>
      <c r="E898" s="182">
        <f>E894/E896</f>
        <v>597250</v>
      </c>
      <c r="F898" s="182">
        <f>E898</f>
        <v>597250</v>
      </c>
      <c r="G898" s="182"/>
      <c r="H898" s="182">
        <v>6775000</v>
      </c>
      <c r="I898" s="182"/>
      <c r="J898" s="182">
        <f>H898</f>
        <v>6775000</v>
      </c>
      <c r="K898" s="182"/>
      <c r="L898" s="182"/>
      <c r="M898" s="182"/>
      <c r="N898" s="182"/>
      <c r="O898" s="182">
        <f>O894/O896</f>
        <v>3286666.6666666665</v>
      </c>
      <c r="P898" s="182">
        <f>O898</f>
        <v>3286666.6666666665</v>
      </c>
      <c r="Q898" s="15"/>
      <c r="R898" s="365"/>
      <c r="S898" s="365"/>
      <c r="T898" s="365"/>
      <c r="U898" s="365"/>
      <c r="V898" s="365"/>
      <c r="W898" s="365"/>
      <c r="X898" s="365"/>
      <c r="Y898" s="365"/>
      <c r="Z898" s="365"/>
    </row>
    <row r="899" spans="1:26" s="84" customFormat="1" ht="23.25" customHeight="1" hidden="1">
      <c r="A899" s="73" t="s">
        <v>396</v>
      </c>
      <c r="B899" s="73"/>
      <c r="C899" s="73"/>
      <c r="D899" s="109"/>
      <c r="E899" s="74">
        <f>E901</f>
        <v>0</v>
      </c>
      <c r="F899" s="74">
        <f>E899</f>
        <v>0</v>
      </c>
      <c r="G899" s="74"/>
      <c r="H899" s="74">
        <f>H901</f>
        <v>10000000</v>
      </c>
      <c r="I899" s="74"/>
      <c r="J899" s="74">
        <f>H899</f>
        <v>10000000</v>
      </c>
      <c r="K899" s="74"/>
      <c r="L899" s="74"/>
      <c r="M899" s="74"/>
      <c r="N899" s="74"/>
      <c r="O899" s="74">
        <f>O901</f>
        <v>10000000</v>
      </c>
      <c r="P899" s="74">
        <f>P901</f>
        <v>10000000</v>
      </c>
      <c r="Q899" s="107"/>
      <c r="R899" s="371"/>
      <c r="S899" s="371"/>
      <c r="T899" s="371"/>
      <c r="U899" s="371"/>
      <c r="V899" s="371"/>
      <c r="W899" s="371"/>
      <c r="X899" s="371"/>
      <c r="Y899" s="371"/>
      <c r="Z899" s="371"/>
    </row>
    <row r="900" spans="1:26" s="11" customFormat="1" ht="12.75" hidden="1">
      <c r="A900" s="139" t="s">
        <v>397</v>
      </c>
      <c r="B900" s="254"/>
      <c r="C900" s="254"/>
      <c r="D900" s="246"/>
      <c r="E900" s="182"/>
      <c r="F900" s="182"/>
      <c r="G900" s="182"/>
      <c r="H900" s="182"/>
      <c r="I900" s="182"/>
      <c r="J900" s="182"/>
      <c r="K900" s="182"/>
      <c r="L900" s="182"/>
      <c r="M900" s="182"/>
      <c r="N900" s="182"/>
      <c r="O900" s="182"/>
      <c r="P900" s="182"/>
      <c r="Q900" s="15"/>
      <c r="R900" s="365"/>
      <c r="S900" s="365"/>
      <c r="T900" s="365"/>
      <c r="U900" s="365"/>
      <c r="V900" s="365"/>
      <c r="W900" s="365"/>
      <c r="X900" s="365"/>
      <c r="Y900" s="365"/>
      <c r="Z900" s="365"/>
    </row>
    <row r="901" spans="1:26" s="71" customFormat="1" ht="36.75" customHeight="1" hidden="1">
      <c r="A901" s="68" t="s">
        <v>93</v>
      </c>
      <c r="B901" s="69"/>
      <c r="C901" s="69"/>
      <c r="D901" s="105"/>
      <c r="E901" s="67">
        <f>E903</f>
        <v>0</v>
      </c>
      <c r="F901" s="67">
        <f>E901</f>
        <v>0</v>
      </c>
      <c r="G901" s="67"/>
      <c r="H901" s="67">
        <f>H903</f>
        <v>10000000</v>
      </c>
      <c r="I901" s="67"/>
      <c r="J901" s="67">
        <f>H901</f>
        <v>10000000</v>
      </c>
      <c r="K901" s="67"/>
      <c r="L901" s="67"/>
      <c r="M901" s="67"/>
      <c r="N901" s="67"/>
      <c r="O901" s="67">
        <f>O903</f>
        <v>10000000</v>
      </c>
      <c r="P901" s="67">
        <f>O901</f>
        <v>10000000</v>
      </c>
      <c r="Q901" s="100">
        <f>O901</f>
        <v>10000000</v>
      </c>
      <c r="R901" s="371"/>
      <c r="S901" s="371"/>
      <c r="T901" s="371"/>
      <c r="U901" s="371"/>
      <c r="V901" s="371"/>
      <c r="W901" s="371"/>
      <c r="X901" s="371"/>
      <c r="Y901" s="371"/>
      <c r="Z901" s="371"/>
    </row>
    <row r="902" spans="1:26" s="11" customFormat="1" ht="13.5" hidden="1">
      <c r="A902" s="138" t="s">
        <v>184</v>
      </c>
      <c r="B902" s="254"/>
      <c r="C902" s="254"/>
      <c r="D902" s="246"/>
      <c r="E902" s="182"/>
      <c r="F902" s="182"/>
      <c r="G902" s="182"/>
      <c r="H902" s="182"/>
      <c r="I902" s="182"/>
      <c r="J902" s="182"/>
      <c r="K902" s="182"/>
      <c r="L902" s="182"/>
      <c r="M902" s="182"/>
      <c r="N902" s="182"/>
      <c r="O902" s="182"/>
      <c r="P902" s="182"/>
      <c r="Q902" s="15"/>
      <c r="R902" s="365"/>
      <c r="S902" s="365"/>
      <c r="T902" s="365"/>
      <c r="U902" s="365"/>
      <c r="V902" s="365"/>
      <c r="W902" s="365"/>
      <c r="X902" s="365"/>
      <c r="Y902" s="365"/>
      <c r="Z902" s="365"/>
    </row>
    <row r="903" spans="1:26" s="11" customFormat="1" ht="12.75" hidden="1">
      <c r="A903" s="154" t="s">
        <v>205</v>
      </c>
      <c r="B903" s="254"/>
      <c r="C903" s="254"/>
      <c r="D903" s="246"/>
      <c r="E903" s="182">
        <f>10000000-10000000</f>
        <v>0</v>
      </c>
      <c r="F903" s="182">
        <f>E903</f>
        <v>0</v>
      </c>
      <c r="G903" s="182"/>
      <c r="H903" s="182">
        <v>10000000</v>
      </c>
      <c r="I903" s="182"/>
      <c r="J903" s="182">
        <f>H903</f>
        <v>10000000</v>
      </c>
      <c r="K903" s="182"/>
      <c r="L903" s="182"/>
      <c r="M903" s="182"/>
      <c r="N903" s="182"/>
      <c r="O903" s="182">
        <v>10000000</v>
      </c>
      <c r="P903" s="182">
        <f>O903</f>
        <v>10000000</v>
      </c>
      <c r="Q903" s="15">
        <f>O903</f>
        <v>10000000</v>
      </c>
      <c r="R903" s="365"/>
      <c r="S903" s="365"/>
      <c r="T903" s="365"/>
      <c r="U903" s="365"/>
      <c r="V903" s="365"/>
      <c r="W903" s="365"/>
      <c r="X903" s="365"/>
      <c r="Y903" s="365"/>
      <c r="Z903" s="365"/>
    </row>
    <row r="904" spans="1:26" s="11" customFormat="1" ht="13.5" hidden="1">
      <c r="A904" s="138" t="s">
        <v>185</v>
      </c>
      <c r="B904" s="254"/>
      <c r="C904" s="254"/>
      <c r="D904" s="246"/>
      <c r="E904" s="182"/>
      <c r="F904" s="182"/>
      <c r="G904" s="182"/>
      <c r="H904" s="182"/>
      <c r="I904" s="182"/>
      <c r="J904" s="182"/>
      <c r="K904" s="182"/>
      <c r="L904" s="182"/>
      <c r="M904" s="182"/>
      <c r="N904" s="182"/>
      <c r="O904" s="182"/>
      <c r="P904" s="182">
        <f>O904</f>
        <v>0</v>
      </c>
      <c r="Q904" s="15"/>
      <c r="R904" s="365"/>
      <c r="S904" s="365"/>
      <c r="T904" s="365"/>
      <c r="U904" s="365"/>
      <c r="V904" s="365"/>
      <c r="W904" s="365"/>
      <c r="X904" s="365"/>
      <c r="Y904" s="365"/>
      <c r="Z904" s="365"/>
    </row>
    <row r="905" spans="1:26" s="11" customFormat="1" ht="12.75" hidden="1">
      <c r="A905" s="154" t="s">
        <v>278</v>
      </c>
      <c r="B905" s="254"/>
      <c r="C905" s="254"/>
      <c r="D905" s="246"/>
      <c r="E905" s="182">
        <v>0</v>
      </c>
      <c r="F905" s="182">
        <f>E905</f>
        <v>0</v>
      </c>
      <c r="G905" s="182"/>
      <c r="H905" s="182">
        <v>1</v>
      </c>
      <c r="I905" s="182"/>
      <c r="J905" s="182">
        <f>H905</f>
        <v>1</v>
      </c>
      <c r="K905" s="182"/>
      <c r="L905" s="182"/>
      <c r="M905" s="182"/>
      <c r="N905" s="182"/>
      <c r="O905" s="182">
        <v>1</v>
      </c>
      <c r="P905" s="182">
        <f>O905</f>
        <v>1</v>
      </c>
      <c r="Q905" s="15">
        <f>O905</f>
        <v>1</v>
      </c>
      <c r="R905" s="365"/>
      <c r="S905" s="365"/>
      <c r="T905" s="365"/>
      <c r="U905" s="365"/>
      <c r="V905" s="365"/>
      <c r="W905" s="365"/>
      <c r="X905" s="365"/>
      <c r="Y905" s="365"/>
      <c r="Z905" s="365"/>
    </row>
    <row r="906" spans="1:26" s="11" customFormat="1" ht="12.75" hidden="1">
      <c r="A906" s="154" t="s">
        <v>187</v>
      </c>
      <c r="B906" s="254"/>
      <c r="C906" s="254"/>
      <c r="D906" s="246"/>
      <c r="E906" s="182"/>
      <c r="F906" s="182"/>
      <c r="G906" s="182"/>
      <c r="H906" s="182"/>
      <c r="I906" s="182"/>
      <c r="J906" s="182"/>
      <c r="K906" s="182"/>
      <c r="L906" s="182"/>
      <c r="M906" s="182"/>
      <c r="N906" s="182"/>
      <c r="O906" s="182"/>
      <c r="P906" s="182">
        <f>O906</f>
        <v>0</v>
      </c>
      <c r="Q906" s="15"/>
      <c r="R906" s="365"/>
      <c r="S906" s="365"/>
      <c r="T906" s="365"/>
      <c r="U906" s="365"/>
      <c r="V906" s="365"/>
      <c r="W906" s="365"/>
      <c r="X906" s="365"/>
      <c r="Y906" s="365"/>
      <c r="Z906" s="365"/>
    </row>
    <row r="907" spans="1:26" s="11" customFormat="1" ht="25.5" hidden="1">
      <c r="A907" s="154" t="s">
        <v>337</v>
      </c>
      <c r="B907" s="254"/>
      <c r="C907" s="254"/>
      <c r="D907" s="246"/>
      <c r="E907" s="182" t="e">
        <f>E903/E905</f>
        <v>#DIV/0!</v>
      </c>
      <c r="F907" s="182" t="e">
        <f>E907</f>
        <v>#DIV/0!</v>
      </c>
      <c r="G907" s="182"/>
      <c r="H907" s="182">
        <f>H903/H905</f>
        <v>10000000</v>
      </c>
      <c r="I907" s="182"/>
      <c r="J907" s="182">
        <f>H907</f>
        <v>10000000</v>
      </c>
      <c r="K907" s="182"/>
      <c r="L907" s="182"/>
      <c r="M907" s="182"/>
      <c r="N907" s="182"/>
      <c r="O907" s="182">
        <f>O903/O905</f>
        <v>10000000</v>
      </c>
      <c r="P907" s="182">
        <f>O907</f>
        <v>10000000</v>
      </c>
      <c r="Q907" s="15">
        <f>O907</f>
        <v>10000000</v>
      </c>
      <c r="R907" s="365"/>
      <c r="S907" s="365"/>
      <c r="T907" s="365"/>
      <c r="U907" s="365"/>
      <c r="V907" s="365"/>
      <c r="W907" s="365"/>
      <c r="X907" s="365"/>
      <c r="Y907" s="365"/>
      <c r="Z907" s="365"/>
    </row>
    <row r="908" spans="1:26" s="76" customFormat="1" ht="23.25" customHeight="1" hidden="1">
      <c r="A908" s="73" t="s">
        <v>306</v>
      </c>
      <c r="B908" s="97"/>
      <c r="C908" s="97"/>
      <c r="D908" s="109"/>
      <c r="E908" s="109">
        <f>E910</f>
        <v>-7654092</v>
      </c>
      <c r="F908" s="109">
        <f>F910</f>
        <v>-7654092</v>
      </c>
      <c r="G908" s="109"/>
      <c r="H908" s="109">
        <f>H910</f>
        <v>-7654092</v>
      </c>
      <c r="I908" s="109">
        <f>I910</f>
        <v>0</v>
      </c>
      <c r="J908" s="109">
        <f>J910</f>
        <v>-7654092</v>
      </c>
      <c r="K908" s="109"/>
      <c r="L908" s="109"/>
      <c r="M908" s="109"/>
      <c r="N908" s="109"/>
      <c r="O908" s="109"/>
      <c r="P908" s="109"/>
      <c r="Q908" s="109">
        <f>Q910</f>
        <v>0</v>
      </c>
      <c r="R908" s="366"/>
      <c r="S908" s="366"/>
      <c r="T908" s="366"/>
      <c r="U908" s="366"/>
      <c r="V908" s="366"/>
      <c r="W908" s="366"/>
      <c r="X908" s="366"/>
      <c r="Y908" s="366"/>
      <c r="Z908" s="366"/>
    </row>
    <row r="909" spans="1:131" ht="17.25" customHeight="1" hidden="1">
      <c r="A909" s="135" t="s">
        <v>282</v>
      </c>
      <c r="B909" s="165"/>
      <c r="C909" s="165"/>
      <c r="D909" s="252"/>
      <c r="E909" s="248"/>
      <c r="F909" s="248"/>
      <c r="G909" s="132"/>
      <c r="H909" s="132"/>
      <c r="I909" s="132"/>
      <c r="J909" s="132"/>
      <c r="K909" s="132"/>
      <c r="L909" s="132"/>
      <c r="M909" s="132"/>
      <c r="N909" s="132"/>
      <c r="O909" s="132"/>
      <c r="P909" s="132"/>
      <c r="Q909" s="3"/>
      <c r="R909" s="275"/>
      <c r="S909" s="275"/>
      <c r="T909" s="275"/>
      <c r="U909" s="275"/>
      <c r="V909" s="275"/>
      <c r="W909" s="275"/>
      <c r="X909" s="275"/>
      <c r="Y909" s="275"/>
      <c r="Z909" s="275"/>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c r="CA909" s="13"/>
      <c r="CB909" s="13"/>
      <c r="CC909" s="13"/>
      <c r="CD909" s="13"/>
      <c r="CE909" s="13"/>
      <c r="CF909" s="13"/>
      <c r="CG909" s="13"/>
      <c r="CH909" s="13"/>
      <c r="CI909" s="13"/>
      <c r="CJ909" s="13"/>
      <c r="CK909" s="13"/>
      <c r="CL909" s="13"/>
      <c r="CM909" s="13"/>
      <c r="CN909" s="13"/>
      <c r="CO909" s="13"/>
      <c r="CP909" s="13"/>
      <c r="CQ909" s="13"/>
      <c r="CR909" s="13"/>
      <c r="CS909" s="13"/>
      <c r="CT909" s="13"/>
      <c r="CU909" s="13"/>
      <c r="CV909" s="13"/>
      <c r="CW909" s="13"/>
      <c r="CX909" s="13"/>
      <c r="CY909" s="13"/>
      <c r="CZ909" s="13"/>
      <c r="DA909" s="13"/>
      <c r="DB909" s="13"/>
      <c r="DC909" s="13"/>
      <c r="DD909" s="13"/>
      <c r="DE909" s="13"/>
      <c r="DF909" s="13"/>
      <c r="DG909" s="13"/>
      <c r="DH909" s="13"/>
      <c r="DI909" s="13"/>
      <c r="DJ909" s="13"/>
      <c r="DK909" s="13"/>
      <c r="DL909" s="13"/>
      <c r="DM909" s="13"/>
      <c r="DN909" s="13"/>
      <c r="DO909" s="13"/>
      <c r="DP909" s="13"/>
      <c r="DQ909" s="13"/>
      <c r="DR909" s="13"/>
      <c r="DS909" s="13"/>
      <c r="DT909" s="13"/>
      <c r="DU909" s="13"/>
      <c r="DV909" s="13"/>
      <c r="DW909" s="13"/>
      <c r="DX909" s="13"/>
      <c r="DY909" s="13"/>
      <c r="DZ909" s="13"/>
      <c r="EA909" s="13"/>
    </row>
    <row r="910" spans="1:26" s="71" customFormat="1" ht="12.75" hidden="1">
      <c r="A910" s="68" t="s">
        <v>49</v>
      </c>
      <c r="B910" s="69"/>
      <c r="C910" s="69"/>
      <c r="D910" s="105"/>
      <c r="E910" s="105">
        <f>E912</f>
        <v>-7654092</v>
      </c>
      <c r="F910" s="105">
        <f>D910+E910</f>
        <v>-7654092</v>
      </c>
      <c r="G910" s="67"/>
      <c r="H910" s="105">
        <f>H912</f>
        <v>-7654092</v>
      </c>
      <c r="I910" s="67"/>
      <c r="J910" s="67">
        <f>H910</f>
        <v>-7654092</v>
      </c>
      <c r="K910" s="67"/>
      <c r="L910" s="67"/>
      <c r="M910" s="67"/>
      <c r="N910" s="67"/>
      <c r="O910" s="67"/>
      <c r="P910" s="67"/>
      <c r="Q910" s="100"/>
      <c r="R910" s="371"/>
      <c r="S910" s="371"/>
      <c r="T910" s="371"/>
      <c r="U910" s="371"/>
      <c r="V910" s="371"/>
      <c r="W910" s="371"/>
      <c r="X910" s="371"/>
      <c r="Y910" s="371"/>
      <c r="Z910" s="371"/>
    </row>
    <row r="911" spans="1:131" ht="12.75" hidden="1">
      <c r="A911" s="134" t="s">
        <v>184</v>
      </c>
      <c r="B911" s="165"/>
      <c r="C911" s="165"/>
      <c r="D911" s="252"/>
      <c r="E911" s="248"/>
      <c r="F911" s="248"/>
      <c r="G911" s="132"/>
      <c r="H911" s="248"/>
      <c r="I911" s="132"/>
      <c r="J911" s="175"/>
      <c r="K911" s="132"/>
      <c r="L911" s="132"/>
      <c r="M911" s="132"/>
      <c r="N911" s="132"/>
      <c r="O911" s="132"/>
      <c r="P911" s="132"/>
      <c r="Q911" s="3"/>
      <c r="R911" s="275"/>
      <c r="S911" s="275"/>
      <c r="T911" s="275"/>
      <c r="U911" s="275"/>
      <c r="V911" s="275"/>
      <c r="W911" s="275"/>
      <c r="X911" s="275"/>
      <c r="Y911" s="275"/>
      <c r="Z911" s="275"/>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c r="CA911" s="13"/>
      <c r="CB911" s="13"/>
      <c r="CC911" s="13"/>
      <c r="CD911" s="13"/>
      <c r="CE911" s="13"/>
      <c r="CF911" s="13"/>
      <c r="CG911" s="13"/>
      <c r="CH911" s="13"/>
      <c r="CI911" s="13"/>
      <c r="CJ911" s="13"/>
      <c r="CK911" s="13"/>
      <c r="CL911" s="13"/>
      <c r="CM911" s="13"/>
      <c r="CN911" s="13"/>
      <c r="CO911" s="13"/>
      <c r="CP911" s="13"/>
      <c r="CQ911" s="13"/>
      <c r="CR911" s="13"/>
      <c r="CS911" s="13"/>
      <c r="CT911" s="13"/>
      <c r="CU911" s="13"/>
      <c r="CV911" s="13"/>
      <c r="CW911" s="13"/>
      <c r="CX911" s="13"/>
      <c r="CY911" s="13"/>
      <c r="CZ911" s="13"/>
      <c r="DA911" s="13"/>
      <c r="DB911" s="13"/>
      <c r="DC911" s="13"/>
      <c r="DD911" s="13"/>
      <c r="DE911" s="13"/>
      <c r="DF911" s="13"/>
      <c r="DG911" s="13"/>
      <c r="DH911" s="13"/>
      <c r="DI911" s="13"/>
      <c r="DJ911" s="13"/>
      <c r="DK911" s="13"/>
      <c r="DL911" s="13"/>
      <c r="DM911" s="13"/>
      <c r="DN911" s="13"/>
      <c r="DO911" s="13"/>
      <c r="DP911" s="13"/>
      <c r="DQ911" s="13"/>
      <c r="DR911" s="13"/>
      <c r="DS911" s="13"/>
      <c r="DT911" s="13"/>
      <c r="DU911" s="13"/>
      <c r="DV911" s="13"/>
      <c r="DW911" s="13"/>
      <c r="DX911" s="13"/>
      <c r="DY911" s="13"/>
      <c r="DZ911" s="13"/>
      <c r="EA911" s="13"/>
    </row>
    <row r="912" spans="1:131" ht="18.75" customHeight="1" hidden="1">
      <c r="A912" s="135" t="s">
        <v>284</v>
      </c>
      <c r="B912" s="165"/>
      <c r="C912" s="165"/>
      <c r="D912" s="208"/>
      <c r="E912" s="207">
        <f>E914*E916</f>
        <v>-7654092</v>
      </c>
      <c r="F912" s="207">
        <f>F914*F916</f>
        <v>-7654092</v>
      </c>
      <c r="G912" s="245"/>
      <c r="H912" s="207">
        <f>H914*H916</f>
        <v>-7654092</v>
      </c>
      <c r="I912" s="245"/>
      <c r="J912" s="305">
        <f>H912</f>
        <v>-7654092</v>
      </c>
      <c r="K912" s="245"/>
      <c r="L912" s="245"/>
      <c r="M912" s="245"/>
      <c r="N912" s="245"/>
      <c r="O912" s="245"/>
      <c r="P912" s="245"/>
      <c r="Q912" s="3"/>
      <c r="R912" s="275"/>
      <c r="S912" s="275"/>
      <c r="T912" s="275"/>
      <c r="U912" s="275"/>
      <c r="V912" s="275"/>
      <c r="W912" s="275"/>
      <c r="X912" s="275"/>
      <c r="Y912" s="275"/>
      <c r="Z912" s="275"/>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c r="CA912" s="13"/>
      <c r="CB912" s="13"/>
      <c r="CC912" s="13"/>
      <c r="CD912" s="13"/>
      <c r="CE912" s="13"/>
      <c r="CF912" s="13"/>
      <c r="CG912" s="13"/>
      <c r="CH912" s="13"/>
      <c r="CI912" s="13"/>
      <c r="CJ912" s="13"/>
      <c r="CK912" s="13"/>
      <c r="CL912" s="13"/>
      <c r="CM912" s="13"/>
      <c r="CN912" s="13"/>
      <c r="CO912" s="13"/>
      <c r="CP912" s="13"/>
      <c r="CQ912" s="13"/>
      <c r="CR912" s="13"/>
      <c r="CS912" s="13"/>
      <c r="CT912" s="13"/>
      <c r="CU912" s="13"/>
      <c r="CV912" s="13"/>
      <c r="CW912" s="13"/>
      <c r="CX912" s="13"/>
      <c r="CY912" s="13"/>
      <c r="CZ912" s="13"/>
      <c r="DA912" s="13"/>
      <c r="DB912" s="13"/>
      <c r="DC912" s="13"/>
      <c r="DD912" s="13"/>
      <c r="DE912" s="13"/>
      <c r="DF912" s="13"/>
      <c r="DG912" s="13"/>
      <c r="DH912" s="13"/>
      <c r="DI912" s="13"/>
      <c r="DJ912" s="13"/>
      <c r="DK912" s="13"/>
      <c r="DL912" s="13"/>
      <c r="DM912" s="13"/>
      <c r="DN912" s="13"/>
      <c r="DO912" s="13"/>
      <c r="DP912" s="13"/>
      <c r="DQ912" s="13"/>
      <c r="DR912" s="13"/>
      <c r="DS912" s="13"/>
      <c r="DT912" s="13"/>
      <c r="DU912" s="13"/>
      <c r="DV912" s="13"/>
      <c r="DW912" s="13"/>
      <c r="DX912" s="13"/>
      <c r="DY912" s="13"/>
      <c r="DZ912" s="13"/>
      <c r="EA912" s="13"/>
    </row>
    <row r="913" spans="1:131" ht="12.75" hidden="1">
      <c r="A913" s="134" t="s">
        <v>185</v>
      </c>
      <c r="B913" s="165"/>
      <c r="C913" s="165"/>
      <c r="D913" s="208"/>
      <c r="E913" s="207"/>
      <c r="F913" s="207"/>
      <c r="G913" s="245"/>
      <c r="H913" s="207"/>
      <c r="I913" s="245"/>
      <c r="J913" s="305"/>
      <c r="K913" s="245"/>
      <c r="L913" s="245"/>
      <c r="M913" s="245"/>
      <c r="N913" s="245"/>
      <c r="O913" s="245"/>
      <c r="P913" s="245"/>
      <c r="Q913" s="3"/>
      <c r="R913" s="275"/>
      <c r="S913" s="275"/>
      <c r="T913" s="275"/>
      <c r="U913" s="275"/>
      <c r="V913" s="275"/>
      <c r="W913" s="275"/>
      <c r="X913" s="275"/>
      <c r="Y913" s="275"/>
      <c r="Z913" s="275"/>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c r="CA913" s="13"/>
      <c r="CB913" s="13"/>
      <c r="CC913" s="13"/>
      <c r="CD913" s="13"/>
      <c r="CE913" s="13"/>
      <c r="CF913" s="13"/>
      <c r="CG913" s="13"/>
      <c r="CH913" s="13"/>
      <c r="CI913" s="13"/>
      <c r="CJ913" s="13"/>
      <c r="CK913" s="13"/>
      <c r="CL913" s="13"/>
      <c r="CM913" s="13"/>
      <c r="CN913" s="13"/>
      <c r="CO913" s="13"/>
      <c r="CP913" s="13"/>
      <c r="CQ913" s="13"/>
      <c r="CR913" s="13"/>
      <c r="CS913" s="13"/>
      <c r="CT913" s="13"/>
      <c r="CU913" s="13"/>
      <c r="CV913" s="13"/>
      <c r="CW913" s="13"/>
      <c r="CX913" s="13"/>
      <c r="CY913" s="13"/>
      <c r="CZ913" s="13"/>
      <c r="DA913" s="13"/>
      <c r="DB913" s="13"/>
      <c r="DC913" s="13"/>
      <c r="DD913" s="13"/>
      <c r="DE913" s="13"/>
      <c r="DF913" s="13"/>
      <c r="DG913" s="13"/>
      <c r="DH913" s="13"/>
      <c r="DI913" s="13"/>
      <c r="DJ913" s="13"/>
      <c r="DK913" s="13"/>
      <c r="DL913" s="13"/>
      <c r="DM913" s="13"/>
      <c r="DN913" s="13"/>
      <c r="DO913" s="13"/>
      <c r="DP913" s="13"/>
      <c r="DQ913" s="13"/>
      <c r="DR913" s="13"/>
      <c r="DS913" s="13"/>
      <c r="DT913" s="13"/>
      <c r="DU913" s="13"/>
      <c r="DV913" s="13"/>
      <c r="DW913" s="13"/>
      <c r="DX913" s="13"/>
      <c r="DY913" s="13"/>
      <c r="DZ913" s="13"/>
      <c r="EA913" s="13"/>
    </row>
    <row r="914" spans="1:131" ht="16.5" customHeight="1" hidden="1">
      <c r="A914" s="135" t="s">
        <v>283</v>
      </c>
      <c r="B914" s="165"/>
      <c r="C914" s="165"/>
      <c r="D914" s="208"/>
      <c r="E914" s="255">
        <v>1</v>
      </c>
      <c r="F914" s="255">
        <f>D914+E914</f>
        <v>1</v>
      </c>
      <c r="G914" s="245"/>
      <c r="H914" s="255">
        <v>1</v>
      </c>
      <c r="I914" s="245"/>
      <c r="J914" s="305">
        <f>H914</f>
        <v>1</v>
      </c>
      <c r="K914" s="245"/>
      <c r="L914" s="245"/>
      <c r="M914" s="245"/>
      <c r="N914" s="245"/>
      <c r="O914" s="256"/>
      <c r="P914" s="256"/>
      <c r="Q914" s="3"/>
      <c r="R914" s="275"/>
      <c r="S914" s="275"/>
      <c r="T914" s="275"/>
      <c r="U914" s="275"/>
      <c r="V914" s="275"/>
      <c r="W914" s="275"/>
      <c r="X914" s="275"/>
      <c r="Y914" s="275"/>
      <c r="Z914" s="275"/>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c r="DI914" s="13"/>
      <c r="DJ914" s="13"/>
      <c r="DK914" s="13"/>
      <c r="DL914" s="13"/>
      <c r="DM914" s="13"/>
      <c r="DN914" s="13"/>
      <c r="DO914" s="13"/>
      <c r="DP914" s="13"/>
      <c r="DQ914" s="13"/>
      <c r="DR914" s="13"/>
      <c r="DS914" s="13"/>
      <c r="DT914" s="13"/>
      <c r="DU914" s="13"/>
      <c r="DV914" s="13"/>
      <c r="DW914" s="13"/>
      <c r="DX914" s="13"/>
      <c r="DY914" s="13"/>
      <c r="DZ914" s="13"/>
      <c r="EA914" s="13"/>
    </row>
    <row r="915" spans="1:131" ht="13.5" hidden="1">
      <c r="A915" s="133" t="s">
        <v>187</v>
      </c>
      <c r="B915" s="165"/>
      <c r="C915" s="165"/>
      <c r="D915" s="208"/>
      <c r="E915" s="207"/>
      <c r="F915" s="207"/>
      <c r="G915" s="245"/>
      <c r="H915" s="207"/>
      <c r="I915" s="245"/>
      <c r="J915" s="305"/>
      <c r="K915" s="245"/>
      <c r="L915" s="245"/>
      <c r="M915" s="245"/>
      <c r="N915" s="245"/>
      <c r="O915" s="256"/>
      <c r="P915" s="256"/>
      <c r="Q915" s="3"/>
      <c r="R915" s="275"/>
      <c r="S915" s="275"/>
      <c r="T915" s="275"/>
      <c r="U915" s="275"/>
      <c r="V915" s="275"/>
      <c r="W915" s="275"/>
      <c r="X915" s="275"/>
      <c r="Y915" s="275"/>
      <c r="Z915" s="275"/>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c r="CA915" s="13"/>
      <c r="CB915" s="13"/>
      <c r="CC915" s="13"/>
      <c r="CD915" s="13"/>
      <c r="CE915" s="13"/>
      <c r="CF915" s="13"/>
      <c r="CG915" s="13"/>
      <c r="CH915" s="13"/>
      <c r="CI915" s="13"/>
      <c r="CJ915" s="13"/>
      <c r="CK915" s="13"/>
      <c r="CL915" s="13"/>
      <c r="CM915" s="13"/>
      <c r="CN915" s="13"/>
      <c r="CO915" s="13"/>
      <c r="CP915" s="13"/>
      <c r="CQ915" s="13"/>
      <c r="CR915" s="13"/>
      <c r="CS915" s="13"/>
      <c r="CT915" s="13"/>
      <c r="CU915" s="13"/>
      <c r="CV915" s="13"/>
      <c r="CW915" s="13"/>
      <c r="CX915" s="13"/>
      <c r="CY915" s="13"/>
      <c r="CZ915" s="13"/>
      <c r="DA915" s="13"/>
      <c r="DB915" s="13"/>
      <c r="DC915" s="13"/>
      <c r="DD915" s="13"/>
      <c r="DE915" s="13"/>
      <c r="DF915" s="13"/>
      <c r="DG915" s="13"/>
      <c r="DH915" s="13"/>
      <c r="DI915" s="13"/>
      <c r="DJ915" s="13"/>
      <c r="DK915" s="13"/>
      <c r="DL915" s="13"/>
      <c r="DM915" s="13"/>
      <c r="DN915" s="13"/>
      <c r="DO915" s="13"/>
      <c r="DP915" s="13"/>
      <c r="DQ915" s="13"/>
      <c r="DR915" s="13"/>
      <c r="DS915" s="13"/>
      <c r="DT915" s="13"/>
      <c r="DU915" s="13"/>
      <c r="DV915" s="13"/>
      <c r="DW915" s="13"/>
      <c r="DX915" s="13"/>
      <c r="DY915" s="13"/>
      <c r="DZ915" s="13"/>
      <c r="EA915" s="13"/>
    </row>
    <row r="916" spans="1:131" ht="19.5" customHeight="1" hidden="1">
      <c r="A916" s="155" t="s">
        <v>325</v>
      </c>
      <c r="B916" s="165"/>
      <c r="C916" s="165"/>
      <c r="D916" s="208"/>
      <c r="E916" s="207">
        <f>-2054092-5700000+100000</f>
        <v>-7654092</v>
      </c>
      <c r="F916" s="207">
        <f>E916</f>
        <v>-7654092</v>
      </c>
      <c r="G916" s="245"/>
      <c r="H916" s="207">
        <f>-2054092-5700000+100000</f>
        <v>-7654092</v>
      </c>
      <c r="I916" s="245"/>
      <c r="J916" s="305">
        <f>H916</f>
        <v>-7654092</v>
      </c>
      <c r="K916" s="245"/>
      <c r="L916" s="245"/>
      <c r="M916" s="245"/>
      <c r="N916" s="245"/>
      <c r="O916" s="256"/>
      <c r="P916" s="256"/>
      <c r="Q916" s="3"/>
      <c r="R916" s="275"/>
      <c r="S916" s="275"/>
      <c r="T916" s="275"/>
      <c r="U916" s="275"/>
      <c r="V916" s="275"/>
      <c r="W916" s="275"/>
      <c r="X916" s="275"/>
      <c r="Y916" s="275"/>
      <c r="Z916" s="275"/>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c r="CY916" s="13"/>
      <c r="CZ916" s="13"/>
      <c r="DA916" s="13"/>
      <c r="DB916" s="13"/>
      <c r="DC916" s="13"/>
      <c r="DD916" s="13"/>
      <c r="DE916" s="13"/>
      <c r="DF916" s="13"/>
      <c r="DG916" s="13"/>
      <c r="DH916" s="13"/>
      <c r="DI916" s="13"/>
      <c r="DJ916" s="13"/>
      <c r="DK916" s="13"/>
      <c r="DL916" s="13"/>
      <c r="DM916" s="13"/>
      <c r="DN916" s="13"/>
      <c r="DO916" s="13"/>
      <c r="DP916" s="13"/>
      <c r="DQ916" s="13"/>
      <c r="DR916" s="13"/>
      <c r="DS916" s="13"/>
      <c r="DT916" s="13"/>
      <c r="DU916" s="13"/>
      <c r="DV916" s="13"/>
      <c r="DW916" s="13"/>
      <c r="DX916" s="13"/>
      <c r="DY916" s="13"/>
      <c r="DZ916" s="13"/>
      <c r="EA916" s="13"/>
    </row>
    <row r="917" spans="1:26" s="76" customFormat="1" ht="12.75" hidden="1">
      <c r="A917" s="73" t="s">
        <v>316</v>
      </c>
      <c r="B917" s="97"/>
      <c r="C917" s="97"/>
      <c r="D917" s="85"/>
      <c r="E917" s="86">
        <f>E919</f>
        <v>-525000</v>
      </c>
      <c r="F917" s="86">
        <f>E917</f>
        <v>-525000</v>
      </c>
      <c r="G917" s="109"/>
      <c r="H917" s="109">
        <f>H919</f>
        <v>-480000</v>
      </c>
      <c r="I917" s="109"/>
      <c r="J917" s="109">
        <f>H917</f>
        <v>-480000</v>
      </c>
      <c r="K917" s="110"/>
      <c r="L917" s="110"/>
      <c r="M917" s="110"/>
      <c r="N917" s="110"/>
      <c r="O917" s="111"/>
      <c r="P917" s="111"/>
      <c r="Q917" s="99"/>
      <c r="R917" s="366"/>
      <c r="S917" s="366"/>
      <c r="T917" s="366"/>
      <c r="U917" s="366"/>
      <c r="V917" s="366"/>
      <c r="W917" s="366"/>
      <c r="X917" s="366"/>
      <c r="Y917" s="366"/>
      <c r="Z917" s="366"/>
    </row>
    <row r="918" spans="1:131" ht="12.75" hidden="1">
      <c r="A918" s="135" t="s">
        <v>282</v>
      </c>
      <c r="B918" s="165"/>
      <c r="C918" s="165"/>
      <c r="D918" s="208"/>
      <c r="E918" s="207"/>
      <c r="F918" s="207"/>
      <c r="G918" s="132"/>
      <c r="H918" s="132"/>
      <c r="I918" s="132"/>
      <c r="J918" s="132"/>
      <c r="K918" s="245"/>
      <c r="L918" s="245"/>
      <c r="M918" s="245"/>
      <c r="N918" s="245"/>
      <c r="O918" s="256"/>
      <c r="P918" s="256"/>
      <c r="Q918" s="3"/>
      <c r="R918" s="275"/>
      <c r="S918" s="275"/>
      <c r="T918" s="275"/>
      <c r="U918" s="275"/>
      <c r="V918" s="275"/>
      <c r="W918" s="275"/>
      <c r="X918" s="275"/>
      <c r="Y918" s="275"/>
      <c r="Z918" s="275"/>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c r="CY918" s="13"/>
      <c r="CZ918" s="13"/>
      <c r="DA918" s="13"/>
      <c r="DB918" s="13"/>
      <c r="DC918" s="13"/>
      <c r="DD918" s="13"/>
      <c r="DE918" s="13"/>
      <c r="DF918" s="13"/>
      <c r="DG918" s="13"/>
      <c r="DH918" s="13"/>
      <c r="DI918" s="13"/>
      <c r="DJ918" s="13"/>
      <c r="DK918" s="13"/>
      <c r="DL918" s="13"/>
      <c r="DM918" s="13"/>
      <c r="DN918" s="13"/>
      <c r="DO918" s="13"/>
      <c r="DP918" s="13"/>
      <c r="DQ918" s="13"/>
      <c r="DR918" s="13"/>
      <c r="DS918" s="13"/>
      <c r="DT918" s="13"/>
      <c r="DU918" s="13"/>
      <c r="DV918" s="13"/>
      <c r="DW918" s="13"/>
      <c r="DX918" s="13"/>
      <c r="DY918" s="13"/>
      <c r="DZ918" s="13"/>
      <c r="EA918" s="13"/>
    </row>
    <row r="919" spans="1:26" s="66" customFormat="1" ht="25.5" customHeight="1" hidden="1">
      <c r="A919" s="68" t="s">
        <v>94</v>
      </c>
      <c r="B919" s="64"/>
      <c r="C919" s="64"/>
      <c r="D919" s="88"/>
      <c r="E919" s="89">
        <f>E921</f>
        <v>-525000</v>
      </c>
      <c r="F919" s="89">
        <f>E919</f>
        <v>-525000</v>
      </c>
      <c r="G919" s="67"/>
      <c r="H919" s="89">
        <f>H921</f>
        <v>-480000</v>
      </c>
      <c r="I919" s="89">
        <f>H919</f>
        <v>-480000</v>
      </c>
      <c r="J919" s="67">
        <f>H919</f>
        <v>-480000</v>
      </c>
      <c r="K919" s="104"/>
      <c r="L919" s="104"/>
      <c r="M919" s="104"/>
      <c r="N919" s="104"/>
      <c r="O919" s="112"/>
      <c r="P919" s="112"/>
      <c r="Q919" s="108"/>
      <c r="R919" s="366"/>
      <c r="S919" s="366"/>
      <c r="T919" s="366"/>
      <c r="U919" s="366"/>
      <c r="V919" s="366"/>
      <c r="W919" s="366"/>
      <c r="X919" s="366"/>
      <c r="Y919" s="366"/>
      <c r="Z919" s="366"/>
    </row>
    <row r="920" spans="1:131" ht="12.75" hidden="1">
      <c r="A920" s="134" t="s">
        <v>184</v>
      </c>
      <c r="B920" s="165"/>
      <c r="C920" s="165"/>
      <c r="D920" s="208"/>
      <c r="E920" s="207"/>
      <c r="F920" s="207"/>
      <c r="G920" s="132"/>
      <c r="H920" s="207"/>
      <c r="I920" s="207"/>
      <c r="J920" s="210"/>
      <c r="K920" s="245"/>
      <c r="L920" s="245"/>
      <c r="M920" s="245"/>
      <c r="N920" s="245"/>
      <c r="O920" s="256"/>
      <c r="P920" s="256"/>
      <c r="Q920" s="3"/>
      <c r="R920" s="275"/>
      <c r="S920" s="275"/>
      <c r="T920" s="275"/>
      <c r="U920" s="275"/>
      <c r="V920" s="275"/>
      <c r="W920" s="275"/>
      <c r="X920" s="275"/>
      <c r="Y920" s="275"/>
      <c r="Z920" s="275"/>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c r="CA920" s="13"/>
      <c r="CB920" s="13"/>
      <c r="CC920" s="13"/>
      <c r="CD920" s="13"/>
      <c r="CE920" s="13"/>
      <c r="CF920" s="13"/>
      <c r="CG920" s="13"/>
      <c r="CH920" s="13"/>
      <c r="CI920" s="13"/>
      <c r="CJ920" s="13"/>
      <c r="CK920" s="13"/>
      <c r="CL920" s="13"/>
      <c r="CM920" s="13"/>
      <c r="CN920" s="13"/>
      <c r="CO920" s="13"/>
      <c r="CP920" s="13"/>
      <c r="CQ920" s="13"/>
      <c r="CR920" s="13"/>
      <c r="CS920" s="13"/>
      <c r="CT920" s="13"/>
      <c r="CU920" s="13"/>
      <c r="CV920" s="13"/>
      <c r="CW920" s="13"/>
      <c r="CX920" s="13"/>
      <c r="CY920" s="13"/>
      <c r="CZ920" s="13"/>
      <c r="DA920" s="13"/>
      <c r="DB920" s="13"/>
      <c r="DC920" s="13"/>
      <c r="DD920" s="13"/>
      <c r="DE920" s="13"/>
      <c r="DF920" s="13"/>
      <c r="DG920" s="13"/>
      <c r="DH920" s="13"/>
      <c r="DI920" s="13"/>
      <c r="DJ920" s="13"/>
      <c r="DK920" s="13"/>
      <c r="DL920" s="13"/>
      <c r="DM920" s="13"/>
      <c r="DN920" s="13"/>
      <c r="DO920" s="13"/>
      <c r="DP920" s="13"/>
      <c r="DQ920" s="13"/>
      <c r="DR920" s="13"/>
      <c r="DS920" s="13"/>
      <c r="DT920" s="13"/>
      <c r="DU920" s="13"/>
      <c r="DV920" s="13"/>
      <c r="DW920" s="13"/>
      <c r="DX920" s="13"/>
      <c r="DY920" s="13"/>
      <c r="DZ920" s="13"/>
      <c r="EA920" s="13"/>
    </row>
    <row r="921" spans="1:131" ht="12.75" hidden="1">
      <c r="A921" s="135" t="s">
        <v>284</v>
      </c>
      <c r="B921" s="165"/>
      <c r="C921" s="165"/>
      <c r="D921" s="208"/>
      <c r="E921" s="91">
        <f>-740000+215000</f>
        <v>-525000</v>
      </c>
      <c r="F921" s="91">
        <f>E921</f>
        <v>-525000</v>
      </c>
      <c r="G921" s="245"/>
      <c r="H921" s="91">
        <f>-740000+215000+45000</f>
        <v>-480000</v>
      </c>
      <c r="I921" s="91">
        <f>H921</f>
        <v>-480000</v>
      </c>
      <c r="J921" s="175">
        <f>H921</f>
        <v>-480000</v>
      </c>
      <c r="K921" s="245"/>
      <c r="L921" s="245"/>
      <c r="M921" s="245"/>
      <c r="N921" s="245"/>
      <c r="O921" s="256"/>
      <c r="P921" s="256"/>
      <c r="Q921" s="3"/>
      <c r="R921" s="275"/>
      <c r="S921" s="275"/>
      <c r="T921" s="275"/>
      <c r="U921" s="275"/>
      <c r="V921" s="275"/>
      <c r="W921" s="275"/>
      <c r="X921" s="275"/>
      <c r="Y921" s="275"/>
      <c r="Z921" s="275"/>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c r="CA921" s="13"/>
      <c r="CB921" s="13"/>
      <c r="CC921" s="13"/>
      <c r="CD921" s="13"/>
      <c r="CE921" s="13"/>
      <c r="CF921" s="13"/>
      <c r="CG921" s="13"/>
      <c r="CH921" s="13"/>
      <c r="CI921" s="13"/>
      <c r="CJ921" s="13"/>
      <c r="CK921" s="13"/>
      <c r="CL921" s="13"/>
      <c r="CM921" s="13"/>
      <c r="CN921" s="13"/>
      <c r="CO921" s="13"/>
      <c r="CP921" s="13"/>
      <c r="CQ921" s="13"/>
      <c r="CR921" s="13"/>
      <c r="CS921" s="13"/>
      <c r="CT921" s="13"/>
      <c r="CU921" s="13"/>
      <c r="CV921" s="13"/>
      <c r="CW921" s="13"/>
      <c r="CX921" s="13"/>
      <c r="CY921" s="13"/>
      <c r="CZ921" s="13"/>
      <c r="DA921" s="13"/>
      <c r="DB921" s="13"/>
      <c r="DC921" s="13"/>
      <c r="DD921" s="13"/>
      <c r="DE921" s="13"/>
      <c r="DF921" s="13"/>
      <c r="DG921" s="13"/>
      <c r="DH921" s="13"/>
      <c r="DI921" s="13"/>
      <c r="DJ921" s="13"/>
      <c r="DK921" s="13"/>
      <c r="DL921" s="13"/>
      <c r="DM921" s="13"/>
      <c r="DN921" s="13"/>
      <c r="DO921" s="13"/>
      <c r="DP921" s="13"/>
      <c r="DQ921" s="13"/>
      <c r="DR921" s="13"/>
      <c r="DS921" s="13"/>
      <c r="DT921" s="13"/>
      <c r="DU921" s="13"/>
      <c r="DV921" s="13"/>
      <c r="DW921" s="13"/>
      <c r="DX921" s="13"/>
      <c r="DY921" s="13"/>
      <c r="DZ921" s="13"/>
      <c r="EA921" s="13"/>
    </row>
    <row r="922" spans="1:131" ht="12.75" hidden="1">
      <c r="A922" s="134" t="s">
        <v>185</v>
      </c>
      <c r="B922" s="165"/>
      <c r="C922" s="165"/>
      <c r="D922" s="208"/>
      <c r="E922" s="91"/>
      <c r="F922" s="91"/>
      <c r="G922" s="245"/>
      <c r="H922" s="91"/>
      <c r="I922" s="91"/>
      <c r="J922" s="175"/>
      <c r="K922" s="245"/>
      <c r="L922" s="245"/>
      <c r="M922" s="245"/>
      <c r="N922" s="245"/>
      <c r="O922" s="256"/>
      <c r="P922" s="256"/>
      <c r="Q922" s="3"/>
      <c r="R922" s="275"/>
      <c r="S922" s="275"/>
      <c r="T922" s="275"/>
      <c r="U922" s="275"/>
      <c r="V922" s="275"/>
      <c r="W922" s="275"/>
      <c r="X922" s="275"/>
      <c r="Y922" s="275"/>
      <c r="Z922" s="275"/>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c r="CY922" s="13"/>
      <c r="CZ922" s="13"/>
      <c r="DA922" s="13"/>
      <c r="DB922" s="13"/>
      <c r="DC922" s="13"/>
      <c r="DD922" s="13"/>
      <c r="DE922" s="13"/>
      <c r="DF922" s="13"/>
      <c r="DG922" s="13"/>
      <c r="DH922" s="13"/>
      <c r="DI922" s="13"/>
      <c r="DJ922" s="13"/>
      <c r="DK922" s="13"/>
      <c r="DL922" s="13"/>
      <c r="DM922" s="13"/>
      <c r="DN922" s="13"/>
      <c r="DO922" s="13"/>
      <c r="DP922" s="13"/>
      <c r="DQ922" s="13"/>
      <c r="DR922" s="13"/>
      <c r="DS922" s="13"/>
      <c r="DT922" s="13"/>
      <c r="DU922" s="13"/>
      <c r="DV922" s="13"/>
      <c r="DW922" s="13"/>
      <c r="DX922" s="13"/>
      <c r="DY922" s="13"/>
      <c r="DZ922" s="13"/>
      <c r="EA922" s="13"/>
    </row>
    <row r="923" spans="1:131" ht="12.75" hidden="1">
      <c r="A923" s="135" t="s">
        <v>283</v>
      </c>
      <c r="B923" s="165"/>
      <c r="C923" s="165"/>
      <c r="D923" s="208"/>
      <c r="E923" s="257">
        <v>1</v>
      </c>
      <c r="F923" s="220">
        <f>E923</f>
        <v>1</v>
      </c>
      <c r="G923" s="245"/>
      <c r="H923" s="257">
        <v>1</v>
      </c>
      <c r="I923" s="220">
        <f>H923</f>
        <v>1</v>
      </c>
      <c r="J923" s="309">
        <f>H923</f>
        <v>1</v>
      </c>
      <c r="K923" s="245"/>
      <c r="L923" s="245"/>
      <c r="M923" s="245"/>
      <c r="N923" s="245"/>
      <c r="O923" s="256"/>
      <c r="P923" s="256"/>
      <c r="Q923" s="3"/>
      <c r="R923" s="275"/>
      <c r="S923" s="275"/>
      <c r="T923" s="275"/>
      <c r="U923" s="275"/>
      <c r="V923" s="275"/>
      <c r="W923" s="275"/>
      <c r="X923" s="275"/>
      <c r="Y923" s="275"/>
      <c r="Z923" s="275"/>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c r="DI923" s="13"/>
      <c r="DJ923" s="13"/>
      <c r="DK923" s="13"/>
      <c r="DL923" s="13"/>
      <c r="DM923" s="13"/>
      <c r="DN923" s="13"/>
      <c r="DO923" s="13"/>
      <c r="DP923" s="13"/>
      <c r="DQ923" s="13"/>
      <c r="DR923" s="13"/>
      <c r="DS923" s="13"/>
      <c r="DT923" s="13"/>
      <c r="DU923" s="13"/>
      <c r="DV923" s="13"/>
      <c r="DW923" s="13"/>
      <c r="DX923" s="13"/>
      <c r="DY923" s="13"/>
      <c r="DZ923" s="13"/>
      <c r="EA923" s="13"/>
    </row>
    <row r="924" spans="1:131" ht="13.5" hidden="1">
      <c r="A924" s="133" t="s">
        <v>187</v>
      </c>
      <c r="B924" s="165"/>
      <c r="C924" s="165"/>
      <c r="D924" s="208"/>
      <c r="E924" s="207"/>
      <c r="F924" s="207"/>
      <c r="G924" s="245"/>
      <c r="H924" s="207"/>
      <c r="I924" s="207"/>
      <c r="J924" s="175"/>
      <c r="K924" s="245"/>
      <c r="L924" s="245"/>
      <c r="M924" s="245"/>
      <c r="N924" s="245"/>
      <c r="O924" s="256"/>
      <c r="P924" s="256"/>
      <c r="Q924" s="3"/>
      <c r="R924" s="275"/>
      <c r="S924" s="275"/>
      <c r="T924" s="275"/>
      <c r="U924" s="275"/>
      <c r="V924" s="275"/>
      <c r="W924" s="275"/>
      <c r="X924" s="275"/>
      <c r="Y924" s="275"/>
      <c r="Z924" s="275"/>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c r="CA924" s="13"/>
      <c r="CB924" s="13"/>
      <c r="CC924" s="13"/>
      <c r="CD924" s="13"/>
      <c r="CE924" s="13"/>
      <c r="CF924" s="13"/>
      <c r="CG924" s="13"/>
      <c r="CH924" s="13"/>
      <c r="CI924" s="13"/>
      <c r="CJ924" s="13"/>
      <c r="CK924" s="13"/>
      <c r="CL924" s="13"/>
      <c r="CM924" s="13"/>
      <c r="CN924" s="13"/>
      <c r="CO924" s="13"/>
      <c r="CP924" s="13"/>
      <c r="CQ924" s="13"/>
      <c r="CR924" s="13"/>
      <c r="CS924" s="13"/>
      <c r="CT924" s="13"/>
      <c r="CU924" s="13"/>
      <c r="CV924" s="13"/>
      <c r="CW924" s="13"/>
      <c r="CX924" s="13"/>
      <c r="CY924" s="13"/>
      <c r="CZ924" s="13"/>
      <c r="DA924" s="13"/>
      <c r="DB924" s="13"/>
      <c r="DC924" s="13"/>
      <c r="DD924" s="13"/>
      <c r="DE924" s="13"/>
      <c r="DF924" s="13"/>
      <c r="DG924" s="13"/>
      <c r="DH924" s="13"/>
      <c r="DI924" s="13"/>
      <c r="DJ924" s="13"/>
      <c r="DK924" s="13"/>
      <c r="DL924" s="13"/>
      <c r="DM924" s="13"/>
      <c r="DN924" s="13"/>
      <c r="DO924" s="13"/>
      <c r="DP924" s="13"/>
      <c r="DQ924" s="13"/>
      <c r="DR924" s="13"/>
      <c r="DS924" s="13"/>
      <c r="DT924" s="13"/>
      <c r="DU924" s="13"/>
      <c r="DV924" s="13"/>
      <c r="DW924" s="13"/>
      <c r="DX924" s="13"/>
      <c r="DY924" s="13"/>
      <c r="DZ924" s="13"/>
      <c r="EA924" s="13"/>
    </row>
    <row r="925" spans="1:131" ht="12.75" hidden="1">
      <c r="A925" s="155" t="s">
        <v>336</v>
      </c>
      <c r="B925" s="165"/>
      <c r="C925" s="165"/>
      <c r="D925" s="208"/>
      <c r="E925" s="207">
        <f>-740000+215000</f>
        <v>-525000</v>
      </c>
      <c r="F925" s="207">
        <f>D925+E925</f>
        <v>-525000</v>
      </c>
      <c r="G925" s="245"/>
      <c r="H925" s="207">
        <f>-740000+215000+45000</f>
        <v>-480000</v>
      </c>
      <c r="I925" s="207">
        <f>G925+H925</f>
        <v>-480000</v>
      </c>
      <c r="J925" s="175">
        <f>H925</f>
        <v>-480000</v>
      </c>
      <c r="K925" s="245"/>
      <c r="L925" s="245"/>
      <c r="M925" s="245"/>
      <c r="N925" s="245"/>
      <c r="O925" s="256"/>
      <c r="P925" s="256"/>
      <c r="Q925" s="3"/>
      <c r="R925" s="275"/>
      <c r="S925" s="275"/>
      <c r="T925" s="275"/>
      <c r="U925" s="275"/>
      <c r="V925" s="275"/>
      <c r="W925" s="275"/>
      <c r="X925" s="275"/>
      <c r="Y925" s="275"/>
      <c r="Z925" s="275"/>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c r="CY925" s="13"/>
      <c r="CZ925" s="13"/>
      <c r="DA925" s="13"/>
      <c r="DB925" s="13"/>
      <c r="DC925" s="13"/>
      <c r="DD925" s="13"/>
      <c r="DE925" s="13"/>
      <c r="DF925" s="13"/>
      <c r="DG925" s="13"/>
      <c r="DH925" s="13"/>
      <c r="DI925" s="13"/>
      <c r="DJ925" s="13"/>
      <c r="DK925" s="13"/>
      <c r="DL925" s="13"/>
      <c r="DM925" s="13"/>
      <c r="DN925" s="13"/>
      <c r="DO925" s="13"/>
      <c r="DP925" s="13"/>
      <c r="DQ925" s="13"/>
      <c r="DR925" s="13"/>
      <c r="DS925" s="13"/>
      <c r="DT925" s="13"/>
      <c r="DU925" s="13"/>
      <c r="DV925" s="13"/>
      <c r="DW925" s="13"/>
      <c r="DX925" s="13"/>
      <c r="DY925" s="13"/>
      <c r="DZ925" s="13"/>
      <c r="EA925" s="13"/>
    </row>
    <row r="926" spans="1:131" ht="12.75" hidden="1">
      <c r="A926" s="73" t="s">
        <v>115</v>
      </c>
      <c r="B926" s="97"/>
      <c r="C926" s="97"/>
      <c r="D926" s="85"/>
      <c r="E926" s="86">
        <f>E928+E935</f>
        <v>0</v>
      </c>
      <c r="F926" s="86">
        <f>E926</f>
        <v>0</v>
      </c>
      <c r="G926" s="109"/>
      <c r="H926" s="109"/>
      <c r="I926" s="109"/>
      <c r="J926" s="109"/>
      <c r="K926" s="110"/>
      <c r="L926" s="110"/>
      <c r="M926" s="110"/>
      <c r="N926" s="110"/>
      <c r="O926" s="111"/>
      <c r="P926" s="111"/>
      <c r="Q926" s="3"/>
      <c r="R926" s="275"/>
      <c r="S926" s="275"/>
      <c r="T926" s="275"/>
      <c r="U926" s="275"/>
      <c r="V926" s="275"/>
      <c r="W926" s="275"/>
      <c r="X926" s="275"/>
      <c r="Y926" s="275"/>
      <c r="Z926" s="275"/>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c r="DK926" s="13"/>
      <c r="DL926" s="13"/>
      <c r="DM926" s="13"/>
      <c r="DN926" s="13"/>
      <c r="DO926" s="13"/>
      <c r="DP926" s="13"/>
      <c r="DQ926" s="13"/>
      <c r="DR926" s="13"/>
      <c r="DS926" s="13"/>
      <c r="DT926" s="13"/>
      <c r="DU926" s="13"/>
      <c r="DV926" s="13"/>
      <c r="DW926" s="13"/>
      <c r="DX926" s="13"/>
      <c r="DY926" s="13"/>
      <c r="DZ926" s="13"/>
      <c r="EA926" s="13"/>
    </row>
    <row r="927" spans="1:131" ht="12.75" hidden="1">
      <c r="A927" s="135" t="s">
        <v>118</v>
      </c>
      <c r="B927" s="165"/>
      <c r="C927" s="165"/>
      <c r="D927" s="208"/>
      <c r="E927" s="207"/>
      <c r="F927" s="207"/>
      <c r="G927" s="132"/>
      <c r="H927" s="132"/>
      <c r="I927" s="132"/>
      <c r="J927" s="132"/>
      <c r="K927" s="245"/>
      <c r="L927" s="245"/>
      <c r="M927" s="245"/>
      <c r="N927" s="245"/>
      <c r="O927" s="256"/>
      <c r="P927" s="256"/>
      <c r="Q927" s="3"/>
      <c r="R927" s="275"/>
      <c r="S927" s="275"/>
      <c r="T927" s="275"/>
      <c r="U927" s="275"/>
      <c r="V927" s="275"/>
      <c r="W927" s="275"/>
      <c r="X927" s="275"/>
      <c r="Y927" s="275"/>
      <c r="Z927" s="275"/>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c r="DJ927" s="13"/>
      <c r="DK927" s="13"/>
      <c r="DL927" s="13"/>
      <c r="DM927" s="13"/>
      <c r="DN927" s="13"/>
      <c r="DO927" s="13"/>
      <c r="DP927" s="13"/>
      <c r="DQ927" s="13"/>
      <c r="DR927" s="13"/>
      <c r="DS927" s="13"/>
      <c r="DT927" s="13"/>
      <c r="DU927" s="13"/>
      <c r="DV927" s="13"/>
      <c r="DW927" s="13"/>
      <c r="DX927" s="13"/>
      <c r="DY927" s="13"/>
      <c r="DZ927" s="13"/>
      <c r="EA927" s="13"/>
    </row>
    <row r="928" spans="1:26" s="127" customFormat="1" ht="38.25" hidden="1">
      <c r="A928" s="119" t="s">
        <v>119</v>
      </c>
      <c r="B928" s="120"/>
      <c r="C928" s="120"/>
      <c r="D928" s="121"/>
      <c r="E928" s="122">
        <f>E930</f>
        <v>0</v>
      </c>
      <c r="F928" s="122">
        <f>E928</f>
        <v>0</v>
      </c>
      <c r="G928" s="123"/>
      <c r="H928" s="123"/>
      <c r="I928" s="123"/>
      <c r="J928" s="123"/>
      <c r="K928" s="124"/>
      <c r="L928" s="124"/>
      <c r="M928" s="124"/>
      <c r="N928" s="124"/>
      <c r="O928" s="125"/>
      <c r="P928" s="125"/>
      <c r="Q928" s="126"/>
      <c r="R928" s="275"/>
      <c r="S928" s="275"/>
      <c r="T928" s="275"/>
      <c r="U928" s="275"/>
      <c r="V928" s="275"/>
      <c r="W928" s="275"/>
      <c r="X928" s="275"/>
      <c r="Y928" s="275"/>
      <c r="Z928" s="275"/>
    </row>
    <row r="929" spans="1:26" s="127" customFormat="1" ht="12.75" hidden="1">
      <c r="A929" s="119" t="s">
        <v>184</v>
      </c>
      <c r="B929" s="120"/>
      <c r="C929" s="120"/>
      <c r="D929" s="258"/>
      <c r="E929" s="258"/>
      <c r="F929" s="258"/>
      <c r="G929" s="124"/>
      <c r="H929" s="124"/>
      <c r="I929" s="124"/>
      <c r="J929" s="124"/>
      <c r="K929" s="259"/>
      <c r="L929" s="259"/>
      <c r="M929" s="259"/>
      <c r="N929" s="259"/>
      <c r="O929" s="260"/>
      <c r="P929" s="260"/>
      <c r="Q929" s="126"/>
      <c r="R929" s="275"/>
      <c r="S929" s="275"/>
      <c r="T929" s="275"/>
      <c r="U929" s="275"/>
      <c r="V929" s="275"/>
      <c r="W929" s="275"/>
      <c r="X929" s="275"/>
      <c r="Y929" s="275"/>
      <c r="Z929" s="275"/>
    </row>
    <row r="930" spans="1:26" s="127" customFormat="1" ht="12.75" hidden="1">
      <c r="A930" s="156" t="s">
        <v>205</v>
      </c>
      <c r="B930" s="120"/>
      <c r="C930" s="120"/>
      <c r="D930" s="258"/>
      <c r="E930" s="121">
        <f>E932*E934</f>
        <v>0</v>
      </c>
      <c r="F930" s="121">
        <f>E930</f>
        <v>0</v>
      </c>
      <c r="G930" s="259"/>
      <c r="H930" s="259"/>
      <c r="I930" s="259"/>
      <c r="J930" s="259"/>
      <c r="K930" s="259"/>
      <c r="L930" s="259"/>
      <c r="M930" s="259"/>
      <c r="N930" s="259"/>
      <c r="O930" s="260"/>
      <c r="P930" s="260"/>
      <c r="Q930" s="126"/>
      <c r="R930" s="275"/>
      <c r="S930" s="275"/>
      <c r="T930" s="275"/>
      <c r="U930" s="275"/>
      <c r="V930" s="275"/>
      <c r="W930" s="275"/>
      <c r="X930" s="275"/>
      <c r="Y930" s="275"/>
      <c r="Z930" s="275"/>
    </row>
    <row r="931" spans="1:26" s="127" customFormat="1" ht="12.75" hidden="1">
      <c r="A931" s="119" t="s">
        <v>185</v>
      </c>
      <c r="B931" s="120"/>
      <c r="C931" s="120"/>
      <c r="D931" s="258"/>
      <c r="E931" s="121"/>
      <c r="F931" s="121"/>
      <c r="G931" s="259"/>
      <c r="H931" s="259"/>
      <c r="I931" s="259"/>
      <c r="J931" s="259"/>
      <c r="K931" s="259"/>
      <c r="L931" s="259"/>
      <c r="M931" s="259"/>
      <c r="N931" s="259"/>
      <c r="O931" s="260"/>
      <c r="P931" s="260"/>
      <c r="Q931" s="126"/>
      <c r="R931" s="275"/>
      <c r="S931" s="275"/>
      <c r="T931" s="275"/>
      <c r="U931" s="275"/>
      <c r="V931" s="275"/>
      <c r="W931" s="275"/>
      <c r="X931" s="275"/>
      <c r="Y931" s="275"/>
      <c r="Z931" s="275"/>
    </row>
    <row r="932" spans="1:26" s="127" customFormat="1" ht="12.75" hidden="1">
      <c r="A932" s="156" t="s">
        <v>116</v>
      </c>
      <c r="B932" s="120"/>
      <c r="C932" s="120"/>
      <c r="D932" s="258"/>
      <c r="E932" s="261"/>
      <c r="F932" s="262">
        <f>E932</f>
        <v>0</v>
      </c>
      <c r="G932" s="259"/>
      <c r="H932" s="260"/>
      <c r="I932" s="259"/>
      <c r="J932" s="260"/>
      <c r="K932" s="259"/>
      <c r="L932" s="259"/>
      <c r="M932" s="259"/>
      <c r="N932" s="259"/>
      <c r="O932" s="260"/>
      <c r="P932" s="260"/>
      <c r="Q932" s="126"/>
      <c r="R932" s="275"/>
      <c r="S932" s="275"/>
      <c r="T932" s="275"/>
      <c r="U932" s="275"/>
      <c r="V932" s="275"/>
      <c r="W932" s="275"/>
      <c r="X932" s="275"/>
      <c r="Y932" s="275"/>
      <c r="Z932" s="275"/>
    </row>
    <row r="933" spans="1:26" s="127" customFormat="1" ht="13.5" hidden="1">
      <c r="A933" s="157" t="s">
        <v>187</v>
      </c>
      <c r="B933" s="120"/>
      <c r="C933" s="120"/>
      <c r="D933" s="258"/>
      <c r="E933" s="258"/>
      <c r="F933" s="258"/>
      <c r="G933" s="259"/>
      <c r="H933" s="260"/>
      <c r="I933" s="259"/>
      <c r="J933" s="260"/>
      <c r="K933" s="259"/>
      <c r="L933" s="259"/>
      <c r="M933" s="259"/>
      <c r="N933" s="259"/>
      <c r="O933" s="260"/>
      <c r="P933" s="260"/>
      <c r="Q933" s="126"/>
      <c r="R933" s="275"/>
      <c r="S933" s="275"/>
      <c r="T933" s="275"/>
      <c r="U933" s="275"/>
      <c r="V933" s="275"/>
      <c r="W933" s="275"/>
      <c r="X933" s="275"/>
      <c r="Y933" s="275"/>
      <c r="Z933" s="275"/>
    </row>
    <row r="934" spans="1:26" s="127" customFormat="1" ht="12.75" hidden="1">
      <c r="A934" s="158" t="s">
        <v>117</v>
      </c>
      <c r="B934" s="120"/>
      <c r="C934" s="120"/>
      <c r="D934" s="258"/>
      <c r="E934" s="258"/>
      <c r="F934" s="258">
        <f>D934+E934</f>
        <v>0</v>
      </c>
      <c r="G934" s="259"/>
      <c r="H934" s="259"/>
      <c r="I934" s="259"/>
      <c r="J934" s="259"/>
      <c r="K934" s="259"/>
      <c r="L934" s="259"/>
      <c r="M934" s="259"/>
      <c r="N934" s="259"/>
      <c r="O934" s="260"/>
      <c r="P934" s="260"/>
      <c r="Q934" s="126"/>
      <c r="R934" s="275"/>
      <c r="S934" s="275"/>
      <c r="T934" s="275"/>
      <c r="U934" s="275"/>
      <c r="V934" s="275"/>
      <c r="W934" s="275"/>
      <c r="X934" s="275"/>
      <c r="Y934" s="275"/>
      <c r="Z934" s="275"/>
    </row>
    <row r="935" spans="1:26" s="127" customFormat="1" ht="12.75" hidden="1">
      <c r="A935" s="119" t="s">
        <v>120</v>
      </c>
      <c r="B935" s="120"/>
      <c r="C935" s="120"/>
      <c r="D935" s="121"/>
      <c r="E935" s="122">
        <f>E937</f>
        <v>0</v>
      </c>
      <c r="F935" s="122">
        <f>E935</f>
        <v>0</v>
      </c>
      <c r="G935" s="123"/>
      <c r="H935" s="123"/>
      <c r="I935" s="123"/>
      <c r="J935" s="123"/>
      <c r="K935" s="124"/>
      <c r="L935" s="124"/>
      <c r="M935" s="124"/>
      <c r="N935" s="124"/>
      <c r="O935" s="125"/>
      <c r="P935" s="125"/>
      <c r="Q935" s="126"/>
      <c r="R935" s="275"/>
      <c r="S935" s="275"/>
      <c r="T935" s="275"/>
      <c r="U935" s="275"/>
      <c r="V935" s="275"/>
      <c r="W935" s="275"/>
      <c r="X935" s="275"/>
      <c r="Y935" s="275"/>
      <c r="Z935" s="275"/>
    </row>
    <row r="936" spans="1:26" s="127" customFormat="1" ht="12.75" hidden="1">
      <c r="A936" s="119" t="s">
        <v>184</v>
      </c>
      <c r="B936" s="120"/>
      <c r="C936" s="120"/>
      <c r="D936" s="258"/>
      <c r="E936" s="258"/>
      <c r="F936" s="258"/>
      <c r="G936" s="124"/>
      <c r="H936" s="124"/>
      <c r="I936" s="124"/>
      <c r="J936" s="124"/>
      <c r="K936" s="259"/>
      <c r="L936" s="259"/>
      <c r="M936" s="259"/>
      <c r="N936" s="259"/>
      <c r="O936" s="260"/>
      <c r="P936" s="260"/>
      <c r="Q936" s="126"/>
      <c r="R936" s="275"/>
      <c r="S936" s="275"/>
      <c r="T936" s="275"/>
      <c r="U936" s="275"/>
      <c r="V936" s="275"/>
      <c r="W936" s="275"/>
      <c r="X936" s="275"/>
      <c r="Y936" s="275"/>
      <c r="Z936" s="275"/>
    </row>
    <row r="937" spans="1:26" s="127" customFormat="1" ht="12.75" hidden="1">
      <c r="A937" s="156" t="s">
        <v>205</v>
      </c>
      <c r="B937" s="120"/>
      <c r="C937" s="120"/>
      <c r="D937" s="258"/>
      <c r="E937" s="121">
        <f>E939*E941</f>
        <v>0</v>
      </c>
      <c r="F937" s="121">
        <f>E937</f>
        <v>0</v>
      </c>
      <c r="G937" s="259"/>
      <c r="H937" s="259"/>
      <c r="I937" s="259"/>
      <c r="J937" s="259"/>
      <c r="K937" s="259"/>
      <c r="L937" s="259"/>
      <c r="M937" s="259"/>
      <c r="N937" s="259"/>
      <c r="O937" s="260"/>
      <c r="P937" s="260"/>
      <c r="Q937" s="126"/>
      <c r="R937" s="275"/>
      <c r="S937" s="275"/>
      <c r="T937" s="275"/>
      <c r="U937" s="275"/>
      <c r="V937" s="275"/>
      <c r="W937" s="275"/>
      <c r="X937" s="275"/>
      <c r="Y937" s="275"/>
      <c r="Z937" s="275"/>
    </row>
    <row r="938" spans="1:26" s="127" customFormat="1" ht="12.75" hidden="1">
      <c r="A938" s="119" t="s">
        <v>185</v>
      </c>
      <c r="B938" s="120"/>
      <c r="C938" s="120"/>
      <c r="D938" s="258"/>
      <c r="E938" s="121"/>
      <c r="F938" s="121"/>
      <c r="G938" s="259"/>
      <c r="H938" s="259"/>
      <c r="I938" s="259"/>
      <c r="J938" s="259"/>
      <c r="K938" s="259"/>
      <c r="L938" s="259"/>
      <c r="M938" s="259"/>
      <c r="N938" s="259"/>
      <c r="O938" s="260"/>
      <c r="P938" s="260"/>
      <c r="Q938" s="126"/>
      <c r="R938" s="275"/>
      <c r="S938" s="275"/>
      <c r="T938" s="275"/>
      <c r="U938" s="275"/>
      <c r="V938" s="275"/>
      <c r="W938" s="275"/>
      <c r="X938" s="275"/>
      <c r="Y938" s="275"/>
      <c r="Z938" s="275"/>
    </row>
    <row r="939" spans="1:26" s="127" customFormat="1" ht="12.75" hidden="1">
      <c r="A939" s="156" t="s">
        <v>116</v>
      </c>
      <c r="B939" s="120"/>
      <c r="C939" s="120"/>
      <c r="D939" s="258"/>
      <c r="E939" s="261"/>
      <c r="F939" s="262">
        <f>E939</f>
        <v>0</v>
      </c>
      <c r="G939" s="259"/>
      <c r="H939" s="260"/>
      <c r="I939" s="259"/>
      <c r="J939" s="260"/>
      <c r="K939" s="259"/>
      <c r="L939" s="259"/>
      <c r="M939" s="259"/>
      <c r="N939" s="259"/>
      <c r="O939" s="260"/>
      <c r="P939" s="260"/>
      <c r="Q939" s="126"/>
      <c r="R939" s="275"/>
      <c r="S939" s="275"/>
      <c r="T939" s="275"/>
      <c r="U939" s="275"/>
      <c r="V939" s="275"/>
      <c r="W939" s="275"/>
      <c r="X939" s="275"/>
      <c r="Y939" s="275"/>
      <c r="Z939" s="275"/>
    </row>
    <row r="940" spans="1:26" s="127" customFormat="1" ht="13.5" hidden="1">
      <c r="A940" s="157" t="s">
        <v>187</v>
      </c>
      <c r="B940" s="120"/>
      <c r="C940" s="120"/>
      <c r="D940" s="258"/>
      <c r="E940" s="258"/>
      <c r="F940" s="258"/>
      <c r="G940" s="259"/>
      <c r="H940" s="260"/>
      <c r="I940" s="259"/>
      <c r="J940" s="260"/>
      <c r="K940" s="259"/>
      <c r="L940" s="259"/>
      <c r="M940" s="259"/>
      <c r="N940" s="259"/>
      <c r="O940" s="260"/>
      <c r="P940" s="260"/>
      <c r="Q940" s="126"/>
      <c r="R940" s="275"/>
      <c r="S940" s="275"/>
      <c r="T940" s="275"/>
      <c r="U940" s="275"/>
      <c r="V940" s="275"/>
      <c r="W940" s="275"/>
      <c r="X940" s="275"/>
      <c r="Y940" s="275"/>
      <c r="Z940" s="275"/>
    </row>
    <row r="941" spans="1:26" s="127" customFormat="1" ht="12.75" hidden="1">
      <c r="A941" s="158" t="s">
        <v>117</v>
      </c>
      <c r="B941" s="120"/>
      <c r="C941" s="120"/>
      <c r="D941" s="258"/>
      <c r="E941" s="258"/>
      <c r="F941" s="258">
        <f>D941+E941</f>
        <v>0</v>
      </c>
      <c r="G941" s="259"/>
      <c r="H941" s="259"/>
      <c r="I941" s="259"/>
      <c r="J941" s="259"/>
      <c r="K941" s="259"/>
      <c r="L941" s="259"/>
      <c r="M941" s="259"/>
      <c r="N941" s="259"/>
      <c r="O941" s="260"/>
      <c r="P941" s="260"/>
      <c r="Q941" s="126"/>
      <c r="R941" s="275"/>
      <c r="S941" s="275"/>
      <c r="T941" s="275"/>
      <c r="U941" s="275"/>
      <c r="V941" s="275"/>
      <c r="W941" s="275"/>
      <c r="X941" s="275"/>
      <c r="Y941" s="275"/>
      <c r="Z941" s="275"/>
    </row>
    <row r="942" spans="1:131" ht="12.75" hidden="1">
      <c r="A942" s="73" t="s">
        <v>179</v>
      </c>
      <c r="B942" s="97"/>
      <c r="C942" s="97"/>
      <c r="D942" s="85">
        <f>D943</f>
        <v>500000</v>
      </c>
      <c r="E942" s="86"/>
      <c r="F942" s="86">
        <f>D942+E942</f>
        <v>500000</v>
      </c>
      <c r="G942" s="109"/>
      <c r="H942" s="109"/>
      <c r="I942" s="109"/>
      <c r="J942" s="109"/>
      <c r="K942" s="110"/>
      <c r="L942" s="110"/>
      <c r="M942" s="110"/>
      <c r="N942" s="110"/>
      <c r="O942" s="111"/>
      <c r="P942" s="111"/>
      <c r="Q942" s="3"/>
      <c r="R942" s="275"/>
      <c r="S942" s="275"/>
      <c r="T942" s="275"/>
      <c r="U942" s="275"/>
      <c r="V942" s="275"/>
      <c r="W942" s="275"/>
      <c r="X942" s="275"/>
      <c r="Y942" s="275"/>
      <c r="Z942" s="275"/>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3"/>
      <c r="DI942" s="13"/>
      <c r="DJ942" s="13"/>
      <c r="DK942" s="13"/>
      <c r="DL942" s="13"/>
      <c r="DM942" s="13"/>
      <c r="DN942" s="13"/>
      <c r="DO942" s="13"/>
      <c r="DP942" s="13"/>
      <c r="DQ942" s="13"/>
      <c r="DR942" s="13"/>
      <c r="DS942" s="13"/>
      <c r="DT942" s="13"/>
      <c r="DU942" s="13"/>
      <c r="DV942" s="13"/>
      <c r="DW942" s="13"/>
      <c r="DX942" s="13"/>
      <c r="DY942" s="13"/>
      <c r="DZ942" s="13"/>
      <c r="EA942" s="13"/>
    </row>
    <row r="943" spans="1:131" ht="25.5" hidden="1">
      <c r="A943" s="68" t="s">
        <v>511</v>
      </c>
      <c r="B943" s="263"/>
      <c r="C943" s="263"/>
      <c r="D943" s="264">
        <f>D944</f>
        <v>500000</v>
      </c>
      <c r="E943" s="264"/>
      <c r="F943" s="89">
        <f aca="true" t="shared" si="67" ref="F943:F949">D943+E943</f>
        <v>500000</v>
      </c>
      <c r="G943" s="265"/>
      <c r="H943" s="265"/>
      <c r="I943" s="265"/>
      <c r="J943" s="265"/>
      <c r="K943" s="265"/>
      <c r="L943" s="265"/>
      <c r="M943" s="265"/>
      <c r="N943" s="265"/>
      <c r="O943" s="266"/>
      <c r="P943" s="266"/>
      <c r="Q943" s="3"/>
      <c r="R943" s="275"/>
      <c r="S943" s="275"/>
      <c r="T943" s="275"/>
      <c r="U943" s="275"/>
      <c r="V943" s="275"/>
      <c r="W943" s="275"/>
      <c r="X943" s="275"/>
      <c r="Y943" s="275"/>
      <c r="Z943" s="275"/>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c r="CA943" s="13"/>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c r="CY943" s="13"/>
      <c r="CZ943" s="13"/>
      <c r="DA943" s="13"/>
      <c r="DB943" s="13"/>
      <c r="DC943" s="13"/>
      <c r="DD943" s="13"/>
      <c r="DE943" s="13"/>
      <c r="DF943" s="13"/>
      <c r="DG943" s="13"/>
      <c r="DH943" s="13"/>
      <c r="DI943" s="13"/>
      <c r="DJ943" s="13"/>
      <c r="DK943" s="13"/>
      <c r="DL943" s="13"/>
      <c r="DM943" s="13"/>
      <c r="DN943" s="13"/>
      <c r="DO943" s="13"/>
      <c r="DP943" s="13"/>
      <c r="DQ943" s="13"/>
      <c r="DR943" s="13"/>
      <c r="DS943" s="13"/>
      <c r="DT943" s="13"/>
      <c r="DU943" s="13"/>
      <c r="DV943" s="13"/>
      <c r="DW943" s="13"/>
      <c r="DX943" s="13"/>
      <c r="DY943" s="13"/>
      <c r="DZ943" s="13"/>
      <c r="EA943" s="13"/>
    </row>
    <row r="944" spans="1:131" ht="12.75" hidden="1">
      <c r="A944" s="134" t="s">
        <v>184</v>
      </c>
      <c r="B944" s="267"/>
      <c r="C944" s="267"/>
      <c r="D944" s="208">
        <v>500000</v>
      </c>
      <c r="E944" s="207"/>
      <c r="F944" s="118">
        <f t="shared" si="67"/>
        <v>500000</v>
      </c>
      <c r="G944" s="245"/>
      <c r="H944" s="245"/>
      <c r="I944" s="245"/>
      <c r="J944" s="245"/>
      <c r="K944" s="245"/>
      <c r="L944" s="245"/>
      <c r="M944" s="245"/>
      <c r="N944" s="245"/>
      <c r="O944" s="256"/>
      <c r="P944" s="256"/>
      <c r="Q944" s="3"/>
      <c r="R944" s="275"/>
      <c r="S944" s="275"/>
      <c r="T944" s="275"/>
      <c r="U944" s="275"/>
      <c r="V944" s="275"/>
      <c r="W944" s="275"/>
      <c r="X944" s="275"/>
      <c r="Y944" s="275"/>
      <c r="Z944" s="275"/>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c r="CY944" s="13"/>
      <c r="CZ944" s="13"/>
      <c r="DA944" s="13"/>
      <c r="DB944" s="13"/>
      <c r="DC944" s="13"/>
      <c r="DD944" s="13"/>
      <c r="DE944" s="13"/>
      <c r="DF944" s="13"/>
      <c r="DG944" s="13"/>
      <c r="DH944" s="13"/>
      <c r="DI944" s="13"/>
      <c r="DJ944" s="13"/>
      <c r="DK944" s="13"/>
      <c r="DL944" s="13"/>
      <c r="DM944" s="13"/>
      <c r="DN944" s="13"/>
      <c r="DO944" s="13"/>
      <c r="DP944" s="13"/>
      <c r="DQ944" s="13"/>
      <c r="DR944" s="13"/>
      <c r="DS944" s="13"/>
      <c r="DT944" s="13"/>
      <c r="DU944" s="13"/>
      <c r="DV944" s="13"/>
      <c r="DW944" s="13"/>
      <c r="DX944" s="13"/>
      <c r="DY944" s="13"/>
      <c r="DZ944" s="13"/>
      <c r="EA944" s="13"/>
    </row>
    <row r="945" spans="1:131" ht="12.75" hidden="1">
      <c r="A945" s="135" t="s">
        <v>205</v>
      </c>
      <c r="B945" s="267"/>
      <c r="C945" s="267"/>
      <c r="D945" s="208">
        <v>500000</v>
      </c>
      <c r="E945" s="207"/>
      <c r="F945" s="118">
        <f t="shared" si="67"/>
        <v>500000</v>
      </c>
      <c r="G945" s="245"/>
      <c r="H945" s="245"/>
      <c r="I945" s="245"/>
      <c r="J945" s="245"/>
      <c r="K945" s="245"/>
      <c r="L945" s="245"/>
      <c r="M945" s="245"/>
      <c r="N945" s="245"/>
      <c r="O945" s="256"/>
      <c r="P945" s="256"/>
      <c r="Q945" s="3"/>
      <c r="R945" s="275"/>
      <c r="S945" s="275"/>
      <c r="T945" s="275"/>
      <c r="U945" s="275"/>
      <c r="V945" s="275"/>
      <c r="W945" s="275"/>
      <c r="X945" s="275"/>
      <c r="Y945" s="275"/>
      <c r="Z945" s="275"/>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c r="CP945" s="13"/>
      <c r="CQ945" s="13"/>
      <c r="CR945" s="13"/>
      <c r="CS945" s="13"/>
      <c r="CT945" s="13"/>
      <c r="CU945" s="13"/>
      <c r="CV945" s="13"/>
      <c r="CW945" s="13"/>
      <c r="CX945" s="13"/>
      <c r="CY945" s="13"/>
      <c r="CZ945" s="13"/>
      <c r="DA945" s="13"/>
      <c r="DB945" s="13"/>
      <c r="DC945" s="13"/>
      <c r="DD945" s="13"/>
      <c r="DE945" s="13"/>
      <c r="DF945" s="13"/>
      <c r="DG945" s="13"/>
      <c r="DH945" s="13"/>
      <c r="DI945" s="13"/>
      <c r="DJ945" s="13"/>
      <c r="DK945" s="13"/>
      <c r="DL945" s="13"/>
      <c r="DM945" s="13"/>
      <c r="DN945" s="13"/>
      <c r="DO945" s="13"/>
      <c r="DP945" s="13"/>
      <c r="DQ945" s="13"/>
      <c r="DR945" s="13"/>
      <c r="DS945" s="13"/>
      <c r="DT945" s="13"/>
      <c r="DU945" s="13"/>
      <c r="DV945" s="13"/>
      <c r="DW945" s="13"/>
      <c r="DX945" s="13"/>
      <c r="DY945" s="13"/>
      <c r="DZ945" s="13"/>
      <c r="EA945" s="13"/>
    </row>
    <row r="946" spans="1:131" ht="12.75" hidden="1">
      <c r="A946" s="134" t="s">
        <v>185</v>
      </c>
      <c r="B946" s="267"/>
      <c r="C946" s="267"/>
      <c r="D946" s="208"/>
      <c r="E946" s="207"/>
      <c r="F946" s="118">
        <f t="shared" si="67"/>
        <v>0</v>
      </c>
      <c r="G946" s="245"/>
      <c r="H946" s="245"/>
      <c r="I946" s="245"/>
      <c r="J946" s="245"/>
      <c r="K946" s="245"/>
      <c r="L946" s="245"/>
      <c r="M946" s="245"/>
      <c r="N946" s="245"/>
      <c r="O946" s="256"/>
      <c r="P946" s="256"/>
      <c r="Q946" s="3"/>
      <c r="R946" s="275"/>
      <c r="S946" s="275"/>
      <c r="T946" s="275"/>
      <c r="U946" s="275"/>
      <c r="V946" s="275"/>
      <c r="W946" s="275"/>
      <c r="X946" s="275"/>
      <c r="Y946" s="275"/>
      <c r="Z946" s="275"/>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c r="DH946" s="13"/>
      <c r="DI946" s="13"/>
      <c r="DJ946" s="13"/>
      <c r="DK946" s="13"/>
      <c r="DL946" s="13"/>
      <c r="DM946" s="13"/>
      <c r="DN946" s="13"/>
      <c r="DO946" s="13"/>
      <c r="DP946" s="13"/>
      <c r="DQ946" s="13"/>
      <c r="DR946" s="13"/>
      <c r="DS946" s="13"/>
      <c r="DT946" s="13"/>
      <c r="DU946" s="13"/>
      <c r="DV946" s="13"/>
      <c r="DW946" s="13"/>
      <c r="DX946" s="13"/>
      <c r="DY946" s="13"/>
      <c r="DZ946" s="13"/>
      <c r="EA946" s="13"/>
    </row>
    <row r="947" spans="1:131" ht="12.75" hidden="1">
      <c r="A947" s="135" t="s">
        <v>180</v>
      </c>
      <c r="B947" s="267"/>
      <c r="C947" s="267"/>
      <c r="D947" s="208">
        <v>3210</v>
      </c>
      <c r="E947" s="207"/>
      <c r="F947" s="118">
        <f t="shared" si="67"/>
        <v>3210</v>
      </c>
      <c r="G947" s="245"/>
      <c r="H947" s="245"/>
      <c r="I947" s="245"/>
      <c r="J947" s="245"/>
      <c r="K947" s="245"/>
      <c r="L947" s="245"/>
      <c r="M947" s="245"/>
      <c r="N947" s="245"/>
      <c r="O947" s="256"/>
      <c r="P947" s="256"/>
      <c r="Q947" s="3"/>
      <c r="R947" s="275"/>
      <c r="S947" s="275"/>
      <c r="T947" s="275"/>
      <c r="U947" s="275"/>
      <c r="V947" s="275"/>
      <c r="W947" s="275"/>
      <c r="X947" s="275"/>
      <c r="Y947" s="275"/>
      <c r="Z947" s="275"/>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c r="CA947" s="13"/>
      <c r="CB947" s="13"/>
      <c r="CC947" s="13"/>
      <c r="CD947" s="13"/>
      <c r="CE947" s="13"/>
      <c r="CF947" s="13"/>
      <c r="CG947" s="13"/>
      <c r="CH947" s="13"/>
      <c r="CI947" s="13"/>
      <c r="CJ947" s="13"/>
      <c r="CK947" s="13"/>
      <c r="CL947" s="13"/>
      <c r="CM947" s="13"/>
      <c r="CN947" s="13"/>
      <c r="CO947" s="13"/>
      <c r="CP947" s="13"/>
      <c r="CQ947" s="13"/>
      <c r="CR947" s="13"/>
      <c r="CS947" s="13"/>
      <c r="CT947" s="13"/>
      <c r="CU947" s="13"/>
      <c r="CV947" s="13"/>
      <c r="CW947" s="13"/>
      <c r="CX947" s="13"/>
      <c r="CY947" s="13"/>
      <c r="CZ947" s="13"/>
      <c r="DA947" s="13"/>
      <c r="DB947" s="13"/>
      <c r="DC947" s="13"/>
      <c r="DD947" s="13"/>
      <c r="DE947" s="13"/>
      <c r="DF947" s="13"/>
      <c r="DG947" s="13"/>
      <c r="DH947" s="13"/>
      <c r="DI947" s="13"/>
      <c r="DJ947" s="13"/>
      <c r="DK947" s="13"/>
      <c r="DL947" s="13"/>
      <c r="DM947" s="13"/>
      <c r="DN947" s="13"/>
      <c r="DO947" s="13"/>
      <c r="DP947" s="13"/>
      <c r="DQ947" s="13"/>
      <c r="DR947" s="13"/>
      <c r="DS947" s="13"/>
      <c r="DT947" s="13"/>
      <c r="DU947" s="13"/>
      <c r="DV947" s="13"/>
      <c r="DW947" s="13"/>
      <c r="DX947" s="13"/>
      <c r="DY947" s="13"/>
      <c r="DZ947" s="13"/>
      <c r="EA947" s="13"/>
    </row>
    <row r="948" spans="1:131" ht="9.75" customHeight="1" hidden="1">
      <c r="A948" s="133" t="s">
        <v>187</v>
      </c>
      <c r="B948" s="268"/>
      <c r="C948" s="268"/>
      <c r="D948" s="269"/>
      <c r="E948" s="270"/>
      <c r="F948" s="118"/>
      <c r="G948" s="270"/>
      <c r="H948" s="270"/>
      <c r="I948" s="270"/>
      <c r="J948" s="9"/>
      <c r="K948" s="9"/>
      <c r="L948" s="9"/>
      <c r="M948" s="9"/>
      <c r="N948" s="9"/>
      <c r="O948" s="9"/>
      <c r="P948" s="9"/>
      <c r="R948" s="275"/>
      <c r="S948" s="275"/>
      <c r="T948" s="275"/>
      <c r="U948" s="275"/>
      <c r="V948" s="275"/>
      <c r="W948" s="275"/>
      <c r="X948" s="275"/>
      <c r="Y948" s="275"/>
      <c r="Z948" s="275"/>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c r="CA948" s="13"/>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c r="CY948" s="13"/>
      <c r="CZ948" s="13"/>
      <c r="DA948" s="13"/>
      <c r="DB948" s="13"/>
      <c r="DC948" s="13"/>
      <c r="DD948" s="13"/>
      <c r="DE948" s="13"/>
      <c r="DF948" s="13"/>
      <c r="DG948" s="13"/>
      <c r="DH948" s="13"/>
      <c r="DI948" s="13"/>
      <c r="DJ948" s="13"/>
      <c r="DK948" s="13"/>
      <c r="DL948" s="13"/>
      <c r="DM948" s="13"/>
      <c r="DN948" s="13"/>
      <c r="DO948" s="13"/>
      <c r="DP948" s="13"/>
      <c r="DQ948" s="13"/>
      <c r="DR948" s="13"/>
      <c r="DS948" s="13"/>
      <c r="DT948" s="13"/>
      <c r="DU948" s="13"/>
      <c r="DV948" s="13"/>
      <c r="DW948" s="13"/>
      <c r="DX948" s="13"/>
      <c r="DY948" s="13"/>
      <c r="DZ948" s="13"/>
      <c r="EA948" s="13"/>
    </row>
    <row r="949" spans="1:131" ht="12.75" hidden="1">
      <c r="A949" s="155" t="s">
        <v>181</v>
      </c>
      <c r="B949" s="268"/>
      <c r="C949" s="268"/>
      <c r="D949" s="132">
        <f>D944/D947</f>
        <v>155.76323987538942</v>
      </c>
      <c r="E949" s="270"/>
      <c r="F949" s="118">
        <f t="shared" si="67"/>
        <v>155.76323987538942</v>
      </c>
      <c r="G949" s="270"/>
      <c r="H949" s="270"/>
      <c r="I949" s="270"/>
      <c r="J949" s="9"/>
      <c r="K949" s="9"/>
      <c r="L949" s="9"/>
      <c r="M949" s="9"/>
      <c r="N949" s="9"/>
      <c r="O949" s="9"/>
      <c r="P949" s="9"/>
      <c r="R949" s="275"/>
      <c r="S949" s="275"/>
      <c r="T949" s="275"/>
      <c r="U949" s="275"/>
      <c r="V949" s="275"/>
      <c r="W949" s="275"/>
      <c r="X949" s="275"/>
      <c r="Y949" s="275"/>
      <c r="Z949" s="275"/>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c r="CC949" s="13"/>
      <c r="CD949" s="13"/>
      <c r="CE949" s="13"/>
      <c r="CF949" s="13"/>
      <c r="CG949" s="13"/>
      <c r="CH949" s="13"/>
      <c r="CI949" s="13"/>
      <c r="CJ949" s="13"/>
      <c r="CK949" s="13"/>
      <c r="CL949" s="13"/>
      <c r="CM949" s="13"/>
      <c r="CN949" s="13"/>
      <c r="CO949" s="13"/>
      <c r="CP949" s="13"/>
      <c r="CQ949" s="13"/>
      <c r="CR949" s="13"/>
      <c r="CS949" s="13"/>
      <c r="CT949" s="13"/>
      <c r="CU949" s="13"/>
      <c r="CV949" s="13"/>
      <c r="CW949" s="13"/>
      <c r="CX949" s="13"/>
      <c r="CY949" s="13"/>
      <c r="CZ949" s="13"/>
      <c r="DA949" s="13"/>
      <c r="DB949" s="13"/>
      <c r="DC949" s="13"/>
      <c r="DD949" s="13"/>
      <c r="DE949" s="13"/>
      <c r="DF949" s="13"/>
      <c r="DG949" s="13"/>
      <c r="DH949" s="13"/>
      <c r="DI949" s="13"/>
      <c r="DJ949" s="13"/>
      <c r="DK949" s="13"/>
      <c r="DL949" s="13"/>
      <c r="DM949" s="13"/>
      <c r="DN949" s="13"/>
      <c r="DO949" s="13"/>
      <c r="DP949" s="13"/>
      <c r="DQ949" s="13"/>
      <c r="DR949" s="13"/>
      <c r="DS949" s="13"/>
      <c r="DT949" s="13"/>
      <c r="DU949" s="13"/>
      <c r="DV949" s="13"/>
      <c r="DW949" s="13"/>
      <c r="DX949" s="13"/>
      <c r="DY949" s="13"/>
      <c r="DZ949" s="13"/>
      <c r="EA949" s="13"/>
    </row>
    <row r="950" spans="1:131" ht="12.75" hidden="1">
      <c r="A950" s="73" t="s">
        <v>115</v>
      </c>
      <c r="B950" s="97"/>
      <c r="C950" s="97"/>
      <c r="D950" s="85">
        <f>D951</f>
        <v>0</v>
      </c>
      <c r="E950" s="86">
        <f>E951</f>
        <v>6000000</v>
      </c>
      <c r="F950" s="86">
        <f>D950+E950</f>
        <v>6000000</v>
      </c>
      <c r="G950" s="109"/>
      <c r="H950" s="109"/>
      <c r="I950" s="109"/>
      <c r="J950" s="109"/>
      <c r="K950" s="110"/>
      <c r="L950" s="110"/>
      <c r="M950" s="110"/>
      <c r="N950" s="110"/>
      <c r="O950" s="111"/>
      <c r="P950" s="111"/>
      <c r="R950" s="275"/>
      <c r="S950" s="275"/>
      <c r="T950" s="275"/>
      <c r="U950" s="275"/>
      <c r="V950" s="275"/>
      <c r="W950" s="275"/>
      <c r="X950" s="275"/>
      <c r="Y950" s="275"/>
      <c r="Z950" s="275"/>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c r="DJ950" s="13"/>
      <c r="DK950" s="13"/>
      <c r="DL950" s="13"/>
      <c r="DM950" s="13"/>
      <c r="DN950" s="13"/>
      <c r="DO950" s="13"/>
      <c r="DP950" s="13"/>
      <c r="DQ950" s="13"/>
      <c r="DR950" s="13"/>
      <c r="DS950" s="13"/>
      <c r="DT950" s="13"/>
      <c r="DU950" s="13"/>
      <c r="DV950" s="13"/>
      <c r="DW950" s="13"/>
      <c r="DX950" s="13"/>
      <c r="DY950" s="13"/>
      <c r="DZ950" s="13"/>
      <c r="EA950" s="13"/>
    </row>
    <row r="951" spans="1:131" ht="25.5" hidden="1">
      <c r="A951" s="68" t="s">
        <v>516</v>
      </c>
      <c r="B951" s="69"/>
      <c r="C951" s="69"/>
      <c r="D951" s="67"/>
      <c r="E951" s="67">
        <f>0+6000000</f>
        <v>6000000</v>
      </c>
      <c r="F951" s="67">
        <f>E951</f>
        <v>6000000</v>
      </c>
      <c r="G951" s="67">
        <f>G955*G957</f>
        <v>0</v>
      </c>
      <c r="H951" s="67">
        <f>22379100-6000000</f>
        <v>16379100</v>
      </c>
      <c r="I951" s="67">
        <f>I955*I957</f>
        <v>0</v>
      </c>
      <c r="J951" s="67">
        <f>G951+H951</f>
        <v>16379100</v>
      </c>
      <c r="K951" s="67">
        <f>K955*K957</f>
        <v>0</v>
      </c>
      <c r="L951" s="67">
        <f>L955*L957</f>
        <v>0</v>
      </c>
      <c r="M951" s="67">
        <f>M955*M957</f>
        <v>0</v>
      </c>
      <c r="N951" s="67">
        <f>N955*N957</f>
        <v>0</v>
      </c>
      <c r="O951" s="67">
        <f>23498000-6000000</f>
        <v>17498000</v>
      </c>
      <c r="P951" s="67">
        <f>N951+O951</f>
        <v>17498000</v>
      </c>
      <c r="R951" s="275"/>
      <c r="S951" s="275"/>
      <c r="T951" s="275"/>
      <c r="U951" s="275"/>
      <c r="V951" s="275"/>
      <c r="W951" s="275"/>
      <c r="X951" s="275"/>
      <c r="Y951" s="275"/>
      <c r="Z951" s="275"/>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c r="CP951" s="13"/>
      <c r="CQ951" s="13"/>
      <c r="CR951" s="13"/>
      <c r="CS951" s="13"/>
      <c r="CT951" s="13"/>
      <c r="CU951" s="13"/>
      <c r="CV951" s="13"/>
      <c r="CW951" s="13"/>
      <c r="CX951" s="13"/>
      <c r="CY951" s="13"/>
      <c r="CZ951" s="13"/>
      <c r="DA951" s="13"/>
      <c r="DB951" s="13"/>
      <c r="DC951" s="13"/>
      <c r="DD951" s="13"/>
      <c r="DE951" s="13"/>
      <c r="DF951" s="13"/>
      <c r="DG951" s="13"/>
      <c r="DH951" s="13"/>
      <c r="DI951" s="13"/>
      <c r="DJ951" s="13"/>
      <c r="DK951" s="13"/>
      <c r="DL951" s="13"/>
      <c r="DM951" s="13"/>
      <c r="DN951" s="13"/>
      <c r="DO951" s="13"/>
      <c r="DP951" s="13"/>
      <c r="DQ951" s="13"/>
      <c r="DR951" s="13"/>
      <c r="DS951" s="13"/>
      <c r="DT951" s="13"/>
      <c r="DU951" s="13"/>
      <c r="DV951" s="13"/>
      <c r="DW951" s="13"/>
      <c r="DX951" s="13"/>
      <c r="DY951" s="13"/>
      <c r="DZ951" s="13"/>
      <c r="EA951" s="13"/>
    </row>
    <row r="952" spans="1:17" s="275" customFormat="1" ht="12.75" hidden="1">
      <c r="A952" s="134" t="s">
        <v>184</v>
      </c>
      <c r="B952" s="273"/>
      <c r="C952" s="273"/>
      <c r="D952" s="210"/>
      <c r="E952" s="210"/>
      <c r="F952" s="210"/>
      <c r="G952" s="210"/>
      <c r="H952" s="210"/>
      <c r="I952" s="210"/>
      <c r="J952" s="210"/>
      <c r="K952" s="210"/>
      <c r="L952" s="210"/>
      <c r="M952" s="210"/>
      <c r="N952" s="210"/>
      <c r="O952" s="210"/>
      <c r="P952" s="210"/>
      <c r="Q952" s="274"/>
    </row>
    <row r="953" spans="1:17" s="275" customFormat="1" ht="12.75" hidden="1">
      <c r="A953" s="135" t="s">
        <v>205</v>
      </c>
      <c r="B953" s="273"/>
      <c r="C953" s="273"/>
      <c r="D953" s="210"/>
      <c r="E953" s="175">
        <f>0+6000000</f>
        <v>6000000</v>
      </c>
      <c r="F953" s="175">
        <f>D953+E953</f>
        <v>6000000</v>
      </c>
      <c r="G953" s="210"/>
      <c r="H953" s="210"/>
      <c r="I953" s="210"/>
      <c r="J953" s="210"/>
      <c r="K953" s="210"/>
      <c r="L953" s="210"/>
      <c r="M953" s="210"/>
      <c r="N953" s="210"/>
      <c r="O953" s="210"/>
      <c r="P953" s="210"/>
      <c r="Q953" s="274"/>
    </row>
    <row r="954" spans="1:131" ht="12.75" hidden="1">
      <c r="A954" s="134" t="s">
        <v>185</v>
      </c>
      <c r="B954" s="8"/>
      <c r="C954" s="8"/>
      <c r="D954" s="9"/>
      <c r="E954" s="9"/>
      <c r="F954" s="132"/>
      <c r="G954" s="9"/>
      <c r="H954" s="9"/>
      <c r="I954" s="9"/>
      <c r="J954" s="132"/>
      <c r="K954" s="132"/>
      <c r="L954" s="132"/>
      <c r="M954" s="132"/>
      <c r="N954" s="9"/>
      <c r="O954" s="9"/>
      <c r="P954" s="132"/>
      <c r="R954" s="275"/>
      <c r="S954" s="275"/>
      <c r="T954" s="275"/>
      <c r="U954" s="275"/>
      <c r="V954" s="275"/>
      <c r="W954" s="275"/>
      <c r="X954" s="275"/>
      <c r="Y954" s="275"/>
      <c r="Z954" s="275"/>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c r="CA954" s="13"/>
      <c r="CB954" s="13"/>
      <c r="CC954" s="13"/>
      <c r="CD954" s="13"/>
      <c r="CE954" s="13"/>
      <c r="CF954" s="13"/>
      <c r="CG954" s="13"/>
      <c r="CH954" s="13"/>
      <c r="CI954" s="13"/>
      <c r="CJ954" s="13"/>
      <c r="CK954" s="13"/>
      <c r="CL954" s="13"/>
      <c r="CM954" s="13"/>
      <c r="CN954" s="13"/>
      <c r="CO954" s="13"/>
      <c r="CP954" s="13"/>
      <c r="CQ954" s="13"/>
      <c r="CR954" s="13"/>
      <c r="CS954" s="13"/>
      <c r="CT954" s="13"/>
      <c r="CU954" s="13"/>
      <c r="CV954" s="13"/>
      <c r="CW954" s="13"/>
      <c r="CX954" s="13"/>
      <c r="CY954" s="13"/>
      <c r="CZ954" s="13"/>
      <c r="DA954" s="13"/>
      <c r="DB954" s="13"/>
      <c r="DC954" s="13"/>
      <c r="DD954" s="13"/>
      <c r="DE954" s="13"/>
      <c r="DF954" s="13"/>
      <c r="DG954" s="13"/>
      <c r="DH954" s="13"/>
      <c r="DI954" s="13"/>
      <c r="DJ954" s="13"/>
      <c r="DK954" s="13"/>
      <c r="DL954" s="13"/>
      <c r="DM954" s="13"/>
      <c r="DN954" s="13"/>
      <c r="DO954" s="13"/>
      <c r="DP954" s="13"/>
      <c r="DQ954" s="13"/>
      <c r="DR954" s="13"/>
      <c r="DS954" s="13"/>
      <c r="DT954" s="13"/>
      <c r="DU954" s="13"/>
      <c r="DV954" s="13"/>
      <c r="DW954" s="13"/>
      <c r="DX954" s="13"/>
      <c r="DY954" s="13"/>
      <c r="DZ954" s="13"/>
      <c r="EA954" s="13"/>
    </row>
    <row r="955" spans="1:131" ht="16.5" customHeight="1" hidden="1">
      <c r="A955" s="135" t="s">
        <v>240</v>
      </c>
      <c r="B955" s="165"/>
      <c r="C955" s="165"/>
      <c r="D955" s="132"/>
      <c r="E955" s="132">
        <v>1</v>
      </c>
      <c r="F955" s="132">
        <f>E955</f>
        <v>1</v>
      </c>
      <c r="G955" s="132"/>
      <c r="H955" s="132"/>
      <c r="I955" s="132"/>
      <c r="J955" s="132">
        <f>G955+H955</f>
        <v>0</v>
      </c>
      <c r="K955" s="132"/>
      <c r="L955" s="132"/>
      <c r="M955" s="132"/>
      <c r="N955" s="132"/>
      <c r="O955" s="132"/>
      <c r="P955" s="132">
        <f>O955</f>
        <v>0</v>
      </c>
      <c r="R955" s="275"/>
      <c r="S955" s="275"/>
      <c r="T955" s="275"/>
      <c r="U955" s="275"/>
      <c r="V955" s="275"/>
      <c r="W955" s="275"/>
      <c r="X955" s="275"/>
      <c r="Y955" s="275"/>
      <c r="Z955" s="275"/>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c r="CA955" s="13"/>
      <c r="CB955" s="13"/>
      <c r="CC955" s="13"/>
      <c r="CD955" s="13"/>
      <c r="CE955" s="13"/>
      <c r="CF955" s="13"/>
      <c r="CG955" s="13"/>
      <c r="CH955" s="13"/>
      <c r="CI955" s="13"/>
      <c r="CJ955" s="13"/>
      <c r="CK955" s="13"/>
      <c r="CL955" s="13"/>
      <c r="CM955" s="13"/>
      <c r="CN955" s="13"/>
      <c r="CO955" s="13"/>
      <c r="CP955" s="13"/>
      <c r="CQ955" s="13"/>
      <c r="CR955" s="13"/>
      <c r="CS955" s="13"/>
      <c r="CT955" s="13"/>
      <c r="CU955" s="13"/>
      <c r="CV955" s="13"/>
      <c r="CW955" s="13"/>
      <c r="CX955" s="13"/>
      <c r="CY955" s="13"/>
      <c r="CZ955" s="13"/>
      <c r="DA955" s="13"/>
      <c r="DB955" s="13"/>
      <c r="DC955" s="13"/>
      <c r="DD955" s="13"/>
      <c r="DE955" s="13"/>
      <c r="DF955" s="13"/>
      <c r="DG955" s="13"/>
      <c r="DH955" s="13"/>
      <c r="DI955" s="13"/>
      <c r="DJ955" s="13"/>
      <c r="DK955" s="13"/>
      <c r="DL955" s="13"/>
      <c r="DM955" s="13"/>
      <c r="DN955" s="13"/>
      <c r="DO955" s="13"/>
      <c r="DP955" s="13"/>
      <c r="DQ955" s="13"/>
      <c r="DR955" s="13"/>
      <c r="DS955" s="13"/>
      <c r="DT955" s="13"/>
      <c r="DU955" s="13"/>
      <c r="DV955" s="13"/>
      <c r="DW955" s="13"/>
      <c r="DX955" s="13"/>
      <c r="DY955" s="13"/>
      <c r="DZ955" s="13"/>
      <c r="EA955" s="13"/>
    </row>
    <row r="956" spans="1:131" ht="12.75" hidden="1">
      <c r="A956" s="134" t="s">
        <v>187</v>
      </c>
      <c r="B956" s="8"/>
      <c r="C956" s="8"/>
      <c r="D956" s="9"/>
      <c r="E956" s="9"/>
      <c r="F956" s="132"/>
      <c r="G956" s="9"/>
      <c r="H956" s="9"/>
      <c r="I956" s="9"/>
      <c r="J956" s="132"/>
      <c r="K956" s="132"/>
      <c r="L956" s="132"/>
      <c r="M956" s="132"/>
      <c r="N956" s="9"/>
      <c r="O956" s="9"/>
      <c r="P956" s="132"/>
      <c r="R956" s="275"/>
      <c r="S956" s="275"/>
      <c r="T956" s="275"/>
      <c r="U956" s="275"/>
      <c r="V956" s="275"/>
      <c r="W956" s="275"/>
      <c r="X956" s="275"/>
      <c r="Y956" s="275"/>
      <c r="Z956" s="275"/>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c r="CC956" s="13"/>
      <c r="CD956" s="13"/>
      <c r="CE956" s="13"/>
      <c r="CF956" s="13"/>
      <c r="CG956" s="13"/>
      <c r="CH956" s="13"/>
      <c r="CI956" s="13"/>
      <c r="CJ956" s="13"/>
      <c r="CK956" s="13"/>
      <c r="CL956" s="13"/>
      <c r="CM956" s="13"/>
      <c r="CN956" s="13"/>
      <c r="CO956" s="13"/>
      <c r="CP956" s="13"/>
      <c r="CQ956" s="13"/>
      <c r="CR956" s="13"/>
      <c r="CS956" s="13"/>
      <c r="CT956" s="13"/>
      <c r="CU956" s="13"/>
      <c r="CV956" s="13"/>
      <c r="CW956" s="13"/>
      <c r="CX956" s="13"/>
      <c r="CY956" s="13"/>
      <c r="CZ956" s="13"/>
      <c r="DA956" s="13"/>
      <c r="DB956" s="13"/>
      <c r="DC956" s="13"/>
      <c r="DD956" s="13"/>
      <c r="DE956" s="13"/>
      <c r="DF956" s="13"/>
      <c r="DG956" s="13"/>
      <c r="DH956" s="13"/>
      <c r="DI956" s="13"/>
      <c r="DJ956" s="13"/>
      <c r="DK956" s="13"/>
      <c r="DL956" s="13"/>
      <c r="DM956" s="13"/>
      <c r="DN956" s="13"/>
      <c r="DO956" s="13"/>
      <c r="DP956" s="13"/>
      <c r="DQ956" s="13"/>
      <c r="DR956" s="13"/>
      <c r="DS956" s="13"/>
      <c r="DT956" s="13"/>
      <c r="DU956" s="13"/>
      <c r="DV956" s="13"/>
      <c r="DW956" s="13"/>
      <c r="DX956" s="13"/>
      <c r="DY956" s="13"/>
      <c r="DZ956" s="13"/>
      <c r="EA956" s="13"/>
    </row>
    <row r="957" spans="1:131" ht="18.75" customHeight="1" hidden="1">
      <c r="A957" s="135" t="s">
        <v>241</v>
      </c>
      <c r="B957" s="165"/>
      <c r="C957" s="165"/>
      <c r="D957" s="132"/>
      <c r="E957" s="132">
        <v>6000000</v>
      </c>
      <c r="F957" s="132">
        <f>E957</f>
        <v>6000000</v>
      </c>
      <c r="G957" s="132"/>
      <c r="H957" s="132" t="e">
        <f>H951/H955</f>
        <v>#DIV/0!</v>
      </c>
      <c r="I957" s="132"/>
      <c r="J957" s="132" t="e">
        <f>G957+H957</f>
        <v>#DIV/0!</v>
      </c>
      <c r="K957" s="132"/>
      <c r="L957" s="132"/>
      <c r="M957" s="132"/>
      <c r="N957" s="132"/>
      <c r="O957" s="132" t="e">
        <f>O951/O955</f>
        <v>#DIV/0!</v>
      </c>
      <c r="P957" s="132" t="e">
        <f>O957</f>
        <v>#DIV/0!</v>
      </c>
      <c r="R957" s="275"/>
      <c r="S957" s="275"/>
      <c r="T957" s="275"/>
      <c r="U957" s="275"/>
      <c r="V957" s="275"/>
      <c r="W957" s="275"/>
      <c r="X957" s="275"/>
      <c r="Y957" s="275"/>
      <c r="Z957" s="275"/>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c r="CA957" s="13"/>
      <c r="CB957" s="13"/>
      <c r="CC957" s="13"/>
      <c r="CD957" s="13"/>
      <c r="CE957" s="13"/>
      <c r="CF957" s="13"/>
      <c r="CG957" s="13"/>
      <c r="CH957" s="13"/>
      <c r="CI957" s="13"/>
      <c r="CJ957" s="13"/>
      <c r="CK957" s="13"/>
      <c r="CL957" s="13"/>
      <c r="CM957" s="13"/>
      <c r="CN957" s="13"/>
      <c r="CO957" s="13"/>
      <c r="CP957" s="13"/>
      <c r="CQ957" s="13"/>
      <c r="CR957" s="13"/>
      <c r="CS957" s="13"/>
      <c r="CT957" s="13"/>
      <c r="CU957" s="13"/>
      <c r="CV957" s="13"/>
      <c r="CW957" s="13"/>
      <c r="CX957" s="13"/>
      <c r="CY957" s="13"/>
      <c r="CZ957" s="13"/>
      <c r="DA957" s="13"/>
      <c r="DB957" s="13"/>
      <c r="DC957" s="13"/>
      <c r="DD957" s="13"/>
      <c r="DE957" s="13"/>
      <c r="DF957" s="13"/>
      <c r="DG957" s="13"/>
      <c r="DH957" s="13"/>
      <c r="DI957" s="13"/>
      <c r="DJ957" s="13"/>
      <c r="DK957" s="13"/>
      <c r="DL957" s="13"/>
      <c r="DM957" s="13"/>
      <c r="DN957" s="13"/>
      <c r="DO957" s="13"/>
      <c r="DP957" s="13"/>
      <c r="DQ957" s="13"/>
      <c r="DR957" s="13"/>
      <c r="DS957" s="13"/>
      <c r="DT957" s="13"/>
      <c r="DU957" s="13"/>
      <c r="DV957" s="13"/>
      <c r="DW957" s="13"/>
      <c r="DX957" s="13"/>
      <c r="DY957" s="13"/>
      <c r="DZ957" s="13"/>
      <c r="EA957" s="13"/>
    </row>
    <row r="958" spans="1:131" ht="12.75" hidden="1">
      <c r="A958" s="134" t="s">
        <v>186</v>
      </c>
      <c r="B958" s="165"/>
      <c r="C958" s="165"/>
      <c r="D958" s="132"/>
      <c r="E958" s="132"/>
      <c r="F958" s="132"/>
      <c r="G958" s="132"/>
      <c r="H958" s="132"/>
      <c r="I958" s="132"/>
      <c r="J958" s="132"/>
      <c r="K958" s="132"/>
      <c r="L958" s="132"/>
      <c r="M958" s="132"/>
      <c r="N958" s="132"/>
      <c r="O958" s="132"/>
      <c r="P958" s="132"/>
      <c r="R958" s="275"/>
      <c r="S958" s="275"/>
      <c r="T958" s="275"/>
      <c r="U958" s="275"/>
      <c r="V958" s="275"/>
      <c r="W958" s="275"/>
      <c r="X958" s="275"/>
      <c r="Y958" s="275"/>
      <c r="Z958" s="275"/>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c r="DJ958" s="13"/>
      <c r="DK958" s="13"/>
      <c r="DL958" s="13"/>
      <c r="DM958" s="13"/>
      <c r="DN958" s="13"/>
      <c r="DO958" s="13"/>
      <c r="DP958" s="13"/>
      <c r="DQ958" s="13"/>
      <c r="DR958" s="13"/>
      <c r="DS958" s="13"/>
      <c r="DT958" s="13"/>
      <c r="DU958" s="13"/>
      <c r="DV958" s="13"/>
      <c r="DW958" s="13"/>
      <c r="DX958" s="13"/>
      <c r="DY958" s="13"/>
      <c r="DZ958" s="13"/>
      <c r="EA958" s="13"/>
    </row>
    <row r="959" spans="1:131" ht="29.25" customHeight="1" hidden="1">
      <c r="A959" s="135" t="s">
        <v>242</v>
      </c>
      <c r="B959" s="165"/>
      <c r="C959" s="165"/>
      <c r="D959" s="132"/>
      <c r="E959" s="132">
        <v>0</v>
      </c>
      <c r="F959" s="132">
        <v>0</v>
      </c>
      <c r="G959" s="132"/>
      <c r="H959" s="132" t="e">
        <f>H957/E957*100</f>
        <v>#DIV/0!</v>
      </c>
      <c r="I959" s="132"/>
      <c r="J959" s="132" t="e">
        <f>G959+H959</f>
        <v>#DIV/0!</v>
      </c>
      <c r="K959" s="132"/>
      <c r="L959" s="132"/>
      <c r="M959" s="132"/>
      <c r="N959" s="132"/>
      <c r="O959" s="132" t="e">
        <f>O957/H957*100</f>
        <v>#DIV/0!</v>
      </c>
      <c r="P959" s="132" t="e">
        <f>O959</f>
        <v>#DIV/0!</v>
      </c>
      <c r="R959" s="275"/>
      <c r="S959" s="275"/>
      <c r="T959" s="275"/>
      <c r="U959" s="275"/>
      <c r="V959" s="275"/>
      <c r="W959" s="275"/>
      <c r="X959" s="275"/>
      <c r="Y959" s="275"/>
      <c r="Z959" s="275"/>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c r="CA959" s="13"/>
      <c r="CB959" s="13"/>
      <c r="CC959" s="13"/>
      <c r="CD959" s="13"/>
      <c r="CE959" s="13"/>
      <c r="CF959" s="13"/>
      <c r="CG959" s="13"/>
      <c r="CH959" s="13"/>
      <c r="CI959" s="13"/>
      <c r="CJ959" s="13"/>
      <c r="CK959" s="13"/>
      <c r="CL959" s="13"/>
      <c r="CM959" s="13"/>
      <c r="CN959" s="13"/>
      <c r="CO959" s="13"/>
      <c r="CP959" s="13"/>
      <c r="CQ959" s="13"/>
      <c r="CR959" s="13"/>
      <c r="CS959" s="13"/>
      <c r="CT959" s="13"/>
      <c r="CU959" s="13"/>
      <c r="CV959" s="13"/>
      <c r="CW959" s="13"/>
      <c r="CX959" s="13"/>
      <c r="CY959" s="13"/>
      <c r="CZ959" s="13"/>
      <c r="DA959" s="13"/>
      <c r="DB959" s="13"/>
      <c r="DC959" s="13"/>
      <c r="DD959" s="13"/>
      <c r="DE959" s="13"/>
      <c r="DF959" s="13"/>
      <c r="DG959" s="13"/>
      <c r="DH959" s="13"/>
      <c r="DI959" s="13"/>
      <c r="DJ959" s="13"/>
      <c r="DK959" s="13"/>
      <c r="DL959" s="13"/>
      <c r="DM959" s="13"/>
      <c r="DN959" s="13"/>
      <c r="DO959" s="13"/>
      <c r="DP959" s="13"/>
      <c r="DQ959" s="13"/>
      <c r="DR959" s="13"/>
      <c r="DS959" s="13"/>
      <c r="DT959" s="13"/>
      <c r="DU959" s="13"/>
      <c r="DV959" s="13"/>
      <c r="DW959" s="13"/>
      <c r="DX959" s="13"/>
      <c r="DY959" s="13"/>
      <c r="DZ959" s="13"/>
      <c r="EA959" s="13"/>
    </row>
    <row r="960" spans="1:131" ht="29.25" customHeight="1" hidden="1">
      <c r="A960" s="282" t="s">
        <v>540</v>
      </c>
      <c r="B960" s="209"/>
      <c r="C960" s="209"/>
      <c r="D960" s="283">
        <f>D961</f>
        <v>0</v>
      </c>
      <c r="E960" s="283">
        <f>E961</f>
        <v>263876700</v>
      </c>
      <c r="F960" s="283">
        <f>F961</f>
        <v>263876700</v>
      </c>
      <c r="G960" s="284"/>
      <c r="H960" s="284"/>
      <c r="I960" s="284"/>
      <c r="J960" s="284"/>
      <c r="K960" s="285"/>
      <c r="L960" s="285"/>
      <c r="M960" s="285"/>
      <c r="N960" s="285"/>
      <c r="O960" s="286"/>
      <c r="P960" s="286"/>
      <c r="R960" s="275"/>
      <c r="S960" s="275"/>
      <c r="T960" s="275"/>
      <c r="U960" s="275"/>
      <c r="V960" s="275"/>
      <c r="W960" s="275"/>
      <c r="X960" s="275"/>
      <c r="Y960" s="275"/>
      <c r="Z960" s="275"/>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c r="CY960" s="13"/>
      <c r="CZ960" s="13"/>
      <c r="DA960" s="13"/>
      <c r="DB960" s="13"/>
      <c r="DC960" s="13"/>
      <c r="DD960" s="13"/>
      <c r="DE960" s="13"/>
      <c r="DF960" s="13"/>
      <c r="DG960" s="13"/>
      <c r="DH960" s="13"/>
      <c r="DI960" s="13"/>
      <c r="DJ960" s="13"/>
      <c r="DK960" s="13"/>
      <c r="DL960" s="13"/>
      <c r="DM960" s="13"/>
      <c r="DN960" s="13"/>
      <c r="DO960" s="13"/>
      <c r="DP960" s="13"/>
      <c r="DQ960" s="13"/>
      <c r="DR960" s="13"/>
      <c r="DS960" s="13"/>
      <c r="DT960" s="13"/>
      <c r="DU960" s="13"/>
      <c r="DV960" s="13"/>
      <c r="DW960" s="13"/>
      <c r="DX960" s="13"/>
      <c r="DY960" s="13"/>
      <c r="DZ960" s="13"/>
      <c r="EA960" s="13"/>
    </row>
    <row r="961" spans="1:131" ht="63.75" hidden="1">
      <c r="A961" s="287" t="s">
        <v>542</v>
      </c>
      <c r="B961" s="288"/>
      <c r="C961" s="288"/>
      <c r="D961" s="289">
        <f>D963</f>
        <v>0</v>
      </c>
      <c r="E961" s="289">
        <f>E963</f>
        <v>263876700</v>
      </c>
      <c r="F961" s="289">
        <f>E961+D961</f>
        <v>263876700</v>
      </c>
      <c r="G961" s="290"/>
      <c r="H961" s="290"/>
      <c r="I961" s="290"/>
      <c r="J961" s="290"/>
      <c r="K961" s="290"/>
      <c r="L961" s="290"/>
      <c r="M961" s="290"/>
      <c r="N961" s="290"/>
      <c r="O961" s="291"/>
      <c r="P961" s="291"/>
      <c r="R961" s="275"/>
      <c r="S961" s="275"/>
      <c r="T961" s="275"/>
      <c r="U961" s="275"/>
      <c r="V961" s="275"/>
      <c r="W961" s="275"/>
      <c r="X961" s="275"/>
      <c r="Y961" s="275"/>
      <c r="Z961" s="275"/>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c r="CY961" s="13"/>
      <c r="CZ961" s="13"/>
      <c r="DA961" s="13"/>
      <c r="DB961" s="13"/>
      <c r="DC961" s="13"/>
      <c r="DD961" s="13"/>
      <c r="DE961" s="13"/>
      <c r="DF961" s="13"/>
      <c r="DG961" s="13"/>
      <c r="DH961" s="13"/>
      <c r="DI961" s="13"/>
      <c r="DJ961" s="13"/>
      <c r="DK961" s="13"/>
      <c r="DL961" s="13"/>
      <c r="DM961" s="13"/>
      <c r="DN961" s="13"/>
      <c r="DO961" s="13"/>
      <c r="DP961" s="13"/>
      <c r="DQ961" s="13"/>
      <c r="DR961" s="13"/>
      <c r="DS961" s="13"/>
      <c r="DT961" s="13"/>
      <c r="DU961" s="13"/>
      <c r="DV961" s="13"/>
      <c r="DW961" s="13"/>
      <c r="DX961" s="13"/>
      <c r="DY961" s="13"/>
      <c r="DZ961" s="13"/>
      <c r="EA961" s="13"/>
    </row>
    <row r="962" spans="1:131" ht="11.25" hidden="1">
      <c r="A962" s="292" t="s">
        <v>184</v>
      </c>
      <c r="B962" s="293"/>
      <c r="C962" s="293"/>
      <c r="D962" s="294"/>
      <c r="E962" s="295"/>
      <c r="F962" s="296"/>
      <c r="G962" s="297"/>
      <c r="H962" s="297"/>
      <c r="I962" s="297"/>
      <c r="J962" s="297"/>
      <c r="K962" s="297"/>
      <c r="L962" s="297"/>
      <c r="M962" s="297"/>
      <c r="N962" s="297"/>
      <c r="O962" s="298"/>
      <c r="P962" s="298"/>
      <c r="R962" s="275"/>
      <c r="S962" s="275"/>
      <c r="T962" s="275"/>
      <c r="U962" s="275"/>
      <c r="V962" s="275"/>
      <c r="W962" s="275"/>
      <c r="X962" s="275"/>
      <c r="Y962" s="275"/>
      <c r="Z962" s="275"/>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c r="CA962" s="13"/>
      <c r="CB962" s="13"/>
      <c r="CC962" s="13"/>
      <c r="CD962" s="13"/>
      <c r="CE962" s="13"/>
      <c r="CF962" s="13"/>
      <c r="CG962" s="13"/>
      <c r="CH962" s="13"/>
      <c r="CI962" s="13"/>
      <c r="CJ962" s="13"/>
      <c r="CK962" s="13"/>
      <c r="CL962" s="13"/>
      <c r="CM962" s="13"/>
      <c r="CN962" s="13"/>
      <c r="CO962" s="13"/>
      <c r="CP962" s="13"/>
      <c r="CQ962" s="13"/>
      <c r="CR962" s="13"/>
      <c r="CS962" s="13"/>
      <c r="CT962" s="13"/>
      <c r="CU962" s="13"/>
      <c r="CV962" s="13"/>
      <c r="CW962" s="13"/>
      <c r="CX962" s="13"/>
      <c r="CY962" s="13"/>
      <c r="CZ962" s="13"/>
      <c r="DA962" s="13"/>
      <c r="DB962" s="13"/>
      <c r="DC962" s="13"/>
      <c r="DD962" s="13"/>
      <c r="DE962" s="13"/>
      <c r="DF962" s="13"/>
      <c r="DG962" s="13"/>
      <c r="DH962" s="13"/>
      <c r="DI962" s="13"/>
      <c r="DJ962" s="13"/>
      <c r="DK962" s="13"/>
      <c r="DL962" s="13"/>
      <c r="DM962" s="13"/>
      <c r="DN962" s="13"/>
      <c r="DO962" s="13"/>
      <c r="DP962" s="13"/>
      <c r="DQ962" s="13"/>
      <c r="DR962" s="13"/>
      <c r="DS962" s="13"/>
      <c r="DT962" s="13"/>
      <c r="DU962" s="13"/>
      <c r="DV962" s="13"/>
      <c r="DW962" s="13"/>
      <c r="DX962" s="13"/>
      <c r="DY962" s="13"/>
      <c r="DZ962" s="13"/>
      <c r="EA962" s="13"/>
    </row>
    <row r="963" spans="1:131" ht="11.25" hidden="1">
      <c r="A963" s="299" t="s">
        <v>205</v>
      </c>
      <c r="B963" s="293"/>
      <c r="C963" s="293"/>
      <c r="D963" s="300"/>
      <c r="E963" s="296">
        <v>263876700</v>
      </c>
      <c r="F963" s="296">
        <f>E963+D963</f>
        <v>263876700</v>
      </c>
      <c r="G963" s="297"/>
      <c r="H963" s="297"/>
      <c r="I963" s="297"/>
      <c r="J963" s="297"/>
      <c r="K963" s="297"/>
      <c r="L963" s="297"/>
      <c r="M963" s="297"/>
      <c r="N963" s="297"/>
      <c r="O963" s="298"/>
      <c r="P963" s="298"/>
      <c r="R963" s="275"/>
      <c r="S963" s="275"/>
      <c r="T963" s="275"/>
      <c r="U963" s="275"/>
      <c r="V963" s="275"/>
      <c r="W963" s="275"/>
      <c r="X963" s="275"/>
      <c r="Y963" s="275"/>
      <c r="Z963" s="275"/>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c r="CY963" s="13"/>
      <c r="CZ963" s="13"/>
      <c r="DA963" s="13"/>
      <c r="DB963" s="13"/>
      <c r="DC963" s="13"/>
      <c r="DD963" s="13"/>
      <c r="DE963" s="13"/>
      <c r="DF963" s="13"/>
      <c r="DG963" s="13"/>
      <c r="DH963" s="13"/>
      <c r="DI963" s="13"/>
      <c r="DJ963" s="13"/>
      <c r="DK963" s="13"/>
      <c r="DL963" s="13"/>
      <c r="DM963" s="13"/>
      <c r="DN963" s="13"/>
      <c r="DO963" s="13"/>
      <c r="DP963" s="13"/>
      <c r="DQ963" s="13"/>
      <c r="DR963" s="13"/>
      <c r="DS963" s="13"/>
      <c r="DT963" s="13"/>
      <c r="DU963" s="13"/>
      <c r="DV963" s="13"/>
      <c r="DW963" s="13"/>
      <c r="DX963" s="13"/>
      <c r="DY963" s="13"/>
      <c r="DZ963" s="13"/>
      <c r="EA963" s="13"/>
    </row>
    <row r="964" spans="1:131" ht="11.25" hidden="1">
      <c r="A964" s="292" t="s">
        <v>185</v>
      </c>
      <c r="B964" s="293"/>
      <c r="C964" s="293"/>
      <c r="D964" s="294"/>
      <c r="E964" s="296"/>
      <c r="F964" s="296"/>
      <c r="G964" s="297"/>
      <c r="H964" s="297"/>
      <c r="I964" s="297"/>
      <c r="J964" s="297"/>
      <c r="K964" s="297"/>
      <c r="L964" s="297"/>
      <c r="M964" s="297"/>
      <c r="N964" s="297"/>
      <c r="O964" s="298"/>
      <c r="P964" s="298"/>
      <c r="R964" s="275"/>
      <c r="S964" s="275"/>
      <c r="T964" s="275"/>
      <c r="U964" s="275"/>
      <c r="V964" s="275"/>
      <c r="W964" s="275"/>
      <c r="X964" s="275"/>
      <c r="Y964" s="275"/>
      <c r="Z964" s="275"/>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c r="CA964" s="13"/>
      <c r="CB964" s="13"/>
      <c r="CC964" s="13"/>
      <c r="CD964" s="13"/>
      <c r="CE964" s="13"/>
      <c r="CF964" s="13"/>
      <c r="CG964" s="13"/>
      <c r="CH964" s="13"/>
      <c r="CI964" s="13"/>
      <c r="CJ964" s="13"/>
      <c r="CK964" s="13"/>
      <c r="CL964" s="13"/>
      <c r="CM964" s="13"/>
      <c r="CN964" s="13"/>
      <c r="CO964" s="13"/>
      <c r="CP964" s="13"/>
      <c r="CQ964" s="13"/>
      <c r="CR964" s="13"/>
      <c r="CS964" s="13"/>
      <c r="CT964" s="13"/>
      <c r="CU964" s="13"/>
      <c r="CV964" s="13"/>
      <c r="CW964" s="13"/>
      <c r="CX964" s="13"/>
      <c r="CY964" s="13"/>
      <c r="CZ964" s="13"/>
      <c r="DA964" s="13"/>
      <c r="DB964" s="13"/>
      <c r="DC964" s="13"/>
      <c r="DD964" s="13"/>
      <c r="DE964" s="13"/>
      <c r="DF964" s="13"/>
      <c r="DG964" s="13"/>
      <c r="DH964" s="13"/>
      <c r="DI964" s="13"/>
      <c r="DJ964" s="13"/>
      <c r="DK964" s="13"/>
      <c r="DL964" s="13"/>
      <c r="DM964" s="13"/>
      <c r="DN964" s="13"/>
      <c r="DO964" s="13"/>
      <c r="DP964" s="13"/>
      <c r="DQ964" s="13"/>
      <c r="DR964" s="13"/>
      <c r="DS964" s="13"/>
      <c r="DT964" s="13"/>
      <c r="DU964" s="13"/>
      <c r="DV964" s="13"/>
      <c r="DW964" s="13"/>
      <c r="DX964" s="13"/>
      <c r="DY964" s="13"/>
      <c r="DZ964" s="13"/>
      <c r="EA964" s="13"/>
    </row>
    <row r="965" spans="1:131" ht="11.25" hidden="1">
      <c r="A965" s="299" t="s">
        <v>541</v>
      </c>
      <c r="B965" s="293"/>
      <c r="C965" s="293"/>
      <c r="D965" s="294"/>
      <c r="E965" s="301" t="s">
        <v>543</v>
      </c>
      <c r="F965" s="302" t="str">
        <f>E965</f>
        <v>2</v>
      </c>
      <c r="G965" s="297"/>
      <c r="H965" s="297"/>
      <c r="I965" s="297"/>
      <c r="J965" s="297"/>
      <c r="K965" s="297"/>
      <c r="L965" s="297"/>
      <c r="M965" s="297"/>
      <c r="N965" s="297"/>
      <c r="O965" s="298"/>
      <c r="P965" s="298"/>
      <c r="R965" s="275"/>
      <c r="S965" s="275"/>
      <c r="T965" s="275"/>
      <c r="U965" s="275"/>
      <c r="V965" s="275"/>
      <c r="W965" s="275"/>
      <c r="X965" s="275"/>
      <c r="Y965" s="275"/>
      <c r="Z965" s="275"/>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c r="CA965" s="13"/>
      <c r="CB965" s="13"/>
      <c r="CC965" s="13"/>
      <c r="CD965" s="13"/>
      <c r="CE965" s="13"/>
      <c r="CF965" s="13"/>
      <c r="CG965" s="13"/>
      <c r="CH965" s="13"/>
      <c r="CI965" s="13"/>
      <c r="CJ965" s="13"/>
      <c r="CK965" s="13"/>
      <c r="CL965" s="13"/>
      <c r="CM965" s="13"/>
      <c r="CN965" s="13"/>
      <c r="CO965" s="13"/>
      <c r="CP965" s="13"/>
      <c r="CQ965" s="13"/>
      <c r="CR965" s="13"/>
      <c r="CS965" s="13"/>
      <c r="CT965" s="13"/>
      <c r="CU965" s="13"/>
      <c r="CV965" s="13"/>
      <c r="CW965" s="13"/>
      <c r="CX965" s="13"/>
      <c r="CY965" s="13"/>
      <c r="CZ965" s="13"/>
      <c r="DA965" s="13"/>
      <c r="DB965" s="13"/>
      <c r="DC965" s="13"/>
      <c r="DD965" s="13"/>
      <c r="DE965" s="13"/>
      <c r="DF965" s="13"/>
      <c r="DG965" s="13"/>
      <c r="DH965" s="13"/>
      <c r="DI965" s="13"/>
      <c r="DJ965" s="13"/>
      <c r="DK965" s="13"/>
      <c r="DL965" s="13"/>
      <c r="DM965" s="13"/>
      <c r="DN965" s="13"/>
      <c r="DO965" s="13"/>
      <c r="DP965" s="13"/>
      <c r="DQ965" s="13"/>
      <c r="DR965" s="13"/>
      <c r="DS965" s="13"/>
      <c r="DT965" s="13"/>
      <c r="DU965" s="13"/>
      <c r="DV965" s="13"/>
      <c r="DW965" s="13"/>
      <c r="DX965" s="13"/>
      <c r="DY965" s="13"/>
      <c r="DZ965" s="13"/>
      <c r="EA965" s="13"/>
    </row>
    <row r="966" spans="1:131" ht="11.25" hidden="1">
      <c r="A966" s="303" t="s">
        <v>187</v>
      </c>
      <c r="B966" s="293"/>
      <c r="C966" s="293"/>
      <c r="D966" s="294"/>
      <c r="E966" s="295"/>
      <c r="F966" s="295"/>
      <c r="G966" s="297"/>
      <c r="H966" s="297"/>
      <c r="I966" s="297"/>
      <c r="J966" s="297"/>
      <c r="K966" s="297"/>
      <c r="L966" s="297"/>
      <c r="M966" s="297"/>
      <c r="N966" s="297"/>
      <c r="O966" s="298"/>
      <c r="P966" s="298"/>
      <c r="R966" s="275"/>
      <c r="S966" s="275"/>
      <c r="T966" s="275"/>
      <c r="U966" s="275"/>
      <c r="V966" s="275"/>
      <c r="W966" s="275"/>
      <c r="X966" s="275"/>
      <c r="Y966" s="275"/>
      <c r="Z966" s="275"/>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3"/>
      <c r="DI966" s="13"/>
      <c r="DJ966" s="13"/>
      <c r="DK966" s="13"/>
      <c r="DL966" s="13"/>
      <c r="DM966" s="13"/>
      <c r="DN966" s="13"/>
      <c r="DO966" s="13"/>
      <c r="DP966" s="13"/>
      <c r="DQ966" s="13"/>
      <c r="DR966" s="13"/>
      <c r="DS966" s="13"/>
      <c r="DT966" s="13"/>
      <c r="DU966" s="13"/>
      <c r="DV966" s="13"/>
      <c r="DW966" s="13"/>
      <c r="DX966" s="13"/>
      <c r="DY966" s="13"/>
      <c r="DZ966" s="13"/>
      <c r="EA966" s="13"/>
    </row>
    <row r="967" spans="1:131" ht="11.25" hidden="1">
      <c r="A967" s="304" t="s">
        <v>544</v>
      </c>
      <c r="B967" s="293"/>
      <c r="C967" s="293"/>
      <c r="D967" s="296"/>
      <c r="E967" s="296">
        <f>E963/E965</f>
        <v>131938350</v>
      </c>
      <c r="F967" s="296">
        <f>D967+E967</f>
        <v>131938350</v>
      </c>
      <c r="G967" s="297"/>
      <c r="H967" s="297"/>
      <c r="I967" s="297"/>
      <c r="J967" s="297"/>
      <c r="K967" s="297"/>
      <c r="L967" s="297"/>
      <c r="M967" s="297"/>
      <c r="N967" s="297"/>
      <c r="O967" s="298"/>
      <c r="P967" s="298"/>
      <c r="R967" s="275"/>
      <c r="S967" s="275"/>
      <c r="T967" s="275"/>
      <c r="U967" s="275"/>
      <c r="V967" s="275"/>
      <c r="W967" s="275"/>
      <c r="X967" s="275"/>
      <c r="Y967" s="275"/>
      <c r="Z967" s="275"/>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c r="CA967" s="13"/>
      <c r="CB967" s="13"/>
      <c r="CC967" s="13"/>
      <c r="CD967" s="13"/>
      <c r="CE967" s="13"/>
      <c r="CF967" s="13"/>
      <c r="CG967" s="13"/>
      <c r="CH967" s="13"/>
      <c r="CI967" s="13"/>
      <c r="CJ967" s="13"/>
      <c r="CK967" s="13"/>
      <c r="CL967" s="13"/>
      <c r="CM967" s="13"/>
      <c r="CN967" s="13"/>
      <c r="CO967" s="13"/>
      <c r="CP967" s="13"/>
      <c r="CQ967" s="13"/>
      <c r="CR967" s="13"/>
      <c r="CS967" s="13"/>
      <c r="CT967" s="13"/>
      <c r="CU967" s="13"/>
      <c r="CV967" s="13"/>
      <c r="CW967" s="13"/>
      <c r="CX967" s="13"/>
      <c r="CY967" s="13"/>
      <c r="CZ967" s="13"/>
      <c r="DA967" s="13"/>
      <c r="DB967" s="13"/>
      <c r="DC967" s="13"/>
      <c r="DD967" s="13"/>
      <c r="DE967" s="13"/>
      <c r="DF967" s="13"/>
      <c r="DG967" s="13"/>
      <c r="DH967" s="13"/>
      <c r="DI967" s="13"/>
      <c r="DJ967" s="13"/>
      <c r="DK967" s="13"/>
      <c r="DL967" s="13"/>
      <c r="DM967" s="13"/>
      <c r="DN967" s="13"/>
      <c r="DO967" s="13"/>
      <c r="DP967" s="13"/>
      <c r="DQ967" s="13"/>
      <c r="DR967" s="13"/>
      <c r="DS967" s="13"/>
      <c r="DT967" s="13"/>
      <c r="DU967" s="13"/>
      <c r="DV967" s="13"/>
      <c r="DW967" s="13"/>
      <c r="DX967" s="13"/>
      <c r="DY967" s="13"/>
      <c r="DZ967" s="13"/>
      <c r="EA967" s="13"/>
    </row>
    <row r="968" spans="1:131" ht="12.75" hidden="1">
      <c r="A968" s="282" t="s">
        <v>579</v>
      </c>
      <c r="B968" s="209"/>
      <c r="C968" s="209"/>
      <c r="D968" s="283">
        <f aca="true" t="shared" si="68" ref="D968:J968">D969</f>
        <v>0</v>
      </c>
      <c r="E968" s="283">
        <f t="shared" si="68"/>
        <v>0</v>
      </c>
      <c r="F968" s="283">
        <f t="shared" si="68"/>
        <v>0</v>
      </c>
      <c r="G968" s="283">
        <f t="shared" si="68"/>
        <v>20000000</v>
      </c>
      <c r="H968" s="283">
        <f t="shared" si="68"/>
        <v>40000000</v>
      </c>
      <c r="I968" s="283">
        <f t="shared" si="68"/>
        <v>60000000</v>
      </c>
      <c r="J968" s="283">
        <f t="shared" si="68"/>
        <v>60000000</v>
      </c>
      <c r="K968" s="285"/>
      <c r="L968" s="285"/>
      <c r="M968" s="285"/>
      <c r="N968" s="283">
        <f>N969</f>
        <v>0</v>
      </c>
      <c r="O968" s="283">
        <f>O969</f>
        <v>0</v>
      </c>
      <c r="P968" s="283">
        <f>P969</f>
        <v>0</v>
      </c>
      <c r="R968" s="275"/>
      <c r="S968" s="275"/>
      <c r="T968" s="275"/>
      <c r="U968" s="275"/>
      <c r="V968" s="275"/>
      <c r="W968" s="275"/>
      <c r="X968" s="275"/>
      <c r="Y968" s="275"/>
      <c r="Z968" s="275"/>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c r="CY968" s="13"/>
      <c r="CZ968" s="13"/>
      <c r="DA968" s="13"/>
      <c r="DB968" s="13"/>
      <c r="DC968" s="13"/>
      <c r="DD968" s="13"/>
      <c r="DE968" s="13"/>
      <c r="DF968" s="13"/>
      <c r="DG968" s="13"/>
      <c r="DH968" s="13"/>
      <c r="DI968" s="13"/>
      <c r="DJ968" s="13"/>
      <c r="DK968" s="13"/>
      <c r="DL968" s="13"/>
      <c r="DM968" s="13"/>
      <c r="DN968" s="13"/>
      <c r="DO968" s="13"/>
      <c r="DP968" s="13"/>
      <c r="DQ968" s="13"/>
      <c r="DR968" s="13"/>
      <c r="DS968" s="13"/>
      <c r="DT968" s="13"/>
      <c r="DU968" s="13"/>
      <c r="DV968" s="13"/>
      <c r="DW968" s="13"/>
      <c r="DX968" s="13"/>
      <c r="DY968" s="13"/>
      <c r="DZ968" s="13"/>
      <c r="EA968" s="13"/>
    </row>
    <row r="969" spans="1:131" ht="36.75" customHeight="1" hidden="1">
      <c r="A969" s="287" t="s">
        <v>558</v>
      </c>
      <c r="B969" s="288"/>
      <c r="C969" s="288"/>
      <c r="D969" s="289">
        <f>D971</f>
        <v>0</v>
      </c>
      <c r="E969" s="289">
        <f>E971</f>
        <v>0</v>
      </c>
      <c r="F969" s="289">
        <f>E969+D969</f>
        <v>0</v>
      </c>
      <c r="G969" s="289">
        <f>G971</f>
        <v>20000000</v>
      </c>
      <c r="H969" s="289">
        <f>H971</f>
        <v>40000000</v>
      </c>
      <c r="I969" s="289">
        <f>H969+G969</f>
        <v>60000000</v>
      </c>
      <c r="J969" s="289">
        <f>G969+H969</f>
        <v>60000000</v>
      </c>
      <c r="K969" s="290"/>
      <c r="L969" s="290"/>
      <c r="M969" s="290"/>
      <c r="N969" s="289">
        <f>N971</f>
        <v>0</v>
      </c>
      <c r="O969" s="289">
        <f>O971</f>
        <v>0</v>
      </c>
      <c r="P969" s="289">
        <f>O969+N969</f>
        <v>0</v>
      </c>
      <c r="R969" s="275"/>
      <c r="S969" s="275"/>
      <c r="T969" s="275"/>
      <c r="U969" s="275"/>
      <c r="V969" s="275"/>
      <c r="W969" s="275"/>
      <c r="X969" s="275"/>
      <c r="Y969" s="275"/>
      <c r="Z969" s="275"/>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c r="CA969" s="13"/>
      <c r="CB969" s="13"/>
      <c r="CC969" s="13"/>
      <c r="CD969" s="13"/>
      <c r="CE969" s="13"/>
      <c r="CF969" s="13"/>
      <c r="CG969" s="13"/>
      <c r="CH969" s="13"/>
      <c r="CI969" s="13"/>
      <c r="CJ969" s="13"/>
      <c r="CK969" s="13"/>
      <c r="CL969" s="13"/>
      <c r="CM969" s="13"/>
      <c r="CN969" s="13"/>
      <c r="CO969" s="13"/>
      <c r="CP969" s="13"/>
      <c r="CQ969" s="13"/>
      <c r="CR969" s="13"/>
      <c r="CS969" s="13"/>
      <c r="CT969" s="13"/>
      <c r="CU969" s="13"/>
      <c r="CV969" s="13"/>
      <c r="CW969" s="13"/>
      <c r="CX969" s="13"/>
      <c r="CY969" s="13"/>
      <c r="CZ969" s="13"/>
      <c r="DA969" s="13"/>
      <c r="DB969" s="13"/>
      <c r="DC969" s="13"/>
      <c r="DD969" s="13"/>
      <c r="DE969" s="13"/>
      <c r="DF969" s="13"/>
      <c r="DG969" s="13"/>
      <c r="DH969" s="13"/>
      <c r="DI969" s="13"/>
      <c r="DJ969" s="13"/>
      <c r="DK969" s="13"/>
      <c r="DL969" s="13"/>
      <c r="DM969" s="13"/>
      <c r="DN969" s="13"/>
      <c r="DO969" s="13"/>
      <c r="DP969" s="13"/>
      <c r="DQ969" s="13"/>
      <c r="DR969" s="13"/>
      <c r="DS969" s="13"/>
      <c r="DT969" s="13"/>
      <c r="DU969" s="13"/>
      <c r="DV969" s="13"/>
      <c r="DW969" s="13"/>
      <c r="DX969" s="13"/>
      <c r="DY969" s="13"/>
      <c r="DZ969" s="13"/>
      <c r="EA969" s="13"/>
    </row>
    <row r="970" spans="1:131" ht="12.75" hidden="1">
      <c r="A970" s="134" t="s">
        <v>184</v>
      </c>
      <c r="B970" s="293"/>
      <c r="C970" s="293"/>
      <c r="D970" s="294"/>
      <c r="E970" s="295"/>
      <c r="F970" s="296"/>
      <c r="G970" s="294"/>
      <c r="H970" s="295"/>
      <c r="I970" s="296"/>
      <c r="J970" s="296"/>
      <c r="K970" s="297"/>
      <c r="L970" s="297"/>
      <c r="M970" s="297"/>
      <c r="N970" s="294"/>
      <c r="O970" s="295"/>
      <c r="P970" s="296"/>
      <c r="R970" s="275"/>
      <c r="S970" s="275"/>
      <c r="T970" s="275"/>
      <c r="U970" s="275"/>
      <c r="V970" s="275"/>
      <c r="W970" s="275"/>
      <c r="X970" s="275"/>
      <c r="Y970" s="275"/>
      <c r="Z970" s="275"/>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c r="CA970" s="13"/>
      <c r="CB970" s="13"/>
      <c r="CC970" s="13"/>
      <c r="CD970" s="13"/>
      <c r="CE970" s="13"/>
      <c r="CF970" s="13"/>
      <c r="CG970" s="13"/>
      <c r="CH970" s="13"/>
      <c r="CI970" s="13"/>
      <c r="CJ970" s="13"/>
      <c r="CK970" s="13"/>
      <c r="CL970" s="13"/>
      <c r="CM970" s="13"/>
      <c r="CN970" s="13"/>
      <c r="CO970" s="13"/>
      <c r="CP970" s="13"/>
      <c r="CQ970" s="13"/>
      <c r="CR970" s="13"/>
      <c r="CS970" s="13"/>
      <c r="CT970" s="13"/>
      <c r="CU970" s="13"/>
      <c r="CV970" s="13"/>
      <c r="CW970" s="13"/>
      <c r="CX970" s="13"/>
      <c r="CY970" s="13"/>
      <c r="CZ970" s="13"/>
      <c r="DA970" s="13"/>
      <c r="DB970" s="13"/>
      <c r="DC970" s="13"/>
      <c r="DD970" s="13"/>
      <c r="DE970" s="13"/>
      <c r="DF970" s="13"/>
      <c r="DG970" s="13"/>
      <c r="DH970" s="13"/>
      <c r="DI970" s="13"/>
      <c r="DJ970" s="13"/>
      <c r="DK970" s="13"/>
      <c r="DL970" s="13"/>
      <c r="DM970" s="13"/>
      <c r="DN970" s="13"/>
      <c r="DO970" s="13"/>
      <c r="DP970" s="13"/>
      <c r="DQ970" s="13"/>
      <c r="DR970" s="13"/>
      <c r="DS970" s="13"/>
      <c r="DT970" s="13"/>
      <c r="DU970" s="13"/>
      <c r="DV970" s="13"/>
      <c r="DW970" s="13"/>
      <c r="DX970" s="13"/>
      <c r="DY970" s="13"/>
      <c r="DZ970" s="13"/>
      <c r="EA970" s="13"/>
    </row>
    <row r="971" spans="1:131" ht="12.75" hidden="1">
      <c r="A971" s="135" t="s">
        <v>205</v>
      </c>
      <c r="B971" s="293"/>
      <c r="C971" s="293"/>
      <c r="D971" s="300"/>
      <c r="E971" s="296"/>
      <c r="F971" s="296">
        <f>E971+D971</f>
        <v>0</v>
      </c>
      <c r="G971" s="296">
        <f>10000000+10000000</f>
        <v>20000000</v>
      </c>
      <c r="H971" s="296">
        <f>8000000+12000000+20000000</f>
        <v>40000000</v>
      </c>
      <c r="I971" s="296">
        <f>H971+G971</f>
        <v>60000000</v>
      </c>
      <c r="J971" s="296">
        <f>G971+H971</f>
        <v>60000000</v>
      </c>
      <c r="K971" s="297"/>
      <c r="L971" s="297"/>
      <c r="M971" s="297"/>
      <c r="N971" s="296">
        <v>0</v>
      </c>
      <c r="O971" s="296">
        <v>0</v>
      </c>
      <c r="P971" s="296">
        <f>O971+N971</f>
        <v>0</v>
      </c>
      <c r="Q971" s="296">
        <f>N971+O971</f>
        <v>0</v>
      </c>
      <c r="R971" s="275"/>
      <c r="S971" s="275"/>
      <c r="T971" s="275"/>
      <c r="U971" s="275"/>
      <c r="V971" s="275"/>
      <c r="W971" s="275"/>
      <c r="X971" s="275"/>
      <c r="Y971" s="275"/>
      <c r="Z971" s="275"/>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c r="CA971" s="13"/>
      <c r="CB971" s="13"/>
      <c r="CC971" s="13"/>
      <c r="CD971" s="13"/>
      <c r="CE971" s="13"/>
      <c r="CF971" s="13"/>
      <c r="CG971" s="13"/>
      <c r="CH971" s="13"/>
      <c r="CI971" s="13"/>
      <c r="CJ971" s="13"/>
      <c r="CK971" s="13"/>
      <c r="CL971" s="13"/>
      <c r="CM971" s="13"/>
      <c r="CN971" s="13"/>
      <c r="CO971" s="13"/>
      <c r="CP971" s="13"/>
      <c r="CQ971" s="13"/>
      <c r="CR971" s="13"/>
      <c r="CS971" s="13"/>
      <c r="CT971" s="13"/>
      <c r="CU971" s="13"/>
      <c r="CV971" s="13"/>
      <c r="CW971" s="13"/>
      <c r="CX971" s="13"/>
      <c r="CY971" s="13"/>
      <c r="CZ971" s="13"/>
      <c r="DA971" s="13"/>
      <c r="DB971" s="13"/>
      <c r="DC971" s="13"/>
      <c r="DD971" s="13"/>
      <c r="DE971" s="13"/>
      <c r="DF971" s="13"/>
      <c r="DG971" s="13"/>
      <c r="DH971" s="13"/>
      <c r="DI971" s="13"/>
      <c r="DJ971" s="13"/>
      <c r="DK971" s="13"/>
      <c r="DL971" s="13"/>
      <c r="DM971" s="13"/>
      <c r="DN971" s="13"/>
      <c r="DO971" s="13"/>
      <c r="DP971" s="13"/>
      <c r="DQ971" s="13"/>
      <c r="DR971" s="13"/>
      <c r="DS971" s="13"/>
      <c r="DT971" s="13"/>
      <c r="DU971" s="13"/>
      <c r="DV971" s="13"/>
      <c r="DW971" s="13"/>
      <c r="DX971" s="13"/>
      <c r="DY971" s="13"/>
      <c r="DZ971" s="13"/>
      <c r="EA971" s="13"/>
    </row>
    <row r="972" spans="1:131" ht="12.75" hidden="1">
      <c r="A972" s="134" t="s">
        <v>185</v>
      </c>
      <c r="B972" s="293"/>
      <c r="C972" s="293"/>
      <c r="D972" s="294"/>
      <c r="E972" s="296"/>
      <c r="F972" s="296"/>
      <c r="G972" s="294"/>
      <c r="H972" s="296"/>
      <c r="I972" s="296"/>
      <c r="J972" s="296"/>
      <c r="K972" s="297"/>
      <c r="L972" s="297"/>
      <c r="M972" s="297"/>
      <c r="N972" s="294"/>
      <c r="O972" s="296"/>
      <c r="P972" s="296"/>
      <c r="Q972" s="296"/>
      <c r="R972" s="275"/>
      <c r="S972" s="275"/>
      <c r="T972" s="275"/>
      <c r="U972" s="275"/>
      <c r="V972" s="275"/>
      <c r="W972" s="275"/>
      <c r="X972" s="275"/>
      <c r="Y972" s="275"/>
      <c r="Z972" s="275"/>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c r="CY972" s="13"/>
      <c r="CZ972" s="13"/>
      <c r="DA972" s="13"/>
      <c r="DB972" s="13"/>
      <c r="DC972" s="13"/>
      <c r="DD972" s="13"/>
      <c r="DE972" s="13"/>
      <c r="DF972" s="13"/>
      <c r="DG972" s="13"/>
      <c r="DH972" s="13"/>
      <c r="DI972" s="13"/>
      <c r="DJ972" s="13"/>
      <c r="DK972" s="13"/>
      <c r="DL972" s="13"/>
      <c r="DM972" s="13"/>
      <c r="DN972" s="13"/>
      <c r="DO972" s="13"/>
      <c r="DP972" s="13"/>
      <c r="DQ972" s="13"/>
      <c r="DR972" s="13"/>
      <c r="DS972" s="13"/>
      <c r="DT972" s="13"/>
      <c r="DU972" s="13"/>
      <c r="DV972" s="13"/>
      <c r="DW972" s="13"/>
      <c r="DX972" s="13"/>
      <c r="DY972" s="13"/>
      <c r="DZ972" s="13"/>
      <c r="EA972" s="13"/>
    </row>
    <row r="973" spans="1:131" ht="14.25" customHeight="1" hidden="1">
      <c r="A973" s="135" t="s">
        <v>149</v>
      </c>
      <c r="B973" s="293"/>
      <c r="C973" s="293"/>
      <c r="D973" s="294"/>
      <c r="E973" s="301"/>
      <c r="F973" s="302">
        <f>E973</f>
        <v>0</v>
      </c>
      <c r="G973" s="308">
        <v>95</v>
      </c>
      <c r="H973" s="301" t="s">
        <v>584</v>
      </c>
      <c r="I973" s="302" t="str">
        <f>H973</f>
        <v>35</v>
      </c>
      <c r="J973" s="302">
        <f>G973+H973</f>
        <v>130</v>
      </c>
      <c r="K973" s="297"/>
      <c r="L973" s="297"/>
      <c r="M973" s="297"/>
      <c r="N973" s="308"/>
      <c r="O973" s="301"/>
      <c r="P973" s="302">
        <f>O973</f>
        <v>0</v>
      </c>
      <c r="Q973" s="302">
        <f>P973</f>
        <v>0</v>
      </c>
      <c r="R973" s="275"/>
      <c r="S973" s="275"/>
      <c r="T973" s="275"/>
      <c r="U973" s="275"/>
      <c r="V973" s="275"/>
      <c r="W973" s="275"/>
      <c r="X973" s="275"/>
      <c r="Y973" s="275"/>
      <c r="Z973" s="275"/>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c r="CY973" s="13"/>
      <c r="CZ973" s="13"/>
      <c r="DA973" s="13"/>
      <c r="DB973" s="13"/>
      <c r="DC973" s="13"/>
      <c r="DD973" s="13"/>
      <c r="DE973" s="13"/>
      <c r="DF973" s="13"/>
      <c r="DG973" s="13"/>
      <c r="DH973" s="13"/>
      <c r="DI973" s="13"/>
      <c r="DJ973" s="13"/>
      <c r="DK973" s="13"/>
      <c r="DL973" s="13"/>
      <c r="DM973" s="13"/>
      <c r="DN973" s="13"/>
      <c r="DO973" s="13"/>
      <c r="DP973" s="13"/>
      <c r="DQ973" s="13"/>
      <c r="DR973" s="13"/>
      <c r="DS973" s="13"/>
      <c r="DT973" s="13"/>
      <c r="DU973" s="13"/>
      <c r="DV973" s="13"/>
      <c r="DW973" s="13"/>
      <c r="DX973" s="13"/>
      <c r="DY973" s="13"/>
      <c r="DZ973" s="13"/>
      <c r="EA973" s="13"/>
    </row>
    <row r="974" spans="1:131" ht="12.75" hidden="1">
      <c r="A974" s="134" t="s">
        <v>187</v>
      </c>
      <c r="B974" s="293"/>
      <c r="C974" s="293"/>
      <c r="D974" s="294"/>
      <c r="E974" s="295"/>
      <c r="F974" s="295"/>
      <c r="G974" s="294"/>
      <c r="H974" s="295"/>
      <c r="I974" s="295"/>
      <c r="J974" s="295"/>
      <c r="K974" s="297"/>
      <c r="L974" s="297"/>
      <c r="M974" s="297"/>
      <c r="N974" s="294"/>
      <c r="O974" s="295"/>
      <c r="P974" s="295"/>
      <c r="Q974" s="295"/>
      <c r="R974" s="275"/>
      <c r="S974" s="275"/>
      <c r="T974" s="275"/>
      <c r="U974" s="275"/>
      <c r="V974" s="275"/>
      <c r="W974" s="275"/>
      <c r="X974" s="275"/>
      <c r="Y974" s="275"/>
      <c r="Z974" s="275"/>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3"/>
      <c r="DI974" s="13"/>
      <c r="DJ974" s="13"/>
      <c r="DK974" s="13"/>
      <c r="DL974" s="13"/>
      <c r="DM974" s="13"/>
      <c r="DN974" s="13"/>
      <c r="DO974" s="13"/>
      <c r="DP974" s="13"/>
      <c r="DQ974" s="13"/>
      <c r="DR974" s="13"/>
      <c r="DS974" s="13"/>
      <c r="DT974" s="13"/>
      <c r="DU974" s="13"/>
      <c r="DV974" s="13"/>
      <c r="DW974" s="13"/>
      <c r="DX974" s="13"/>
      <c r="DY974" s="13"/>
      <c r="DZ974" s="13"/>
      <c r="EA974" s="13"/>
    </row>
    <row r="975" spans="1:131" ht="25.5" hidden="1">
      <c r="A975" s="135" t="s">
        <v>559</v>
      </c>
      <c r="B975" s="293"/>
      <c r="C975" s="293"/>
      <c r="D975" s="296"/>
      <c r="E975" s="296" t="e">
        <f>E971/E973</f>
        <v>#DIV/0!</v>
      </c>
      <c r="F975" s="296" t="e">
        <f>D975+E975</f>
        <v>#DIV/0!</v>
      </c>
      <c r="G975" s="296">
        <f>G971/G973</f>
        <v>210526.31578947368</v>
      </c>
      <c r="H975" s="296">
        <f>H971/H973</f>
        <v>1142857.142857143</v>
      </c>
      <c r="I975" s="296">
        <f>G975+H975</f>
        <v>1353383.4586466167</v>
      </c>
      <c r="J975" s="296">
        <f>H975+I975</f>
        <v>2496240.6015037596</v>
      </c>
      <c r="K975" s="297"/>
      <c r="L975" s="297"/>
      <c r="M975" s="297"/>
      <c r="N975" s="296" t="e">
        <f>N971/N973</f>
        <v>#DIV/0!</v>
      </c>
      <c r="O975" s="296" t="e">
        <f>O971/O973</f>
        <v>#DIV/0!</v>
      </c>
      <c r="P975" s="296" t="e">
        <f>N975+O975</f>
        <v>#DIV/0!</v>
      </c>
      <c r="Q975" s="296" t="e">
        <f>O975+P975</f>
        <v>#DIV/0!</v>
      </c>
      <c r="R975" s="275"/>
      <c r="S975" s="275"/>
      <c r="T975" s="275"/>
      <c r="U975" s="275"/>
      <c r="V975" s="275"/>
      <c r="W975" s="275"/>
      <c r="X975" s="275"/>
      <c r="Y975" s="275"/>
      <c r="Z975" s="275"/>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c r="CY975" s="13"/>
      <c r="CZ975" s="13"/>
      <c r="DA975" s="13"/>
      <c r="DB975" s="13"/>
      <c r="DC975" s="13"/>
      <c r="DD975" s="13"/>
      <c r="DE975" s="13"/>
      <c r="DF975" s="13"/>
      <c r="DG975" s="13"/>
      <c r="DH975" s="13"/>
      <c r="DI975" s="13"/>
      <c r="DJ975" s="13"/>
      <c r="DK975" s="13"/>
      <c r="DL975" s="13"/>
      <c r="DM975" s="13"/>
      <c r="DN975" s="13"/>
      <c r="DO975" s="13"/>
      <c r="DP975" s="13"/>
      <c r="DQ975" s="13"/>
      <c r="DR975" s="13"/>
      <c r="DS975" s="13"/>
      <c r="DT975" s="13"/>
      <c r="DU975" s="13"/>
      <c r="DV975" s="13"/>
      <c r="DW975" s="13"/>
      <c r="DX975" s="13"/>
      <c r="DY975" s="13"/>
      <c r="DZ975" s="13"/>
      <c r="EA975" s="13"/>
    </row>
    <row r="976" spans="1:131" ht="12.75" hidden="1">
      <c r="A976" s="282" t="s">
        <v>571</v>
      </c>
      <c r="B976" s="209"/>
      <c r="C976" s="209"/>
      <c r="D976" s="283">
        <f aca="true" t="shared" si="69" ref="D976:J976">D977</f>
        <v>0</v>
      </c>
      <c r="E976" s="283">
        <f t="shared" si="69"/>
        <v>0</v>
      </c>
      <c r="F976" s="283">
        <f t="shared" si="69"/>
        <v>0</v>
      </c>
      <c r="G976" s="283">
        <f t="shared" si="69"/>
        <v>0</v>
      </c>
      <c r="H976" s="283">
        <f t="shared" si="69"/>
        <v>200000000</v>
      </c>
      <c r="I976" s="283">
        <f t="shared" si="69"/>
        <v>200000000</v>
      </c>
      <c r="J976" s="283">
        <f t="shared" si="69"/>
        <v>200000000</v>
      </c>
      <c r="K976" s="285"/>
      <c r="L976" s="285"/>
      <c r="M976" s="285"/>
      <c r="N976" s="283">
        <f>N977</f>
        <v>0</v>
      </c>
      <c r="O976" s="283">
        <f>O977</f>
        <v>0</v>
      </c>
      <c r="P976" s="283">
        <f>P977</f>
        <v>0</v>
      </c>
      <c r="Q976" s="318"/>
      <c r="R976" s="275"/>
      <c r="S976" s="275"/>
      <c r="T976" s="275"/>
      <c r="U976" s="275"/>
      <c r="V976" s="275"/>
      <c r="W976" s="275"/>
      <c r="X976" s="275"/>
      <c r="Y976" s="275"/>
      <c r="Z976" s="275"/>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c r="CA976" s="13"/>
      <c r="CB976" s="13"/>
      <c r="CC976" s="13"/>
      <c r="CD976" s="13"/>
      <c r="CE976" s="13"/>
      <c r="CF976" s="13"/>
      <c r="CG976" s="13"/>
      <c r="CH976" s="13"/>
      <c r="CI976" s="13"/>
      <c r="CJ976" s="13"/>
      <c r="CK976" s="13"/>
      <c r="CL976" s="13"/>
      <c r="CM976" s="13"/>
      <c r="CN976" s="13"/>
      <c r="CO976" s="13"/>
      <c r="CP976" s="13"/>
      <c r="CQ976" s="13"/>
      <c r="CR976" s="13"/>
      <c r="CS976" s="13"/>
      <c r="CT976" s="13"/>
      <c r="CU976" s="13"/>
      <c r="CV976" s="13"/>
      <c r="CW976" s="13"/>
      <c r="CX976" s="13"/>
      <c r="CY976" s="13"/>
      <c r="CZ976" s="13"/>
      <c r="DA976" s="13"/>
      <c r="DB976" s="13"/>
      <c r="DC976" s="13"/>
      <c r="DD976" s="13"/>
      <c r="DE976" s="13"/>
      <c r="DF976" s="13"/>
      <c r="DG976" s="13"/>
      <c r="DH976" s="13"/>
      <c r="DI976" s="13"/>
      <c r="DJ976" s="13"/>
      <c r="DK976" s="13"/>
      <c r="DL976" s="13"/>
      <c r="DM976" s="13"/>
      <c r="DN976" s="13"/>
      <c r="DO976" s="13"/>
      <c r="DP976" s="13"/>
      <c r="DQ976" s="13"/>
      <c r="DR976" s="13"/>
      <c r="DS976" s="13"/>
      <c r="DT976" s="13"/>
      <c r="DU976" s="13"/>
      <c r="DV976" s="13"/>
      <c r="DW976" s="13"/>
      <c r="DX976" s="13"/>
      <c r="DY976" s="13"/>
      <c r="DZ976" s="13"/>
      <c r="EA976" s="13"/>
    </row>
    <row r="977" spans="1:131" ht="25.5" hidden="1">
      <c r="A977" s="287" t="s">
        <v>572</v>
      </c>
      <c r="B977" s="288"/>
      <c r="C977" s="288"/>
      <c r="D977" s="289">
        <f>D979</f>
        <v>0</v>
      </c>
      <c r="E977" s="289">
        <f>E979</f>
        <v>0</v>
      </c>
      <c r="F977" s="289">
        <f>E977+D977</f>
        <v>0</v>
      </c>
      <c r="G977" s="289">
        <f>G979</f>
        <v>0</v>
      </c>
      <c r="H977" s="289">
        <f>H979</f>
        <v>200000000</v>
      </c>
      <c r="I977" s="289">
        <f>H977+G977</f>
        <v>200000000</v>
      </c>
      <c r="J977" s="289">
        <f>G977+H977</f>
        <v>200000000</v>
      </c>
      <c r="K977" s="290"/>
      <c r="L977" s="290"/>
      <c r="M977" s="290"/>
      <c r="N977" s="289">
        <f>N979</f>
        <v>0</v>
      </c>
      <c r="O977" s="289">
        <f>O979</f>
        <v>0</v>
      </c>
      <c r="P977" s="289">
        <f>O977+N977</f>
        <v>0</v>
      </c>
      <c r="Q977" s="318"/>
      <c r="R977" s="275"/>
      <c r="S977" s="275"/>
      <c r="T977" s="275"/>
      <c r="U977" s="275"/>
      <c r="V977" s="275"/>
      <c r="W977" s="275"/>
      <c r="X977" s="275"/>
      <c r="Y977" s="275"/>
      <c r="Z977" s="275"/>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c r="CY977" s="13"/>
      <c r="CZ977" s="13"/>
      <c r="DA977" s="13"/>
      <c r="DB977" s="13"/>
      <c r="DC977" s="13"/>
      <c r="DD977" s="13"/>
      <c r="DE977" s="13"/>
      <c r="DF977" s="13"/>
      <c r="DG977" s="13"/>
      <c r="DH977" s="13"/>
      <c r="DI977" s="13"/>
      <c r="DJ977" s="13"/>
      <c r="DK977" s="13"/>
      <c r="DL977" s="13"/>
      <c r="DM977" s="13"/>
      <c r="DN977" s="13"/>
      <c r="DO977" s="13"/>
      <c r="DP977" s="13"/>
      <c r="DQ977" s="13"/>
      <c r="DR977" s="13"/>
      <c r="DS977" s="13"/>
      <c r="DT977" s="13"/>
      <c r="DU977" s="13"/>
      <c r="DV977" s="13"/>
      <c r="DW977" s="13"/>
      <c r="DX977" s="13"/>
      <c r="DY977" s="13"/>
      <c r="DZ977" s="13"/>
      <c r="EA977" s="13"/>
    </row>
    <row r="978" spans="1:131" ht="12.75" hidden="1">
      <c r="A978" s="134" t="s">
        <v>184</v>
      </c>
      <c r="B978" s="293"/>
      <c r="C978" s="293"/>
      <c r="D978" s="294"/>
      <c r="E978" s="295"/>
      <c r="F978" s="296"/>
      <c r="G978" s="294"/>
      <c r="H978" s="295"/>
      <c r="I978" s="296"/>
      <c r="J978" s="296"/>
      <c r="K978" s="297"/>
      <c r="L978" s="297"/>
      <c r="M978" s="297"/>
      <c r="N978" s="294"/>
      <c r="O978" s="295"/>
      <c r="P978" s="296"/>
      <c r="Q978" s="318"/>
      <c r="R978" s="275"/>
      <c r="S978" s="275"/>
      <c r="T978" s="275"/>
      <c r="U978" s="275"/>
      <c r="V978" s="275"/>
      <c r="W978" s="275"/>
      <c r="X978" s="275"/>
      <c r="Y978" s="275"/>
      <c r="Z978" s="275"/>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c r="CA978" s="13"/>
      <c r="CB978" s="13"/>
      <c r="CC978" s="13"/>
      <c r="CD978" s="13"/>
      <c r="CE978" s="13"/>
      <c r="CF978" s="13"/>
      <c r="CG978" s="13"/>
      <c r="CH978" s="13"/>
      <c r="CI978" s="13"/>
      <c r="CJ978" s="13"/>
      <c r="CK978" s="13"/>
      <c r="CL978" s="13"/>
      <c r="CM978" s="13"/>
      <c r="CN978" s="13"/>
      <c r="CO978" s="13"/>
      <c r="CP978" s="13"/>
      <c r="CQ978" s="13"/>
      <c r="CR978" s="13"/>
      <c r="CS978" s="13"/>
      <c r="CT978" s="13"/>
      <c r="CU978" s="13"/>
      <c r="CV978" s="13"/>
      <c r="CW978" s="13"/>
      <c r="CX978" s="13"/>
      <c r="CY978" s="13"/>
      <c r="CZ978" s="13"/>
      <c r="DA978" s="13"/>
      <c r="DB978" s="13"/>
      <c r="DC978" s="13"/>
      <c r="DD978" s="13"/>
      <c r="DE978" s="13"/>
      <c r="DF978" s="13"/>
      <c r="DG978" s="13"/>
      <c r="DH978" s="13"/>
      <c r="DI978" s="13"/>
      <c r="DJ978" s="13"/>
      <c r="DK978" s="13"/>
      <c r="DL978" s="13"/>
      <c r="DM978" s="13"/>
      <c r="DN978" s="13"/>
      <c r="DO978" s="13"/>
      <c r="DP978" s="13"/>
      <c r="DQ978" s="13"/>
      <c r="DR978" s="13"/>
      <c r="DS978" s="13"/>
      <c r="DT978" s="13"/>
      <c r="DU978" s="13"/>
      <c r="DV978" s="13"/>
      <c r="DW978" s="13"/>
      <c r="DX978" s="13"/>
      <c r="DY978" s="13"/>
      <c r="DZ978" s="13"/>
      <c r="EA978" s="13"/>
    </row>
    <row r="979" spans="1:131" ht="12.75" hidden="1">
      <c r="A979" s="135" t="s">
        <v>205</v>
      </c>
      <c r="B979" s="293"/>
      <c r="C979" s="293"/>
      <c r="D979" s="300"/>
      <c r="E979" s="296"/>
      <c r="F979" s="296">
        <f>E979+D979</f>
        <v>0</v>
      </c>
      <c r="G979" s="296"/>
      <c r="H979" s="296">
        <f>200000000</f>
        <v>200000000</v>
      </c>
      <c r="I979" s="296">
        <f>H979+G979</f>
        <v>200000000</v>
      </c>
      <c r="J979" s="296">
        <f>G979+H979</f>
        <v>200000000</v>
      </c>
      <c r="K979" s="297"/>
      <c r="L979" s="297"/>
      <c r="M979" s="297"/>
      <c r="N979" s="296">
        <v>0</v>
      </c>
      <c r="O979" s="296">
        <v>0</v>
      </c>
      <c r="P979" s="296">
        <f>O979+N979</f>
        <v>0</v>
      </c>
      <c r="Q979" s="318"/>
      <c r="R979" s="275"/>
      <c r="S979" s="275"/>
      <c r="T979" s="275"/>
      <c r="U979" s="275"/>
      <c r="V979" s="275"/>
      <c r="W979" s="275"/>
      <c r="X979" s="275"/>
      <c r="Y979" s="275"/>
      <c r="Z979" s="275"/>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c r="CA979" s="13"/>
      <c r="CB979" s="13"/>
      <c r="CC979" s="13"/>
      <c r="CD979" s="13"/>
      <c r="CE979" s="13"/>
      <c r="CF979" s="13"/>
      <c r="CG979" s="13"/>
      <c r="CH979" s="13"/>
      <c r="CI979" s="13"/>
      <c r="CJ979" s="13"/>
      <c r="CK979" s="13"/>
      <c r="CL979" s="13"/>
      <c r="CM979" s="13"/>
      <c r="CN979" s="13"/>
      <c r="CO979" s="13"/>
      <c r="CP979" s="13"/>
      <c r="CQ979" s="13"/>
      <c r="CR979" s="13"/>
      <c r="CS979" s="13"/>
      <c r="CT979" s="13"/>
      <c r="CU979" s="13"/>
      <c r="CV979" s="13"/>
      <c r="CW979" s="13"/>
      <c r="CX979" s="13"/>
      <c r="CY979" s="13"/>
      <c r="CZ979" s="13"/>
      <c r="DA979" s="13"/>
      <c r="DB979" s="13"/>
      <c r="DC979" s="13"/>
      <c r="DD979" s="13"/>
      <c r="DE979" s="13"/>
      <c r="DF979" s="13"/>
      <c r="DG979" s="13"/>
      <c r="DH979" s="13"/>
      <c r="DI979" s="13"/>
      <c r="DJ979" s="13"/>
      <c r="DK979" s="13"/>
      <c r="DL979" s="13"/>
      <c r="DM979" s="13"/>
      <c r="DN979" s="13"/>
      <c r="DO979" s="13"/>
      <c r="DP979" s="13"/>
      <c r="DQ979" s="13"/>
      <c r="DR979" s="13"/>
      <c r="DS979" s="13"/>
      <c r="DT979" s="13"/>
      <c r="DU979" s="13"/>
      <c r="DV979" s="13"/>
      <c r="DW979" s="13"/>
      <c r="DX979" s="13"/>
      <c r="DY979" s="13"/>
      <c r="DZ979" s="13"/>
      <c r="EA979" s="13"/>
    </row>
    <row r="980" spans="1:131" ht="12.75" hidden="1">
      <c r="A980" s="134" t="s">
        <v>185</v>
      </c>
      <c r="B980" s="293"/>
      <c r="C980" s="293"/>
      <c r="D980" s="294"/>
      <c r="E980" s="296"/>
      <c r="F980" s="296"/>
      <c r="G980" s="294"/>
      <c r="H980" s="296"/>
      <c r="I980" s="296"/>
      <c r="J980" s="296"/>
      <c r="K980" s="297"/>
      <c r="L980" s="297"/>
      <c r="M980" s="297"/>
      <c r="N980" s="294"/>
      <c r="O980" s="296"/>
      <c r="P980" s="296"/>
      <c r="Q980" s="318"/>
      <c r="R980" s="275"/>
      <c r="S980" s="275"/>
      <c r="T980" s="275"/>
      <c r="U980" s="275"/>
      <c r="V980" s="275"/>
      <c r="W980" s="275"/>
      <c r="X980" s="275"/>
      <c r="Y980" s="275"/>
      <c r="Z980" s="275"/>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c r="CA980" s="13"/>
      <c r="CB980" s="13"/>
      <c r="CC980" s="13"/>
      <c r="CD980" s="13"/>
      <c r="CE980" s="13"/>
      <c r="CF980" s="13"/>
      <c r="CG980" s="13"/>
      <c r="CH980" s="13"/>
      <c r="CI980" s="13"/>
      <c r="CJ980" s="13"/>
      <c r="CK980" s="13"/>
      <c r="CL980" s="13"/>
      <c r="CM980" s="13"/>
      <c r="CN980" s="13"/>
      <c r="CO980" s="13"/>
      <c r="CP980" s="13"/>
      <c r="CQ980" s="13"/>
      <c r="CR980" s="13"/>
      <c r="CS980" s="13"/>
      <c r="CT980" s="13"/>
      <c r="CU980" s="13"/>
      <c r="CV980" s="13"/>
      <c r="CW980" s="13"/>
      <c r="CX980" s="13"/>
      <c r="CY980" s="13"/>
      <c r="CZ980" s="13"/>
      <c r="DA980" s="13"/>
      <c r="DB980" s="13"/>
      <c r="DC980" s="13"/>
      <c r="DD980" s="13"/>
      <c r="DE980" s="13"/>
      <c r="DF980" s="13"/>
      <c r="DG980" s="13"/>
      <c r="DH980" s="13"/>
      <c r="DI980" s="13"/>
      <c r="DJ980" s="13"/>
      <c r="DK980" s="13"/>
      <c r="DL980" s="13"/>
      <c r="DM980" s="13"/>
      <c r="DN980" s="13"/>
      <c r="DO980" s="13"/>
      <c r="DP980" s="13"/>
      <c r="DQ980" s="13"/>
      <c r="DR980" s="13"/>
      <c r="DS980" s="13"/>
      <c r="DT980" s="13"/>
      <c r="DU980" s="13"/>
      <c r="DV980" s="13"/>
      <c r="DW980" s="13"/>
      <c r="DX980" s="13"/>
      <c r="DY980" s="13"/>
      <c r="DZ980" s="13"/>
      <c r="EA980" s="13"/>
    </row>
    <row r="981" spans="1:131" ht="27" customHeight="1" hidden="1">
      <c r="A981" s="135" t="s">
        <v>574</v>
      </c>
      <c r="B981" s="293"/>
      <c r="C981" s="293"/>
      <c r="D981" s="294"/>
      <c r="E981" s="301"/>
      <c r="F981" s="302">
        <f>E981</f>
        <v>0</v>
      </c>
      <c r="G981" s="308"/>
      <c r="H981" s="301" t="s">
        <v>573</v>
      </c>
      <c r="I981" s="302" t="str">
        <f>H981</f>
        <v>1</v>
      </c>
      <c r="J981" s="302" t="str">
        <f>I981</f>
        <v>1</v>
      </c>
      <c r="K981" s="297"/>
      <c r="L981" s="297"/>
      <c r="M981" s="297"/>
      <c r="N981" s="308"/>
      <c r="O981" s="301"/>
      <c r="P981" s="302">
        <f>O981</f>
        <v>0</v>
      </c>
      <c r="Q981" s="318"/>
      <c r="R981" s="275"/>
      <c r="S981" s="275"/>
      <c r="T981" s="275"/>
      <c r="U981" s="275"/>
      <c r="V981" s="275"/>
      <c r="W981" s="275"/>
      <c r="X981" s="275"/>
      <c r="Y981" s="275"/>
      <c r="Z981" s="275"/>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c r="CA981" s="13"/>
      <c r="CB981" s="13"/>
      <c r="CC981" s="13"/>
      <c r="CD981" s="13"/>
      <c r="CE981" s="13"/>
      <c r="CF981" s="13"/>
      <c r="CG981" s="13"/>
      <c r="CH981" s="13"/>
      <c r="CI981" s="13"/>
      <c r="CJ981" s="13"/>
      <c r="CK981" s="13"/>
      <c r="CL981" s="13"/>
      <c r="CM981" s="13"/>
      <c r="CN981" s="13"/>
      <c r="CO981" s="13"/>
      <c r="CP981" s="13"/>
      <c r="CQ981" s="13"/>
      <c r="CR981" s="13"/>
      <c r="CS981" s="13"/>
      <c r="CT981" s="13"/>
      <c r="CU981" s="13"/>
      <c r="CV981" s="13"/>
      <c r="CW981" s="13"/>
      <c r="CX981" s="13"/>
      <c r="CY981" s="13"/>
      <c r="CZ981" s="13"/>
      <c r="DA981" s="13"/>
      <c r="DB981" s="13"/>
      <c r="DC981" s="13"/>
      <c r="DD981" s="13"/>
      <c r="DE981" s="13"/>
      <c r="DF981" s="13"/>
      <c r="DG981" s="13"/>
      <c r="DH981" s="13"/>
      <c r="DI981" s="13"/>
      <c r="DJ981" s="13"/>
      <c r="DK981" s="13"/>
      <c r="DL981" s="13"/>
      <c r="DM981" s="13"/>
      <c r="DN981" s="13"/>
      <c r="DO981" s="13"/>
      <c r="DP981" s="13"/>
      <c r="DQ981" s="13"/>
      <c r="DR981" s="13"/>
      <c r="DS981" s="13"/>
      <c r="DT981" s="13"/>
      <c r="DU981" s="13"/>
      <c r="DV981" s="13"/>
      <c r="DW981" s="13"/>
      <c r="DX981" s="13"/>
      <c r="DY981" s="13"/>
      <c r="DZ981" s="13"/>
      <c r="EA981" s="13"/>
    </row>
    <row r="982" spans="1:131" ht="12.75" hidden="1">
      <c r="A982" s="134" t="s">
        <v>187</v>
      </c>
      <c r="B982" s="293"/>
      <c r="C982" s="293"/>
      <c r="D982" s="294"/>
      <c r="E982" s="295"/>
      <c r="F982" s="295"/>
      <c r="G982" s="294"/>
      <c r="H982" s="295"/>
      <c r="I982" s="295"/>
      <c r="J982" s="302"/>
      <c r="K982" s="297"/>
      <c r="L982" s="297"/>
      <c r="M982" s="297"/>
      <c r="N982" s="294"/>
      <c r="O982" s="295"/>
      <c r="P982" s="295"/>
      <c r="Q982" s="318"/>
      <c r="R982" s="275"/>
      <c r="S982" s="275"/>
      <c r="T982" s="275"/>
      <c r="U982" s="275"/>
      <c r="V982" s="275"/>
      <c r="W982" s="275"/>
      <c r="X982" s="275"/>
      <c r="Y982" s="275"/>
      <c r="Z982" s="275"/>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c r="DJ982" s="13"/>
      <c r="DK982" s="13"/>
      <c r="DL982" s="13"/>
      <c r="DM982" s="13"/>
      <c r="DN982" s="13"/>
      <c r="DO982" s="13"/>
      <c r="DP982" s="13"/>
      <c r="DQ982" s="13"/>
      <c r="DR982" s="13"/>
      <c r="DS982" s="13"/>
      <c r="DT982" s="13"/>
      <c r="DU982" s="13"/>
      <c r="DV982" s="13"/>
      <c r="DW982" s="13"/>
      <c r="DX982" s="13"/>
      <c r="DY982" s="13"/>
      <c r="DZ982" s="13"/>
      <c r="EA982" s="13"/>
    </row>
    <row r="983" spans="1:131" ht="25.5" hidden="1">
      <c r="A983" s="135" t="s">
        <v>575</v>
      </c>
      <c r="B983" s="293"/>
      <c r="C983" s="293"/>
      <c r="D983" s="296"/>
      <c r="E983" s="296" t="e">
        <f>E979/E981</f>
        <v>#DIV/0!</v>
      </c>
      <c r="F983" s="296" t="e">
        <f>D983+E983</f>
        <v>#DIV/0!</v>
      </c>
      <c r="G983" s="296"/>
      <c r="H983" s="296">
        <f>H979/H981</f>
        <v>200000000</v>
      </c>
      <c r="I983" s="296">
        <f>G983+H983</f>
        <v>200000000</v>
      </c>
      <c r="J983" s="320">
        <f>I983</f>
        <v>200000000</v>
      </c>
      <c r="K983" s="297"/>
      <c r="L983" s="297"/>
      <c r="M983" s="297"/>
      <c r="N983" s="296" t="e">
        <f>N979/N981</f>
        <v>#DIV/0!</v>
      </c>
      <c r="O983" s="296" t="e">
        <f>O979/O981</f>
        <v>#DIV/0!</v>
      </c>
      <c r="P983" s="296" t="e">
        <f>N983+O983</f>
        <v>#DIV/0!</v>
      </c>
      <c r="R983" s="275"/>
      <c r="S983" s="275"/>
      <c r="T983" s="275"/>
      <c r="U983" s="275"/>
      <c r="V983" s="275"/>
      <c r="W983" s="275"/>
      <c r="X983" s="275"/>
      <c r="Y983" s="275"/>
      <c r="Z983" s="275"/>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c r="CA983" s="13"/>
      <c r="CB983" s="13"/>
      <c r="CC983" s="13"/>
      <c r="CD983" s="13"/>
      <c r="CE983" s="13"/>
      <c r="CF983" s="13"/>
      <c r="CG983" s="13"/>
      <c r="CH983" s="13"/>
      <c r="CI983" s="13"/>
      <c r="CJ983" s="13"/>
      <c r="CK983" s="13"/>
      <c r="CL983" s="13"/>
      <c r="CM983" s="13"/>
      <c r="CN983" s="13"/>
      <c r="CO983" s="13"/>
      <c r="CP983" s="13"/>
      <c r="CQ983" s="13"/>
      <c r="CR983" s="13"/>
      <c r="CS983" s="13"/>
      <c r="CT983" s="13"/>
      <c r="CU983" s="13"/>
      <c r="CV983" s="13"/>
      <c r="CW983" s="13"/>
      <c r="CX983" s="13"/>
      <c r="CY983" s="13"/>
      <c r="CZ983" s="13"/>
      <c r="DA983" s="13"/>
      <c r="DB983" s="13"/>
      <c r="DC983" s="13"/>
      <c r="DD983" s="13"/>
      <c r="DE983" s="13"/>
      <c r="DF983" s="13"/>
      <c r="DG983" s="13"/>
      <c r="DH983" s="13"/>
      <c r="DI983" s="13"/>
      <c r="DJ983" s="13"/>
      <c r="DK983" s="13"/>
      <c r="DL983" s="13"/>
      <c r="DM983" s="13"/>
      <c r="DN983" s="13"/>
      <c r="DO983" s="13"/>
      <c r="DP983" s="13"/>
      <c r="DQ983" s="13"/>
      <c r="DR983" s="13"/>
      <c r="DS983" s="13"/>
      <c r="DT983" s="13"/>
      <c r="DU983" s="13"/>
      <c r="DV983" s="13"/>
      <c r="DW983" s="13"/>
      <c r="DX983" s="13"/>
      <c r="DY983" s="13"/>
      <c r="DZ983" s="13"/>
      <c r="EA983" s="13"/>
    </row>
    <row r="984" spans="1:131" ht="12.75" hidden="1">
      <c r="A984" s="282" t="s">
        <v>72</v>
      </c>
      <c r="B984" s="209"/>
      <c r="C984" s="209"/>
      <c r="D984" s="283">
        <f aca="true" t="shared" si="70" ref="D984:J984">D985</f>
        <v>0</v>
      </c>
      <c r="E984" s="283">
        <f t="shared" si="70"/>
        <v>0</v>
      </c>
      <c r="F984" s="283">
        <f t="shared" si="70"/>
        <v>0</v>
      </c>
      <c r="G984" s="283">
        <f t="shared" si="70"/>
        <v>0</v>
      </c>
      <c r="H984" s="283">
        <f t="shared" si="70"/>
        <v>17709000</v>
      </c>
      <c r="I984" s="283">
        <f t="shared" si="70"/>
        <v>17709000</v>
      </c>
      <c r="J984" s="283">
        <f t="shared" si="70"/>
        <v>17709000</v>
      </c>
      <c r="K984" s="285"/>
      <c r="L984" s="285"/>
      <c r="M984" s="285"/>
      <c r="N984" s="283">
        <f>N985</f>
        <v>0</v>
      </c>
      <c r="O984" s="283">
        <f>O985</f>
        <v>0</v>
      </c>
      <c r="P984" s="283">
        <f>P985</f>
        <v>0</v>
      </c>
      <c r="R984" s="275"/>
      <c r="S984" s="275"/>
      <c r="T984" s="275"/>
      <c r="U984" s="275"/>
      <c r="V984" s="275"/>
      <c r="W984" s="275"/>
      <c r="X984" s="275"/>
      <c r="Y984" s="275"/>
      <c r="Z984" s="275"/>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c r="CP984" s="13"/>
      <c r="CQ984" s="13"/>
      <c r="CR984" s="13"/>
      <c r="CS984" s="13"/>
      <c r="CT984" s="13"/>
      <c r="CU984" s="13"/>
      <c r="CV984" s="13"/>
      <c r="CW984" s="13"/>
      <c r="CX984" s="13"/>
      <c r="CY984" s="13"/>
      <c r="CZ984" s="13"/>
      <c r="DA984" s="13"/>
      <c r="DB984" s="13"/>
      <c r="DC984" s="13"/>
      <c r="DD984" s="13"/>
      <c r="DE984" s="13"/>
      <c r="DF984" s="13"/>
      <c r="DG984" s="13"/>
      <c r="DH984" s="13"/>
      <c r="DI984" s="13"/>
      <c r="DJ984" s="13"/>
      <c r="DK984" s="13"/>
      <c r="DL984" s="13"/>
      <c r="DM984" s="13"/>
      <c r="DN984" s="13"/>
      <c r="DO984" s="13"/>
      <c r="DP984" s="13"/>
      <c r="DQ984" s="13"/>
      <c r="DR984" s="13"/>
      <c r="DS984" s="13"/>
      <c r="DT984" s="13"/>
      <c r="DU984" s="13"/>
      <c r="DV984" s="13"/>
      <c r="DW984" s="13"/>
      <c r="DX984" s="13"/>
      <c r="DY984" s="13"/>
      <c r="DZ984" s="13"/>
      <c r="EA984" s="13"/>
    </row>
    <row r="985" spans="1:131" ht="25.5" hidden="1">
      <c r="A985" s="287" t="s">
        <v>581</v>
      </c>
      <c r="B985" s="288"/>
      <c r="C985" s="288"/>
      <c r="D985" s="289">
        <f>D987</f>
        <v>0</v>
      </c>
      <c r="E985" s="289">
        <f>E987</f>
        <v>0</v>
      </c>
      <c r="F985" s="289">
        <f>E985+D985</f>
        <v>0</v>
      </c>
      <c r="G985" s="289">
        <f>G987</f>
        <v>0</v>
      </c>
      <c r="H985" s="289">
        <f>H987</f>
        <v>17709000</v>
      </c>
      <c r="I985" s="289">
        <f>H985+G985</f>
        <v>17709000</v>
      </c>
      <c r="J985" s="289">
        <f>G985+H985</f>
        <v>17709000</v>
      </c>
      <c r="K985" s="290"/>
      <c r="L985" s="290"/>
      <c r="M985" s="290"/>
      <c r="N985" s="289">
        <f>N987</f>
        <v>0</v>
      </c>
      <c r="O985" s="289">
        <f>O987</f>
        <v>0</v>
      </c>
      <c r="P985" s="289">
        <f>O985+N985</f>
        <v>0</v>
      </c>
      <c r="R985" s="275"/>
      <c r="S985" s="275"/>
      <c r="T985" s="275"/>
      <c r="U985" s="275"/>
      <c r="V985" s="275"/>
      <c r="W985" s="275"/>
      <c r="X985" s="275"/>
      <c r="Y985" s="275"/>
      <c r="Z985" s="275"/>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c r="CA985" s="13"/>
      <c r="CB985" s="13"/>
      <c r="CC985" s="13"/>
      <c r="CD985" s="13"/>
      <c r="CE985" s="13"/>
      <c r="CF985" s="13"/>
      <c r="CG985" s="13"/>
      <c r="CH985" s="13"/>
      <c r="CI985" s="13"/>
      <c r="CJ985" s="13"/>
      <c r="CK985" s="13"/>
      <c r="CL985" s="13"/>
      <c r="CM985" s="13"/>
      <c r="CN985" s="13"/>
      <c r="CO985" s="13"/>
      <c r="CP985" s="13"/>
      <c r="CQ985" s="13"/>
      <c r="CR985" s="13"/>
      <c r="CS985" s="13"/>
      <c r="CT985" s="13"/>
      <c r="CU985" s="13"/>
      <c r="CV985" s="13"/>
      <c r="CW985" s="13"/>
      <c r="CX985" s="13"/>
      <c r="CY985" s="13"/>
      <c r="CZ985" s="13"/>
      <c r="DA985" s="13"/>
      <c r="DB985" s="13"/>
      <c r="DC985" s="13"/>
      <c r="DD985" s="13"/>
      <c r="DE985" s="13"/>
      <c r="DF985" s="13"/>
      <c r="DG985" s="13"/>
      <c r="DH985" s="13"/>
      <c r="DI985" s="13"/>
      <c r="DJ985" s="13"/>
      <c r="DK985" s="13"/>
      <c r="DL985" s="13"/>
      <c r="DM985" s="13"/>
      <c r="DN985" s="13"/>
      <c r="DO985" s="13"/>
      <c r="DP985" s="13"/>
      <c r="DQ985" s="13"/>
      <c r="DR985" s="13"/>
      <c r="DS985" s="13"/>
      <c r="DT985" s="13"/>
      <c r="DU985" s="13"/>
      <c r="DV985" s="13"/>
      <c r="DW985" s="13"/>
      <c r="DX985" s="13"/>
      <c r="DY985" s="13"/>
      <c r="DZ985" s="13"/>
      <c r="EA985" s="13"/>
    </row>
    <row r="986" spans="1:131" ht="12.75" hidden="1">
      <c r="A986" s="134" t="s">
        <v>184</v>
      </c>
      <c r="B986" s="293"/>
      <c r="C986" s="293"/>
      <c r="D986" s="294"/>
      <c r="E986" s="295"/>
      <c r="F986" s="296"/>
      <c r="G986" s="294"/>
      <c r="H986" s="295"/>
      <c r="I986" s="296"/>
      <c r="J986" s="296"/>
      <c r="K986" s="297"/>
      <c r="L986" s="297"/>
      <c r="M986" s="297"/>
      <c r="N986" s="294"/>
      <c r="O986" s="295"/>
      <c r="P986" s="296"/>
      <c r="R986" s="275"/>
      <c r="S986" s="275"/>
      <c r="T986" s="275"/>
      <c r="U986" s="275"/>
      <c r="V986" s="275"/>
      <c r="W986" s="275"/>
      <c r="X986" s="275"/>
      <c r="Y986" s="275"/>
      <c r="Z986" s="275"/>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c r="CA986" s="13"/>
      <c r="CB986" s="13"/>
      <c r="CC986" s="13"/>
      <c r="CD986" s="13"/>
      <c r="CE986" s="13"/>
      <c r="CF986" s="13"/>
      <c r="CG986" s="13"/>
      <c r="CH986" s="13"/>
      <c r="CI986" s="13"/>
      <c r="CJ986" s="13"/>
      <c r="CK986" s="13"/>
      <c r="CL986" s="13"/>
      <c r="CM986" s="13"/>
      <c r="CN986" s="13"/>
      <c r="CO986" s="13"/>
      <c r="CP986" s="13"/>
      <c r="CQ986" s="13"/>
      <c r="CR986" s="13"/>
      <c r="CS986" s="13"/>
      <c r="CT986" s="13"/>
      <c r="CU986" s="13"/>
      <c r="CV986" s="13"/>
      <c r="CW986" s="13"/>
      <c r="CX986" s="13"/>
      <c r="CY986" s="13"/>
      <c r="CZ986" s="13"/>
      <c r="DA986" s="13"/>
      <c r="DB986" s="13"/>
      <c r="DC986" s="13"/>
      <c r="DD986" s="13"/>
      <c r="DE986" s="13"/>
      <c r="DF986" s="13"/>
      <c r="DG986" s="13"/>
      <c r="DH986" s="13"/>
      <c r="DI986" s="13"/>
      <c r="DJ986" s="13"/>
      <c r="DK986" s="13"/>
      <c r="DL986" s="13"/>
      <c r="DM986" s="13"/>
      <c r="DN986" s="13"/>
      <c r="DO986" s="13"/>
      <c r="DP986" s="13"/>
      <c r="DQ986" s="13"/>
      <c r="DR986" s="13"/>
      <c r="DS986" s="13"/>
      <c r="DT986" s="13"/>
      <c r="DU986" s="13"/>
      <c r="DV986" s="13"/>
      <c r="DW986" s="13"/>
      <c r="DX986" s="13"/>
      <c r="DY986" s="13"/>
      <c r="DZ986" s="13"/>
      <c r="EA986" s="13"/>
    </row>
    <row r="987" spans="1:131" ht="12.75" hidden="1">
      <c r="A987" s="135" t="s">
        <v>205</v>
      </c>
      <c r="B987" s="293"/>
      <c r="C987" s="293"/>
      <c r="D987" s="300"/>
      <c r="E987" s="296"/>
      <c r="F987" s="296">
        <f>E987+D987</f>
        <v>0</v>
      </c>
      <c r="G987" s="296"/>
      <c r="H987" s="296">
        <f>17709000</f>
        <v>17709000</v>
      </c>
      <c r="I987" s="296">
        <f>H987+G987</f>
        <v>17709000</v>
      </c>
      <c r="J987" s="296">
        <f>G987+H987</f>
        <v>17709000</v>
      </c>
      <c r="K987" s="297"/>
      <c r="L987" s="297"/>
      <c r="M987" s="297"/>
      <c r="N987" s="296">
        <v>0</v>
      </c>
      <c r="O987" s="296">
        <v>0</v>
      </c>
      <c r="P987" s="296">
        <f>O987+N987</f>
        <v>0</v>
      </c>
      <c r="R987" s="275"/>
      <c r="S987" s="275"/>
      <c r="T987" s="275"/>
      <c r="U987" s="275"/>
      <c r="V987" s="275"/>
      <c r="W987" s="275"/>
      <c r="X987" s="275"/>
      <c r="Y987" s="275"/>
      <c r="Z987" s="275"/>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c r="CA987" s="13"/>
      <c r="CB987" s="13"/>
      <c r="CC987" s="13"/>
      <c r="CD987" s="13"/>
      <c r="CE987" s="13"/>
      <c r="CF987" s="13"/>
      <c r="CG987" s="13"/>
      <c r="CH987" s="13"/>
      <c r="CI987" s="13"/>
      <c r="CJ987" s="13"/>
      <c r="CK987" s="13"/>
      <c r="CL987" s="13"/>
      <c r="CM987" s="13"/>
      <c r="CN987" s="13"/>
      <c r="CO987" s="13"/>
      <c r="CP987" s="13"/>
      <c r="CQ987" s="13"/>
      <c r="CR987" s="13"/>
      <c r="CS987" s="13"/>
      <c r="CT987" s="13"/>
      <c r="CU987" s="13"/>
      <c r="CV987" s="13"/>
      <c r="CW987" s="13"/>
      <c r="CX987" s="13"/>
      <c r="CY987" s="13"/>
      <c r="CZ987" s="13"/>
      <c r="DA987" s="13"/>
      <c r="DB987" s="13"/>
      <c r="DC987" s="13"/>
      <c r="DD987" s="13"/>
      <c r="DE987" s="13"/>
      <c r="DF987" s="13"/>
      <c r="DG987" s="13"/>
      <c r="DH987" s="13"/>
      <c r="DI987" s="13"/>
      <c r="DJ987" s="13"/>
      <c r="DK987" s="13"/>
      <c r="DL987" s="13"/>
      <c r="DM987" s="13"/>
      <c r="DN987" s="13"/>
      <c r="DO987" s="13"/>
      <c r="DP987" s="13"/>
      <c r="DQ987" s="13"/>
      <c r="DR987" s="13"/>
      <c r="DS987" s="13"/>
      <c r="DT987" s="13"/>
      <c r="DU987" s="13"/>
      <c r="DV987" s="13"/>
      <c r="DW987" s="13"/>
      <c r="DX987" s="13"/>
      <c r="DY987" s="13"/>
      <c r="DZ987" s="13"/>
      <c r="EA987" s="13"/>
    </row>
    <row r="988" spans="1:131" ht="12.75" hidden="1">
      <c r="A988" s="134" t="s">
        <v>185</v>
      </c>
      <c r="B988" s="293"/>
      <c r="C988" s="293"/>
      <c r="D988" s="294"/>
      <c r="E988" s="296"/>
      <c r="F988" s="296"/>
      <c r="G988" s="294"/>
      <c r="H988" s="296"/>
      <c r="I988" s="296"/>
      <c r="J988" s="296"/>
      <c r="K988" s="297"/>
      <c r="L988" s="297"/>
      <c r="M988" s="297"/>
      <c r="N988" s="294"/>
      <c r="O988" s="296"/>
      <c r="P988" s="296"/>
      <c r="R988" s="275"/>
      <c r="S988" s="275"/>
      <c r="T988" s="275"/>
      <c r="U988" s="275"/>
      <c r="V988" s="275"/>
      <c r="W988" s="275"/>
      <c r="X988" s="275"/>
      <c r="Y988" s="275"/>
      <c r="Z988" s="275"/>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c r="CA988" s="13"/>
      <c r="CB988" s="13"/>
      <c r="CC988" s="13"/>
      <c r="CD988" s="13"/>
      <c r="CE988" s="13"/>
      <c r="CF988" s="13"/>
      <c r="CG988" s="13"/>
      <c r="CH988" s="13"/>
      <c r="CI988" s="13"/>
      <c r="CJ988" s="13"/>
      <c r="CK988" s="13"/>
      <c r="CL988" s="13"/>
      <c r="CM988" s="13"/>
      <c r="CN988" s="13"/>
      <c r="CO988" s="13"/>
      <c r="CP988" s="13"/>
      <c r="CQ988" s="13"/>
      <c r="CR988" s="13"/>
      <c r="CS988" s="13"/>
      <c r="CT988" s="13"/>
      <c r="CU988" s="13"/>
      <c r="CV988" s="13"/>
      <c r="CW988" s="13"/>
      <c r="CX988" s="13"/>
      <c r="CY988" s="13"/>
      <c r="CZ988" s="13"/>
      <c r="DA988" s="13"/>
      <c r="DB988" s="13"/>
      <c r="DC988" s="13"/>
      <c r="DD988" s="13"/>
      <c r="DE988" s="13"/>
      <c r="DF988" s="13"/>
      <c r="DG988" s="13"/>
      <c r="DH988" s="13"/>
      <c r="DI988" s="13"/>
      <c r="DJ988" s="13"/>
      <c r="DK988" s="13"/>
      <c r="DL988" s="13"/>
      <c r="DM988" s="13"/>
      <c r="DN988" s="13"/>
      <c r="DO988" s="13"/>
      <c r="DP988" s="13"/>
      <c r="DQ988" s="13"/>
      <c r="DR988" s="13"/>
      <c r="DS988" s="13"/>
      <c r="DT988" s="13"/>
      <c r="DU988" s="13"/>
      <c r="DV988" s="13"/>
      <c r="DW988" s="13"/>
      <c r="DX988" s="13"/>
      <c r="DY988" s="13"/>
      <c r="DZ988" s="13"/>
      <c r="EA988" s="13"/>
    </row>
    <row r="989" spans="1:131" ht="25.5" hidden="1">
      <c r="A989" s="135" t="s">
        <v>582</v>
      </c>
      <c r="B989" s="293"/>
      <c r="C989" s="293"/>
      <c r="D989" s="294"/>
      <c r="E989" s="301"/>
      <c r="F989" s="302">
        <f>E989</f>
        <v>0</v>
      </c>
      <c r="G989" s="308"/>
      <c r="H989" s="301" t="s">
        <v>543</v>
      </c>
      <c r="I989" s="302" t="str">
        <f>H989</f>
        <v>2</v>
      </c>
      <c r="J989" s="302" t="str">
        <f>I989</f>
        <v>2</v>
      </c>
      <c r="K989" s="297"/>
      <c r="L989" s="297"/>
      <c r="M989" s="297"/>
      <c r="N989" s="308"/>
      <c r="O989" s="301"/>
      <c r="P989" s="302">
        <f>O989</f>
        <v>0</v>
      </c>
      <c r="R989" s="275"/>
      <c r="S989" s="275"/>
      <c r="T989" s="275"/>
      <c r="U989" s="275"/>
      <c r="V989" s="275"/>
      <c r="W989" s="275"/>
      <c r="X989" s="275"/>
      <c r="Y989" s="275"/>
      <c r="Z989" s="275"/>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c r="CP989" s="13"/>
      <c r="CQ989" s="13"/>
      <c r="CR989" s="13"/>
      <c r="CS989" s="13"/>
      <c r="CT989" s="13"/>
      <c r="CU989" s="13"/>
      <c r="CV989" s="13"/>
      <c r="CW989" s="13"/>
      <c r="CX989" s="13"/>
      <c r="CY989" s="13"/>
      <c r="CZ989" s="13"/>
      <c r="DA989" s="13"/>
      <c r="DB989" s="13"/>
      <c r="DC989" s="13"/>
      <c r="DD989" s="13"/>
      <c r="DE989" s="13"/>
      <c r="DF989" s="13"/>
      <c r="DG989" s="13"/>
      <c r="DH989" s="13"/>
      <c r="DI989" s="13"/>
      <c r="DJ989" s="13"/>
      <c r="DK989" s="13"/>
      <c r="DL989" s="13"/>
      <c r="DM989" s="13"/>
      <c r="DN989" s="13"/>
      <c r="DO989" s="13"/>
      <c r="DP989" s="13"/>
      <c r="DQ989" s="13"/>
      <c r="DR989" s="13"/>
      <c r="DS989" s="13"/>
      <c r="DT989" s="13"/>
      <c r="DU989" s="13"/>
      <c r="DV989" s="13"/>
      <c r="DW989" s="13"/>
      <c r="DX989" s="13"/>
      <c r="DY989" s="13"/>
      <c r="DZ989" s="13"/>
      <c r="EA989" s="13"/>
    </row>
    <row r="990" spans="1:131" ht="12.75" hidden="1">
      <c r="A990" s="134" t="s">
        <v>187</v>
      </c>
      <c r="B990" s="293"/>
      <c r="C990" s="293"/>
      <c r="D990" s="294"/>
      <c r="E990" s="295"/>
      <c r="F990" s="295"/>
      <c r="G990" s="294"/>
      <c r="H990" s="295"/>
      <c r="I990" s="295"/>
      <c r="J990" s="302"/>
      <c r="K990" s="297"/>
      <c r="L990" s="297"/>
      <c r="M990" s="297"/>
      <c r="N990" s="294"/>
      <c r="O990" s="295"/>
      <c r="P990" s="295"/>
      <c r="R990" s="275"/>
      <c r="S990" s="275"/>
      <c r="T990" s="275"/>
      <c r="U990" s="275"/>
      <c r="V990" s="275"/>
      <c r="W990" s="275"/>
      <c r="X990" s="275"/>
      <c r="Y990" s="275"/>
      <c r="Z990" s="275"/>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c r="DJ990" s="13"/>
      <c r="DK990" s="13"/>
      <c r="DL990" s="13"/>
      <c r="DM990" s="13"/>
      <c r="DN990" s="13"/>
      <c r="DO990" s="13"/>
      <c r="DP990" s="13"/>
      <c r="DQ990" s="13"/>
      <c r="DR990" s="13"/>
      <c r="DS990" s="13"/>
      <c r="DT990" s="13"/>
      <c r="DU990" s="13"/>
      <c r="DV990" s="13"/>
      <c r="DW990" s="13"/>
      <c r="DX990" s="13"/>
      <c r="DY990" s="13"/>
      <c r="DZ990" s="13"/>
      <c r="EA990" s="13"/>
    </row>
    <row r="991" spans="1:131" ht="25.5" hidden="1">
      <c r="A991" s="135" t="s">
        <v>583</v>
      </c>
      <c r="B991" s="293"/>
      <c r="C991" s="293"/>
      <c r="D991" s="296"/>
      <c r="E991" s="296" t="e">
        <f>E987/E989</f>
        <v>#DIV/0!</v>
      </c>
      <c r="F991" s="296" t="e">
        <f>D991+E991</f>
        <v>#DIV/0!</v>
      </c>
      <c r="G991" s="296"/>
      <c r="H991" s="296">
        <f>H987/H989</f>
        <v>8854500</v>
      </c>
      <c r="I991" s="296">
        <f>G991+H991</f>
        <v>8854500</v>
      </c>
      <c r="J991" s="320">
        <f>I991</f>
        <v>8854500</v>
      </c>
      <c r="K991" s="297"/>
      <c r="L991" s="297"/>
      <c r="M991" s="297"/>
      <c r="N991" s="296" t="e">
        <f>N987/N989</f>
        <v>#DIV/0!</v>
      </c>
      <c r="O991" s="296" t="e">
        <f>O987/O989</f>
        <v>#DIV/0!</v>
      </c>
      <c r="P991" s="296" t="e">
        <f>N991+O991</f>
        <v>#DIV/0!</v>
      </c>
      <c r="R991" s="275"/>
      <c r="S991" s="275"/>
      <c r="T991" s="275"/>
      <c r="U991" s="275"/>
      <c r="V991" s="275"/>
      <c r="W991" s="275"/>
      <c r="X991" s="275"/>
      <c r="Y991" s="275"/>
      <c r="Z991" s="275"/>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c r="CA991" s="13"/>
      <c r="CB991" s="13"/>
      <c r="CC991" s="13"/>
      <c r="CD991" s="13"/>
      <c r="CE991" s="13"/>
      <c r="CF991" s="13"/>
      <c r="CG991" s="13"/>
      <c r="CH991" s="13"/>
      <c r="CI991" s="13"/>
      <c r="CJ991" s="13"/>
      <c r="CK991" s="13"/>
      <c r="CL991" s="13"/>
      <c r="CM991" s="13"/>
      <c r="CN991" s="13"/>
      <c r="CO991" s="13"/>
      <c r="CP991" s="13"/>
      <c r="CQ991" s="13"/>
      <c r="CR991" s="13"/>
      <c r="CS991" s="13"/>
      <c r="CT991" s="13"/>
      <c r="CU991" s="13"/>
      <c r="CV991" s="13"/>
      <c r="CW991" s="13"/>
      <c r="CX991" s="13"/>
      <c r="CY991" s="13"/>
      <c r="CZ991" s="13"/>
      <c r="DA991" s="13"/>
      <c r="DB991" s="13"/>
      <c r="DC991" s="13"/>
      <c r="DD991" s="13"/>
      <c r="DE991" s="13"/>
      <c r="DF991" s="13"/>
      <c r="DG991" s="13"/>
      <c r="DH991" s="13"/>
      <c r="DI991" s="13"/>
      <c r="DJ991" s="13"/>
      <c r="DK991" s="13"/>
      <c r="DL991" s="13"/>
      <c r="DM991" s="13"/>
      <c r="DN991" s="13"/>
      <c r="DO991" s="13"/>
      <c r="DP991" s="13"/>
      <c r="DQ991" s="13"/>
      <c r="DR991" s="13"/>
      <c r="DS991" s="13"/>
      <c r="DT991" s="13"/>
      <c r="DU991" s="13"/>
      <c r="DV991" s="13"/>
      <c r="DW991" s="13"/>
      <c r="DX991" s="13"/>
      <c r="DY991" s="13"/>
      <c r="DZ991" s="13"/>
      <c r="EA991" s="13"/>
    </row>
    <row r="992" spans="1:131" ht="12.75">
      <c r="A992" s="282" t="s">
        <v>585</v>
      </c>
      <c r="B992" s="209"/>
      <c r="C992" s="209"/>
      <c r="D992" s="283">
        <f aca="true" t="shared" si="71" ref="D992:J992">D993</f>
        <v>0</v>
      </c>
      <c r="E992" s="283">
        <f t="shared" si="71"/>
        <v>0</v>
      </c>
      <c r="F992" s="283">
        <f t="shared" si="71"/>
        <v>0</v>
      </c>
      <c r="G992" s="283">
        <f t="shared" si="71"/>
        <v>0</v>
      </c>
      <c r="H992" s="283">
        <f t="shared" si="71"/>
        <v>15622974</v>
      </c>
      <c r="I992" s="283">
        <f t="shared" si="71"/>
        <v>15622974</v>
      </c>
      <c r="J992" s="283">
        <f t="shared" si="71"/>
        <v>15622974</v>
      </c>
      <c r="K992" s="285"/>
      <c r="L992" s="285"/>
      <c r="M992" s="285"/>
      <c r="N992" s="283">
        <f>N993</f>
        <v>0</v>
      </c>
      <c r="O992" s="283">
        <f>O993</f>
        <v>0</v>
      </c>
      <c r="P992" s="283">
        <f>P993</f>
        <v>0</v>
      </c>
      <c r="R992" s="275"/>
      <c r="S992" s="275"/>
      <c r="T992" s="275"/>
      <c r="U992" s="275"/>
      <c r="V992" s="275"/>
      <c r="W992" s="275"/>
      <c r="X992" s="275"/>
      <c r="Y992" s="275"/>
      <c r="Z992" s="275"/>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c r="CA992" s="13"/>
      <c r="CB992" s="13"/>
      <c r="CC992" s="13"/>
      <c r="CD992" s="13"/>
      <c r="CE992" s="13"/>
      <c r="CF992" s="13"/>
      <c r="CG992" s="13"/>
      <c r="CH992" s="13"/>
      <c r="CI992" s="13"/>
      <c r="CJ992" s="13"/>
      <c r="CK992" s="13"/>
      <c r="CL992" s="13"/>
      <c r="CM992" s="13"/>
      <c r="CN992" s="13"/>
      <c r="CO992" s="13"/>
      <c r="CP992" s="13"/>
      <c r="CQ992" s="13"/>
      <c r="CR992" s="13"/>
      <c r="CS992" s="13"/>
      <c r="CT992" s="13"/>
      <c r="CU992" s="13"/>
      <c r="CV992" s="13"/>
      <c r="CW992" s="13"/>
      <c r="CX992" s="13"/>
      <c r="CY992" s="13"/>
      <c r="CZ992" s="13"/>
      <c r="DA992" s="13"/>
      <c r="DB992" s="13"/>
      <c r="DC992" s="13"/>
      <c r="DD992" s="13"/>
      <c r="DE992" s="13"/>
      <c r="DF992" s="13"/>
      <c r="DG992" s="13"/>
      <c r="DH992" s="13"/>
      <c r="DI992" s="13"/>
      <c r="DJ992" s="13"/>
      <c r="DK992" s="13"/>
      <c r="DL992" s="13"/>
      <c r="DM992" s="13"/>
      <c r="DN992" s="13"/>
      <c r="DO992" s="13"/>
      <c r="DP992" s="13"/>
      <c r="DQ992" s="13"/>
      <c r="DR992" s="13"/>
      <c r="DS992" s="13"/>
      <c r="DT992" s="13"/>
      <c r="DU992" s="13"/>
      <c r="DV992" s="13"/>
      <c r="DW992" s="13"/>
      <c r="DX992" s="13"/>
      <c r="DY992" s="13"/>
      <c r="DZ992" s="13"/>
      <c r="EA992" s="13"/>
    </row>
    <row r="993" spans="1:131" ht="38.25">
      <c r="A993" s="287" t="s">
        <v>586</v>
      </c>
      <c r="B993" s="288"/>
      <c r="C993" s="288"/>
      <c r="D993" s="289">
        <f>D995</f>
        <v>0</v>
      </c>
      <c r="E993" s="289">
        <f>E995</f>
        <v>0</v>
      </c>
      <c r="F993" s="289">
        <f>E993+D993</f>
        <v>0</v>
      </c>
      <c r="G993" s="289">
        <f>G995</f>
        <v>0</v>
      </c>
      <c r="H993" s="289">
        <f>H995</f>
        <v>15622974</v>
      </c>
      <c r="I993" s="289">
        <f>H993+G993</f>
        <v>15622974</v>
      </c>
      <c r="J993" s="289">
        <f>G993+H993</f>
        <v>15622974</v>
      </c>
      <c r="K993" s="290"/>
      <c r="L993" s="290"/>
      <c r="M993" s="290"/>
      <c r="N993" s="289">
        <f>N995</f>
        <v>0</v>
      </c>
      <c r="O993" s="289">
        <f>O995</f>
        <v>0</v>
      </c>
      <c r="P993" s="289">
        <f>O993+N993</f>
        <v>0</v>
      </c>
      <c r="R993" s="275"/>
      <c r="S993" s="275"/>
      <c r="T993" s="275"/>
      <c r="U993" s="275"/>
      <c r="V993" s="275"/>
      <c r="W993" s="275"/>
      <c r="X993" s="275"/>
      <c r="Y993" s="275"/>
      <c r="Z993" s="275"/>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c r="CA993" s="13"/>
      <c r="CB993" s="13"/>
      <c r="CC993" s="13"/>
      <c r="CD993" s="13"/>
      <c r="CE993" s="13"/>
      <c r="CF993" s="13"/>
      <c r="CG993" s="13"/>
      <c r="CH993" s="13"/>
      <c r="CI993" s="13"/>
      <c r="CJ993" s="13"/>
      <c r="CK993" s="13"/>
      <c r="CL993" s="13"/>
      <c r="CM993" s="13"/>
      <c r="CN993" s="13"/>
      <c r="CO993" s="13"/>
      <c r="CP993" s="13"/>
      <c r="CQ993" s="13"/>
      <c r="CR993" s="13"/>
      <c r="CS993" s="13"/>
      <c r="CT993" s="13"/>
      <c r="CU993" s="13"/>
      <c r="CV993" s="13"/>
      <c r="CW993" s="13"/>
      <c r="CX993" s="13"/>
      <c r="CY993" s="13"/>
      <c r="CZ993" s="13"/>
      <c r="DA993" s="13"/>
      <c r="DB993" s="13"/>
      <c r="DC993" s="13"/>
      <c r="DD993" s="13"/>
      <c r="DE993" s="13"/>
      <c r="DF993" s="13"/>
      <c r="DG993" s="13"/>
      <c r="DH993" s="13"/>
      <c r="DI993" s="13"/>
      <c r="DJ993" s="13"/>
      <c r="DK993" s="13"/>
      <c r="DL993" s="13"/>
      <c r="DM993" s="13"/>
      <c r="DN993" s="13"/>
      <c r="DO993" s="13"/>
      <c r="DP993" s="13"/>
      <c r="DQ993" s="13"/>
      <c r="DR993" s="13"/>
      <c r="DS993" s="13"/>
      <c r="DT993" s="13"/>
      <c r="DU993" s="13"/>
      <c r="DV993" s="13"/>
      <c r="DW993" s="13"/>
      <c r="DX993" s="13"/>
      <c r="DY993" s="13"/>
      <c r="DZ993" s="13"/>
      <c r="EA993" s="13"/>
    </row>
    <row r="994" spans="1:131" ht="12.75">
      <c r="A994" s="134" t="s">
        <v>184</v>
      </c>
      <c r="B994" s="293"/>
      <c r="C994" s="293"/>
      <c r="D994" s="294"/>
      <c r="E994" s="295"/>
      <c r="F994" s="296"/>
      <c r="G994" s="294"/>
      <c r="H994" s="295"/>
      <c r="I994" s="296"/>
      <c r="J994" s="296"/>
      <c r="K994" s="297"/>
      <c r="L994" s="297"/>
      <c r="M994" s="297"/>
      <c r="N994" s="294"/>
      <c r="O994" s="295"/>
      <c r="P994" s="296"/>
      <c r="R994" s="275"/>
      <c r="S994" s="275"/>
      <c r="T994" s="275"/>
      <c r="U994" s="275"/>
      <c r="V994" s="275"/>
      <c r="W994" s="275"/>
      <c r="X994" s="275"/>
      <c r="Y994" s="275"/>
      <c r="Z994" s="275"/>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c r="CP994" s="13"/>
      <c r="CQ994" s="13"/>
      <c r="CR994" s="13"/>
      <c r="CS994" s="13"/>
      <c r="CT994" s="13"/>
      <c r="CU994" s="13"/>
      <c r="CV994" s="13"/>
      <c r="CW994" s="13"/>
      <c r="CX994" s="13"/>
      <c r="CY994" s="13"/>
      <c r="CZ994" s="13"/>
      <c r="DA994" s="13"/>
      <c r="DB994" s="13"/>
      <c r="DC994" s="13"/>
      <c r="DD994" s="13"/>
      <c r="DE994" s="13"/>
      <c r="DF994" s="13"/>
      <c r="DG994" s="13"/>
      <c r="DH994" s="13"/>
      <c r="DI994" s="13"/>
      <c r="DJ994" s="13"/>
      <c r="DK994" s="13"/>
      <c r="DL994" s="13"/>
      <c r="DM994" s="13"/>
      <c r="DN994" s="13"/>
      <c r="DO994" s="13"/>
      <c r="DP994" s="13"/>
      <c r="DQ994" s="13"/>
      <c r="DR994" s="13"/>
      <c r="DS994" s="13"/>
      <c r="DT994" s="13"/>
      <c r="DU994" s="13"/>
      <c r="DV994" s="13"/>
      <c r="DW994" s="13"/>
      <c r="DX994" s="13"/>
      <c r="DY994" s="13"/>
      <c r="DZ994" s="13"/>
      <c r="EA994" s="13"/>
    </row>
    <row r="995" spans="1:131" ht="12.75">
      <c r="A995" s="135" t="s">
        <v>205</v>
      </c>
      <c r="B995" s="293"/>
      <c r="C995" s="293"/>
      <c r="D995" s="300"/>
      <c r="E995" s="296"/>
      <c r="F995" s="296">
        <f>E995+D995</f>
        <v>0</v>
      </c>
      <c r="G995" s="296"/>
      <c r="H995" s="296">
        <f>15622974</f>
        <v>15622974</v>
      </c>
      <c r="I995" s="296">
        <f>H995+G995</f>
        <v>15622974</v>
      </c>
      <c r="J995" s="296">
        <f>G995+H995</f>
        <v>15622974</v>
      </c>
      <c r="K995" s="297"/>
      <c r="L995" s="297"/>
      <c r="M995" s="297"/>
      <c r="N995" s="296">
        <v>0</v>
      </c>
      <c r="O995" s="296">
        <v>0</v>
      </c>
      <c r="P995" s="296">
        <f>O995+N995</f>
        <v>0</v>
      </c>
      <c r="R995" s="275"/>
      <c r="S995" s="275"/>
      <c r="T995" s="275"/>
      <c r="U995" s="275"/>
      <c r="V995" s="275"/>
      <c r="W995" s="275"/>
      <c r="X995" s="275"/>
      <c r="Y995" s="275"/>
      <c r="Z995" s="275"/>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c r="CA995" s="13"/>
      <c r="CB995" s="13"/>
      <c r="CC995" s="13"/>
      <c r="CD995" s="13"/>
      <c r="CE995" s="13"/>
      <c r="CF995" s="13"/>
      <c r="CG995" s="13"/>
      <c r="CH995" s="13"/>
      <c r="CI995" s="13"/>
      <c r="CJ995" s="13"/>
      <c r="CK995" s="13"/>
      <c r="CL995" s="13"/>
      <c r="CM995" s="13"/>
      <c r="CN995" s="13"/>
      <c r="CO995" s="13"/>
      <c r="CP995" s="13"/>
      <c r="CQ995" s="13"/>
      <c r="CR995" s="13"/>
      <c r="CS995" s="13"/>
      <c r="CT995" s="13"/>
      <c r="CU995" s="13"/>
      <c r="CV995" s="13"/>
      <c r="CW995" s="13"/>
      <c r="CX995" s="13"/>
      <c r="CY995" s="13"/>
      <c r="CZ995" s="13"/>
      <c r="DA995" s="13"/>
      <c r="DB995" s="13"/>
      <c r="DC995" s="13"/>
      <c r="DD995" s="13"/>
      <c r="DE995" s="13"/>
      <c r="DF995" s="13"/>
      <c r="DG995" s="13"/>
      <c r="DH995" s="13"/>
      <c r="DI995" s="13"/>
      <c r="DJ995" s="13"/>
      <c r="DK995" s="13"/>
      <c r="DL995" s="13"/>
      <c r="DM995" s="13"/>
      <c r="DN995" s="13"/>
      <c r="DO995" s="13"/>
      <c r="DP995" s="13"/>
      <c r="DQ995" s="13"/>
      <c r="DR995" s="13"/>
      <c r="DS995" s="13"/>
      <c r="DT995" s="13"/>
      <c r="DU995" s="13"/>
      <c r="DV995" s="13"/>
      <c r="DW995" s="13"/>
      <c r="DX995" s="13"/>
      <c r="DY995" s="13"/>
      <c r="DZ995" s="13"/>
      <c r="EA995" s="13"/>
    </row>
    <row r="996" spans="1:131" ht="12.75">
      <c r="A996" s="134" t="s">
        <v>185</v>
      </c>
      <c r="B996" s="293"/>
      <c r="C996" s="293"/>
      <c r="D996" s="294"/>
      <c r="E996" s="296"/>
      <c r="F996" s="296"/>
      <c r="G996" s="294"/>
      <c r="H996" s="296"/>
      <c r="I996" s="296"/>
      <c r="J996" s="296"/>
      <c r="K996" s="297"/>
      <c r="L996" s="297"/>
      <c r="M996" s="297"/>
      <c r="N996" s="294"/>
      <c r="O996" s="296"/>
      <c r="P996" s="296"/>
      <c r="R996" s="275"/>
      <c r="S996" s="275"/>
      <c r="T996" s="275"/>
      <c r="U996" s="275"/>
      <c r="V996" s="275"/>
      <c r="W996" s="275"/>
      <c r="X996" s="275"/>
      <c r="Y996" s="275"/>
      <c r="Z996" s="275"/>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c r="CA996" s="13"/>
      <c r="CB996" s="13"/>
      <c r="CC996" s="13"/>
      <c r="CD996" s="13"/>
      <c r="CE996" s="13"/>
      <c r="CF996" s="13"/>
      <c r="CG996" s="13"/>
      <c r="CH996" s="13"/>
      <c r="CI996" s="13"/>
      <c r="CJ996" s="13"/>
      <c r="CK996" s="13"/>
      <c r="CL996" s="13"/>
      <c r="CM996" s="13"/>
      <c r="CN996" s="13"/>
      <c r="CO996" s="13"/>
      <c r="CP996" s="13"/>
      <c r="CQ996" s="13"/>
      <c r="CR996" s="13"/>
      <c r="CS996" s="13"/>
      <c r="CT996" s="13"/>
      <c r="CU996" s="13"/>
      <c r="CV996" s="13"/>
      <c r="CW996" s="13"/>
      <c r="CX996" s="13"/>
      <c r="CY996" s="13"/>
      <c r="CZ996" s="13"/>
      <c r="DA996" s="13"/>
      <c r="DB996" s="13"/>
      <c r="DC996" s="13"/>
      <c r="DD996" s="13"/>
      <c r="DE996" s="13"/>
      <c r="DF996" s="13"/>
      <c r="DG996" s="13"/>
      <c r="DH996" s="13"/>
      <c r="DI996" s="13"/>
      <c r="DJ996" s="13"/>
      <c r="DK996" s="13"/>
      <c r="DL996" s="13"/>
      <c r="DM996" s="13"/>
      <c r="DN996" s="13"/>
      <c r="DO996" s="13"/>
      <c r="DP996" s="13"/>
      <c r="DQ996" s="13"/>
      <c r="DR996" s="13"/>
      <c r="DS996" s="13"/>
      <c r="DT996" s="13"/>
      <c r="DU996" s="13"/>
      <c r="DV996" s="13"/>
      <c r="DW996" s="13"/>
      <c r="DX996" s="13"/>
      <c r="DY996" s="13"/>
      <c r="DZ996" s="13"/>
      <c r="EA996" s="13"/>
    </row>
    <row r="997" spans="1:131" ht="25.5">
      <c r="A997" s="135" t="s">
        <v>582</v>
      </c>
      <c r="B997" s="293"/>
      <c r="C997" s="293"/>
      <c r="D997" s="294"/>
      <c r="E997" s="301"/>
      <c r="F997" s="302">
        <f>E997</f>
        <v>0</v>
      </c>
      <c r="G997" s="308"/>
      <c r="H997" s="301" t="s">
        <v>573</v>
      </c>
      <c r="I997" s="302" t="str">
        <f>H997</f>
        <v>1</v>
      </c>
      <c r="J997" s="302" t="str">
        <f>I997</f>
        <v>1</v>
      </c>
      <c r="K997" s="297"/>
      <c r="L997" s="297"/>
      <c r="M997" s="297"/>
      <c r="N997" s="308"/>
      <c r="O997" s="301"/>
      <c r="P997" s="302">
        <f>O997</f>
        <v>0</v>
      </c>
      <c r="R997" s="275"/>
      <c r="S997" s="275"/>
      <c r="T997" s="275"/>
      <c r="U997" s="275"/>
      <c r="V997" s="275"/>
      <c r="W997" s="275"/>
      <c r="X997" s="275"/>
      <c r="Y997" s="275"/>
      <c r="Z997" s="275"/>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c r="CA997" s="13"/>
      <c r="CB997" s="13"/>
      <c r="CC997" s="13"/>
      <c r="CD997" s="13"/>
      <c r="CE997" s="13"/>
      <c r="CF997" s="13"/>
      <c r="CG997" s="13"/>
      <c r="CH997" s="13"/>
      <c r="CI997" s="13"/>
      <c r="CJ997" s="13"/>
      <c r="CK997" s="13"/>
      <c r="CL997" s="13"/>
      <c r="CM997" s="13"/>
      <c r="CN997" s="13"/>
      <c r="CO997" s="13"/>
      <c r="CP997" s="13"/>
      <c r="CQ997" s="13"/>
      <c r="CR997" s="13"/>
      <c r="CS997" s="13"/>
      <c r="CT997" s="13"/>
      <c r="CU997" s="13"/>
      <c r="CV997" s="13"/>
      <c r="CW997" s="13"/>
      <c r="CX997" s="13"/>
      <c r="CY997" s="13"/>
      <c r="CZ997" s="13"/>
      <c r="DA997" s="13"/>
      <c r="DB997" s="13"/>
      <c r="DC997" s="13"/>
      <c r="DD997" s="13"/>
      <c r="DE997" s="13"/>
      <c r="DF997" s="13"/>
      <c r="DG997" s="13"/>
      <c r="DH997" s="13"/>
      <c r="DI997" s="13"/>
      <c r="DJ997" s="13"/>
      <c r="DK997" s="13"/>
      <c r="DL997" s="13"/>
      <c r="DM997" s="13"/>
      <c r="DN997" s="13"/>
      <c r="DO997" s="13"/>
      <c r="DP997" s="13"/>
      <c r="DQ997" s="13"/>
      <c r="DR997" s="13"/>
      <c r="DS997" s="13"/>
      <c r="DT997" s="13"/>
      <c r="DU997" s="13"/>
      <c r="DV997" s="13"/>
      <c r="DW997" s="13"/>
      <c r="DX997" s="13"/>
      <c r="DY997" s="13"/>
      <c r="DZ997" s="13"/>
      <c r="EA997" s="13"/>
    </row>
    <row r="998" spans="1:131" ht="12.75">
      <c r="A998" s="134" t="s">
        <v>187</v>
      </c>
      <c r="B998" s="293"/>
      <c r="C998" s="293"/>
      <c r="D998" s="294"/>
      <c r="E998" s="295"/>
      <c r="F998" s="295"/>
      <c r="G998" s="294"/>
      <c r="H998" s="295"/>
      <c r="I998" s="295"/>
      <c r="J998" s="302"/>
      <c r="K998" s="297"/>
      <c r="L998" s="297"/>
      <c r="M998" s="297"/>
      <c r="N998" s="294"/>
      <c r="O998" s="295"/>
      <c r="P998" s="295"/>
      <c r="R998" s="275"/>
      <c r="S998" s="275"/>
      <c r="T998" s="275"/>
      <c r="U998" s="275"/>
      <c r="V998" s="275"/>
      <c r="W998" s="275"/>
      <c r="X998" s="275"/>
      <c r="Y998" s="275"/>
      <c r="Z998" s="275"/>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c r="DJ998" s="13"/>
      <c r="DK998" s="13"/>
      <c r="DL998" s="13"/>
      <c r="DM998" s="13"/>
      <c r="DN998" s="13"/>
      <c r="DO998" s="13"/>
      <c r="DP998" s="13"/>
      <c r="DQ998" s="13"/>
      <c r="DR998" s="13"/>
      <c r="DS998" s="13"/>
      <c r="DT998" s="13"/>
      <c r="DU998" s="13"/>
      <c r="DV998" s="13"/>
      <c r="DW998" s="13"/>
      <c r="DX998" s="13"/>
      <c r="DY998" s="13"/>
      <c r="DZ998" s="13"/>
      <c r="EA998" s="13"/>
    </row>
    <row r="999" spans="1:131" ht="25.5">
      <c r="A999" s="135" t="s">
        <v>583</v>
      </c>
      <c r="B999" s="293"/>
      <c r="C999" s="293"/>
      <c r="D999" s="296"/>
      <c r="E999" s="296" t="e">
        <f>E995/E997</f>
        <v>#DIV/0!</v>
      </c>
      <c r="F999" s="296" t="e">
        <f>D999+E999</f>
        <v>#DIV/0!</v>
      </c>
      <c r="G999" s="296"/>
      <c r="H999" s="296">
        <f>H995/H997</f>
        <v>15622974</v>
      </c>
      <c r="I999" s="296">
        <f>G999+H999</f>
        <v>15622974</v>
      </c>
      <c r="J999" s="320">
        <f>I999</f>
        <v>15622974</v>
      </c>
      <c r="K999" s="297"/>
      <c r="L999" s="297"/>
      <c r="M999" s="297"/>
      <c r="N999" s="296" t="e">
        <f>N995/N997</f>
        <v>#DIV/0!</v>
      </c>
      <c r="O999" s="296" t="e">
        <f>O995/O997</f>
        <v>#DIV/0!</v>
      </c>
      <c r="P999" s="296" t="e">
        <f>N999+O999</f>
        <v>#DIV/0!</v>
      </c>
      <c r="R999" s="275"/>
      <c r="S999" s="275"/>
      <c r="T999" s="275"/>
      <c r="U999" s="275"/>
      <c r="V999" s="275"/>
      <c r="W999" s="275"/>
      <c r="X999" s="275"/>
      <c r="Y999" s="275"/>
      <c r="Z999" s="275"/>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c r="CP999" s="13"/>
      <c r="CQ999" s="13"/>
      <c r="CR999" s="13"/>
      <c r="CS999" s="13"/>
      <c r="CT999" s="13"/>
      <c r="CU999" s="13"/>
      <c r="CV999" s="13"/>
      <c r="CW999" s="13"/>
      <c r="CX999" s="13"/>
      <c r="CY999" s="13"/>
      <c r="CZ999" s="13"/>
      <c r="DA999" s="13"/>
      <c r="DB999" s="13"/>
      <c r="DC999" s="13"/>
      <c r="DD999" s="13"/>
      <c r="DE999" s="13"/>
      <c r="DF999" s="13"/>
      <c r="DG999" s="13"/>
      <c r="DH999" s="13"/>
      <c r="DI999" s="13"/>
      <c r="DJ999" s="13"/>
      <c r="DK999" s="13"/>
      <c r="DL999" s="13"/>
      <c r="DM999" s="13"/>
      <c r="DN999" s="13"/>
      <c r="DO999" s="13"/>
      <c r="DP999" s="13"/>
      <c r="DQ999" s="13"/>
      <c r="DR999" s="13"/>
      <c r="DS999" s="13"/>
      <c r="DT999" s="13"/>
      <c r="DU999" s="13"/>
      <c r="DV999" s="13"/>
      <c r="DW999" s="13"/>
      <c r="DX999" s="13"/>
      <c r="DY999" s="13"/>
      <c r="DZ999" s="13"/>
      <c r="EA999" s="13"/>
    </row>
    <row r="1000" spans="1:131" ht="12.75">
      <c r="A1000" s="136"/>
      <c r="B1000" s="317"/>
      <c r="C1000" s="317"/>
      <c r="D1000" s="318"/>
      <c r="E1000" s="318"/>
      <c r="F1000" s="318"/>
      <c r="G1000" s="318"/>
      <c r="H1000" s="318"/>
      <c r="I1000" s="318"/>
      <c r="J1000" s="318"/>
      <c r="K1000" s="319"/>
      <c r="L1000" s="319"/>
      <c r="M1000" s="319"/>
      <c r="N1000" s="318"/>
      <c r="O1000" s="318"/>
      <c r="P1000" s="318"/>
      <c r="R1000" s="275"/>
      <c r="S1000" s="275"/>
      <c r="T1000" s="275"/>
      <c r="U1000" s="275"/>
      <c r="V1000" s="275"/>
      <c r="W1000" s="275"/>
      <c r="X1000" s="275"/>
      <c r="Y1000" s="275"/>
      <c r="Z1000" s="275"/>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c r="CA1000" s="13"/>
      <c r="CB1000" s="13"/>
      <c r="CC1000" s="13"/>
      <c r="CD1000" s="13"/>
      <c r="CE1000" s="13"/>
      <c r="CF1000" s="13"/>
      <c r="CG1000" s="13"/>
      <c r="CH1000" s="13"/>
      <c r="CI1000" s="13"/>
      <c r="CJ1000" s="13"/>
      <c r="CK1000" s="13"/>
      <c r="CL1000" s="13"/>
      <c r="CM1000" s="13"/>
      <c r="CN1000" s="13"/>
      <c r="CO1000" s="13"/>
      <c r="CP1000" s="13"/>
      <c r="CQ1000" s="13"/>
      <c r="CR1000" s="13"/>
      <c r="CS1000" s="13"/>
      <c r="CT1000" s="13"/>
      <c r="CU1000" s="13"/>
      <c r="CV1000" s="13"/>
      <c r="CW1000" s="13"/>
      <c r="CX1000" s="13"/>
      <c r="CY1000" s="13"/>
      <c r="CZ1000" s="13"/>
      <c r="DA1000" s="13"/>
      <c r="DB1000" s="13"/>
      <c r="DC1000" s="13"/>
      <c r="DD1000" s="13"/>
      <c r="DE1000" s="13"/>
      <c r="DF1000" s="13"/>
      <c r="DG1000" s="13"/>
      <c r="DH1000" s="13"/>
      <c r="DI1000" s="13"/>
      <c r="DJ1000" s="13"/>
      <c r="DK1000" s="13"/>
      <c r="DL1000" s="13"/>
      <c r="DM1000" s="13"/>
      <c r="DN1000" s="13"/>
      <c r="DO1000" s="13"/>
      <c r="DP1000" s="13"/>
      <c r="DQ1000" s="13"/>
      <c r="DR1000" s="13"/>
      <c r="DS1000" s="13"/>
      <c r="DT1000" s="13"/>
      <c r="DU1000" s="13"/>
      <c r="DV1000" s="13"/>
      <c r="DW1000" s="13"/>
      <c r="DX1000" s="13"/>
      <c r="DY1000" s="13"/>
      <c r="DZ1000" s="13"/>
      <c r="EA1000" s="13"/>
    </row>
    <row r="1001" spans="1:131" ht="18.75">
      <c r="A1001" s="136"/>
      <c r="B1001" s="20"/>
      <c r="C1001" s="20"/>
      <c r="D1001" s="19"/>
      <c r="E1001" s="128"/>
      <c r="F1001" s="129"/>
      <c r="G1001" s="128"/>
      <c r="H1001" s="128"/>
      <c r="I1001" s="128"/>
      <c r="J1001" s="130"/>
      <c r="K1001" s="130"/>
      <c r="L1001" s="130"/>
      <c r="M1001" s="130"/>
      <c r="N1001" s="130"/>
      <c r="O1001" s="130"/>
      <c r="P1001" s="130"/>
      <c r="R1001" s="275"/>
      <c r="S1001" s="275"/>
      <c r="T1001" s="275"/>
      <c r="U1001" s="275"/>
      <c r="V1001" s="275"/>
      <c r="W1001" s="275"/>
      <c r="X1001" s="275"/>
      <c r="Y1001" s="275"/>
      <c r="Z1001" s="275"/>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c r="BH1001" s="13"/>
      <c r="BI1001" s="13"/>
      <c r="BJ1001" s="13"/>
      <c r="BK1001" s="13"/>
      <c r="BL1001" s="13"/>
      <c r="BM1001" s="13"/>
      <c r="BN1001" s="13"/>
      <c r="BO1001" s="13"/>
      <c r="BP1001" s="13"/>
      <c r="BQ1001" s="13"/>
      <c r="BR1001" s="13"/>
      <c r="BS1001" s="13"/>
      <c r="BT1001" s="13"/>
      <c r="BU1001" s="13"/>
      <c r="BV1001" s="13"/>
      <c r="BW1001" s="13"/>
      <c r="BX1001" s="13"/>
      <c r="BY1001" s="13"/>
      <c r="BZ1001" s="13"/>
      <c r="CA1001" s="13"/>
      <c r="CB1001" s="13"/>
      <c r="CC1001" s="13"/>
      <c r="CD1001" s="13"/>
      <c r="CE1001" s="13"/>
      <c r="CF1001" s="13"/>
      <c r="CG1001" s="13"/>
      <c r="CH1001" s="13"/>
      <c r="CI1001" s="13"/>
      <c r="CJ1001" s="13"/>
      <c r="CK1001" s="13"/>
      <c r="CL1001" s="13"/>
      <c r="CM1001" s="13"/>
      <c r="CN1001" s="13"/>
      <c r="CO1001" s="13"/>
      <c r="CP1001" s="13"/>
      <c r="CQ1001" s="13"/>
      <c r="CR1001" s="13"/>
      <c r="CS1001" s="13"/>
      <c r="CT1001" s="13"/>
      <c r="CU1001" s="13"/>
      <c r="CV1001" s="13"/>
      <c r="CW1001" s="13"/>
      <c r="CX1001" s="13"/>
      <c r="CY1001" s="13"/>
      <c r="CZ1001" s="13"/>
      <c r="DA1001" s="13"/>
      <c r="DB1001" s="13"/>
      <c r="DC1001" s="13"/>
      <c r="DD1001" s="13"/>
      <c r="DE1001" s="13"/>
      <c r="DF1001" s="13"/>
      <c r="DG1001" s="13"/>
      <c r="DH1001" s="13"/>
      <c r="DI1001" s="13"/>
      <c r="DJ1001" s="13"/>
      <c r="DK1001" s="13"/>
      <c r="DL1001" s="13"/>
      <c r="DM1001" s="13"/>
      <c r="DN1001" s="13"/>
      <c r="DO1001" s="13"/>
      <c r="DP1001" s="13"/>
      <c r="DQ1001" s="13"/>
      <c r="DR1001" s="13"/>
      <c r="DS1001" s="13"/>
      <c r="DT1001" s="13"/>
      <c r="DU1001" s="13"/>
      <c r="DV1001" s="13"/>
      <c r="DW1001" s="13"/>
      <c r="DX1001" s="13"/>
      <c r="DY1001" s="13"/>
      <c r="DZ1001" s="13"/>
      <c r="EA1001" s="13"/>
    </row>
    <row r="1002" spans="1:131" ht="20.25" customHeight="1">
      <c r="A1002" s="337" t="s">
        <v>334</v>
      </c>
      <c r="B1002" s="337"/>
      <c r="C1002" s="337"/>
      <c r="D1002" s="337"/>
      <c r="E1002" s="321"/>
      <c r="F1002" s="322"/>
      <c r="G1002" s="323"/>
      <c r="H1002" s="323"/>
      <c r="I1002" s="323"/>
      <c r="J1002" s="324"/>
      <c r="K1002" s="324"/>
      <c r="L1002" s="324"/>
      <c r="M1002" s="324"/>
      <c r="N1002" s="323"/>
      <c r="O1002" s="340" t="s">
        <v>534</v>
      </c>
      <c r="P1002" s="340"/>
      <c r="Q1002" s="13"/>
      <c r="R1002" s="275"/>
      <c r="S1002" s="275"/>
      <c r="T1002" s="275"/>
      <c r="U1002" s="275"/>
      <c r="V1002" s="275"/>
      <c r="W1002" s="275"/>
      <c r="X1002" s="275"/>
      <c r="Y1002" s="275"/>
      <c r="Z1002" s="275"/>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c r="BH1002" s="13"/>
      <c r="BI1002" s="13"/>
      <c r="BJ1002" s="13"/>
      <c r="BK1002" s="13"/>
      <c r="BL1002" s="13"/>
      <c r="BM1002" s="13"/>
      <c r="BN1002" s="13"/>
      <c r="BO1002" s="13"/>
      <c r="BP1002" s="13"/>
      <c r="BQ1002" s="13"/>
      <c r="BR1002" s="13"/>
      <c r="BS1002" s="13"/>
      <c r="BT1002" s="13"/>
      <c r="BU1002" s="13"/>
      <c r="BV1002" s="13"/>
      <c r="BW1002" s="13"/>
      <c r="BX1002" s="13"/>
      <c r="BY1002" s="13"/>
      <c r="BZ1002" s="13"/>
      <c r="CA1002" s="13"/>
      <c r="CB1002" s="13"/>
      <c r="CC1002" s="13"/>
      <c r="CD1002" s="13"/>
      <c r="CE1002" s="13"/>
      <c r="CF1002" s="13"/>
      <c r="CG1002" s="13"/>
      <c r="CH1002" s="13"/>
      <c r="CI1002" s="13"/>
      <c r="CJ1002" s="13"/>
      <c r="CK1002" s="13"/>
      <c r="CL1002" s="13"/>
      <c r="CM1002" s="13"/>
      <c r="CN1002" s="13"/>
      <c r="CO1002" s="13"/>
      <c r="CP1002" s="13"/>
      <c r="CQ1002" s="13"/>
      <c r="CR1002" s="13"/>
      <c r="CS1002" s="13"/>
      <c r="CT1002" s="13"/>
      <c r="CU1002" s="13"/>
      <c r="CV1002" s="13"/>
      <c r="CW1002" s="13"/>
      <c r="CX1002" s="13"/>
      <c r="CY1002" s="13"/>
      <c r="CZ1002" s="13"/>
      <c r="DA1002" s="13"/>
      <c r="DB1002" s="13"/>
      <c r="DC1002" s="13"/>
      <c r="DD1002" s="13"/>
      <c r="DE1002" s="13"/>
      <c r="DF1002" s="13"/>
      <c r="DG1002" s="13"/>
      <c r="DH1002" s="13"/>
      <c r="DI1002" s="13"/>
      <c r="DJ1002" s="13"/>
      <c r="DK1002" s="13"/>
      <c r="DL1002" s="13"/>
      <c r="DM1002" s="13"/>
      <c r="DN1002" s="13"/>
      <c r="DO1002" s="13"/>
      <c r="DP1002" s="13"/>
      <c r="DQ1002" s="13"/>
      <c r="DR1002" s="13"/>
      <c r="DS1002" s="13"/>
      <c r="DT1002" s="13"/>
      <c r="DU1002" s="13"/>
      <c r="DV1002" s="13"/>
      <c r="DW1002" s="13"/>
      <c r="DX1002" s="13"/>
      <c r="DY1002" s="13"/>
      <c r="DZ1002" s="13"/>
      <c r="EA1002" s="13"/>
    </row>
    <row r="1003" spans="1:131" ht="8.25" customHeight="1">
      <c r="A1003" s="325"/>
      <c r="B1003" s="325"/>
      <c r="C1003" s="325"/>
      <c r="D1003" s="321"/>
      <c r="E1003" s="321"/>
      <c r="F1003" s="322"/>
      <c r="G1003" s="323"/>
      <c r="H1003" s="323"/>
      <c r="I1003" s="323"/>
      <c r="J1003" s="324"/>
      <c r="K1003" s="324"/>
      <c r="L1003" s="324"/>
      <c r="M1003" s="324"/>
      <c r="N1003" s="323"/>
      <c r="O1003" s="326"/>
      <c r="P1003" s="326"/>
      <c r="Q1003" s="13"/>
      <c r="R1003" s="275"/>
      <c r="S1003" s="275"/>
      <c r="T1003" s="275"/>
      <c r="U1003" s="275"/>
      <c r="V1003" s="275"/>
      <c r="W1003" s="275"/>
      <c r="X1003" s="275"/>
      <c r="Y1003" s="275"/>
      <c r="Z1003" s="275"/>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c r="BJ1003" s="13"/>
      <c r="BK1003" s="13"/>
      <c r="BL1003" s="13"/>
      <c r="BM1003" s="13"/>
      <c r="BN1003" s="13"/>
      <c r="BO1003" s="13"/>
      <c r="BP1003" s="13"/>
      <c r="BQ1003" s="13"/>
      <c r="BR1003" s="13"/>
      <c r="BS1003" s="13"/>
      <c r="BT1003" s="13"/>
      <c r="BU1003" s="13"/>
      <c r="BV1003" s="13"/>
      <c r="BW1003" s="13"/>
      <c r="BX1003" s="13"/>
      <c r="BY1003" s="13"/>
      <c r="BZ1003" s="13"/>
      <c r="CA1003" s="13"/>
      <c r="CB1003" s="13"/>
      <c r="CC1003" s="13"/>
      <c r="CD1003" s="13"/>
      <c r="CE1003" s="13"/>
      <c r="CF1003" s="13"/>
      <c r="CG1003" s="13"/>
      <c r="CH1003" s="13"/>
      <c r="CI1003" s="13"/>
      <c r="CJ1003" s="13"/>
      <c r="CK1003" s="13"/>
      <c r="CL1003" s="13"/>
      <c r="CM1003" s="13"/>
      <c r="CN1003" s="13"/>
      <c r="CO1003" s="13"/>
      <c r="CP1003" s="13"/>
      <c r="CQ1003" s="13"/>
      <c r="CR1003" s="13"/>
      <c r="CS1003" s="13"/>
      <c r="CT1003" s="13"/>
      <c r="CU1003" s="13"/>
      <c r="CV1003" s="13"/>
      <c r="CW1003" s="13"/>
      <c r="CX1003" s="13"/>
      <c r="CY1003" s="13"/>
      <c r="CZ1003" s="13"/>
      <c r="DA1003" s="13"/>
      <c r="DB1003" s="13"/>
      <c r="DC1003" s="13"/>
      <c r="DD1003" s="13"/>
      <c r="DE1003" s="13"/>
      <c r="DF1003" s="13"/>
      <c r="DG1003" s="13"/>
      <c r="DH1003" s="13"/>
      <c r="DI1003" s="13"/>
      <c r="DJ1003" s="13"/>
      <c r="DK1003" s="13"/>
      <c r="DL1003" s="13"/>
      <c r="DM1003" s="13"/>
      <c r="DN1003" s="13"/>
      <c r="DO1003" s="13"/>
      <c r="DP1003" s="13"/>
      <c r="DQ1003" s="13"/>
      <c r="DR1003" s="13"/>
      <c r="DS1003" s="13"/>
      <c r="DT1003" s="13"/>
      <c r="DU1003" s="13"/>
      <c r="DV1003" s="13"/>
      <c r="DW1003" s="13"/>
      <c r="DX1003" s="13"/>
      <c r="DY1003" s="13"/>
      <c r="DZ1003" s="13"/>
      <c r="EA1003" s="13"/>
    </row>
    <row r="1004" spans="1:131" ht="6.75" customHeight="1">
      <c r="A1004" s="325"/>
      <c r="B1004" s="325"/>
      <c r="C1004" s="325"/>
      <c r="D1004" s="321"/>
      <c r="E1004" s="321"/>
      <c r="F1004" s="322"/>
      <c r="G1004" s="323"/>
      <c r="H1004" s="323"/>
      <c r="I1004" s="323"/>
      <c r="J1004" s="324"/>
      <c r="K1004" s="324"/>
      <c r="L1004" s="324"/>
      <c r="M1004" s="324"/>
      <c r="N1004" s="323"/>
      <c r="O1004" s="326"/>
      <c r="P1004" s="326"/>
      <c r="Q1004" s="13"/>
      <c r="R1004" s="275"/>
      <c r="S1004" s="275"/>
      <c r="T1004" s="275"/>
      <c r="U1004" s="275"/>
      <c r="V1004" s="275"/>
      <c r="W1004" s="275"/>
      <c r="X1004" s="275"/>
      <c r="Y1004" s="275"/>
      <c r="Z1004" s="275"/>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c r="BH1004" s="13"/>
      <c r="BI1004" s="13"/>
      <c r="BJ1004" s="13"/>
      <c r="BK1004" s="13"/>
      <c r="BL1004" s="13"/>
      <c r="BM1004" s="13"/>
      <c r="BN1004" s="13"/>
      <c r="BO1004" s="13"/>
      <c r="BP1004" s="13"/>
      <c r="BQ1004" s="13"/>
      <c r="BR1004" s="13"/>
      <c r="BS1004" s="13"/>
      <c r="BT1004" s="13"/>
      <c r="BU1004" s="13"/>
      <c r="BV1004" s="13"/>
      <c r="BW1004" s="13"/>
      <c r="BX1004" s="13"/>
      <c r="BY1004" s="13"/>
      <c r="BZ1004" s="13"/>
      <c r="CA1004" s="13"/>
      <c r="CB1004" s="13"/>
      <c r="CC1004" s="13"/>
      <c r="CD1004" s="13"/>
      <c r="CE1004" s="13"/>
      <c r="CF1004" s="13"/>
      <c r="CG1004" s="13"/>
      <c r="CH1004" s="13"/>
      <c r="CI1004" s="13"/>
      <c r="CJ1004" s="13"/>
      <c r="CK1004" s="13"/>
      <c r="CL1004" s="13"/>
      <c r="CM1004" s="13"/>
      <c r="CN1004" s="13"/>
      <c r="CO1004" s="13"/>
      <c r="CP1004" s="13"/>
      <c r="CQ1004" s="13"/>
      <c r="CR1004" s="13"/>
      <c r="CS1004" s="13"/>
      <c r="CT1004" s="13"/>
      <c r="CU1004" s="13"/>
      <c r="CV1004" s="13"/>
      <c r="CW1004" s="13"/>
      <c r="CX1004" s="13"/>
      <c r="CY1004" s="13"/>
      <c r="CZ1004" s="13"/>
      <c r="DA1004" s="13"/>
      <c r="DB1004" s="13"/>
      <c r="DC1004" s="13"/>
      <c r="DD1004" s="13"/>
      <c r="DE1004" s="13"/>
      <c r="DF1004" s="13"/>
      <c r="DG1004" s="13"/>
      <c r="DH1004" s="13"/>
      <c r="DI1004" s="13"/>
      <c r="DJ1004" s="13"/>
      <c r="DK1004" s="13"/>
      <c r="DL1004" s="13"/>
      <c r="DM1004" s="13"/>
      <c r="DN1004" s="13"/>
      <c r="DO1004" s="13"/>
      <c r="DP1004" s="13"/>
      <c r="DQ1004" s="13"/>
      <c r="DR1004" s="13"/>
      <c r="DS1004" s="13"/>
      <c r="DT1004" s="13"/>
      <c r="DU1004" s="13"/>
      <c r="DV1004" s="13"/>
      <c r="DW1004" s="13"/>
      <c r="DX1004" s="13"/>
      <c r="DY1004" s="13"/>
      <c r="DZ1004" s="13"/>
      <c r="EA1004" s="13"/>
    </row>
    <row r="1005" spans="1:131" ht="18.75" customHeight="1">
      <c r="A1005" s="330" t="s">
        <v>587</v>
      </c>
      <c r="B1005" s="330"/>
      <c r="C1005" s="327"/>
      <c r="D1005" s="328"/>
      <c r="E1005" s="321"/>
      <c r="F1005" s="323"/>
      <c r="G1005" s="321"/>
      <c r="H1005" s="321"/>
      <c r="I1005" s="321"/>
      <c r="J1005" s="329"/>
      <c r="K1005" s="329"/>
      <c r="L1005" s="329"/>
      <c r="M1005" s="329"/>
      <c r="N1005" s="329"/>
      <c r="O1005" s="329"/>
      <c r="P1005" s="329"/>
      <c r="Q1005" s="23"/>
      <c r="R1005" s="275"/>
      <c r="S1005" s="275"/>
      <c r="T1005" s="275"/>
      <c r="U1005" s="275"/>
      <c r="V1005" s="275"/>
      <c r="W1005" s="275"/>
      <c r="X1005" s="275"/>
      <c r="Y1005" s="275"/>
      <c r="Z1005" s="275"/>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13"/>
      <c r="AZ1005" s="13"/>
      <c r="BA1005" s="13"/>
      <c r="BB1005" s="13"/>
      <c r="BC1005" s="13"/>
      <c r="BD1005" s="13"/>
      <c r="BE1005" s="13"/>
      <c r="BF1005" s="13"/>
      <c r="BG1005" s="13"/>
      <c r="BH1005" s="13"/>
      <c r="BI1005" s="13"/>
      <c r="BJ1005" s="13"/>
      <c r="BK1005" s="13"/>
      <c r="BL1005" s="13"/>
      <c r="BM1005" s="13"/>
      <c r="BN1005" s="13"/>
      <c r="BO1005" s="13"/>
      <c r="BP1005" s="13"/>
      <c r="BQ1005" s="13"/>
      <c r="BR1005" s="13"/>
      <c r="BS1005" s="13"/>
      <c r="BT1005" s="13"/>
      <c r="BU1005" s="13"/>
      <c r="BV1005" s="13"/>
      <c r="BW1005" s="13"/>
      <c r="BX1005" s="13"/>
      <c r="BY1005" s="13"/>
      <c r="BZ1005" s="13"/>
      <c r="CA1005" s="13"/>
      <c r="CB1005" s="13"/>
      <c r="CC1005" s="13"/>
      <c r="CD1005" s="13"/>
      <c r="CE1005" s="13"/>
      <c r="CF1005" s="13"/>
      <c r="CG1005" s="13"/>
      <c r="CH1005" s="13"/>
      <c r="CI1005" s="13"/>
      <c r="CJ1005" s="13"/>
      <c r="CK1005" s="13"/>
      <c r="CL1005" s="13"/>
      <c r="CM1005" s="13"/>
      <c r="CN1005" s="13"/>
      <c r="CO1005" s="13"/>
      <c r="CP1005" s="13"/>
      <c r="CQ1005" s="13"/>
      <c r="CR1005" s="13"/>
      <c r="CS1005" s="13"/>
      <c r="CT1005" s="13"/>
      <c r="CU1005" s="13"/>
      <c r="CV1005" s="13"/>
      <c r="CW1005" s="13"/>
      <c r="CX1005" s="13"/>
      <c r="CY1005" s="13"/>
      <c r="CZ1005" s="13"/>
      <c r="DA1005" s="13"/>
      <c r="DB1005" s="13"/>
      <c r="DC1005" s="13"/>
      <c r="DD1005" s="13"/>
      <c r="DE1005" s="13"/>
      <c r="DF1005" s="13"/>
      <c r="DG1005" s="13"/>
      <c r="DH1005" s="13"/>
      <c r="DI1005" s="13"/>
      <c r="DJ1005" s="13"/>
      <c r="DK1005" s="13"/>
      <c r="DL1005" s="13"/>
      <c r="DM1005" s="13"/>
      <c r="DN1005" s="13"/>
      <c r="DO1005" s="13"/>
      <c r="DP1005" s="13"/>
      <c r="DQ1005" s="13"/>
      <c r="DR1005" s="13"/>
      <c r="DS1005" s="13"/>
      <c r="DT1005" s="13"/>
      <c r="DU1005" s="13"/>
      <c r="DV1005" s="13"/>
      <c r="DW1005" s="13"/>
      <c r="DX1005" s="13"/>
      <c r="DY1005" s="13"/>
      <c r="DZ1005" s="13"/>
      <c r="EA1005" s="13"/>
    </row>
    <row r="1006" spans="1:131" ht="0.75" customHeight="1">
      <c r="A1006" s="6" t="s">
        <v>253</v>
      </c>
      <c r="B1006" s="6"/>
      <c r="C1006" s="24"/>
      <c r="D1006" s="21"/>
      <c r="E1006" s="21"/>
      <c r="F1006" s="21"/>
      <c r="G1006" s="21"/>
      <c r="H1006" s="21"/>
      <c r="I1006" s="21"/>
      <c r="J1006" s="21"/>
      <c r="K1006" s="21"/>
      <c r="L1006" s="21"/>
      <c r="M1006" s="21"/>
      <c r="N1006" s="21"/>
      <c r="O1006" s="21"/>
      <c r="P1006" s="21"/>
      <c r="Q1006" s="13"/>
      <c r="R1006" s="275"/>
      <c r="S1006" s="275"/>
      <c r="T1006" s="275"/>
      <c r="U1006" s="275"/>
      <c r="V1006" s="275"/>
      <c r="W1006" s="275"/>
      <c r="X1006" s="275"/>
      <c r="Y1006" s="275"/>
      <c r="Z1006" s="275"/>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c r="DJ1006" s="13"/>
      <c r="DK1006" s="13"/>
      <c r="DL1006" s="13"/>
      <c r="DM1006" s="13"/>
      <c r="DN1006" s="13"/>
      <c r="DO1006" s="13"/>
      <c r="DP1006" s="13"/>
      <c r="DQ1006" s="13"/>
      <c r="DR1006" s="13"/>
      <c r="DS1006" s="13"/>
      <c r="DT1006" s="13"/>
      <c r="DU1006" s="13"/>
      <c r="DV1006" s="13"/>
      <c r="DW1006" s="13"/>
      <c r="DX1006" s="13"/>
      <c r="DY1006" s="13"/>
      <c r="DZ1006" s="13"/>
      <c r="EA1006" s="13"/>
    </row>
    <row r="1007" spans="1:131" ht="28.5" customHeight="1">
      <c r="A1007" s="25"/>
      <c r="B1007" s="26"/>
      <c r="C1007" s="27"/>
      <c r="D1007" s="28"/>
      <c r="E1007" s="28"/>
      <c r="F1007" s="21"/>
      <c r="G1007" s="21"/>
      <c r="H1007" s="21"/>
      <c r="I1007" s="21"/>
      <c r="J1007" s="21"/>
      <c r="K1007" s="21"/>
      <c r="L1007" s="21"/>
      <c r="M1007" s="21"/>
      <c r="N1007" s="21"/>
      <c r="O1007" s="21"/>
      <c r="P1007" s="21"/>
      <c r="Q1007" s="13"/>
      <c r="R1007" s="275"/>
      <c r="S1007" s="275"/>
      <c r="T1007" s="275"/>
      <c r="U1007" s="275"/>
      <c r="V1007" s="275"/>
      <c r="W1007" s="275"/>
      <c r="X1007" s="275"/>
      <c r="Y1007" s="275"/>
      <c r="Z1007" s="275"/>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c r="BH1007" s="13"/>
      <c r="BI1007" s="13"/>
      <c r="BJ1007" s="13"/>
      <c r="BK1007" s="13"/>
      <c r="BL1007" s="13"/>
      <c r="BM1007" s="13"/>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c r="CP1007" s="13"/>
      <c r="CQ1007" s="13"/>
      <c r="CR1007" s="13"/>
      <c r="CS1007" s="13"/>
      <c r="CT1007" s="13"/>
      <c r="CU1007" s="13"/>
      <c r="CV1007" s="13"/>
      <c r="CW1007" s="13"/>
      <c r="CX1007" s="13"/>
      <c r="CY1007" s="13"/>
      <c r="CZ1007" s="13"/>
      <c r="DA1007" s="13"/>
      <c r="DB1007" s="13"/>
      <c r="DC1007" s="13"/>
      <c r="DD1007" s="13"/>
      <c r="DE1007" s="13"/>
      <c r="DF1007" s="13"/>
      <c r="DG1007" s="13"/>
      <c r="DH1007" s="13"/>
      <c r="DI1007" s="13"/>
      <c r="DJ1007" s="13"/>
      <c r="DK1007" s="13"/>
      <c r="DL1007" s="13"/>
      <c r="DM1007" s="13"/>
      <c r="DN1007" s="13"/>
      <c r="DO1007" s="13"/>
      <c r="DP1007" s="13"/>
      <c r="DQ1007" s="13"/>
      <c r="DR1007" s="13"/>
      <c r="DS1007" s="13"/>
      <c r="DT1007" s="13"/>
      <c r="DU1007" s="13"/>
      <c r="DV1007" s="13"/>
      <c r="DW1007" s="13"/>
      <c r="DX1007" s="13"/>
      <c r="DY1007" s="13"/>
      <c r="DZ1007" s="13"/>
      <c r="EA1007" s="13"/>
    </row>
    <row r="1008" spans="1:131" ht="11.25">
      <c r="A1008" s="1"/>
      <c r="B1008" s="1"/>
      <c r="C1008" s="1"/>
      <c r="D1008" s="2"/>
      <c r="E1008" s="2"/>
      <c r="F1008" s="2"/>
      <c r="G1008" s="2"/>
      <c r="H1008" s="2"/>
      <c r="I1008" s="2"/>
      <c r="J1008" s="2"/>
      <c r="K1008" s="2"/>
      <c r="L1008" s="2"/>
      <c r="M1008" s="2"/>
      <c r="R1008" s="275"/>
      <c r="S1008" s="275"/>
      <c r="T1008" s="275"/>
      <c r="U1008" s="275"/>
      <c r="V1008" s="275"/>
      <c r="W1008" s="275"/>
      <c r="X1008" s="275"/>
      <c r="Y1008" s="275"/>
      <c r="Z1008" s="275"/>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c r="BH1008" s="13"/>
      <c r="BI1008" s="13"/>
      <c r="BJ1008" s="13"/>
      <c r="BK1008" s="13"/>
      <c r="BL1008" s="13"/>
      <c r="BM1008" s="13"/>
      <c r="BN1008" s="13"/>
      <c r="BO1008" s="13"/>
      <c r="BP1008" s="13"/>
      <c r="BQ1008" s="13"/>
      <c r="BR1008" s="13"/>
      <c r="BS1008" s="13"/>
      <c r="BT1008" s="13"/>
      <c r="BU1008" s="13"/>
      <c r="BV1008" s="13"/>
      <c r="BW1008" s="13"/>
      <c r="BX1008" s="13"/>
      <c r="BY1008" s="13"/>
      <c r="BZ1008" s="13"/>
      <c r="CA1008" s="13"/>
      <c r="CB1008" s="13"/>
      <c r="CC1008" s="13"/>
      <c r="CD1008" s="13"/>
      <c r="CE1008" s="13"/>
      <c r="CF1008" s="13"/>
      <c r="CG1008" s="13"/>
      <c r="CH1008" s="13"/>
      <c r="CI1008" s="13"/>
      <c r="CJ1008" s="13"/>
      <c r="CK1008" s="13"/>
      <c r="CL1008" s="13"/>
      <c r="CM1008" s="13"/>
      <c r="CN1008" s="13"/>
      <c r="CO1008" s="13"/>
      <c r="CP1008" s="13"/>
      <c r="CQ1008" s="13"/>
      <c r="CR1008" s="13"/>
      <c r="CS1008" s="13"/>
      <c r="CT1008" s="13"/>
      <c r="CU1008" s="13"/>
      <c r="CV1008" s="13"/>
      <c r="CW1008" s="13"/>
      <c r="CX1008" s="13"/>
      <c r="CY1008" s="13"/>
      <c r="CZ1008" s="13"/>
      <c r="DA1008" s="13"/>
      <c r="DB1008" s="13"/>
      <c r="DC1008" s="13"/>
      <c r="DD1008" s="13"/>
      <c r="DE1008" s="13"/>
      <c r="DF1008" s="13"/>
      <c r="DG1008" s="13"/>
      <c r="DH1008" s="13"/>
      <c r="DI1008" s="13"/>
      <c r="DJ1008" s="13"/>
      <c r="DK1008" s="13"/>
      <c r="DL1008" s="13"/>
      <c r="DM1008" s="13"/>
      <c r="DN1008" s="13"/>
      <c r="DO1008" s="13"/>
      <c r="DP1008" s="13"/>
      <c r="DQ1008" s="13"/>
      <c r="DR1008" s="13"/>
      <c r="DS1008" s="13"/>
      <c r="DT1008" s="13"/>
      <c r="DU1008" s="13"/>
      <c r="DV1008" s="13"/>
      <c r="DW1008" s="13"/>
      <c r="DX1008" s="13"/>
      <c r="DY1008" s="13"/>
      <c r="DZ1008" s="13"/>
      <c r="EA1008" s="13"/>
    </row>
    <row r="1009" spans="1:131" ht="11.25">
      <c r="A1009" s="1"/>
      <c r="B1009" s="1"/>
      <c r="C1009" s="1"/>
      <c r="D1009" s="2"/>
      <c r="E1009" s="2"/>
      <c r="F1009" s="2"/>
      <c r="G1009" s="2"/>
      <c r="H1009" s="2"/>
      <c r="I1009" s="2"/>
      <c r="J1009" s="2"/>
      <c r="K1009" s="2"/>
      <c r="L1009" s="2"/>
      <c r="M1009" s="2"/>
      <c r="R1009" s="275"/>
      <c r="S1009" s="275"/>
      <c r="T1009" s="275"/>
      <c r="U1009" s="275"/>
      <c r="V1009" s="275"/>
      <c r="W1009" s="275"/>
      <c r="X1009" s="275"/>
      <c r="Y1009" s="275"/>
      <c r="Z1009" s="275"/>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13"/>
      <c r="AZ1009" s="13"/>
      <c r="BA1009" s="13"/>
      <c r="BB1009" s="13"/>
      <c r="BC1009" s="13"/>
      <c r="BD1009" s="13"/>
      <c r="BE1009" s="13"/>
      <c r="BF1009" s="13"/>
      <c r="BG1009" s="13"/>
      <c r="BH1009" s="13"/>
      <c r="BI1009" s="13"/>
      <c r="BJ1009" s="13"/>
      <c r="BK1009" s="13"/>
      <c r="BL1009" s="13"/>
      <c r="BM1009" s="13"/>
      <c r="BN1009" s="13"/>
      <c r="BO1009" s="13"/>
      <c r="BP1009" s="13"/>
      <c r="BQ1009" s="13"/>
      <c r="BR1009" s="13"/>
      <c r="BS1009" s="13"/>
      <c r="BT1009" s="13"/>
      <c r="BU1009" s="13"/>
      <c r="BV1009" s="13"/>
      <c r="BW1009" s="13"/>
      <c r="BX1009" s="13"/>
      <c r="BY1009" s="13"/>
      <c r="BZ1009" s="13"/>
      <c r="CA1009" s="13"/>
      <c r="CB1009" s="13"/>
      <c r="CC1009" s="13"/>
      <c r="CD1009" s="13"/>
      <c r="CE1009" s="13"/>
      <c r="CF1009" s="13"/>
      <c r="CG1009" s="13"/>
      <c r="CH1009" s="13"/>
      <c r="CI1009" s="13"/>
      <c r="CJ1009" s="13"/>
      <c r="CK1009" s="13"/>
      <c r="CL1009" s="13"/>
      <c r="CM1009" s="13"/>
      <c r="CN1009" s="13"/>
      <c r="CO1009" s="13"/>
      <c r="CP1009" s="13"/>
      <c r="CQ1009" s="13"/>
      <c r="CR1009" s="13"/>
      <c r="CS1009" s="13"/>
      <c r="CT1009" s="13"/>
      <c r="CU1009" s="13"/>
      <c r="CV1009" s="13"/>
      <c r="CW1009" s="13"/>
      <c r="CX1009" s="13"/>
      <c r="CY1009" s="13"/>
      <c r="CZ1009" s="13"/>
      <c r="DA1009" s="13"/>
      <c r="DB1009" s="13"/>
      <c r="DC1009" s="13"/>
      <c r="DD1009" s="13"/>
      <c r="DE1009" s="13"/>
      <c r="DF1009" s="13"/>
      <c r="DG1009" s="13"/>
      <c r="DH1009" s="13"/>
      <c r="DI1009" s="13"/>
      <c r="DJ1009" s="13"/>
      <c r="DK1009" s="13"/>
      <c r="DL1009" s="13"/>
      <c r="DM1009" s="13"/>
      <c r="DN1009" s="13"/>
      <c r="DO1009" s="13"/>
      <c r="DP1009" s="13"/>
      <c r="DQ1009" s="13"/>
      <c r="DR1009" s="13"/>
      <c r="DS1009" s="13"/>
      <c r="DT1009" s="13"/>
      <c r="DU1009" s="13"/>
      <c r="DV1009" s="13"/>
      <c r="DW1009" s="13"/>
      <c r="DX1009" s="13"/>
      <c r="DY1009" s="13"/>
      <c r="DZ1009" s="13"/>
      <c r="EA1009" s="13"/>
    </row>
    <row r="1010" spans="1:131" ht="11.25">
      <c r="A1010" s="1"/>
      <c r="B1010" s="1"/>
      <c r="C1010" s="1"/>
      <c r="D1010" s="2"/>
      <c r="E1010" s="2"/>
      <c r="F1010" s="2"/>
      <c r="G1010" s="2"/>
      <c r="H1010" s="2"/>
      <c r="I1010" s="2"/>
      <c r="J1010" s="2"/>
      <c r="K1010" s="2"/>
      <c r="L1010" s="2"/>
      <c r="M1010" s="2"/>
      <c r="R1010" s="275"/>
      <c r="S1010" s="275"/>
      <c r="T1010" s="275"/>
      <c r="U1010" s="275"/>
      <c r="V1010" s="275"/>
      <c r="W1010" s="275"/>
      <c r="X1010" s="275"/>
      <c r="Y1010" s="275"/>
      <c r="Z1010" s="275"/>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c r="CC1010" s="13"/>
      <c r="CD1010" s="13"/>
      <c r="CE1010" s="13"/>
      <c r="CF1010" s="13"/>
      <c r="CG1010" s="13"/>
      <c r="CH1010" s="13"/>
      <c r="CI1010" s="13"/>
      <c r="CJ1010" s="13"/>
      <c r="CK1010" s="13"/>
      <c r="CL1010" s="13"/>
      <c r="CM1010" s="13"/>
      <c r="CN1010" s="13"/>
      <c r="CO1010" s="13"/>
      <c r="CP1010" s="13"/>
      <c r="CQ1010" s="13"/>
      <c r="CR1010" s="13"/>
      <c r="CS1010" s="13"/>
      <c r="CT1010" s="13"/>
      <c r="CU1010" s="13"/>
      <c r="CV1010" s="13"/>
      <c r="CW1010" s="13"/>
      <c r="CX1010" s="13"/>
      <c r="CY1010" s="13"/>
      <c r="CZ1010" s="13"/>
      <c r="DA1010" s="13"/>
      <c r="DB1010" s="13"/>
      <c r="DC1010" s="13"/>
      <c r="DD1010" s="13"/>
      <c r="DE1010" s="13"/>
      <c r="DF1010" s="13"/>
      <c r="DG1010" s="13"/>
      <c r="DH1010" s="13"/>
      <c r="DI1010" s="13"/>
      <c r="DJ1010" s="13"/>
      <c r="DK1010" s="13"/>
      <c r="DL1010" s="13"/>
      <c r="DM1010" s="13"/>
      <c r="DN1010" s="13"/>
      <c r="DO1010" s="13"/>
      <c r="DP1010" s="13"/>
      <c r="DQ1010" s="13"/>
      <c r="DR1010" s="13"/>
      <c r="DS1010" s="13"/>
      <c r="DT1010" s="13"/>
      <c r="DU1010" s="13"/>
      <c r="DV1010" s="13"/>
      <c r="DW1010" s="13"/>
      <c r="DX1010" s="13"/>
      <c r="DY1010" s="13"/>
      <c r="DZ1010" s="13"/>
      <c r="EA1010" s="13"/>
    </row>
    <row r="1011" spans="1:131" ht="11.25">
      <c r="A1011" s="1"/>
      <c r="B1011" s="1"/>
      <c r="C1011" s="1"/>
      <c r="D1011" s="2"/>
      <c r="E1011" s="2"/>
      <c r="F1011" s="2"/>
      <c r="G1011" s="2"/>
      <c r="H1011" s="2"/>
      <c r="I1011" s="2"/>
      <c r="J1011" s="2"/>
      <c r="K1011" s="2"/>
      <c r="L1011" s="2"/>
      <c r="M1011" s="2"/>
      <c r="R1011" s="275"/>
      <c r="S1011" s="275"/>
      <c r="T1011" s="275"/>
      <c r="U1011" s="275"/>
      <c r="V1011" s="275"/>
      <c r="W1011" s="275"/>
      <c r="X1011" s="275"/>
      <c r="Y1011" s="275"/>
      <c r="Z1011" s="275"/>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c r="BP1011" s="13"/>
      <c r="BQ1011" s="13"/>
      <c r="BR1011" s="13"/>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c r="CP1011" s="13"/>
      <c r="CQ1011" s="13"/>
      <c r="CR1011" s="13"/>
      <c r="CS1011" s="13"/>
      <c r="CT1011" s="13"/>
      <c r="CU1011" s="13"/>
      <c r="CV1011" s="13"/>
      <c r="CW1011" s="13"/>
      <c r="CX1011" s="13"/>
      <c r="CY1011" s="13"/>
      <c r="CZ1011" s="13"/>
      <c r="DA1011" s="13"/>
      <c r="DB1011" s="13"/>
      <c r="DC1011" s="13"/>
      <c r="DD1011" s="13"/>
      <c r="DE1011" s="13"/>
      <c r="DF1011" s="13"/>
      <c r="DG1011" s="13"/>
      <c r="DH1011" s="13"/>
      <c r="DI1011" s="13"/>
      <c r="DJ1011" s="13"/>
      <c r="DK1011" s="13"/>
      <c r="DL1011" s="13"/>
      <c r="DM1011" s="13"/>
      <c r="DN1011" s="13"/>
      <c r="DO1011" s="13"/>
      <c r="DP1011" s="13"/>
      <c r="DQ1011" s="13"/>
      <c r="DR1011" s="13"/>
      <c r="DS1011" s="13"/>
      <c r="DT1011" s="13"/>
      <c r="DU1011" s="13"/>
      <c r="DV1011" s="13"/>
      <c r="DW1011" s="13"/>
      <c r="DX1011" s="13"/>
      <c r="DY1011" s="13"/>
      <c r="DZ1011" s="13"/>
      <c r="EA1011" s="13"/>
    </row>
    <row r="1012" spans="1:131" ht="11.25">
      <c r="A1012" s="1"/>
      <c r="B1012" s="1"/>
      <c r="C1012" s="1"/>
      <c r="D1012" s="2"/>
      <c r="E1012" s="2"/>
      <c r="F1012" s="2"/>
      <c r="G1012" s="2"/>
      <c r="H1012" s="2"/>
      <c r="I1012" s="2"/>
      <c r="J1012" s="2"/>
      <c r="K1012" s="2"/>
      <c r="L1012" s="2"/>
      <c r="M1012" s="2"/>
      <c r="R1012" s="275"/>
      <c r="S1012" s="275"/>
      <c r="T1012" s="275"/>
      <c r="U1012" s="275"/>
      <c r="V1012" s="275"/>
      <c r="W1012" s="275"/>
      <c r="X1012" s="275"/>
      <c r="Y1012" s="275"/>
      <c r="Z1012" s="275"/>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c r="AZ1012" s="13"/>
      <c r="BA1012" s="13"/>
      <c r="BB1012" s="13"/>
      <c r="BC1012" s="13"/>
      <c r="BD1012" s="13"/>
      <c r="BE1012" s="13"/>
      <c r="BF1012" s="13"/>
      <c r="BG1012" s="13"/>
      <c r="BH1012" s="13"/>
      <c r="BI1012" s="13"/>
      <c r="BJ1012" s="13"/>
      <c r="BK1012" s="13"/>
      <c r="BL1012" s="13"/>
      <c r="BM1012" s="13"/>
      <c r="BN1012" s="13"/>
      <c r="BO1012" s="13"/>
      <c r="BP1012" s="13"/>
      <c r="BQ1012" s="13"/>
      <c r="BR1012" s="13"/>
      <c r="BS1012" s="13"/>
      <c r="BT1012" s="13"/>
      <c r="BU1012" s="13"/>
      <c r="BV1012" s="13"/>
      <c r="BW1012" s="13"/>
      <c r="BX1012" s="13"/>
      <c r="BY1012" s="13"/>
      <c r="BZ1012" s="13"/>
      <c r="CA1012" s="13"/>
      <c r="CB1012" s="13"/>
      <c r="CC1012" s="13"/>
      <c r="CD1012" s="13"/>
      <c r="CE1012" s="13"/>
      <c r="CF1012" s="13"/>
      <c r="CG1012" s="13"/>
      <c r="CH1012" s="13"/>
      <c r="CI1012" s="13"/>
      <c r="CJ1012" s="13"/>
      <c r="CK1012" s="13"/>
      <c r="CL1012" s="13"/>
      <c r="CM1012" s="13"/>
      <c r="CN1012" s="13"/>
      <c r="CO1012" s="13"/>
      <c r="CP1012" s="13"/>
      <c r="CQ1012" s="13"/>
      <c r="CR1012" s="13"/>
      <c r="CS1012" s="13"/>
      <c r="CT1012" s="13"/>
      <c r="CU1012" s="13"/>
      <c r="CV1012" s="13"/>
      <c r="CW1012" s="13"/>
      <c r="CX1012" s="13"/>
      <c r="CY1012" s="13"/>
      <c r="CZ1012" s="13"/>
      <c r="DA1012" s="13"/>
      <c r="DB1012" s="13"/>
      <c r="DC1012" s="13"/>
      <c r="DD1012" s="13"/>
      <c r="DE1012" s="13"/>
      <c r="DF1012" s="13"/>
      <c r="DG1012" s="13"/>
      <c r="DH1012" s="13"/>
      <c r="DI1012" s="13"/>
      <c r="DJ1012" s="13"/>
      <c r="DK1012" s="13"/>
      <c r="DL1012" s="13"/>
      <c r="DM1012" s="13"/>
      <c r="DN1012" s="13"/>
      <c r="DO1012" s="13"/>
      <c r="DP1012" s="13"/>
      <c r="DQ1012" s="13"/>
      <c r="DR1012" s="13"/>
      <c r="DS1012" s="13"/>
      <c r="DT1012" s="13"/>
      <c r="DU1012" s="13"/>
      <c r="DV1012" s="13"/>
      <c r="DW1012" s="13"/>
      <c r="DX1012" s="13"/>
      <c r="DY1012" s="13"/>
      <c r="DZ1012" s="13"/>
      <c r="EA1012" s="13"/>
    </row>
    <row r="1013" spans="1:131" ht="11.25">
      <c r="A1013" s="1"/>
      <c r="B1013" s="1"/>
      <c r="C1013" s="1"/>
      <c r="D1013" s="2"/>
      <c r="E1013" s="2"/>
      <c r="F1013" s="2"/>
      <c r="G1013" s="2"/>
      <c r="H1013" s="2"/>
      <c r="I1013" s="2"/>
      <c r="J1013" s="2"/>
      <c r="K1013" s="2"/>
      <c r="L1013" s="2"/>
      <c r="M1013" s="2"/>
      <c r="R1013" s="275"/>
      <c r="S1013" s="275"/>
      <c r="T1013" s="275"/>
      <c r="U1013" s="275"/>
      <c r="V1013" s="275"/>
      <c r="W1013" s="275"/>
      <c r="X1013" s="275"/>
      <c r="Y1013" s="275"/>
      <c r="Z1013" s="275"/>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c r="BD1013" s="13"/>
      <c r="BE1013" s="13"/>
      <c r="BF1013" s="13"/>
      <c r="BG1013" s="13"/>
      <c r="BH1013" s="13"/>
      <c r="BI1013" s="13"/>
      <c r="BJ1013" s="13"/>
      <c r="BK1013" s="13"/>
      <c r="BL1013" s="13"/>
      <c r="BM1013" s="13"/>
      <c r="BN1013" s="13"/>
      <c r="BO1013" s="13"/>
      <c r="BP1013" s="13"/>
      <c r="BQ1013" s="13"/>
      <c r="BR1013" s="13"/>
      <c r="BS1013" s="13"/>
      <c r="BT1013" s="13"/>
      <c r="BU1013" s="13"/>
      <c r="BV1013" s="13"/>
      <c r="BW1013" s="13"/>
      <c r="BX1013" s="13"/>
      <c r="BY1013" s="13"/>
      <c r="BZ1013" s="13"/>
      <c r="CA1013" s="13"/>
      <c r="CB1013" s="13"/>
      <c r="CC1013" s="13"/>
      <c r="CD1013" s="13"/>
      <c r="CE1013" s="13"/>
      <c r="CF1013" s="13"/>
      <c r="CG1013" s="13"/>
      <c r="CH1013" s="13"/>
      <c r="CI1013" s="13"/>
      <c r="CJ1013" s="13"/>
      <c r="CK1013" s="13"/>
      <c r="CL1013" s="13"/>
      <c r="CM1013" s="13"/>
      <c r="CN1013" s="13"/>
      <c r="CO1013" s="13"/>
      <c r="CP1013" s="13"/>
      <c r="CQ1013" s="13"/>
      <c r="CR1013" s="13"/>
      <c r="CS1013" s="13"/>
      <c r="CT1013" s="13"/>
      <c r="CU1013" s="13"/>
      <c r="CV1013" s="13"/>
      <c r="CW1013" s="13"/>
      <c r="CX1013" s="13"/>
      <c r="CY1013" s="13"/>
      <c r="CZ1013" s="13"/>
      <c r="DA1013" s="13"/>
      <c r="DB1013" s="13"/>
      <c r="DC1013" s="13"/>
      <c r="DD1013" s="13"/>
      <c r="DE1013" s="13"/>
      <c r="DF1013" s="13"/>
      <c r="DG1013" s="13"/>
      <c r="DH1013" s="13"/>
      <c r="DI1013" s="13"/>
      <c r="DJ1013" s="13"/>
      <c r="DK1013" s="13"/>
      <c r="DL1013" s="13"/>
      <c r="DM1013" s="13"/>
      <c r="DN1013" s="13"/>
      <c r="DO1013" s="13"/>
      <c r="DP1013" s="13"/>
      <c r="DQ1013" s="13"/>
      <c r="DR1013" s="13"/>
      <c r="DS1013" s="13"/>
      <c r="DT1013" s="13"/>
      <c r="DU1013" s="13"/>
      <c r="DV1013" s="13"/>
      <c r="DW1013" s="13"/>
      <c r="DX1013" s="13"/>
      <c r="DY1013" s="13"/>
      <c r="DZ1013" s="13"/>
      <c r="EA1013" s="13"/>
    </row>
    <row r="1014" spans="1:131" ht="11.25">
      <c r="A1014" s="1"/>
      <c r="B1014" s="1"/>
      <c r="C1014" s="1"/>
      <c r="D1014" s="2"/>
      <c r="E1014" s="2"/>
      <c r="F1014" s="2"/>
      <c r="G1014" s="2"/>
      <c r="H1014" s="2"/>
      <c r="I1014" s="2"/>
      <c r="J1014" s="2"/>
      <c r="K1014" s="2"/>
      <c r="L1014" s="2"/>
      <c r="M1014" s="2"/>
      <c r="R1014" s="275"/>
      <c r="S1014" s="275"/>
      <c r="T1014" s="275"/>
      <c r="U1014" s="275"/>
      <c r="V1014" s="275"/>
      <c r="W1014" s="275"/>
      <c r="X1014" s="275"/>
      <c r="Y1014" s="275"/>
      <c r="Z1014" s="275"/>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c r="CY1014" s="13"/>
      <c r="CZ1014" s="13"/>
      <c r="DA1014" s="13"/>
      <c r="DB1014" s="13"/>
      <c r="DC1014" s="13"/>
      <c r="DD1014" s="13"/>
      <c r="DE1014" s="13"/>
      <c r="DF1014" s="13"/>
      <c r="DG1014" s="13"/>
      <c r="DH1014" s="13"/>
      <c r="DI1014" s="13"/>
      <c r="DJ1014" s="13"/>
      <c r="DK1014" s="13"/>
      <c r="DL1014" s="13"/>
      <c r="DM1014" s="13"/>
      <c r="DN1014" s="13"/>
      <c r="DO1014" s="13"/>
      <c r="DP1014" s="13"/>
      <c r="DQ1014" s="13"/>
      <c r="DR1014" s="13"/>
      <c r="DS1014" s="13"/>
      <c r="DT1014" s="13"/>
      <c r="DU1014" s="13"/>
      <c r="DV1014" s="13"/>
      <c r="DW1014" s="13"/>
      <c r="DX1014" s="13"/>
      <c r="DY1014" s="13"/>
      <c r="DZ1014" s="13"/>
      <c r="EA1014" s="13"/>
    </row>
    <row r="1015" spans="1:131" ht="11.25">
      <c r="A1015" s="1"/>
      <c r="B1015" s="1"/>
      <c r="C1015" s="1"/>
      <c r="D1015" s="2"/>
      <c r="E1015" s="2"/>
      <c r="F1015" s="2"/>
      <c r="G1015" s="2"/>
      <c r="H1015" s="2"/>
      <c r="I1015" s="2"/>
      <c r="J1015" s="2"/>
      <c r="K1015" s="2"/>
      <c r="L1015" s="2"/>
      <c r="M1015" s="2"/>
      <c r="R1015" s="275"/>
      <c r="S1015" s="275"/>
      <c r="T1015" s="275"/>
      <c r="U1015" s="275"/>
      <c r="V1015" s="275"/>
      <c r="W1015" s="275"/>
      <c r="X1015" s="275"/>
      <c r="Y1015" s="275"/>
      <c r="Z1015" s="275"/>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c r="BJ1015" s="13"/>
      <c r="BK1015" s="13"/>
      <c r="BL1015" s="13"/>
      <c r="BM1015" s="13"/>
      <c r="BN1015" s="13"/>
      <c r="BO1015" s="13"/>
      <c r="BP1015" s="13"/>
      <c r="BQ1015" s="13"/>
      <c r="BR1015" s="13"/>
      <c r="BS1015" s="13"/>
      <c r="BT1015" s="13"/>
      <c r="BU1015" s="13"/>
      <c r="BV1015" s="13"/>
      <c r="BW1015" s="13"/>
      <c r="BX1015" s="13"/>
      <c r="BY1015" s="13"/>
      <c r="BZ1015" s="13"/>
      <c r="CA1015" s="13"/>
      <c r="CB1015" s="13"/>
      <c r="CC1015" s="13"/>
      <c r="CD1015" s="13"/>
      <c r="CE1015" s="13"/>
      <c r="CF1015" s="13"/>
      <c r="CG1015" s="13"/>
      <c r="CH1015" s="13"/>
      <c r="CI1015" s="13"/>
      <c r="CJ1015" s="13"/>
      <c r="CK1015" s="13"/>
      <c r="CL1015" s="13"/>
      <c r="CM1015" s="13"/>
      <c r="CN1015" s="13"/>
      <c r="CO1015" s="13"/>
      <c r="CP1015" s="13"/>
      <c r="CQ1015" s="13"/>
      <c r="CR1015" s="13"/>
      <c r="CS1015" s="13"/>
      <c r="CT1015" s="13"/>
      <c r="CU1015" s="13"/>
      <c r="CV1015" s="13"/>
      <c r="CW1015" s="13"/>
      <c r="CX1015" s="13"/>
      <c r="CY1015" s="13"/>
      <c r="CZ1015" s="13"/>
      <c r="DA1015" s="13"/>
      <c r="DB1015" s="13"/>
      <c r="DC1015" s="13"/>
      <c r="DD1015" s="13"/>
      <c r="DE1015" s="13"/>
      <c r="DF1015" s="13"/>
      <c r="DG1015" s="13"/>
      <c r="DH1015" s="13"/>
      <c r="DI1015" s="13"/>
      <c r="DJ1015" s="13"/>
      <c r="DK1015" s="13"/>
      <c r="DL1015" s="13"/>
      <c r="DM1015" s="13"/>
      <c r="DN1015" s="13"/>
      <c r="DO1015" s="13"/>
      <c r="DP1015" s="13"/>
      <c r="DQ1015" s="13"/>
      <c r="DR1015" s="13"/>
      <c r="DS1015" s="13"/>
      <c r="DT1015" s="13"/>
      <c r="DU1015" s="13"/>
      <c r="DV1015" s="13"/>
      <c r="DW1015" s="13"/>
      <c r="DX1015" s="13"/>
      <c r="DY1015" s="13"/>
      <c r="DZ1015" s="13"/>
      <c r="EA1015" s="13"/>
    </row>
    <row r="1016" spans="1:131" ht="11.25">
      <c r="A1016" s="1"/>
      <c r="B1016" s="1"/>
      <c r="C1016" s="1"/>
      <c r="D1016" s="2"/>
      <c r="E1016" s="2"/>
      <c r="F1016" s="2"/>
      <c r="G1016" s="2"/>
      <c r="H1016" s="2"/>
      <c r="I1016" s="2"/>
      <c r="J1016" s="2"/>
      <c r="K1016" s="2"/>
      <c r="L1016" s="2"/>
      <c r="M1016" s="2"/>
      <c r="R1016" s="275"/>
      <c r="S1016" s="275"/>
      <c r="T1016" s="275"/>
      <c r="U1016" s="275"/>
      <c r="V1016" s="275"/>
      <c r="W1016" s="275"/>
      <c r="X1016" s="275"/>
      <c r="Y1016" s="275"/>
      <c r="Z1016" s="275"/>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c r="AZ1016" s="13"/>
      <c r="BA1016" s="13"/>
      <c r="BB1016" s="13"/>
      <c r="BC1016" s="13"/>
      <c r="BD1016" s="13"/>
      <c r="BE1016" s="13"/>
      <c r="BF1016" s="13"/>
      <c r="BG1016" s="13"/>
      <c r="BH1016" s="13"/>
      <c r="BI1016" s="13"/>
      <c r="BJ1016" s="13"/>
      <c r="BK1016" s="13"/>
      <c r="BL1016" s="13"/>
      <c r="BM1016" s="13"/>
      <c r="BN1016" s="13"/>
      <c r="BO1016" s="13"/>
      <c r="BP1016" s="13"/>
      <c r="BQ1016" s="13"/>
      <c r="BR1016" s="13"/>
      <c r="BS1016" s="13"/>
      <c r="BT1016" s="13"/>
      <c r="BU1016" s="13"/>
      <c r="BV1016" s="13"/>
      <c r="BW1016" s="13"/>
      <c r="BX1016" s="13"/>
      <c r="BY1016" s="13"/>
      <c r="BZ1016" s="13"/>
      <c r="CA1016" s="13"/>
      <c r="CB1016" s="13"/>
      <c r="CC1016" s="13"/>
      <c r="CD1016" s="13"/>
      <c r="CE1016" s="13"/>
      <c r="CF1016" s="13"/>
      <c r="CG1016" s="13"/>
      <c r="CH1016" s="13"/>
      <c r="CI1016" s="13"/>
      <c r="CJ1016" s="13"/>
      <c r="CK1016" s="13"/>
      <c r="CL1016" s="13"/>
      <c r="CM1016" s="13"/>
      <c r="CN1016" s="13"/>
      <c r="CO1016" s="13"/>
      <c r="CP1016" s="13"/>
      <c r="CQ1016" s="13"/>
      <c r="CR1016" s="13"/>
      <c r="CS1016" s="13"/>
      <c r="CT1016" s="13"/>
      <c r="CU1016" s="13"/>
      <c r="CV1016" s="13"/>
      <c r="CW1016" s="13"/>
      <c r="CX1016" s="13"/>
      <c r="CY1016" s="13"/>
      <c r="CZ1016" s="13"/>
      <c r="DA1016" s="13"/>
      <c r="DB1016" s="13"/>
      <c r="DC1016" s="13"/>
      <c r="DD1016" s="13"/>
      <c r="DE1016" s="13"/>
      <c r="DF1016" s="13"/>
      <c r="DG1016" s="13"/>
      <c r="DH1016" s="13"/>
      <c r="DI1016" s="13"/>
      <c r="DJ1016" s="13"/>
      <c r="DK1016" s="13"/>
      <c r="DL1016" s="13"/>
      <c r="DM1016" s="13"/>
      <c r="DN1016" s="13"/>
      <c r="DO1016" s="13"/>
      <c r="DP1016" s="13"/>
      <c r="DQ1016" s="13"/>
      <c r="DR1016" s="13"/>
      <c r="DS1016" s="13"/>
      <c r="DT1016" s="13"/>
      <c r="DU1016" s="13"/>
      <c r="DV1016" s="13"/>
      <c r="DW1016" s="13"/>
      <c r="DX1016" s="13"/>
      <c r="DY1016" s="13"/>
      <c r="DZ1016" s="13"/>
      <c r="EA1016" s="13"/>
    </row>
    <row r="1017" spans="1:131" ht="11.25">
      <c r="A1017" s="1"/>
      <c r="B1017" s="1"/>
      <c r="C1017" s="1"/>
      <c r="D1017" s="2"/>
      <c r="E1017" s="2"/>
      <c r="F1017" s="2"/>
      <c r="G1017" s="2"/>
      <c r="H1017" s="2"/>
      <c r="I1017" s="2"/>
      <c r="J1017" s="2"/>
      <c r="K1017" s="2"/>
      <c r="L1017" s="2"/>
      <c r="M1017" s="2"/>
      <c r="R1017" s="275"/>
      <c r="S1017" s="275"/>
      <c r="T1017" s="275"/>
      <c r="U1017" s="275"/>
      <c r="V1017" s="275"/>
      <c r="W1017" s="275"/>
      <c r="X1017" s="275"/>
      <c r="Y1017" s="275"/>
      <c r="Z1017" s="275"/>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c r="AZ1017" s="13"/>
      <c r="BA1017" s="13"/>
      <c r="BB1017" s="13"/>
      <c r="BC1017" s="13"/>
      <c r="BD1017" s="13"/>
      <c r="BE1017" s="13"/>
      <c r="BF1017" s="13"/>
      <c r="BG1017" s="13"/>
      <c r="BH1017" s="13"/>
      <c r="BI1017" s="13"/>
      <c r="BJ1017" s="13"/>
      <c r="BK1017" s="13"/>
      <c r="BL1017" s="13"/>
      <c r="BM1017" s="13"/>
      <c r="BN1017" s="13"/>
      <c r="BO1017" s="13"/>
      <c r="BP1017" s="13"/>
      <c r="BQ1017" s="13"/>
      <c r="BR1017" s="13"/>
      <c r="BS1017" s="13"/>
      <c r="BT1017" s="13"/>
      <c r="BU1017" s="13"/>
      <c r="BV1017" s="13"/>
      <c r="BW1017" s="13"/>
      <c r="BX1017" s="13"/>
      <c r="BY1017" s="13"/>
      <c r="BZ1017" s="13"/>
      <c r="CA1017" s="13"/>
      <c r="CB1017" s="13"/>
      <c r="CC1017" s="13"/>
      <c r="CD1017" s="13"/>
      <c r="CE1017" s="13"/>
      <c r="CF1017" s="13"/>
      <c r="CG1017" s="13"/>
      <c r="CH1017" s="13"/>
      <c r="CI1017" s="13"/>
      <c r="CJ1017" s="13"/>
      <c r="CK1017" s="13"/>
      <c r="CL1017" s="13"/>
      <c r="CM1017" s="13"/>
      <c r="CN1017" s="13"/>
      <c r="CO1017" s="13"/>
      <c r="CP1017" s="13"/>
      <c r="CQ1017" s="13"/>
      <c r="CR1017" s="13"/>
      <c r="CS1017" s="13"/>
      <c r="CT1017" s="13"/>
      <c r="CU1017" s="13"/>
      <c r="CV1017" s="13"/>
      <c r="CW1017" s="13"/>
      <c r="CX1017" s="13"/>
      <c r="CY1017" s="13"/>
      <c r="CZ1017" s="13"/>
      <c r="DA1017" s="13"/>
      <c r="DB1017" s="13"/>
      <c r="DC1017" s="13"/>
      <c r="DD1017" s="13"/>
      <c r="DE1017" s="13"/>
      <c r="DF1017" s="13"/>
      <c r="DG1017" s="13"/>
      <c r="DH1017" s="13"/>
      <c r="DI1017" s="13"/>
      <c r="DJ1017" s="13"/>
      <c r="DK1017" s="13"/>
      <c r="DL1017" s="13"/>
      <c r="DM1017" s="13"/>
      <c r="DN1017" s="13"/>
      <c r="DO1017" s="13"/>
      <c r="DP1017" s="13"/>
      <c r="DQ1017" s="13"/>
      <c r="DR1017" s="13"/>
      <c r="DS1017" s="13"/>
      <c r="DT1017" s="13"/>
      <c r="DU1017" s="13"/>
      <c r="DV1017" s="13"/>
      <c r="DW1017" s="13"/>
      <c r="DX1017" s="13"/>
      <c r="DY1017" s="13"/>
      <c r="DZ1017" s="13"/>
      <c r="EA1017" s="13"/>
    </row>
    <row r="1018" spans="1:131" ht="11.25">
      <c r="A1018" s="1"/>
      <c r="B1018" s="1"/>
      <c r="C1018" s="1"/>
      <c r="D1018" s="2"/>
      <c r="E1018" s="2"/>
      <c r="F1018" s="2"/>
      <c r="G1018" s="2"/>
      <c r="H1018" s="2"/>
      <c r="I1018" s="2"/>
      <c r="J1018" s="2"/>
      <c r="K1018" s="2"/>
      <c r="L1018" s="2"/>
      <c r="M1018" s="2"/>
      <c r="R1018" s="275"/>
      <c r="S1018" s="275"/>
      <c r="T1018" s="275"/>
      <c r="U1018" s="275"/>
      <c r="V1018" s="275"/>
      <c r="W1018" s="275"/>
      <c r="X1018" s="275"/>
      <c r="Y1018" s="275"/>
      <c r="Z1018" s="275"/>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c r="AZ1018" s="13"/>
      <c r="BA1018" s="13"/>
      <c r="BB1018" s="13"/>
      <c r="BC1018" s="13"/>
      <c r="BD1018" s="13"/>
      <c r="BE1018" s="13"/>
      <c r="BF1018" s="13"/>
      <c r="BG1018" s="13"/>
      <c r="BH1018" s="13"/>
      <c r="BI1018" s="13"/>
      <c r="BJ1018" s="13"/>
      <c r="BK1018" s="13"/>
      <c r="BL1018" s="13"/>
      <c r="BM1018" s="13"/>
      <c r="BN1018" s="13"/>
      <c r="BO1018" s="13"/>
      <c r="BP1018" s="13"/>
      <c r="BQ1018" s="13"/>
      <c r="BR1018" s="13"/>
      <c r="BS1018" s="13"/>
      <c r="BT1018" s="13"/>
      <c r="BU1018" s="13"/>
      <c r="BV1018" s="13"/>
      <c r="BW1018" s="13"/>
      <c r="BX1018" s="13"/>
      <c r="BY1018" s="13"/>
      <c r="BZ1018" s="13"/>
      <c r="CA1018" s="13"/>
      <c r="CB1018" s="13"/>
      <c r="CC1018" s="13"/>
      <c r="CD1018" s="13"/>
      <c r="CE1018" s="13"/>
      <c r="CF1018" s="13"/>
      <c r="CG1018" s="13"/>
      <c r="CH1018" s="13"/>
      <c r="CI1018" s="13"/>
      <c r="CJ1018" s="13"/>
      <c r="CK1018" s="13"/>
      <c r="CL1018" s="13"/>
      <c r="CM1018" s="13"/>
      <c r="CN1018" s="13"/>
      <c r="CO1018" s="13"/>
      <c r="CP1018" s="13"/>
      <c r="CQ1018" s="13"/>
      <c r="CR1018" s="13"/>
      <c r="CS1018" s="13"/>
      <c r="CT1018" s="13"/>
      <c r="CU1018" s="13"/>
      <c r="CV1018" s="13"/>
      <c r="CW1018" s="13"/>
      <c r="CX1018" s="13"/>
      <c r="CY1018" s="13"/>
      <c r="CZ1018" s="13"/>
      <c r="DA1018" s="13"/>
      <c r="DB1018" s="13"/>
      <c r="DC1018" s="13"/>
      <c r="DD1018" s="13"/>
      <c r="DE1018" s="13"/>
      <c r="DF1018" s="13"/>
      <c r="DG1018" s="13"/>
      <c r="DH1018" s="13"/>
      <c r="DI1018" s="13"/>
      <c r="DJ1018" s="13"/>
      <c r="DK1018" s="13"/>
      <c r="DL1018" s="13"/>
      <c r="DM1018" s="13"/>
      <c r="DN1018" s="13"/>
      <c r="DO1018" s="13"/>
      <c r="DP1018" s="13"/>
      <c r="DQ1018" s="13"/>
      <c r="DR1018" s="13"/>
      <c r="DS1018" s="13"/>
      <c r="DT1018" s="13"/>
      <c r="DU1018" s="13"/>
      <c r="DV1018" s="13"/>
      <c r="DW1018" s="13"/>
      <c r="DX1018" s="13"/>
      <c r="DY1018" s="13"/>
      <c r="DZ1018" s="13"/>
      <c r="EA1018" s="13"/>
    </row>
    <row r="1019" spans="1:131" ht="11.25">
      <c r="A1019" s="1"/>
      <c r="B1019" s="1"/>
      <c r="C1019" s="1"/>
      <c r="D1019" s="2"/>
      <c r="E1019" s="2"/>
      <c r="F1019" s="2"/>
      <c r="G1019" s="2"/>
      <c r="H1019" s="2"/>
      <c r="I1019" s="2"/>
      <c r="J1019" s="2"/>
      <c r="K1019" s="2"/>
      <c r="L1019" s="2"/>
      <c r="M1019" s="2"/>
      <c r="R1019" s="275"/>
      <c r="S1019" s="275"/>
      <c r="T1019" s="275"/>
      <c r="U1019" s="275"/>
      <c r="V1019" s="275"/>
      <c r="W1019" s="275"/>
      <c r="X1019" s="275"/>
      <c r="Y1019" s="275"/>
      <c r="Z1019" s="275"/>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c r="AZ1019" s="13"/>
      <c r="BA1019" s="13"/>
      <c r="BB1019" s="13"/>
      <c r="BC1019" s="13"/>
      <c r="BD1019" s="13"/>
      <c r="BE1019" s="13"/>
      <c r="BF1019" s="13"/>
      <c r="BG1019" s="13"/>
      <c r="BH1019" s="13"/>
      <c r="BI1019" s="13"/>
      <c r="BJ1019" s="13"/>
      <c r="BK1019" s="13"/>
      <c r="BL1019" s="13"/>
      <c r="BM1019" s="13"/>
      <c r="BN1019" s="13"/>
      <c r="BO1019" s="13"/>
      <c r="BP1019" s="13"/>
      <c r="BQ1019" s="13"/>
      <c r="BR1019" s="13"/>
      <c r="BS1019" s="13"/>
      <c r="BT1019" s="13"/>
      <c r="BU1019" s="13"/>
      <c r="BV1019" s="13"/>
      <c r="BW1019" s="13"/>
      <c r="BX1019" s="13"/>
      <c r="BY1019" s="13"/>
      <c r="BZ1019" s="13"/>
      <c r="CA1019" s="13"/>
      <c r="CB1019" s="13"/>
      <c r="CC1019" s="13"/>
      <c r="CD1019" s="13"/>
      <c r="CE1019" s="13"/>
      <c r="CF1019" s="13"/>
      <c r="CG1019" s="13"/>
      <c r="CH1019" s="13"/>
      <c r="CI1019" s="13"/>
      <c r="CJ1019" s="13"/>
      <c r="CK1019" s="13"/>
      <c r="CL1019" s="13"/>
      <c r="CM1019" s="13"/>
      <c r="CN1019" s="13"/>
      <c r="CO1019" s="13"/>
      <c r="CP1019" s="13"/>
      <c r="CQ1019" s="13"/>
      <c r="CR1019" s="13"/>
      <c r="CS1019" s="13"/>
      <c r="CT1019" s="13"/>
      <c r="CU1019" s="13"/>
      <c r="CV1019" s="13"/>
      <c r="CW1019" s="13"/>
      <c r="CX1019" s="13"/>
      <c r="CY1019" s="13"/>
      <c r="CZ1019" s="13"/>
      <c r="DA1019" s="13"/>
      <c r="DB1019" s="13"/>
      <c r="DC1019" s="13"/>
      <c r="DD1019" s="13"/>
      <c r="DE1019" s="13"/>
      <c r="DF1019" s="13"/>
      <c r="DG1019" s="13"/>
      <c r="DH1019" s="13"/>
      <c r="DI1019" s="13"/>
      <c r="DJ1019" s="13"/>
      <c r="DK1019" s="13"/>
      <c r="DL1019" s="13"/>
      <c r="DM1019" s="13"/>
      <c r="DN1019" s="13"/>
      <c r="DO1019" s="13"/>
      <c r="DP1019" s="13"/>
      <c r="DQ1019" s="13"/>
      <c r="DR1019" s="13"/>
      <c r="DS1019" s="13"/>
      <c r="DT1019" s="13"/>
      <c r="DU1019" s="13"/>
      <c r="DV1019" s="13"/>
      <c r="DW1019" s="13"/>
      <c r="DX1019" s="13"/>
      <c r="DY1019" s="13"/>
      <c r="DZ1019" s="13"/>
      <c r="EA1019" s="13"/>
    </row>
    <row r="1020" spans="1:131" ht="11.25">
      <c r="A1020" s="1"/>
      <c r="B1020" s="1"/>
      <c r="C1020" s="1"/>
      <c r="D1020" s="2"/>
      <c r="E1020" s="2"/>
      <c r="F1020" s="2"/>
      <c r="G1020" s="2"/>
      <c r="H1020" s="2"/>
      <c r="I1020" s="2"/>
      <c r="J1020" s="2"/>
      <c r="K1020" s="2"/>
      <c r="L1020" s="2"/>
      <c r="M1020" s="2"/>
      <c r="N1020" s="21"/>
      <c r="O1020" s="21"/>
      <c r="P1020" s="21"/>
      <c r="Q1020" s="13"/>
      <c r="R1020" s="275"/>
      <c r="S1020" s="275"/>
      <c r="T1020" s="275"/>
      <c r="U1020" s="275"/>
      <c r="V1020" s="275"/>
      <c r="W1020" s="275"/>
      <c r="X1020" s="275"/>
      <c r="Y1020" s="275"/>
      <c r="Z1020" s="275"/>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c r="AZ1020" s="13"/>
      <c r="BA1020" s="13"/>
      <c r="BB1020" s="13"/>
      <c r="BC1020" s="13"/>
      <c r="BD1020" s="13"/>
      <c r="BE1020" s="13"/>
      <c r="BF1020" s="13"/>
      <c r="BG1020" s="13"/>
      <c r="BH1020" s="13"/>
      <c r="BI1020" s="13"/>
      <c r="BJ1020" s="13"/>
      <c r="BK1020" s="13"/>
      <c r="BL1020" s="13"/>
      <c r="BM1020" s="13"/>
      <c r="BN1020" s="13"/>
      <c r="BO1020" s="13"/>
      <c r="BP1020" s="13"/>
      <c r="BQ1020" s="13"/>
      <c r="BR1020" s="13"/>
      <c r="BS1020" s="13"/>
      <c r="BT1020" s="13"/>
      <c r="BU1020" s="13"/>
      <c r="BV1020" s="13"/>
      <c r="BW1020" s="13"/>
      <c r="BX1020" s="13"/>
      <c r="BY1020" s="13"/>
      <c r="BZ1020" s="13"/>
      <c r="CA1020" s="13"/>
      <c r="CB1020" s="13"/>
      <c r="CC1020" s="13"/>
      <c r="CD1020" s="13"/>
      <c r="CE1020" s="13"/>
      <c r="CF1020" s="13"/>
      <c r="CG1020" s="13"/>
      <c r="CH1020" s="13"/>
      <c r="CI1020" s="13"/>
      <c r="CJ1020" s="13"/>
      <c r="CK1020" s="13"/>
      <c r="CL1020" s="13"/>
      <c r="CM1020" s="13"/>
      <c r="CN1020" s="13"/>
      <c r="CO1020" s="13"/>
      <c r="CP1020" s="13"/>
      <c r="CQ1020" s="13"/>
      <c r="CR1020" s="13"/>
      <c r="CS1020" s="13"/>
      <c r="CT1020" s="13"/>
      <c r="CU1020" s="13"/>
      <c r="CV1020" s="13"/>
      <c r="CW1020" s="13"/>
      <c r="CX1020" s="13"/>
      <c r="CY1020" s="13"/>
      <c r="CZ1020" s="13"/>
      <c r="DA1020" s="13"/>
      <c r="DB1020" s="13"/>
      <c r="DC1020" s="13"/>
      <c r="DD1020" s="13"/>
      <c r="DE1020" s="13"/>
      <c r="DF1020" s="13"/>
      <c r="DG1020" s="13"/>
      <c r="DH1020" s="13"/>
      <c r="DI1020" s="13"/>
      <c r="DJ1020" s="13"/>
      <c r="DK1020" s="13"/>
      <c r="DL1020" s="13"/>
      <c r="DM1020" s="13"/>
      <c r="DN1020" s="13"/>
      <c r="DO1020" s="13"/>
      <c r="DP1020" s="13"/>
      <c r="DQ1020" s="13"/>
      <c r="DR1020" s="13"/>
      <c r="DS1020" s="13"/>
      <c r="DT1020" s="13"/>
      <c r="DU1020" s="13"/>
      <c r="DV1020" s="13"/>
      <c r="DW1020" s="13"/>
      <c r="DX1020" s="13"/>
      <c r="DY1020" s="13"/>
      <c r="DZ1020" s="13"/>
      <c r="EA1020" s="13"/>
    </row>
    <row r="1021" spans="1:131" ht="11.25">
      <c r="A1021" s="1"/>
      <c r="B1021" s="1"/>
      <c r="C1021" s="1"/>
      <c r="D1021" s="2"/>
      <c r="E1021" s="2"/>
      <c r="F1021" s="2"/>
      <c r="G1021" s="2"/>
      <c r="H1021" s="2"/>
      <c r="I1021" s="2"/>
      <c r="J1021" s="2"/>
      <c r="K1021" s="2"/>
      <c r="L1021" s="2"/>
      <c r="M1021" s="2"/>
      <c r="N1021" s="21"/>
      <c r="O1021" s="21"/>
      <c r="P1021" s="21"/>
      <c r="Q1021" s="13"/>
      <c r="R1021" s="275"/>
      <c r="S1021" s="275"/>
      <c r="T1021" s="275"/>
      <c r="U1021" s="275"/>
      <c r="V1021" s="275"/>
      <c r="W1021" s="275"/>
      <c r="X1021" s="275"/>
      <c r="Y1021" s="275"/>
      <c r="Z1021" s="275"/>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c r="BQ1021" s="13"/>
      <c r="BR1021" s="13"/>
      <c r="BS1021" s="13"/>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c r="CP1021" s="13"/>
      <c r="CQ1021" s="13"/>
      <c r="CR1021" s="13"/>
      <c r="CS1021" s="13"/>
      <c r="CT1021" s="13"/>
      <c r="CU1021" s="13"/>
      <c r="CV1021" s="13"/>
      <c r="CW1021" s="13"/>
      <c r="CX1021" s="13"/>
      <c r="CY1021" s="13"/>
      <c r="CZ1021" s="13"/>
      <c r="DA1021" s="13"/>
      <c r="DB1021" s="13"/>
      <c r="DC1021" s="13"/>
      <c r="DD1021" s="13"/>
      <c r="DE1021" s="13"/>
      <c r="DF1021" s="13"/>
      <c r="DG1021" s="13"/>
      <c r="DH1021" s="13"/>
      <c r="DI1021" s="13"/>
      <c r="DJ1021" s="13"/>
      <c r="DK1021" s="13"/>
      <c r="DL1021" s="13"/>
      <c r="DM1021" s="13"/>
      <c r="DN1021" s="13"/>
      <c r="DO1021" s="13"/>
      <c r="DP1021" s="13"/>
      <c r="DQ1021" s="13"/>
      <c r="DR1021" s="13"/>
      <c r="DS1021" s="13"/>
      <c r="DT1021" s="13"/>
      <c r="DU1021" s="13"/>
      <c r="DV1021" s="13"/>
      <c r="DW1021" s="13"/>
      <c r="DX1021" s="13"/>
      <c r="DY1021" s="13"/>
      <c r="DZ1021" s="13"/>
      <c r="EA1021" s="13"/>
    </row>
    <row r="1022" spans="1:131" ht="11.25">
      <c r="A1022" s="1"/>
      <c r="B1022" s="1"/>
      <c r="C1022" s="1"/>
      <c r="D1022" s="2"/>
      <c r="E1022" s="2"/>
      <c r="F1022" s="2"/>
      <c r="G1022" s="2"/>
      <c r="H1022" s="2"/>
      <c r="I1022" s="2"/>
      <c r="J1022" s="2"/>
      <c r="K1022" s="2"/>
      <c r="L1022" s="2"/>
      <c r="M1022" s="2"/>
      <c r="N1022" s="21"/>
      <c r="O1022" s="21"/>
      <c r="P1022" s="21"/>
      <c r="Q1022" s="13"/>
      <c r="R1022" s="275"/>
      <c r="S1022" s="275"/>
      <c r="T1022" s="275"/>
      <c r="U1022" s="275"/>
      <c r="V1022" s="275"/>
      <c r="W1022" s="275"/>
      <c r="X1022" s="275"/>
      <c r="Y1022" s="275"/>
      <c r="Z1022" s="275"/>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c r="CY1022" s="13"/>
      <c r="CZ1022" s="13"/>
      <c r="DA1022" s="13"/>
      <c r="DB1022" s="13"/>
      <c r="DC1022" s="13"/>
      <c r="DD1022" s="13"/>
      <c r="DE1022" s="13"/>
      <c r="DF1022" s="13"/>
      <c r="DG1022" s="13"/>
      <c r="DH1022" s="13"/>
      <c r="DI1022" s="13"/>
      <c r="DJ1022" s="13"/>
      <c r="DK1022" s="13"/>
      <c r="DL1022" s="13"/>
      <c r="DM1022" s="13"/>
      <c r="DN1022" s="13"/>
      <c r="DO1022" s="13"/>
      <c r="DP1022" s="13"/>
      <c r="DQ1022" s="13"/>
      <c r="DR1022" s="13"/>
      <c r="DS1022" s="13"/>
      <c r="DT1022" s="13"/>
      <c r="DU1022" s="13"/>
      <c r="DV1022" s="13"/>
      <c r="DW1022" s="13"/>
      <c r="DX1022" s="13"/>
      <c r="DY1022" s="13"/>
      <c r="DZ1022" s="13"/>
      <c r="EA1022" s="13"/>
    </row>
    <row r="1023" spans="1:131" ht="11.25">
      <c r="A1023" s="1"/>
      <c r="B1023" s="1"/>
      <c r="C1023" s="1"/>
      <c r="D1023" s="2"/>
      <c r="E1023" s="2"/>
      <c r="F1023" s="2"/>
      <c r="G1023" s="2"/>
      <c r="H1023" s="2"/>
      <c r="I1023" s="2"/>
      <c r="J1023" s="2"/>
      <c r="K1023" s="2"/>
      <c r="L1023" s="2"/>
      <c r="M1023" s="2"/>
      <c r="N1023" s="21"/>
      <c r="O1023" s="21"/>
      <c r="P1023" s="21"/>
      <c r="Q1023" s="13"/>
      <c r="R1023" s="275"/>
      <c r="S1023" s="275"/>
      <c r="T1023" s="275"/>
      <c r="U1023" s="275"/>
      <c r="V1023" s="275"/>
      <c r="W1023" s="275"/>
      <c r="X1023" s="275"/>
      <c r="Y1023" s="275"/>
      <c r="Z1023" s="275"/>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c r="BH1023" s="13"/>
      <c r="BI1023" s="13"/>
      <c r="BJ1023" s="13"/>
      <c r="BK1023" s="13"/>
      <c r="BL1023" s="13"/>
      <c r="BM1023" s="13"/>
      <c r="BN1023" s="13"/>
      <c r="BO1023" s="13"/>
      <c r="BP1023" s="13"/>
      <c r="BQ1023" s="13"/>
      <c r="BR1023" s="13"/>
      <c r="BS1023" s="13"/>
      <c r="BT1023" s="13"/>
      <c r="BU1023" s="13"/>
      <c r="BV1023" s="13"/>
      <c r="BW1023" s="13"/>
      <c r="BX1023" s="13"/>
      <c r="BY1023" s="13"/>
      <c r="BZ1023" s="13"/>
      <c r="CA1023" s="13"/>
      <c r="CB1023" s="13"/>
      <c r="CC1023" s="13"/>
      <c r="CD1023" s="13"/>
      <c r="CE1023" s="13"/>
      <c r="CF1023" s="13"/>
      <c r="CG1023" s="13"/>
      <c r="CH1023" s="13"/>
      <c r="CI1023" s="13"/>
      <c r="CJ1023" s="13"/>
      <c r="CK1023" s="13"/>
      <c r="CL1023" s="13"/>
      <c r="CM1023" s="13"/>
      <c r="CN1023" s="13"/>
      <c r="CO1023" s="13"/>
      <c r="CP1023" s="13"/>
      <c r="CQ1023" s="13"/>
      <c r="CR1023" s="13"/>
      <c r="CS1023" s="13"/>
      <c r="CT1023" s="13"/>
      <c r="CU1023" s="13"/>
      <c r="CV1023" s="13"/>
      <c r="CW1023" s="13"/>
      <c r="CX1023" s="13"/>
      <c r="CY1023" s="13"/>
      <c r="CZ1023" s="13"/>
      <c r="DA1023" s="13"/>
      <c r="DB1023" s="13"/>
      <c r="DC1023" s="13"/>
      <c r="DD1023" s="13"/>
      <c r="DE1023" s="13"/>
      <c r="DF1023" s="13"/>
      <c r="DG1023" s="13"/>
      <c r="DH1023" s="13"/>
      <c r="DI1023" s="13"/>
      <c r="DJ1023" s="13"/>
      <c r="DK1023" s="13"/>
      <c r="DL1023" s="13"/>
      <c r="DM1023" s="13"/>
      <c r="DN1023" s="13"/>
      <c r="DO1023" s="13"/>
      <c r="DP1023" s="13"/>
      <c r="DQ1023" s="13"/>
      <c r="DR1023" s="13"/>
      <c r="DS1023" s="13"/>
      <c r="DT1023" s="13"/>
      <c r="DU1023" s="13"/>
      <c r="DV1023" s="13"/>
      <c r="DW1023" s="13"/>
      <c r="DX1023" s="13"/>
      <c r="DY1023" s="13"/>
      <c r="DZ1023" s="13"/>
      <c r="EA1023" s="13"/>
    </row>
    <row r="1024" spans="1:131" ht="11.25">
      <c r="A1024" s="1"/>
      <c r="B1024" s="1"/>
      <c r="C1024" s="1"/>
      <c r="D1024" s="2"/>
      <c r="E1024" s="2"/>
      <c r="F1024" s="2"/>
      <c r="G1024" s="2"/>
      <c r="H1024" s="2"/>
      <c r="I1024" s="2"/>
      <c r="J1024" s="2"/>
      <c r="K1024" s="2"/>
      <c r="L1024" s="2"/>
      <c r="M1024" s="2"/>
      <c r="N1024" s="21"/>
      <c r="O1024" s="21"/>
      <c r="P1024" s="21"/>
      <c r="Q1024" s="13"/>
      <c r="R1024" s="275"/>
      <c r="S1024" s="275"/>
      <c r="T1024" s="275"/>
      <c r="U1024" s="275"/>
      <c r="V1024" s="275"/>
      <c r="W1024" s="275"/>
      <c r="X1024" s="275"/>
      <c r="Y1024" s="275"/>
      <c r="Z1024" s="275"/>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c r="BH1024" s="13"/>
      <c r="BI1024" s="13"/>
      <c r="BJ1024" s="13"/>
      <c r="BK1024" s="13"/>
      <c r="BL1024" s="13"/>
      <c r="BM1024" s="13"/>
      <c r="BN1024" s="13"/>
      <c r="BO1024" s="13"/>
      <c r="BP1024" s="13"/>
      <c r="BQ1024" s="13"/>
      <c r="BR1024" s="13"/>
      <c r="BS1024" s="13"/>
      <c r="BT1024" s="13"/>
      <c r="BU1024" s="13"/>
      <c r="BV1024" s="13"/>
      <c r="BW1024" s="13"/>
      <c r="BX1024" s="13"/>
      <c r="BY1024" s="13"/>
      <c r="BZ1024" s="13"/>
      <c r="CA1024" s="13"/>
      <c r="CB1024" s="13"/>
      <c r="CC1024" s="13"/>
      <c r="CD1024" s="13"/>
      <c r="CE1024" s="13"/>
      <c r="CF1024" s="13"/>
      <c r="CG1024" s="13"/>
      <c r="CH1024" s="13"/>
      <c r="CI1024" s="13"/>
      <c r="CJ1024" s="13"/>
      <c r="CK1024" s="13"/>
      <c r="CL1024" s="13"/>
      <c r="CM1024" s="13"/>
      <c r="CN1024" s="13"/>
      <c r="CO1024" s="13"/>
      <c r="CP1024" s="13"/>
      <c r="CQ1024" s="13"/>
      <c r="CR1024" s="13"/>
      <c r="CS1024" s="13"/>
      <c r="CT1024" s="13"/>
      <c r="CU1024" s="13"/>
      <c r="CV1024" s="13"/>
      <c r="CW1024" s="13"/>
      <c r="CX1024" s="13"/>
      <c r="CY1024" s="13"/>
      <c r="CZ1024" s="13"/>
      <c r="DA1024" s="13"/>
      <c r="DB1024" s="13"/>
      <c r="DC1024" s="13"/>
      <c r="DD1024" s="13"/>
      <c r="DE1024" s="13"/>
      <c r="DF1024" s="13"/>
      <c r="DG1024" s="13"/>
      <c r="DH1024" s="13"/>
      <c r="DI1024" s="13"/>
      <c r="DJ1024" s="13"/>
      <c r="DK1024" s="13"/>
      <c r="DL1024" s="13"/>
      <c r="DM1024" s="13"/>
      <c r="DN1024" s="13"/>
      <c r="DO1024" s="13"/>
      <c r="DP1024" s="13"/>
      <c r="DQ1024" s="13"/>
      <c r="DR1024" s="13"/>
      <c r="DS1024" s="13"/>
      <c r="DT1024" s="13"/>
      <c r="DU1024" s="13"/>
      <c r="DV1024" s="13"/>
      <c r="DW1024" s="13"/>
      <c r="DX1024" s="13"/>
      <c r="DY1024" s="13"/>
      <c r="DZ1024" s="13"/>
      <c r="EA1024" s="13"/>
    </row>
    <row r="1025" spans="1:131" ht="11.25">
      <c r="A1025" s="1"/>
      <c r="B1025" s="1"/>
      <c r="C1025" s="1"/>
      <c r="D1025" s="2"/>
      <c r="E1025" s="2"/>
      <c r="F1025" s="2"/>
      <c r="G1025" s="2"/>
      <c r="H1025" s="2"/>
      <c r="I1025" s="2"/>
      <c r="J1025" s="2"/>
      <c r="K1025" s="2"/>
      <c r="L1025" s="2"/>
      <c r="M1025" s="2"/>
      <c r="N1025" s="21"/>
      <c r="O1025" s="21"/>
      <c r="P1025" s="21"/>
      <c r="Q1025" s="13"/>
      <c r="R1025" s="275"/>
      <c r="S1025" s="275"/>
      <c r="T1025" s="275"/>
      <c r="U1025" s="275"/>
      <c r="V1025" s="275"/>
      <c r="W1025" s="275"/>
      <c r="X1025" s="275"/>
      <c r="Y1025" s="275"/>
      <c r="Z1025" s="275"/>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c r="CC1025" s="13"/>
      <c r="CD1025" s="13"/>
      <c r="CE1025" s="13"/>
      <c r="CF1025" s="13"/>
      <c r="CG1025" s="13"/>
      <c r="CH1025" s="13"/>
      <c r="CI1025" s="13"/>
      <c r="CJ1025" s="13"/>
      <c r="CK1025" s="13"/>
      <c r="CL1025" s="13"/>
      <c r="CM1025" s="13"/>
      <c r="CN1025" s="13"/>
      <c r="CO1025" s="13"/>
      <c r="CP1025" s="13"/>
      <c r="CQ1025" s="13"/>
      <c r="CR1025" s="13"/>
      <c r="CS1025" s="13"/>
      <c r="CT1025" s="13"/>
      <c r="CU1025" s="13"/>
      <c r="CV1025" s="13"/>
      <c r="CW1025" s="13"/>
      <c r="CX1025" s="13"/>
      <c r="CY1025" s="13"/>
      <c r="CZ1025" s="13"/>
      <c r="DA1025" s="13"/>
      <c r="DB1025" s="13"/>
      <c r="DC1025" s="13"/>
      <c r="DD1025" s="13"/>
      <c r="DE1025" s="13"/>
      <c r="DF1025" s="13"/>
      <c r="DG1025" s="13"/>
      <c r="DH1025" s="13"/>
      <c r="DI1025" s="13"/>
      <c r="DJ1025" s="13"/>
      <c r="DK1025" s="13"/>
      <c r="DL1025" s="13"/>
      <c r="DM1025" s="13"/>
      <c r="DN1025" s="13"/>
      <c r="DO1025" s="13"/>
      <c r="DP1025" s="13"/>
      <c r="DQ1025" s="13"/>
      <c r="DR1025" s="13"/>
      <c r="DS1025" s="13"/>
      <c r="DT1025" s="13"/>
      <c r="DU1025" s="13"/>
      <c r="DV1025" s="13"/>
      <c r="DW1025" s="13"/>
      <c r="DX1025" s="13"/>
      <c r="DY1025" s="13"/>
      <c r="DZ1025" s="13"/>
      <c r="EA1025" s="13"/>
    </row>
    <row r="1026" spans="1:131" ht="11.25">
      <c r="A1026" s="1"/>
      <c r="B1026" s="1"/>
      <c r="C1026" s="1"/>
      <c r="D1026" s="2"/>
      <c r="E1026" s="2"/>
      <c r="F1026" s="2"/>
      <c r="G1026" s="2"/>
      <c r="H1026" s="2"/>
      <c r="I1026" s="2"/>
      <c r="J1026" s="2"/>
      <c r="K1026" s="2"/>
      <c r="L1026" s="2"/>
      <c r="M1026" s="2"/>
      <c r="N1026" s="21"/>
      <c r="O1026" s="21"/>
      <c r="P1026" s="21"/>
      <c r="Q1026" s="13"/>
      <c r="R1026" s="275"/>
      <c r="S1026" s="275"/>
      <c r="T1026" s="275"/>
      <c r="U1026" s="275"/>
      <c r="V1026" s="275"/>
      <c r="W1026" s="275"/>
      <c r="X1026" s="275"/>
      <c r="Y1026" s="275"/>
      <c r="Z1026" s="275"/>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c r="BQ1026" s="13"/>
      <c r="BR1026" s="13"/>
      <c r="BS1026" s="13"/>
      <c r="BT1026" s="13"/>
      <c r="BU1026" s="13"/>
      <c r="BV1026" s="13"/>
      <c r="BW1026" s="13"/>
      <c r="BX1026" s="13"/>
      <c r="BY1026" s="13"/>
      <c r="BZ1026" s="13"/>
      <c r="CA1026" s="13"/>
      <c r="CB1026" s="13"/>
      <c r="CC1026" s="13"/>
      <c r="CD1026" s="13"/>
      <c r="CE1026" s="13"/>
      <c r="CF1026" s="13"/>
      <c r="CG1026" s="13"/>
      <c r="CH1026" s="13"/>
      <c r="CI1026" s="13"/>
      <c r="CJ1026" s="13"/>
      <c r="CK1026" s="13"/>
      <c r="CL1026" s="13"/>
      <c r="CM1026" s="13"/>
      <c r="CN1026" s="13"/>
      <c r="CO1026" s="13"/>
      <c r="CP1026" s="13"/>
      <c r="CQ1026" s="13"/>
      <c r="CR1026" s="13"/>
      <c r="CS1026" s="13"/>
      <c r="CT1026" s="13"/>
      <c r="CU1026" s="13"/>
      <c r="CV1026" s="13"/>
      <c r="CW1026" s="13"/>
      <c r="CX1026" s="13"/>
      <c r="CY1026" s="13"/>
      <c r="CZ1026" s="13"/>
      <c r="DA1026" s="13"/>
      <c r="DB1026" s="13"/>
      <c r="DC1026" s="13"/>
      <c r="DD1026" s="13"/>
      <c r="DE1026" s="13"/>
      <c r="DF1026" s="13"/>
      <c r="DG1026" s="13"/>
      <c r="DH1026" s="13"/>
      <c r="DI1026" s="13"/>
      <c r="DJ1026" s="13"/>
      <c r="DK1026" s="13"/>
      <c r="DL1026" s="13"/>
      <c r="DM1026" s="13"/>
      <c r="DN1026" s="13"/>
      <c r="DO1026" s="13"/>
      <c r="DP1026" s="13"/>
      <c r="DQ1026" s="13"/>
      <c r="DR1026" s="13"/>
      <c r="DS1026" s="13"/>
      <c r="DT1026" s="13"/>
      <c r="DU1026" s="13"/>
      <c r="DV1026" s="13"/>
      <c r="DW1026" s="13"/>
      <c r="DX1026" s="13"/>
      <c r="DY1026" s="13"/>
      <c r="DZ1026" s="13"/>
      <c r="EA1026" s="13"/>
    </row>
    <row r="1027" spans="1:131" ht="11.25">
      <c r="A1027" s="1"/>
      <c r="B1027" s="1"/>
      <c r="C1027" s="1"/>
      <c r="D1027" s="2"/>
      <c r="E1027" s="2"/>
      <c r="F1027" s="2"/>
      <c r="G1027" s="2"/>
      <c r="H1027" s="2"/>
      <c r="I1027" s="2"/>
      <c r="J1027" s="2"/>
      <c r="K1027" s="2"/>
      <c r="L1027" s="2"/>
      <c r="M1027" s="2"/>
      <c r="N1027" s="21"/>
      <c r="O1027" s="21"/>
      <c r="P1027" s="21"/>
      <c r="Q1027" s="13"/>
      <c r="R1027" s="275"/>
      <c r="S1027" s="275"/>
      <c r="T1027" s="275"/>
      <c r="U1027" s="275"/>
      <c r="V1027" s="275"/>
      <c r="W1027" s="275"/>
      <c r="X1027" s="275"/>
      <c r="Y1027" s="275"/>
      <c r="Z1027" s="275"/>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c r="BH1027" s="13"/>
      <c r="BI1027" s="13"/>
      <c r="BJ1027" s="13"/>
      <c r="BK1027" s="13"/>
      <c r="BL1027" s="13"/>
      <c r="BM1027" s="13"/>
      <c r="BN1027" s="13"/>
      <c r="BO1027" s="13"/>
      <c r="BP1027" s="13"/>
      <c r="BQ1027" s="13"/>
      <c r="BR1027" s="13"/>
      <c r="BS1027" s="13"/>
      <c r="BT1027" s="13"/>
      <c r="BU1027" s="13"/>
      <c r="BV1027" s="13"/>
      <c r="BW1027" s="13"/>
      <c r="BX1027" s="13"/>
      <c r="BY1027" s="13"/>
      <c r="BZ1027" s="13"/>
      <c r="CA1027" s="13"/>
      <c r="CB1027" s="13"/>
      <c r="CC1027" s="13"/>
      <c r="CD1027" s="13"/>
      <c r="CE1027" s="13"/>
      <c r="CF1027" s="13"/>
      <c r="CG1027" s="13"/>
      <c r="CH1027" s="13"/>
      <c r="CI1027" s="13"/>
      <c r="CJ1027" s="13"/>
      <c r="CK1027" s="13"/>
      <c r="CL1027" s="13"/>
      <c r="CM1027" s="13"/>
      <c r="CN1027" s="13"/>
      <c r="CO1027" s="13"/>
      <c r="CP1027" s="13"/>
      <c r="CQ1027" s="13"/>
      <c r="CR1027" s="13"/>
      <c r="CS1027" s="13"/>
      <c r="CT1027" s="13"/>
      <c r="CU1027" s="13"/>
      <c r="CV1027" s="13"/>
      <c r="CW1027" s="13"/>
      <c r="CX1027" s="13"/>
      <c r="CY1027" s="13"/>
      <c r="CZ1027" s="13"/>
      <c r="DA1027" s="13"/>
      <c r="DB1027" s="13"/>
      <c r="DC1027" s="13"/>
      <c r="DD1027" s="13"/>
      <c r="DE1027" s="13"/>
      <c r="DF1027" s="13"/>
      <c r="DG1027" s="13"/>
      <c r="DH1027" s="13"/>
      <c r="DI1027" s="13"/>
      <c r="DJ1027" s="13"/>
      <c r="DK1027" s="13"/>
      <c r="DL1027" s="13"/>
      <c r="DM1027" s="13"/>
      <c r="DN1027" s="13"/>
      <c r="DO1027" s="13"/>
      <c r="DP1027" s="13"/>
      <c r="DQ1027" s="13"/>
      <c r="DR1027" s="13"/>
      <c r="DS1027" s="13"/>
      <c r="DT1027" s="13"/>
      <c r="DU1027" s="13"/>
      <c r="DV1027" s="13"/>
      <c r="DW1027" s="13"/>
      <c r="DX1027" s="13"/>
      <c r="DY1027" s="13"/>
      <c r="DZ1027" s="13"/>
      <c r="EA1027" s="13"/>
    </row>
    <row r="1028" spans="1:131" ht="11.25">
      <c r="A1028" s="1"/>
      <c r="B1028" s="1"/>
      <c r="C1028" s="1"/>
      <c r="D1028" s="2"/>
      <c r="E1028" s="2"/>
      <c r="F1028" s="2"/>
      <c r="G1028" s="2"/>
      <c r="H1028" s="2"/>
      <c r="I1028" s="2"/>
      <c r="J1028" s="2"/>
      <c r="K1028" s="2"/>
      <c r="L1028" s="2"/>
      <c r="M1028" s="2"/>
      <c r="N1028" s="21"/>
      <c r="O1028" s="21"/>
      <c r="P1028" s="21"/>
      <c r="Q1028" s="13"/>
      <c r="R1028" s="275"/>
      <c r="S1028" s="275"/>
      <c r="T1028" s="275"/>
      <c r="U1028" s="275"/>
      <c r="V1028" s="275"/>
      <c r="W1028" s="275"/>
      <c r="X1028" s="275"/>
      <c r="Y1028" s="275"/>
      <c r="Z1028" s="275"/>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c r="AZ1028" s="13"/>
      <c r="BA1028" s="13"/>
      <c r="BB1028" s="13"/>
      <c r="BC1028" s="13"/>
      <c r="BD1028" s="13"/>
      <c r="BE1028" s="13"/>
      <c r="BF1028" s="13"/>
      <c r="BG1028" s="13"/>
      <c r="BH1028" s="13"/>
      <c r="BI1028" s="13"/>
      <c r="BJ1028" s="13"/>
      <c r="BK1028" s="13"/>
      <c r="BL1028" s="13"/>
      <c r="BM1028" s="13"/>
      <c r="BN1028" s="13"/>
      <c r="BO1028" s="13"/>
      <c r="BP1028" s="13"/>
      <c r="BQ1028" s="13"/>
      <c r="BR1028" s="13"/>
      <c r="BS1028" s="13"/>
      <c r="BT1028" s="13"/>
      <c r="BU1028" s="13"/>
      <c r="BV1028" s="13"/>
      <c r="BW1028" s="13"/>
      <c r="BX1028" s="13"/>
      <c r="BY1028" s="13"/>
      <c r="BZ1028" s="13"/>
      <c r="CA1028" s="13"/>
      <c r="CB1028" s="13"/>
      <c r="CC1028" s="13"/>
      <c r="CD1028" s="13"/>
      <c r="CE1028" s="13"/>
      <c r="CF1028" s="13"/>
      <c r="CG1028" s="13"/>
      <c r="CH1028" s="13"/>
      <c r="CI1028" s="13"/>
      <c r="CJ1028" s="13"/>
      <c r="CK1028" s="13"/>
      <c r="CL1028" s="13"/>
      <c r="CM1028" s="13"/>
      <c r="CN1028" s="13"/>
      <c r="CO1028" s="13"/>
      <c r="CP1028" s="13"/>
      <c r="CQ1028" s="13"/>
      <c r="CR1028" s="13"/>
      <c r="CS1028" s="13"/>
      <c r="CT1028" s="13"/>
      <c r="CU1028" s="13"/>
      <c r="CV1028" s="13"/>
      <c r="CW1028" s="13"/>
      <c r="CX1028" s="13"/>
      <c r="CY1028" s="13"/>
      <c r="CZ1028" s="13"/>
      <c r="DA1028" s="13"/>
      <c r="DB1028" s="13"/>
      <c r="DC1028" s="13"/>
      <c r="DD1028" s="13"/>
      <c r="DE1028" s="13"/>
      <c r="DF1028" s="13"/>
      <c r="DG1028" s="13"/>
      <c r="DH1028" s="13"/>
      <c r="DI1028" s="13"/>
      <c r="DJ1028" s="13"/>
      <c r="DK1028" s="13"/>
      <c r="DL1028" s="13"/>
      <c r="DM1028" s="13"/>
      <c r="DN1028" s="13"/>
      <c r="DO1028" s="13"/>
      <c r="DP1028" s="13"/>
      <c r="DQ1028" s="13"/>
      <c r="DR1028" s="13"/>
      <c r="DS1028" s="13"/>
      <c r="DT1028" s="13"/>
      <c r="DU1028" s="13"/>
      <c r="DV1028" s="13"/>
      <c r="DW1028" s="13"/>
      <c r="DX1028" s="13"/>
      <c r="DY1028" s="13"/>
      <c r="DZ1028" s="13"/>
      <c r="EA1028" s="13"/>
    </row>
    <row r="1029" spans="1:131" ht="11.25">
      <c r="A1029" s="1"/>
      <c r="B1029" s="1"/>
      <c r="C1029" s="1"/>
      <c r="D1029" s="2"/>
      <c r="E1029" s="2"/>
      <c r="F1029" s="2"/>
      <c r="G1029" s="2"/>
      <c r="H1029" s="2"/>
      <c r="I1029" s="2"/>
      <c r="J1029" s="2"/>
      <c r="K1029" s="2"/>
      <c r="L1029" s="2"/>
      <c r="M1029" s="2"/>
      <c r="N1029" s="21"/>
      <c r="O1029" s="21"/>
      <c r="P1029" s="21"/>
      <c r="Q1029" s="13"/>
      <c r="R1029" s="275"/>
      <c r="S1029" s="275"/>
      <c r="T1029" s="275"/>
      <c r="U1029" s="275"/>
      <c r="V1029" s="275"/>
      <c r="W1029" s="275"/>
      <c r="X1029" s="275"/>
      <c r="Y1029" s="275"/>
      <c r="Z1029" s="275"/>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c r="BJ1029" s="13"/>
      <c r="BK1029" s="13"/>
      <c r="BL1029" s="13"/>
      <c r="BM1029" s="13"/>
      <c r="BN1029" s="13"/>
      <c r="BO1029" s="13"/>
      <c r="BP1029" s="13"/>
      <c r="BQ1029" s="13"/>
      <c r="BR1029" s="13"/>
      <c r="BS1029" s="13"/>
      <c r="BT1029" s="13"/>
      <c r="BU1029" s="13"/>
      <c r="BV1029" s="13"/>
      <c r="BW1029" s="13"/>
      <c r="BX1029" s="13"/>
      <c r="BY1029" s="13"/>
      <c r="BZ1029" s="13"/>
      <c r="CA1029" s="13"/>
      <c r="CB1029" s="13"/>
      <c r="CC1029" s="13"/>
      <c r="CD1029" s="13"/>
      <c r="CE1029" s="13"/>
      <c r="CF1029" s="13"/>
      <c r="CG1029" s="13"/>
      <c r="CH1029" s="13"/>
      <c r="CI1029" s="13"/>
      <c r="CJ1029" s="13"/>
      <c r="CK1029" s="13"/>
      <c r="CL1029" s="13"/>
      <c r="CM1029" s="13"/>
      <c r="CN1029" s="13"/>
      <c r="CO1029" s="13"/>
      <c r="CP1029" s="13"/>
      <c r="CQ1029" s="13"/>
      <c r="CR1029" s="13"/>
      <c r="CS1029" s="13"/>
      <c r="CT1029" s="13"/>
      <c r="CU1029" s="13"/>
      <c r="CV1029" s="13"/>
      <c r="CW1029" s="13"/>
      <c r="CX1029" s="13"/>
      <c r="CY1029" s="13"/>
      <c r="CZ1029" s="13"/>
      <c r="DA1029" s="13"/>
      <c r="DB1029" s="13"/>
      <c r="DC1029" s="13"/>
      <c r="DD1029" s="13"/>
      <c r="DE1029" s="13"/>
      <c r="DF1029" s="13"/>
      <c r="DG1029" s="13"/>
      <c r="DH1029" s="13"/>
      <c r="DI1029" s="13"/>
      <c r="DJ1029" s="13"/>
      <c r="DK1029" s="13"/>
      <c r="DL1029" s="13"/>
      <c r="DM1029" s="13"/>
      <c r="DN1029" s="13"/>
      <c r="DO1029" s="13"/>
      <c r="DP1029" s="13"/>
      <c r="DQ1029" s="13"/>
      <c r="DR1029" s="13"/>
      <c r="DS1029" s="13"/>
      <c r="DT1029" s="13"/>
      <c r="DU1029" s="13"/>
      <c r="DV1029" s="13"/>
      <c r="DW1029" s="13"/>
      <c r="DX1029" s="13"/>
      <c r="DY1029" s="13"/>
      <c r="DZ1029" s="13"/>
      <c r="EA1029" s="13"/>
    </row>
    <row r="1030" spans="1:131" ht="11.25">
      <c r="A1030" s="1"/>
      <c r="B1030" s="1"/>
      <c r="C1030" s="1"/>
      <c r="D1030" s="2"/>
      <c r="E1030" s="2"/>
      <c r="F1030" s="2"/>
      <c r="G1030" s="2"/>
      <c r="H1030" s="2"/>
      <c r="I1030" s="2"/>
      <c r="J1030" s="2"/>
      <c r="K1030" s="2"/>
      <c r="L1030" s="2"/>
      <c r="M1030" s="2"/>
      <c r="N1030" s="21"/>
      <c r="O1030" s="21"/>
      <c r="P1030" s="21"/>
      <c r="Q1030" s="13"/>
      <c r="R1030" s="275"/>
      <c r="S1030" s="275"/>
      <c r="T1030" s="275"/>
      <c r="U1030" s="275"/>
      <c r="V1030" s="275"/>
      <c r="W1030" s="275"/>
      <c r="X1030" s="275"/>
      <c r="Y1030" s="275"/>
      <c r="Z1030" s="275"/>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c r="BJ1030" s="13"/>
      <c r="BK1030" s="13"/>
      <c r="BL1030" s="13"/>
      <c r="BM1030" s="13"/>
      <c r="BN1030" s="13"/>
      <c r="BO1030" s="13"/>
      <c r="BP1030" s="13"/>
      <c r="BQ1030" s="13"/>
      <c r="BR1030" s="13"/>
      <c r="BS1030" s="13"/>
      <c r="BT1030" s="13"/>
      <c r="BU1030" s="13"/>
      <c r="BV1030" s="13"/>
      <c r="BW1030" s="13"/>
      <c r="BX1030" s="13"/>
      <c r="BY1030" s="13"/>
      <c r="BZ1030" s="13"/>
      <c r="CA1030" s="13"/>
      <c r="CB1030" s="13"/>
      <c r="CC1030" s="13"/>
      <c r="CD1030" s="13"/>
      <c r="CE1030" s="13"/>
      <c r="CF1030" s="13"/>
      <c r="CG1030" s="13"/>
      <c r="CH1030" s="13"/>
      <c r="CI1030" s="13"/>
      <c r="CJ1030" s="13"/>
      <c r="CK1030" s="13"/>
      <c r="CL1030" s="13"/>
      <c r="CM1030" s="13"/>
      <c r="CN1030" s="13"/>
      <c r="CO1030" s="13"/>
      <c r="CP1030" s="13"/>
      <c r="CQ1030" s="13"/>
      <c r="CR1030" s="13"/>
      <c r="CS1030" s="13"/>
      <c r="CT1030" s="13"/>
      <c r="CU1030" s="13"/>
      <c r="CV1030" s="13"/>
      <c r="CW1030" s="13"/>
      <c r="CX1030" s="13"/>
      <c r="CY1030" s="13"/>
      <c r="CZ1030" s="13"/>
      <c r="DA1030" s="13"/>
      <c r="DB1030" s="13"/>
      <c r="DC1030" s="13"/>
      <c r="DD1030" s="13"/>
      <c r="DE1030" s="13"/>
      <c r="DF1030" s="13"/>
      <c r="DG1030" s="13"/>
      <c r="DH1030" s="13"/>
      <c r="DI1030" s="13"/>
      <c r="DJ1030" s="13"/>
      <c r="DK1030" s="13"/>
      <c r="DL1030" s="13"/>
      <c r="DM1030" s="13"/>
      <c r="DN1030" s="13"/>
      <c r="DO1030" s="13"/>
      <c r="DP1030" s="13"/>
      <c r="DQ1030" s="13"/>
      <c r="DR1030" s="13"/>
      <c r="DS1030" s="13"/>
      <c r="DT1030" s="13"/>
      <c r="DU1030" s="13"/>
      <c r="DV1030" s="13"/>
      <c r="DW1030" s="13"/>
      <c r="DX1030" s="13"/>
      <c r="DY1030" s="13"/>
      <c r="DZ1030" s="13"/>
      <c r="EA1030" s="13"/>
    </row>
    <row r="1031" spans="1:131" ht="11.25">
      <c r="A1031" s="1"/>
      <c r="B1031" s="1"/>
      <c r="C1031" s="1"/>
      <c r="D1031" s="2"/>
      <c r="E1031" s="2"/>
      <c r="F1031" s="2"/>
      <c r="G1031" s="2"/>
      <c r="H1031" s="2"/>
      <c r="I1031" s="2"/>
      <c r="J1031" s="2"/>
      <c r="K1031" s="2"/>
      <c r="L1031" s="2"/>
      <c r="M1031" s="2"/>
      <c r="N1031" s="21"/>
      <c r="O1031" s="21"/>
      <c r="P1031" s="21"/>
      <c r="Q1031" s="13"/>
      <c r="R1031" s="275"/>
      <c r="S1031" s="275"/>
      <c r="T1031" s="275"/>
      <c r="U1031" s="275"/>
      <c r="V1031" s="275"/>
      <c r="W1031" s="275"/>
      <c r="X1031" s="275"/>
      <c r="Y1031" s="275"/>
      <c r="Z1031" s="275"/>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c r="AZ1031" s="13"/>
      <c r="BA1031" s="13"/>
      <c r="BB1031" s="13"/>
      <c r="BC1031" s="13"/>
      <c r="BD1031" s="13"/>
      <c r="BE1031" s="13"/>
      <c r="BF1031" s="13"/>
      <c r="BG1031" s="13"/>
      <c r="BH1031" s="13"/>
      <c r="BI1031" s="13"/>
      <c r="BJ1031" s="13"/>
      <c r="BK1031" s="13"/>
      <c r="BL1031" s="13"/>
      <c r="BM1031" s="13"/>
      <c r="BN1031" s="13"/>
      <c r="BO1031" s="13"/>
      <c r="BP1031" s="13"/>
      <c r="BQ1031" s="13"/>
      <c r="BR1031" s="13"/>
      <c r="BS1031" s="13"/>
      <c r="BT1031" s="13"/>
      <c r="BU1031" s="13"/>
      <c r="BV1031" s="13"/>
      <c r="BW1031" s="13"/>
      <c r="BX1031" s="13"/>
      <c r="BY1031" s="13"/>
      <c r="BZ1031" s="13"/>
      <c r="CA1031" s="13"/>
      <c r="CB1031" s="13"/>
      <c r="CC1031" s="13"/>
      <c r="CD1031" s="13"/>
      <c r="CE1031" s="13"/>
      <c r="CF1031" s="13"/>
      <c r="CG1031" s="13"/>
      <c r="CH1031" s="13"/>
      <c r="CI1031" s="13"/>
      <c r="CJ1031" s="13"/>
      <c r="CK1031" s="13"/>
      <c r="CL1031" s="13"/>
      <c r="CM1031" s="13"/>
      <c r="CN1031" s="13"/>
      <c r="CO1031" s="13"/>
      <c r="CP1031" s="13"/>
      <c r="CQ1031" s="13"/>
      <c r="CR1031" s="13"/>
      <c r="CS1031" s="13"/>
      <c r="CT1031" s="13"/>
      <c r="CU1031" s="13"/>
      <c r="CV1031" s="13"/>
      <c r="CW1031" s="13"/>
      <c r="CX1031" s="13"/>
      <c r="CY1031" s="13"/>
      <c r="CZ1031" s="13"/>
      <c r="DA1031" s="13"/>
      <c r="DB1031" s="13"/>
      <c r="DC1031" s="13"/>
      <c r="DD1031" s="13"/>
      <c r="DE1031" s="13"/>
      <c r="DF1031" s="13"/>
      <c r="DG1031" s="13"/>
      <c r="DH1031" s="13"/>
      <c r="DI1031" s="13"/>
      <c r="DJ1031" s="13"/>
      <c r="DK1031" s="13"/>
      <c r="DL1031" s="13"/>
      <c r="DM1031" s="13"/>
      <c r="DN1031" s="13"/>
      <c r="DO1031" s="13"/>
      <c r="DP1031" s="13"/>
      <c r="DQ1031" s="13"/>
      <c r="DR1031" s="13"/>
      <c r="DS1031" s="13"/>
      <c r="DT1031" s="13"/>
      <c r="DU1031" s="13"/>
      <c r="DV1031" s="13"/>
      <c r="DW1031" s="13"/>
      <c r="DX1031" s="13"/>
      <c r="DY1031" s="13"/>
      <c r="DZ1031" s="13"/>
      <c r="EA1031" s="13"/>
    </row>
    <row r="1032" spans="1:131" ht="11.25">
      <c r="A1032" s="1"/>
      <c r="B1032" s="1"/>
      <c r="C1032" s="1"/>
      <c r="D1032" s="2"/>
      <c r="E1032" s="2"/>
      <c r="F1032" s="2"/>
      <c r="G1032" s="2"/>
      <c r="H1032" s="2"/>
      <c r="I1032" s="2"/>
      <c r="J1032" s="2"/>
      <c r="K1032" s="2"/>
      <c r="L1032" s="2"/>
      <c r="M1032" s="2"/>
      <c r="N1032" s="21"/>
      <c r="O1032" s="21"/>
      <c r="P1032" s="21"/>
      <c r="Q1032" s="13"/>
      <c r="R1032" s="275"/>
      <c r="S1032" s="275"/>
      <c r="T1032" s="275"/>
      <c r="U1032" s="275"/>
      <c r="V1032" s="275"/>
      <c r="W1032" s="275"/>
      <c r="X1032" s="275"/>
      <c r="Y1032" s="275"/>
      <c r="Z1032" s="275"/>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c r="AZ1032" s="13"/>
      <c r="BA1032" s="13"/>
      <c r="BB1032" s="13"/>
      <c r="BC1032" s="13"/>
      <c r="BD1032" s="13"/>
      <c r="BE1032" s="13"/>
      <c r="BF1032" s="13"/>
      <c r="BG1032" s="13"/>
      <c r="BH1032" s="13"/>
      <c r="BI1032" s="13"/>
      <c r="BJ1032" s="13"/>
      <c r="BK1032" s="13"/>
      <c r="BL1032" s="13"/>
      <c r="BM1032" s="13"/>
      <c r="BN1032" s="13"/>
      <c r="BO1032" s="13"/>
      <c r="BP1032" s="13"/>
      <c r="BQ1032" s="13"/>
      <c r="BR1032" s="13"/>
      <c r="BS1032" s="13"/>
      <c r="BT1032" s="13"/>
      <c r="BU1032" s="13"/>
      <c r="BV1032" s="13"/>
      <c r="BW1032" s="13"/>
      <c r="BX1032" s="13"/>
      <c r="BY1032" s="13"/>
      <c r="BZ1032" s="13"/>
      <c r="CA1032" s="13"/>
      <c r="CB1032" s="13"/>
      <c r="CC1032" s="13"/>
      <c r="CD1032" s="13"/>
      <c r="CE1032" s="13"/>
      <c r="CF1032" s="13"/>
      <c r="CG1032" s="13"/>
      <c r="CH1032" s="13"/>
      <c r="CI1032" s="13"/>
      <c r="CJ1032" s="13"/>
      <c r="CK1032" s="13"/>
      <c r="CL1032" s="13"/>
      <c r="CM1032" s="13"/>
      <c r="CN1032" s="13"/>
      <c r="CO1032" s="13"/>
      <c r="CP1032" s="13"/>
      <c r="CQ1032" s="13"/>
      <c r="CR1032" s="13"/>
      <c r="CS1032" s="13"/>
      <c r="CT1032" s="13"/>
      <c r="CU1032" s="13"/>
      <c r="CV1032" s="13"/>
      <c r="CW1032" s="13"/>
      <c r="CX1032" s="13"/>
      <c r="CY1032" s="13"/>
      <c r="CZ1032" s="13"/>
      <c r="DA1032" s="13"/>
      <c r="DB1032" s="13"/>
      <c r="DC1032" s="13"/>
      <c r="DD1032" s="13"/>
      <c r="DE1032" s="13"/>
      <c r="DF1032" s="13"/>
      <c r="DG1032" s="13"/>
      <c r="DH1032" s="13"/>
      <c r="DI1032" s="13"/>
      <c r="DJ1032" s="13"/>
      <c r="DK1032" s="13"/>
      <c r="DL1032" s="13"/>
      <c r="DM1032" s="13"/>
      <c r="DN1032" s="13"/>
      <c r="DO1032" s="13"/>
      <c r="DP1032" s="13"/>
      <c r="DQ1032" s="13"/>
      <c r="DR1032" s="13"/>
      <c r="DS1032" s="13"/>
      <c r="DT1032" s="13"/>
      <c r="DU1032" s="13"/>
      <c r="DV1032" s="13"/>
      <c r="DW1032" s="13"/>
      <c r="DX1032" s="13"/>
      <c r="DY1032" s="13"/>
      <c r="DZ1032" s="13"/>
      <c r="EA1032" s="13"/>
    </row>
    <row r="1033" spans="1:131" ht="11.25">
      <c r="A1033" s="1"/>
      <c r="B1033" s="1"/>
      <c r="C1033" s="1"/>
      <c r="D1033" s="2"/>
      <c r="E1033" s="2"/>
      <c r="F1033" s="2"/>
      <c r="G1033" s="2"/>
      <c r="H1033" s="2"/>
      <c r="I1033" s="2"/>
      <c r="J1033" s="2"/>
      <c r="K1033" s="2"/>
      <c r="L1033" s="2"/>
      <c r="M1033" s="2"/>
      <c r="N1033" s="21"/>
      <c r="O1033" s="21"/>
      <c r="P1033" s="21"/>
      <c r="Q1033" s="13"/>
      <c r="R1033" s="275"/>
      <c r="S1033" s="275"/>
      <c r="T1033" s="275"/>
      <c r="U1033" s="275"/>
      <c r="V1033" s="275"/>
      <c r="W1033" s="275"/>
      <c r="X1033" s="275"/>
      <c r="Y1033" s="275"/>
      <c r="Z1033" s="275"/>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c r="BJ1033" s="13"/>
      <c r="BK1033" s="13"/>
      <c r="BL1033" s="13"/>
      <c r="BM1033" s="13"/>
      <c r="BN1033" s="13"/>
      <c r="BO1033" s="13"/>
      <c r="BP1033" s="13"/>
      <c r="BQ1033" s="13"/>
      <c r="BR1033" s="13"/>
      <c r="BS1033" s="13"/>
      <c r="BT1033" s="13"/>
      <c r="BU1033" s="13"/>
      <c r="BV1033" s="13"/>
      <c r="BW1033" s="13"/>
      <c r="BX1033" s="13"/>
      <c r="BY1033" s="13"/>
      <c r="BZ1033" s="13"/>
      <c r="CA1033" s="13"/>
      <c r="CB1033" s="13"/>
      <c r="CC1033" s="13"/>
      <c r="CD1033" s="13"/>
      <c r="CE1033" s="13"/>
      <c r="CF1033" s="13"/>
      <c r="CG1033" s="13"/>
      <c r="CH1033" s="13"/>
      <c r="CI1033" s="13"/>
      <c r="CJ1033" s="13"/>
      <c r="CK1033" s="13"/>
      <c r="CL1033" s="13"/>
      <c r="CM1033" s="13"/>
      <c r="CN1033" s="13"/>
      <c r="CO1033" s="13"/>
      <c r="CP1033" s="13"/>
      <c r="CQ1033" s="13"/>
      <c r="CR1033" s="13"/>
      <c r="CS1033" s="13"/>
      <c r="CT1033" s="13"/>
      <c r="CU1033" s="13"/>
      <c r="CV1033" s="13"/>
      <c r="CW1033" s="13"/>
      <c r="CX1033" s="13"/>
      <c r="CY1033" s="13"/>
      <c r="CZ1033" s="13"/>
      <c r="DA1033" s="13"/>
      <c r="DB1033" s="13"/>
      <c r="DC1033" s="13"/>
      <c r="DD1033" s="13"/>
      <c r="DE1033" s="13"/>
      <c r="DF1033" s="13"/>
      <c r="DG1033" s="13"/>
      <c r="DH1033" s="13"/>
      <c r="DI1033" s="13"/>
      <c r="DJ1033" s="13"/>
      <c r="DK1033" s="13"/>
      <c r="DL1033" s="13"/>
      <c r="DM1033" s="13"/>
      <c r="DN1033" s="13"/>
      <c r="DO1033" s="13"/>
      <c r="DP1033" s="13"/>
      <c r="DQ1033" s="13"/>
      <c r="DR1033" s="13"/>
      <c r="DS1033" s="13"/>
      <c r="DT1033" s="13"/>
      <c r="DU1033" s="13"/>
      <c r="DV1033" s="13"/>
      <c r="DW1033" s="13"/>
      <c r="DX1033" s="13"/>
      <c r="DY1033" s="13"/>
      <c r="DZ1033" s="13"/>
      <c r="EA1033" s="13"/>
    </row>
    <row r="1034" spans="1:131" ht="11.25">
      <c r="A1034" s="1"/>
      <c r="B1034" s="1"/>
      <c r="C1034" s="1"/>
      <c r="D1034" s="2"/>
      <c r="E1034" s="2"/>
      <c r="F1034" s="2"/>
      <c r="G1034" s="2"/>
      <c r="H1034" s="2"/>
      <c r="I1034" s="2"/>
      <c r="J1034" s="2"/>
      <c r="K1034" s="2"/>
      <c r="L1034" s="2"/>
      <c r="M1034" s="2"/>
      <c r="N1034" s="21"/>
      <c r="O1034" s="21"/>
      <c r="P1034" s="21"/>
      <c r="Q1034" s="13"/>
      <c r="R1034" s="275"/>
      <c r="S1034" s="275"/>
      <c r="T1034" s="275"/>
      <c r="U1034" s="275"/>
      <c r="V1034" s="275"/>
      <c r="W1034" s="275"/>
      <c r="X1034" s="275"/>
      <c r="Y1034" s="275"/>
      <c r="Z1034" s="275"/>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c r="BJ1034" s="13"/>
      <c r="BK1034" s="13"/>
      <c r="BL1034" s="13"/>
      <c r="BM1034" s="13"/>
      <c r="BN1034" s="13"/>
      <c r="BO1034" s="13"/>
      <c r="BP1034" s="13"/>
      <c r="BQ1034" s="13"/>
      <c r="BR1034" s="13"/>
      <c r="BS1034" s="13"/>
      <c r="BT1034" s="13"/>
      <c r="BU1034" s="13"/>
      <c r="BV1034" s="13"/>
      <c r="BW1034" s="13"/>
      <c r="BX1034" s="13"/>
      <c r="BY1034" s="13"/>
      <c r="BZ1034" s="13"/>
      <c r="CA1034" s="13"/>
      <c r="CB1034" s="13"/>
      <c r="CC1034" s="13"/>
      <c r="CD1034" s="13"/>
      <c r="CE1034" s="13"/>
      <c r="CF1034" s="13"/>
      <c r="CG1034" s="13"/>
      <c r="CH1034" s="13"/>
      <c r="CI1034" s="13"/>
      <c r="CJ1034" s="13"/>
      <c r="CK1034" s="13"/>
      <c r="CL1034" s="13"/>
      <c r="CM1034" s="13"/>
      <c r="CN1034" s="13"/>
      <c r="CO1034" s="13"/>
      <c r="CP1034" s="13"/>
      <c r="CQ1034" s="13"/>
      <c r="CR1034" s="13"/>
      <c r="CS1034" s="13"/>
      <c r="CT1034" s="13"/>
      <c r="CU1034" s="13"/>
      <c r="CV1034" s="13"/>
      <c r="CW1034" s="13"/>
      <c r="CX1034" s="13"/>
      <c r="CY1034" s="13"/>
      <c r="CZ1034" s="13"/>
      <c r="DA1034" s="13"/>
      <c r="DB1034" s="13"/>
      <c r="DC1034" s="13"/>
      <c r="DD1034" s="13"/>
      <c r="DE1034" s="13"/>
      <c r="DF1034" s="13"/>
      <c r="DG1034" s="13"/>
      <c r="DH1034" s="13"/>
      <c r="DI1034" s="13"/>
      <c r="DJ1034" s="13"/>
      <c r="DK1034" s="13"/>
      <c r="DL1034" s="13"/>
      <c r="DM1034" s="13"/>
      <c r="DN1034" s="13"/>
      <c r="DO1034" s="13"/>
      <c r="DP1034" s="13"/>
      <c r="DQ1034" s="13"/>
      <c r="DR1034" s="13"/>
      <c r="DS1034" s="13"/>
      <c r="DT1034" s="13"/>
      <c r="DU1034" s="13"/>
      <c r="DV1034" s="13"/>
      <c r="DW1034" s="13"/>
      <c r="DX1034" s="13"/>
      <c r="DY1034" s="13"/>
      <c r="DZ1034" s="13"/>
      <c r="EA1034" s="13"/>
    </row>
    <row r="1035" spans="1:131" ht="11.25">
      <c r="A1035" s="1"/>
      <c r="B1035" s="1"/>
      <c r="C1035" s="1"/>
      <c r="D1035" s="2"/>
      <c r="E1035" s="2"/>
      <c r="F1035" s="2"/>
      <c r="G1035" s="2"/>
      <c r="H1035" s="2"/>
      <c r="I1035" s="2"/>
      <c r="J1035" s="2"/>
      <c r="K1035" s="2"/>
      <c r="L1035" s="2"/>
      <c r="M1035" s="2"/>
      <c r="N1035" s="21"/>
      <c r="O1035" s="21"/>
      <c r="P1035" s="21"/>
      <c r="Q1035" s="13"/>
      <c r="R1035" s="275"/>
      <c r="S1035" s="275"/>
      <c r="T1035" s="275"/>
      <c r="U1035" s="275"/>
      <c r="V1035" s="275"/>
      <c r="W1035" s="275"/>
      <c r="X1035" s="275"/>
      <c r="Y1035" s="275"/>
      <c r="Z1035" s="275"/>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c r="BD1035" s="13"/>
      <c r="BE1035" s="13"/>
      <c r="BF1035" s="13"/>
      <c r="BG1035" s="13"/>
      <c r="BH1035" s="13"/>
      <c r="BI1035" s="13"/>
      <c r="BJ1035" s="13"/>
      <c r="BK1035" s="13"/>
      <c r="BL1035" s="13"/>
      <c r="BM1035" s="13"/>
      <c r="BN1035" s="13"/>
      <c r="BO1035" s="13"/>
      <c r="BP1035" s="13"/>
      <c r="BQ1035" s="13"/>
      <c r="BR1035" s="13"/>
      <c r="BS1035" s="13"/>
      <c r="BT1035" s="13"/>
      <c r="BU1035" s="13"/>
      <c r="BV1035" s="13"/>
      <c r="BW1035" s="13"/>
      <c r="BX1035" s="13"/>
      <c r="BY1035" s="13"/>
      <c r="BZ1035" s="13"/>
      <c r="CA1035" s="13"/>
      <c r="CB1035" s="13"/>
      <c r="CC1035" s="13"/>
      <c r="CD1035" s="13"/>
      <c r="CE1035" s="13"/>
      <c r="CF1035" s="13"/>
      <c r="CG1035" s="13"/>
      <c r="CH1035" s="13"/>
      <c r="CI1035" s="13"/>
      <c r="CJ1035" s="13"/>
      <c r="CK1035" s="13"/>
      <c r="CL1035" s="13"/>
      <c r="CM1035" s="13"/>
      <c r="CN1035" s="13"/>
      <c r="CO1035" s="13"/>
      <c r="CP1035" s="13"/>
      <c r="CQ1035" s="13"/>
      <c r="CR1035" s="13"/>
      <c r="CS1035" s="13"/>
      <c r="CT1035" s="13"/>
      <c r="CU1035" s="13"/>
      <c r="CV1035" s="13"/>
      <c r="CW1035" s="13"/>
      <c r="CX1035" s="13"/>
      <c r="CY1035" s="13"/>
      <c r="CZ1035" s="13"/>
      <c r="DA1035" s="13"/>
      <c r="DB1035" s="13"/>
      <c r="DC1035" s="13"/>
      <c r="DD1035" s="13"/>
      <c r="DE1035" s="13"/>
      <c r="DF1035" s="13"/>
      <c r="DG1035" s="13"/>
      <c r="DH1035" s="13"/>
      <c r="DI1035" s="13"/>
      <c r="DJ1035" s="13"/>
      <c r="DK1035" s="13"/>
      <c r="DL1035" s="13"/>
      <c r="DM1035" s="13"/>
      <c r="DN1035" s="13"/>
      <c r="DO1035" s="13"/>
      <c r="DP1035" s="13"/>
      <c r="DQ1035" s="13"/>
      <c r="DR1035" s="13"/>
      <c r="DS1035" s="13"/>
      <c r="DT1035" s="13"/>
      <c r="DU1035" s="13"/>
      <c r="DV1035" s="13"/>
      <c r="DW1035" s="13"/>
      <c r="DX1035" s="13"/>
      <c r="DY1035" s="13"/>
      <c r="DZ1035" s="13"/>
      <c r="EA1035" s="13"/>
    </row>
    <row r="1036" spans="1:131" ht="11.25">
      <c r="A1036" s="1"/>
      <c r="B1036" s="1"/>
      <c r="C1036" s="1"/>
      <c r="D1036" s="2"/>
      <c r="E1036" s="2"/>
      <c r="F1036" s="2"/>
      <c r="G1036" s="2"/>
      <c r="H1036" s="2"/>
      <c r="I1036" s="2"/>
      <c r="J1036" s="2"/>
      <c r="K1036" s="2"/>
      <c r="L1036" s="2"/>
      <c r="M1036" s="2"/>
      <c r="N1036" s="21"/>
      <c r="O1036" s="21"/>
      <c r="P1036" s="21"/>
      <c r="Q1036" s="13"/>
      <c r="R1036" s="275"/>
      <c r="S1036" s="275"/>
      <c r="T1036" s="275"/>
      <c r="U1036" s="275"/>
      <c r="V1036" s="275"/>
      <c r="W1036" s="275"/>
      <c r="X1036" s="275"/>
      <c r="Y1036" s="275"/>
      <c r="Z1036" s="275"/>
      <c r="AA1036" s="13"/>
      <c r="AB1036" s="13"/>
      <c r="AC1036" s="13"/>
      <c r="AD1036" s="13"/>
      <c r="AE1036" s="13"/>
      <c r="AF1036" s="13"/>
      <c r="AG1036" s="13"/>
      <c r="AH1036" s="13"/>
      <c r="AI1036" s="13"/>
      <c r="AJ1036" s="13"/>
      <c r="AK1036" s="13"/>
      <c r="AL1036" s="13"/>
      <c r="AM1036" s="13"/>
      <c r="AN1036" s="13"/>
      <c r="AO1036" s="13"/>
      <c r="AP1036" s="13"/>
      <c r="AQ1036" s="13"/>
      <c r="AR1036" s="13"/>
      <c r="AS1036" s="13"/>
      <c r="AT1036" s="13"/>
      <c r="AU1036" s="13"/>
      <c r="AV1036" s="13"/>
      <c r="AW1036" s="13"/>
      <c r="AX1036" s="13"/>
      <c r="AY1036" s="13"/>
      <c r="AZ1036" s="13"/>
      <c r="BA1036" s="13"/>
      <c r="BB1036" s="13"/>
      <c r="BC1036" s="13"/>
      <c r="BD1036" s="13"/>
      <c r="BE1036" s="13"/>
      <c r="BF1036" s="13"/>
      <c r="BG1036" s="13"/>
      <c r="BH1036" s="13"/>
      <c r="BI1036" s="13"/>
      <c r="BJ1036" s="13"/>
      <c r="BK1036" s="13"/>
      <c r="BL1036" s="13"/>
      <c r="BM1036" s="13"/>
      <c r="BN1036" s="13"/>
      <c r="BO1036" s="13"/>
      <c r="BP1036" s="13"/>
      <c r="BQ1036" s="13"/>
      <c r="BR1036" s="13"/>
      <c r="BS1036" s="13"/>
      <c r="BT1036" s="13"/>
      <c r="BU1036" s="13"/>
      <c r="BV1036" s="13"/>
      <c r="BW1036" s="13"/>
      <c r="BX1036" s="13"/>
      <c r="BY1036" s="13"/>
      <c r="BZ1036" s="13"/>
      <c r="CA1036" s="13"/>
      <c r="CB1036" s="13"/>
      <c r="CC1036" s="13"/>
      <c r="CD1036" s="13"/>
      <c r="CE1036" s="13"/>
      <c r="CF1036" s="13"/>
      <c r="CG1036" s="13"/>
      <c r="CH1036" s="13"/>
      <c r="CI1036" s="13"/>
      <c r="CJ1036" s="13"/>
      <c r="CK1036" s="13"/>
      <c r="CL1036" s="13"/>
      <c r="CM1036" s="13"/>
      <c r="CN1036" s="13"/>
      <c r="CO1036" s="13"/>
      <c r="CP1036" s="13"/>
      <c r="CQ1036" s="13"/>
      <c r="CR1036" s="13"/>
      <c r="CS1036" s="13"/>
      <c r="CT1036" s="13"/>
      <c r="CU1036" s="13"/>
      <c r="CV1036" s="13"/>
      <c r="CW1036" s="13"/>
      <c r="CX1036" s="13"/>
      <c r="CY1036" s="13"/>
      <c r="CZ1036" s="13"/>
      <c r="DA1036" s="13"/>
      <c r="DB1036" s="13"/>
      <c r="DC1036" s="13"/>
      <c r="DD1036" s="13"/>
      <c r="DE1036" s="13"/>
      <c r="DF1036" s="13"/>
      <c r="DG1036" s="13"/>
      <c r="DH1036" s="13"/>
      <c r="DI1036" s="13"/>
      <c r="DJ1036" s="13"/>
      <c r="DK1036" s="13"/>
      <c r="DL1036" s="13"/>
      <c r="DM1036" s="13"/>
      <c r="DN1036" s="13"/>
      <c r="DO1036" s="13"/>
      <c r="DP1036" s="13"/>
      <c r="DQ1036" s="13"/>
      <c r="DR1036" s="13"/>
      <c r="DS1036" s="13"/>
      <c r="DT1036" s="13"/>
      <c r="DU1036" s="13"/>
      <c r="DV1036" s="13"/>
      <c r="DW1036" s="13"/>
      <c r="DX1036" s="13"/>
      <c r="DY1036" s="13"/>
      <c r="DZ1036" s="13"/>
      <c r="EA1036" s="13"/>
    </row>
    <row r="1037" spans="1:131" ht="11.25">
      <c r="A1037" s="1"/>
      <c r="B1037" s="1"/>
      <c r="C1037" s="1"/>
      <c r="D1037" s="2"/>
      <c r="E1037" s="2"/>
      <c r="F1037" s="2"/>
      <c r="G1037" s="2"/>
      <c r="H1037" s="2"/>
      <c r="I1037" s="2"/>
      <c r="J1037" s="2"/>
      <c r="K1037" s="2"/>
      <c r="L1037" s="2"/>
      <c r="M1037" s="2"/>
      <c r="N1037" s="21"/>
      <c r="O1037" s="21"/>
      <c r="P1037" s="21"/>
      <c r="Q1037" s="13"/>
      <c r="R1037" s="275"/>
      <c r="S1037" s="275"/>
      <c r="T1037" s="275"/>
      <c r="U1037" s="275"/>
      <c r="V1037" s="275"/>
      <c r="W1037" s="275"/>
      <c r="X1037" s="275"/>
      <c r="Y1037" s="275"/>
      <c r="Z1037" s="275"/>
      <c r="AA1037" s="13"/>
      <c r="AB1037" s="13"/>
      <c r="AC1037" s="13"/>
      <c r="AD1037" s="13"/>
      <c r="AE1037" s="13"/>
      <c r="AF1037" s="13"/>
      <c r="AG1037" s="13"/>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c r="BH1037" s="13"/>
      <c r="BI1037" s="13"/>
      <c r="BJ1037" s="13"/>
      <c r="BK1037" s="13"/>
      <c r="BL1037" s="13"/>
      <c r="BM1037" s="13"/>
      <c r="BN1037" s="13"/>
      <c r="BO1037" s="13"/>
      <c r="BP1037" s="13"/>
      <c r="BQ1037" s="13"/>
      <c r="BR1037" s="13"/>
      <c r="BS1037" s="13"/>
      <c r="BT1037" s="13"/>
      <c r="BU1037" s="13"/>
      <c r="BV1037" s="13"/>
      <c r="BW1037" s="13"/>
      <c r="BX1037" s="13"/>
      <c r="BY1037" s="13"/>
      <c r="BZ1037" s="13"/>
      <c r="CA1037" s="13"/>
      <c r="CB1037" s="13"/>
      <c r="CC1037" s="13"/>
      <c r="CD1037" s="13"/>
      <c r="CE1037" s="13"/>
      <c r="CF1037" s="13"/>
      <c r="CG1037" s="13"/>
      <c r="CH1037" s="13"/>
      <c r="CI1037" s="13"/>
      <c r="CJ1037" s="13"/>
      <c r="CK1037" s="13"/>
      <c r="CL1037" s="13"/>
      <c r="CM1037" s="13"/>
      <c r="CN1037" s="13"/>
      <c r="CO1037" s="13"/>
      <c r="CP1037" s="13"/>
      <c r="CQ1037" s="13"/>
      <c r="CR1037" s="13"/>
      <c r="CS1037" s="13"/>
      <c r="CT1037" s="13"/>
      <c r="CU1037" s="13"/>
      <c r="CV1037" s="13"/>
      <c r="CW1037" s="13"/>
      <c r="CX1037" s="13"/>
      <c r="CY1037" s="13"/>
      <c r="CZ1037" s="13"/>
      <c r="DA1037" s="13"/>
      <c r="DB1037" s="13"/>
      <c r="DC1037" s="13"/>
      <c r="DD1037" s="13"/>
      <c r="DE1037" s="13"/>
      <c r="DF1037" s="13"/>
      <c r="DG1037" s="13"/>
      <c r="DH1037" s="13"/>
      <c r="DI1037" s="13"/>
      <c r="DJ1037" s="13"/>
      <c r="DK1037" s="13"/>
      <c r="DL1037" s="13"/>
      <c r="DM1037" s="13"/>
      <c r="DN1037" s="13"/>
      <c r="DO1037" s="13"/>
      <c r="DP1037" s="13"/>
      <c r="DQ1037" s="13"/>
      <c r="DR1037" s="13"/>
      <c r="DS1037" s="13"/>
      <c r="DT1037" s="13"/>
      <c r="DU1037" s="13"/>
      <c r="DV1037" s="13"/>
      <c r="DW1037" s="13"/>
      <c r="DX1037" s="13"/>
      <c r="DY1037" s="13"/>
      <c r="DZ1037" s="13"/>
      <c r="EA1037" s="13"/>
    </row>
    <row r="1038" spans="1:131" ht="11.25">
      <c r="A1038" s="1"/>
      <c r="B1038" s="1"/>
      <c r="C1038" s="1"/>
      <c r="D1038" s="2"/>
      <c r="E1038" s="2"/>
      <c r="F1038" s="2"/>
      <c r="G1038" s="2"/>
      <c r="H1038" s="2"/>
      <c r="I1038" s="2"/>
      <c r="J1038" s="2"/>
      <c r="K1038" s="2"/>
      <c r="L1038" s="2"/>
      <c r="M1038" s="2"/>
      <c r="N1038" s="21"/>
      <c r="O1038" s="21"/>
      <c r="P1038" s="21"/>
      <c r="Q1038" s="13"/>
      <c r="R1038" s="275"/>
      <c r="S1038" s="275"/>
      <c r="T1038" s="275"/>
      <c r="U1038" s="275"/>
      <c r="V1038" s="275"/>
      <c r="W1038" s="275"/>
      <c r="X1038" s="275"/>
      <c r="Y1038" s="275"/>
      <c r="Z1038" s="275"/>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c r="BH1038" s="13"/>
      <c r="BI1038" s="13"/>
      <c r="BJ1038" s="13"/>
      <c r="BK1038" s="13"/>
      <c r="BL1038" s="13"/>
      <c r="BM1038" s="13"/>
      <c r="BN1038" s="13"/>
      <c r="BO1038" s="13"/>
      <c r="BP1038" s="13"/>
      <c r="BQ1038" s="13"/>
      <c r="BR1038" s="13"/>
      <c r="BS1038" s="13"/>
      <c r="BT1038" s="13"/>
      <c r="BU1038" s="13"/>
      <c r="BV1038" s="13"/>
      <c r="BW1038" s="13"/>
      <c r="BX1038" s="13"/>
      <c r="BY1038" s="13"/>
      <c r="BZ1038" s="13"/>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c r="CY1038" s="13"/>
      <c r="CZ1038" s="13"/>
      <c r="DA1038" s="13"/>
      <c r="DB1038" s="13"/>
      <c r="DC1038" s="13"/>
      <c r="DD1038" s="13"/>
      <c r="DE1038" s="13"/>
      <c r="DF1038" s="13"/>
      <c r="DG1038" s="13"/>
      <c r="DH1038" s="13"/>
      <c r="DI1038" s="13"/>
      <c r="DJ1038" s="13"/>
      <c r="DK1038" s="13"/>
      <c r="DL1038" s="13"/>
      <c r="DM1038" s="13"/>
      <c r="DN1038" s="13"/>
      <c r="DO1038" s="13"/>
      <c r="DP1038" s="13"/>
      <c r="DQ1038" s="13"/>
      <c r="DR1038" s="13"/>
      <c r="DS1038" s="13"/>
      <c r="DT1038" s="13"/>
      <c r="DU1038" s="13"/>
      <c r="DV1038" s="13"/>
      <c r="DW1038" s="13"/>
      <c r="DX1038" s="13"/>
      <c r="DY1038" s="13"/>
      <c r="DZ1038" s="13"/>
      <c r="EA1038" s="13"/>
    </row>
    <row r="1039" spans="1:131" ht="11.25">
      <c r="A1039" s="1"/>
      <c r="B1039" s="1"/>
      <c r="C1039" s="1"/>
      <c r="D1039" s="2"/>
      <c r="E1039" s="2"/>
      <c r="F1039" s="2"/>
      <c r="G1039" s="2"/>
      <c r="H1039" s="2"/>
      <c r="I1039" s="2"/>
      <c r="J1039" s="2"/>
      <c r="K1039" s="2"/>
      <c r="L1039" s="2"/>
      <c r="M1039" s="2"/>
      <c r="N1039" s="21"/>
      <c r="O1039" s="21"/>
      <c r="P1039" s="21"/>
      <c r="Q1039" s="13"/>
      <c r="R1039" s="275"/>
      <c r="S1039" s="275"/>
      <c r="T1039" s="275"/>
      <c r="U1039" s="275"/>
      <c r="V1039" s="275"/>
      <c r="W1039" s="275"/>
      <c r="X1039" s="275"/>
      <c r="Y1039" s="275"/>
      <c r="Z1039" s="275"/>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c r="CC1039" s="13"/>
      <c r="CD1039" s="13"/>
      <c r="CE1039" s="13"/>
      <c r="CF1039" s="13"/>
      <c r="CG1039" s="13"/>
      <c r="CH1039" s="13"/>
      <c r="CI1039" s="13"/>
      <c r="CJ1039" s="13"/>
      <c r="CK1039" s="13"/>
      <c r="CL1039" s="13"/>
      <c r="CM1039" s="13"/>
      <c r="CN1039" s="13"/>
      <c r="CO1039" s="13"/>
      <c r="CP1039" s="13"/>
      <c r="CQ1039" s="13"/>
      <c r="CR1039" s="13"/>
      <c r="CS1039" s="13"/>
      <c r="CT1039" s="13"/>
      <c r="CU1039" s="13"/>
      <c r="CV1039" s="13"/>
      <c r="CW1039" s="13"/>
      <c r="CX1039" s="13"/>
      <c r="CY1039" s="13"/>
      <c r="CZ1039" s="13"/>
      <c r="DA1039" s="13"/>
      <c r="DB1039" s="13"/>
      <c r="DC1039" s="13"/>
      <c r="DD1039" s="13"/>
      <c r="DE1039" s="13"/>
      <c r="DF1039" s="13"/>
      <c r="DG1039" s="13"/>
      <c r="DH1039" s="13"/>
      <c r="DI1039" s="13"/>
      <c r="DJ1039" s="13"/>
      <c r="DK1039" s="13"/>
      <c r="DL1039" s="13"/>
      <c r="DM1039" s="13"/>
      <c r="DN1039" s="13"/>
      <c r="DO1039" s="13"/>
      <c r="DP1039" s="13"/>
      <c r="DQ1039" s="13"/>
      <c r="DR1039" s="13"/>
      <c r="DS1039" s="13"/>
      <c r="DT1039" s="13"/>
      <c r="DU1039" s="13"/>
      <c r="DV1039" s="13"/>
      <c r="DW1039" s="13"/>
      <c r="DX1039" s="13"/>
      <c r="DY1039" s="13"/>
      <c r="DZ1039" s="13"/>
      <c r="EA1039" s="13"/>
    </row>
    <row r="1040" spans="1:131" ht="11.25">
      <c r="A1040" s="1"/>
      <c r="B1040" s="1"/>
      <c r="C1040" s="1"/>
      <c r="D1040" s="2"/>
      <c r="E1040" s="2"/>
      <c r="F1040" s="2"/>
      <c r="G1040" s="2"/>
      <c r="H1040" s="2"/>
      <c r="I1040" s="2"/>
      <c r="J1040" s="2"/>
      <c r="K1040" s="2"/>
      <c r="L1040" s="2"/>
      <c r="M1040" s="2"/>
      <c r="N1040" s="21"/>
      <c r="O1040" s="21"/>
      <c r="P1040" s="21"/>
      <c r="Q1040" s="13"/>
      <c r="R1040" s="275"/>
      <c r="S1040" s="275"/>
      <c r="T1040" s="275"/>
      <c r="U1040" s="275"/>
      <c r="V1040" s="275"/>
      <c r="W1040" s="275"/>
      <c r="X1040" s="275"/>
      <c r="Y1040" s="275"/>
      <c r="Z1040" s="275"/>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c r="BQ1040" s="13"/>
      <c r="BR1040" s="13"/>
      <c r="BS1040" s="13"/>
      <c r="BT1040" s="13"/>
      <c r="BU1040" s="13"/>
      <c r="BV1040" s="13"/>
      <c r="BW1040" s="13"/>
      <c r="BX1040" s="13"/>
      <c r="BY1040" s="13"/>
      <c r="BZ1040" s="13"/>
      <c r="CA1040" s="13"/>
      <c r="CB1040" s="13"/>
      <c r="CC1040" s="13"/>
      <c r="CD1040" s="13"/>
      <c r="CE1040" s="13"/>
      <c r="CF1040" s="13"/>
      <c r="CG1040" s="13"/>
      <c r="CH1040" s="13"/>
      <c r="CI1040" s="13"/>
      <c r="CJ1040" s="13"/>
      <c r="CK1040" s="13"/>
      <c r="CL1040" s="13"/>
      <c r="CM1040" s="13"/>
      <c r="CN1040" s="13"/>
      <c r="CO1040" s="13"/>
      <c r="CP1040" s="13"/>
      <c r="CQ1040" s="13"/>
      <c r="CR1040" s="13"/>
      <c r="CS1040" s="13"/>
      <c r="CT1040" s="13"/>
      <c r="CU1040" s="13"/>
      <c r="CV1040" s="13"/>
      <c r="CW1040" s="13"/>
      <c r="CX1040" s="13"/>
      <c r="CY1040" s="13"/>
      <c r="CZ1040" s="13"/>
      <c r="DA1040" s="13"/>
      <c r="DB1040" s="13"/>
      <c r="DC1040" s="13"/>
      <c r="DD1040" s="13"/>
      <c r="DE1040" s="13"/>
      <c r="DF1040" s="13"/>
      <c r="DG1040" s="13"/>
      <c r="DH1040" s="13"/>
      <c r="DI1040" s="13"/>
      <c r="DJ1040" s="13"/>
      <c r="DK1040" s="13"/>
      <c r="DL1040" s="13"/>
      <c r="DM1040" s="13"/>
      <c r="DN1040" s="13"/>
      <c r="DO1040" s="13"/>
      <c r="DP1040" s="13"/>
      <c r="DQ1040" s="13"/>
      <c r="DR1040" s="13"/>
      <c r="DS1040" s="13"/>
      <c r="DT1040" s="13"/>
      <c r="DU1040" s="13"/>
      <c r="DV1040" s="13"/>
      <c r="DW1040" s="13"/>
      <c r="DX1040" s="13"/>
      <c r="DY1040" s="13"/>
      <c r="DZ1040" s="13"/>
      <c r="EA1040" s="13"/>
    </row>
    <row r="1041" spans="1:131" ht="11.25">
      <c r="A1041" s="1"/>
      <c r="B1041" s="1"/>
      <c r="C1041" s="1"/>
      <c r="D1041" s="2"/>
      <c r="E1041" s="2"/>
      <c r="F1041" s="2"/>
      <c r="G1041" s="2"/>
      <c r="H1041" s="2"/>
      <c r="I1041" s="2"/>
      <c r="J1041" s="2"/>
      <c r="K1041" s="2"/>
      <c r="L1041" s="2"/>
      <c r="M1041" s="2"/>
      <c r="N1041" s="21"/>
      <c r="O1041" s="21"/>
      <c r="P1041" s="21"/>
      <c r="Q1041" s="13"/>
      <c r="R1041" s="275"/>
      <c r="S1041" s="275"/>
      <c r="T1041" s="275"/>
      <c r="U1041" s="275"/>
      <c r="V1041" s="275"/>
      <c r="W1041" s="275"/>
      <c r="X1041" s="275"/>
      <c r="Y1041" s="275"/>
      <c r="Z1041" s="275"/>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c r="BY1041" s="13"/>
      <c r="BZ1041" s="13"/>
      <c r="CA1041" s="13"/>
      <c r="CB1041" s="13"/>
      <c r="CC1041" s="13"/>
      <c r="CD1041" s="13"/>
      <c r="CE1041" s="13"/>
      <c r="CF1041" s="13"/>
      <c r="CG1041" s="13"/>
      <c r="CH1041" s="13"/>
      <c r="CI1041" s="13"/>
      <c r="CJ1041" s="13"/>
      <c r="CK1041" s="13"/>
      <c r="CL1041" s="13"/>
      <c r="CM1041" s="13"/>
      <c r="CN1041" s="13"/>
      <c r="CO1041" s="13"/>
      <c r="CP1041" s="13"/>
      <c r="CQ1041" s="13"/>
      <c r="CR1041" s="13"/>
      <c r="CS1041" s="13"/>
      <c r="CT1041" s="13"/>
      <c r="CU1041" s="13"/>
      <c r="CV1041" s="13"/>
      <c r="CW1041" s="13"/>
      <c r="CX1041" s="13"/>
      <c r="CY1041" s="13"/>
      <c r="CZ1041" s="13"/>
      <c r="DA1041" s="13"/>
      <c r="DB1041" s="13"/>
      <c r="DC1041" s="13"/>
      <c r="DD1041" s="13"/>
      <c r="DE1041" s="13"/>
      <c r="DF1041" s="13"/>
      <c r="DG1041" s="13"/>
      <c r="DH1041" s="13"/>
      <c r="DI1041" s="13"/>
      <c r="DJ1041" s="13"/>
      <c r="DK1041" s="13"/>
      <c r="DL1041" s="13"/>
      <c r="DM1041" s="13"/>
      <c r="DN1041" s="13"/>
      <c r="DO1041" s="13"/>
      <c r="DP1041" s="13"/>
      <c r="DQ1041" s="13"/>
      <c r="DR1041" s="13"/>
      <c r="DS1041" s="13"/>
      <c r="DT1041" s="13"/>
      <c r="DU1041" s="13"/>
      <c r="DV1041" s="13"/>
      <c r="DW1041" s="13"/>
      <c r="DX1041" s="13"/>
      <c r="DY1041" s="13"/>
      <c r="DZ1041" s="13"/>
      <c r="EA1041" s="13"/>
    </row>
    <row r="1042" spans="1:131" ht="11.25">
      <c r="A1042" s="1"/>
      <c r="B1042" s="1"/>
      <c r="C1042" s="1"/>
      <c r="D1042" s="2"/>
      <c r="E1042" s="2"/>
      <c r="F1042" s="2"/>
      <c r="G1042" s="2"/>
      <c r="H1042" s="2"/>
      <c r="I1042" s="2"/>
      <c r="J1042" s="2"/>
      <c r="K1042" s="2"/>
      <c r="L1042" s="2"/>
      <c r="M1042" s="2"/>
      <c r="N1042" s="21"/>
      <c r="O1042" s="21"/>
      <c r="P1042" s="21"/>
      <c r="Q1042" s="13"/>
      <c r="R1042" s="275"/>
      <c r="S1042" s="275"/>
      <c r="T1042" s="275"/>
      <c r="U1042" s="275"/>
      <c r="V1042" s="275"/>
      <c r="W1042" s="275"/>
      <c r="X1042" s="275"/>
      <c r="Y1042" s="275"/>
      <c r="Z1042" s="275"/>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c r="BJ1042" s="13"/>
      <c r="BK1042" s="13"/>
      <c r="BL1042" s="13"/>
      <c r="BM1042" s="13"/>
      <c r="BN1042" s="13"/>
      <c r="BO1042" s="13"/>
      <c r="BP1042" s="13"/>
      <c r="BQ1042" s="13"/>
      <c r="BR1042" s="13"/>
      <c r="BS1042" s="13"/>
      <c r="BT1042" s="13"/>
      <c r="BU1042" s="13"/>
      <c r="BV1042" s="13"/>
      <c r="BW1042" s="13"/>
      <c r="BX1042" s="13"/>
      <c r="BY1042" s="13"/>
      <c r="BZ1042" s="13"/>
      <c r="CA1042" s="13"/>
      <c r="CB1042" s="13"/>
      <c r="CC1042" s="13"/>
      <c r="CD1042" s="13"/>
      <c r="CE1042" s="13"/>
      <c r="CF1042" s="13"/>
      <c r="CG1042" s="13"/>
      <c r="CH1042" s="13"/>
      <c r="CI1042" s="13"/>
      <c r="CJ1042" s="13"/>
      <c r="CK1042" s="13"/>
      <c r="CL1042" s="13"/>
      <c r="CM1042" s="13"/>
      <c r="CN1042" s="13"/>
      <c r="CO1042" s="13"/>
      <c r="CP1042" s="13"/>
      <c r="CQ1042" s="13"/>
      <c r="CR1042" s="13"/>
      <c r="CS1042" s="13"/>
      <c r="CT1042" s="13"/>
      <c r="CU1042" s="13"/>
      <c r="CV1042" s="13"/>
      <c r="CW1042" s="13"/>
      <c r="CX1042" s="13"/>
      <c r="CY1042" s="13"/>
      <c r="CZ1042" s="13"/>
      <c r="DA1042" s="13"/>
      <c r="DB1042" s="13"/>
      <c r="DC1042" s="13"/>
      <c r="DD1042" s="13"/>
      <c r="DE1042" s="13"/>
      <c r="DF1042" s="13"/>
      <c r="DG1042" s="13"/>
      <c r="DH1042" s="13"/>
      <c r="DI1042" s="13"/>
      <c r="DJ1042" s="13"/>
      <c r="DK1042" s="13"/>
      <c r="DL1042" s="13"/>
      <c r="DM1042" s="13"/>
      <c r="DN1042" s="13"/>
      <c r="DO1042" s="13"/>
      <c r="DP1042" s="13"/>
      <c r="DQ1042" s="13"/>
      <c r="DR1042" s="13"/>
      <c r="DS1042" s="13"/>
      <c r="DT1042" s="13"/>
      <c r="DU1042" s="13"/>
      <c r="DV1042" s="13"/>
      <c r="DW1042" s="13"/>
      <c r="DX1042" s="13"/>
      <c r="DY1042" s="13"/>
      <c r="DZ1042" s="13"/>
      <c r="EA1042" s="13"/>
    </row>
    <row r="1043" spans="1:131" ht="11.25">
      <c r="A1043" s="1"/>
      <c r="B1043" s="1"/>
      <c r="C1043" s="1"/>
      <c r="D1043" s="2"/>
      <c r="E1043" s="2"/>
      <c r="F1043" s="2"/>
      <c r="G1043" s="2"/>
      <c r="H1043" s="2"/>
      <c r="I1043" s="2"/>
      <c r="J1043" s="2"/>
      <c r="K1043" s="2"/>
      <c r="L1043" s="2"/>
      <c r="M1043" s="2"/>
      <c r="N1043" s="21"/>
      <c r="O1043" s="21"/>
      <c r="P1043" s="21"/>
      <c r="Q1043" s="13"/>
      <c r="R1043" s="275"/>
      <c r="S1043" s="275"/>
      <c r="T1043" s="275"/>
      <c r="U1043" s="275"/>
      <c r="V1043" s="275"/>
      <c r="W1043" s="275"/>
      <c r="X1043" s="275"/>
      <c r="Y1043" s="275"/>
      <c r="Z1043" s="275"/>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c r="BJ1043" s="13"/>
      <c r="BK1043" s="13"/>
      <c r="BL1043" s="13"/>
      <c r="BM1043" s="13"/>
      <c r="BN1043" s="13"/>
      <c r="BO1043" s="13"/>
      <c r="BP1043" s="13"/>
      <c r="BQ1043" s="13"/>
      <c r="BR1043" s="13"/>
      <c r="BS1043" s="13"/>
      <c r="BT1043" s="13"/>
      <c r="BU1043" s="13"/>
      <c r="BV1043" s="13"/>
      <c r="BW1043" s="13"/>
      <c r="BX1043" s="13"/>
      <c r="BY1043" s="13"/>
      <c r="BZ1043" s="13"/>
      <c r="CA1043" s="13"/>
      <c r="CB1043" s="13"/>
      <c r="CC1043" s="13"/>
      <c r="CD1043" s="13"/>
      <c r="CE1043" s="13"/>
      <c r="CF1043" s="13"/>
      <c r="CG1043" s="13"/>
      <c r="CH1043" s="13"/>
      <c r="CI1043" s="13"/>
      <c r="CJ1043" s="13"/>
      <c r="CK1043" s="13"/>
      <c r="CL1043" s="13"/>
      <c r="CM1043" s="13"/>
      <c r="CN1043" s="13"/>
      <c r="CO1043" s="13"/>
      <c r="CP1043" s="13"/>
      <c r="CQ1043" s="13"/>
      <c r="CR1043" s="13"/>
      <c r="CS1043" s="13"/>
      <c r="CT1043" s="13"/>
      <c r="CU1043" s="13"/>
      <c r="CV1043" s="13"/>
      <c r="CW1043" s="13"/>
      <c r="CX1043" s="13"/>
      <c r="CY1043" s="13"/>
      <c r="CZ1043" s="13"/>
      <c r="DA1043" s="13"/>
      <c r="DB1043" s="13"/>
      <c r="DC1043" s="13"/>
      <c r="DD1043" s="13"/>
      <c r="DE1043" s="13"/>
      <c r="DF1043" s="13"/>
      <c r="DG1043" s="13"/>
      <c r="DH1043" s="13"/>
      <c r="DI1043" s="13"/>
      <c r="DJ1043" s="13"/>
      <c r="DK1043" s="13"/>
      <c r="DL1043" s="13"/>
      <c r="DM1043" s="13"/>
      <c r="DN1043" s="13"/>
      <c r="DO1043" s="13"/>
      <c r="DP1043" s="13"/>
      <c r="DQ1043" s="13"/>
      <c r="DR1043" s="13"/>
      <c r="DS1043" s="13"/>
      <c r="DT1043" s="13"/>
      <c r="DU1043" s="13"/>
      <c r="DV1043" s="13"/>
      <c r="DW1043" s="13"/>
      <c r="DX1043" s="13"/>
      <c r="DY1043" s="13"/>
      <c r="DZ1043" s="13"/>
      <c r="EA1043" s="13"/>
    </row>
    <row r="1044" spans="1:131" ht="11.25">
      <c r="A1044" s="1"/>
      <c r="B1044" s="1"/>
      <c r="C1044" s="1"/>
      <c r="D1044" s="2"/>
      <c r="E1044" s="2"/>
      <c r="F1044" s="2"/>
      <c r="G1044" s="2"/>
      <c r="H1044" s="2"/>
      <c r="I1044" s="2"/>
      <c r="J1044" s="2"/>
      <c r="K1044" s="2"/>
      <c r="L1044" s="2"/>
      <c r="M1044" s="2"/>
      <c r="N1044" s="21"/>
      <c r="O1044" s="21"/>
      <c r="P1044" s="21"/>
      <c r="Q1044" s="13"/>
      <c r="R1044" s="275"/>
      <c r="S1044" s="275"/>
      <c r="T1044" s="275"/>
      <c r="U1044" s="275"/>
      <c r="V1044" s="275"/>
      <c r="W1044" s="275"/>
      <c r="X1044" s="275"/>
      <c r="Y1044" s="275"/>
      <c r="Z1044" s="275"/>
      <c r="AA1044" s="13"/>
      <c r="AB1044" s="13"/>
      <c r="AC1044" s="13"/>
      <c r="AD1044" s="13"/>
      <c r="AE1044" s="13"/>
      <c r="AF1044" s="13"/>
      <c r="AG1044" s="13"/>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c r="BH1044" s="13"/>
      <c r="BI1044" s="13"/>
      <c r="BJ1044" s="13"/>
      <c r="BK1044" s="13"/>
      <c r="BL1044" s="13"/>
      <c r="BM1044" s="13"/>
      <c r="BN1044" s="13"/>
      <c r="BO1044" s="13"/>
      <c r="BP1044" s="13"/>
      <c r="BQ1044" s="13"/>
      <c r="BR1044" s="13"/>
      <c r="BS1044" s="13"/>
      <c r="BT1044" s="13"/>
      <c r="BU1044" s="13"/>
      <c r="BV1044" s="13"/>
      <c r="BW1044" s="13"/>
      <c r="BX1044" s="13"/>
      <c r="BY1044" s="13"/>
      <c r="BZ1044" s="13"/>
      <c r="CA1044" s="13"/>
      <c r="CB1044" s="13"/>
      <c r="CC1044" s="13"/>
      <c r="CD1044" s="13"/>
      <c r="CE1044" s="13"/>
      <c r="CF1044" s="13"/>
      <c r="CG1044" s="13"/>
      <c r="CH1044" s="13"/>
      <c r="CI1044" s="13"/>
      <c r="CJ1044" s="13"/>
      <c r="CK1044" s="13"/>
      <c r="CL1044" s="13"/>
      <c r="CM1044" s="13"/>
      <c r="CN1044" s="13"/>
      <c r="CO1044" s="13"/>
      <c r="CP1044" s="13"/>
      <c r="CQ1044" s="13"/>
      <c r="CR1044" s="13"/>
      <c r="CS1044" s="13"/>
      <c r="CT1044" s="13"/>
      <c r="CU1044" s="13"/>
      <c r="CV1044" s="13"/>
      <c r="CW1044" s="13"/>
      <c r="CX1044" s="13"/>
      <c r="CY1044" s="13"/>
      <c r="CZ1044" s="13"/>
      <c r="DA1044" s="13"/>
      <c r="DB1044" s="13"/>
      <c r="DC1044" s="13"/>
      <c r="DD1044" s="13"/>
      <c r="DE1044" s="13"/>
      <c r="DF1044" s="13"/>
      <c r="DG1044" s="13"/>
      <c r="DH1044" s="13"/>
      <c r="DI1044" s="13"/>
      <c r="DJ1044" s="13"/>
      <c r="DK1044" s="13"/>
      <c r="DL1044" s="13"/>
      <c r="DM1044" s="13"/>
      <c r="DN1044" s="13"/>
      <c r="DO1044" s="13"/>
      <c r="DP1044" s="13"/>
      <c r="DQ1044" s="13"/>
      <c r="DR1044" s="13"/>
      <c r="DS1044" s="13"/>
      <c r="DT1044" s="13"/>
      <c r="DU1044" s="13"/>
      <c r="DV1044" s="13"/>
      <c r="DW1044" s="13"/>
      <c r="DX1044" s="13"/>
      <c r="DY1044" s="13"/>
      <c r="DZ1044" s="13"/>
      <c r="EA1044" s="13"/>
    </row>
    <row r="1045" spans="1:131" ht="11.25">
      <c r="A1045" s="1"/>
      <c r="B1045" s="1"/>
      <c r="C1045" s="1"/>
      <c r="D1045" s="2"/>
      <c r="E1045" s="2"/>
      <c r="F1045" s="2"/>
      <c r="G1045" s="2"/>
      <c r="H1045" s="2"/>
      <c r="I1045" s="2"/>
      <c r="J1045" s="2"/>
      <c r="K1045" s="2"/>
      <c r="L1045" s="2"/>
      <c r="M1045" s="2"/>
      <c r="N1045" s="21"/>
      <c r="O1045" s="21"/>
      <c r="P1045" s="21"/>
      <c r="Q1045" s="13"/>
      <c r="R1045" s="275"/>
      <c r="S1045" s="275"/>
      <c r="T1045" s="275"/>
      <c r="U1045" s="275"/>
      <c r="V1045" s="275"/>
      <c r="W1045" s="275"/>
      <c r="X1045" s="275"/>
      <c r="Y1045" s="275"/>
      <c r="Z1045" s="275"/>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c r="BJ1045" s="13"/>
      <c r="BK1045" s="13"/>
      <c r="BL1045" s="13"/>
      <c r="BM1045" s="13"/>
      <c r="BN1045" s="13"/>
      <c r="BO1045" s="13"/>
      <c r="BP1045" s="13"/>
      <c r="BQ1045" s="13"/>
      <c r="BR1045" s="13"/>
      <c r="BS1045" s="13"/>
      <c r="BT1045" s="13"/>
      <c r="BU1045" s="13"/>
      <c r="BV1045" s="13"/>
      <c r="BW1045" s="13"/>
      <c r="BX1045" s="13"/>
      <c r="BY1045" s="13"/>
      <c r="BZ1045" s="13"/>
      <c r="CA1045" s="13"/>
      <c r="CB1045" s="13"/>
      <c r="CC1045" s="13"/>
      <c r="CD1045" s="13"/>
      <c r="CE1045" s="13"/>
      <c r="CF1045" s="13"/>
      <c r="CG1045" s="13"/>
      <c r="CH1045" s="13"/>
      <c r="CI1045" s="13"/>
      <c r="CJ1045" s="13"/>
      <c r="CK1045" s="13"/>
      <c r="CL1045" s="13"/>
      <c r="CM1045" s="13"/>
      <c r="CN1045" s="13"/>
      <c r="CO1045" s="13"/>
      <c r="CP1045" s="13"/>
      <c r="CQ1045" s="13"/>
      <c r="CR1045" s="13"/>
      <c r="CS1045" s="13"/>
      <c r="CT1045" s="13"/>
      <c r="CU1045" s="13"/>
      <c r="CV1045" s="13"/>
      <c r="CW1045" s="13"/>
      <c r="CX1045" s="13"/>
      <c r="CY1045" s="13"/>
      <c r="CZ1045" s="13"/>
      <c r="DA1045" s="13"/>
      <c r="DB1045" s="13"/>
      <c r="DC1045" s="13"/>
      <c r="DD1045" s="13"/>
      <c r="DE1045" s="13"/>
      <c r="DF1045" s="13"/>
      <c r="DG1045" s="13"/>
      <c r="DH1045" s="13"/>
      <c r="DI1045" s="13"/>
      <c r="DJ1045" s="13"/>
      <c r="DK1045" s="13"/>
      <c r="DL1045" s="13"/>
      <c r="DM1045" s="13"/>
      <c r="DN1045" s="13"/>
      <c r="DO1045" s="13"/>
      <c r="DP1045" s="13"/>
      <c r="DQ1045" s="13"/>
      <c r="DR1045" s="13"/>
      <c r="DS1045" s="13"/>
      <c r="DT1045" s="13"/>
      <c r="DU1045" s="13"/>
      <c r="DV1045" s="13"/>
      <c r="DW1045" s="13"/>
      <c r="DX1045" s="13"/>
      <c r="DY1045" s="13"/>
      <c r="DZ1045" s="13"/>
      <c r="EA1045" s="13"/>
    </row>
    <row r="1046" spans="1:131" ht="11.25">
      <c r="A1046" s="1"/>
      <c r="B1046" s="1"/>
      <c r="C1046" s="1"/>
      <c r="D1046" s="2"/>
      <c r="E1046" s="2"/>
      <c r="F1046" s="2"/>
      <c r="G1046" s="2"/>
      <c r="H1046" s="2"/>
      <c r="I1046" s="2"/>
      <c r="J1046" s="2"/>
      <c r="K1046" s="2"/>
      <c r="L1046" s="2"/>
      <c r="M1046" s="2"/>
      <c r="N1046" s="21"/>
      <c r="O1046" s="21"/>
      <c r="P1046" s="21"/>
      <c r="Q1046" s="13"/>
      <c r="R1046" s="275"/>
      <c r="S1046" s="275"/>
      <c r="T1046" s="275"/>
      <c r="U1046" s="275"/>
      <c r="V1046" s="275"/>
      <c r="W1046" s="275"/>
      <c r="X1046" s="275"/>
      <c r="Y1046" s="275"/>
      <c r="Z1046" s="275"/>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c r="BH1046" s="13"/>
      <c r="BI1046" s="13"/>
      <c r="BJ1046" s="13"/>
      <c r="BK1046" s="13"/>
      <c r="BL1046" s="13"/>
      <c r="BM1046" s="13"/>
      <c r="BN1046" s="13"/>
      <c r="BO1046" s="13"/>
      <c r="BP1046" s="13"/>
      <c r="BQ1046" s="13"/>
      <c r="BR1046" s="13"/>
      <c r="BS1046" s="13"/>
      <c r="BT1046" s="13"/>
      <c r="BU1046" s="13"/>
      <c r="BV1046" s="13"/>
      <c r="BW1046" s="13"/>
      <c r="BX1046" s="13"/>
      <c r="BY1046" s="13"/>
      <c r="BZ1046" s="13"/>
      <c r="CA1046" s="13"/>
      <c r="CB1046" s="13"/>
      <c r="CC1046" s="13"/>
      <c r="CD1046" s="13"/>
      <c r="CE1046" s="13"/>
      <c r="CF1046" s="13"/>
      <c r="CG1046" s="13"/>
      <c r="CH1046" s="13"/>
      <c r="CI1046" s="13"/>
      <c r="CJ1046" s="13"/>
      <c r="CK1046" s="13"/>
      <c r="CL1046" s="13"/>
      <c r="CM1046" s="13"/>
      <c r="CN1046" s="13"/>
      <c r="CO1046" s="13"/>
      <c r="CP1046" s="13"/>
      <c r="CQ1046" s="13"/>
      <c r="CR1046" s="13"/>
      <c r="CS1046" s="13"/>
      <c r="CT1046" s="13"/>
      <c r="CU1046" s="13"/>
      <c r="CV1046" s="13"/>
      <c r="CW1046" s="13"/>
      <c r="CX1046" s="13"/>
      <c r="CY1046" s="13"/>
      <c r="CZ1046" s="13"/>
      <c r="DA1046" s="13"/>
      <c r="DB1046" s="13"/>
      <c r="DC1046" s="13"/>
      <c r="DD1046" s="13"/>
      <c r="DE1046" s="13"/>
      <c r="DF1046" s="13"/>
      <c r="DG1046" s="13"/>
      <c r="DH1046" s="13"/>
      <c r="DI1046" s="13"/>
      <c r="DJ1046" s="13"/>
      <c r="DK1046" s="13"/>
      <c r="DL1046" s="13"/>
      <c r="DM1046" s="13"/>
      <c r="DN1046" s="13"/>
      <c r="DO1046" s="13"/>
      <c r="DP1046" s="13"/>
      <c r="DQ1046" s="13"/>
      <c r="DR1046" s="13"/>
      <c r="DS1046" s="13"/>
      <c r="DT1046" s="13"/>
      <c r="DU1046" s="13"/>
      <c r="DV1046" s="13"/>
      <c r="DW1046" s="13"/>
      <c r="DX1046" s="13"/>
      <c r="DY1046" s="13"/>
      <c r="DZ1046" s="13"/>
      <c r="EA1046" s="13"/>
    </row>
    <row r="1047" spans="1:131" ht="11.25">
      <c r="A1047" s="1"/>
      <c r="B1047" s="1"/>
      <c r="C1047" s="1"/>
      <c r="D1047" s="2"/>
      <c r="E1047" s="2"/>
      <c r="F1047" s="2"/>
      <c r="G1047" s="2"/>
      <c r="H1047" s="2"/>
      <c r="I1047" s="2"/>
      <c r="J1047" s="2"/>
      <c r="K1047" s="2"/>
      <c r="L1047" s="2"/>
      <c r="M1047" s="2"/>
      <c r="N1047" s="21"/>
      <c r="O1047" s="21"/>
      <c r="P1047" s="21"/>
      <c r="Q1047" s="13"/>
      <c r="R1047" s="275"/>
      <c r="S1047" s="275"/>
      <c r="T1047" s="275"/>
      <c r="U1047" s="275"/>
      <c r="V1047" s="275"/>
      <c r="W1047" s="275"/>
      <c r="X1047" s="275"/>
      <c r="Y1047" s="275"/>
      <c r="Z1047" s="275"/>
      <c r="AA1047" s="13"/>
      <c r="AB1047" s="13"/>
      <c r="AC1047" s="13"/>
      <c r="AD1047" s="13"/>
      <c r="AE1047" s="13"/>
      <c r="AF1047" s="13"/>
      <c r="AG1047" s="13"/>
      <c r="AH1047" s="13"/>
      <c r="AI1047" s="13"/>
      <c r="AJ1047" s="13"/>
      <c r="AK1047" s="13"/>
      <c r="AL1047" s="13"/>
      <c r="AM1047" s="13"/>
      <c r="AN1047" s="13"/>
      <c r="AO1047" s="13"/>
      <c r="AP1047" s="13"/>
      <c r="AQ1047" s="13"/>
      <c r="AR1047" s="13"/>
      <c r="AS1047" s="13"/>
      <c r="AT1047" s="13"/>
      <c r="AU1047" s="13"/>
      <c r="AV1047" s="13"/>
      <c r="AW1047" s="13"/>
      <c r="AX1047" s="13"/>
      <c r="AY1047" s="13"/>
      <c r="AZ1047" s="13"/>
      <c r="BA1047" s="13"/>
      <c r="BB1047" s="13"/>
      <c r="BC1047" s="13"/>
      <c r="BD1047" s="13"/>
      <c r="BE1047" s="13"/>
      <c r="BF1047" s="13"/>
      <c r="BG1047" s="13"/>
      <c r="BH1047" s="13"/>
      <c r="BI1047" s="13"/>
      <c r="BJ1047" s="13"/>
      <c r="BK1047" s="13"/>
      <c r="BL1047" s="13"/>
      <c r="BM1047" s="13"/>
      <c r="BN1047" s="13"/>
      <c r="BO1047" s="13"/>
      <c r="BP1047" s="13"/>
      <c r="BQ1047" s="13"/>
      <c r="BR1047" s="13"/>
      <c r="BS1047" s="13"/>
      <c r="BT1047" s="13"/>
      <c r="BU1047" s="13"/>
      <c r="BV1047" s="13"/>
      <c r="BW1047" s="13"/>
      <c r="BX1047" s="13"/>
      <c r="BY1047" s="13"/>
      <c r="BZ1047" s="13"/>
      <c r="CA1047" s="13"/>
      <c r="CB1047" s="13"/>
      <c r="CC1047" s="13"/>
      <c r="CD1047" s="13"/>
      <c r="CE1047" s="13"/>
      <c r="CF1047" s="13"/>
      <c r="CG1047" s="13"/>
      <c r="CH1047" s="13"/>
      <c r="CI1047" s="13"/>
      <c r="CJ1047" s="13"/>
      <c r="CK1047" s="13"/>
      <c r="CL1047" s="13"/>
      <c r="CM1047" s="13"/>
      <c r="CN1047" s="13"/>
      <c r="CO1047" s="13"/>
      <c r="CP1047" s="13"/>
      <c r="CQ1047" s="13"/>
      <c r="CR1047" s="13"/>
      <c r="CS1047" s="13"/>
      <c r="CT1047" s="13"/>
      <c r="CU1047" s="13"/>
      <c r="CV1047" s="13"/>
      <c r="CW1047" s="13"/>
      <c r="CX1047" s="13"/>
      <c r="CY1047" s="13"/>
      <c r="CZ1047" s="13"/>
      <c r="DA1047" s="13"/>
      <c r="DB1047" s="13"/>
      <c r="DC1047" s="13"/>
      <c r="DD1047" s="13"/>
      <c r="DE1047" s="13"/>
      <c r="DF1047" s="13"/>
      <c r="DG1047" s="13"/>
      <c r="DH1047" s="13"/>
      <c r="DI1047" s="13"/>
      <c r="DJ1047" s="13"/>
      <c r="DK1047" s="13"/>
      <c r="DL1047" s="13"/>
      <c r="DM1047" s="13"/>
      <c r="DN1047" s="13"/>
      <c r="DO1047" s="13"/>
      <c r="DP1047" s="13"/>
      <c r="DQ1047" s="13"/>
      <c r="DR1047" s="13"/>
      <c r="DS1047" s="13"/>
      <c r="DT1047" s="13"/>
      <c r="DU1047" s="13"/>
      <c r="DV1047" s="13"/>
      <c r="DW1047" s="13"/>
      <c r="DX1047" s="13"/>
      <c r="DY1047" s="13"/>
      <c r="DZ1047" s="13"/>
      <c r="EA1047" s="13"/>
    </row>
    <row r="1048" spans="1:131" ht="11.25">
      <c r="A1048" s="1"/>
      <c r="B1048" s="1"/>
      <c r="C1048" s="1"/>
      <c r="D1048" s="2"/>
      <c r="E1048" s="2"/>
      <c r="F1048" s="2"/>
      <c r="G1048" s="2"/>
      <c r="H1048" s="2"/>
      <c r="I1048" s="2"/>
      <c r="J1048" s="2"/>
      <c r="K1048" s="2"/>
      <c r="L1048" s="2"/>
      <c r="M1048" s="2"/>
      <c r="N1048" s="21"/>
      <c r="O1048" s="21"/>
      <c r="P1048" s="21"/>
      <c r="Q1048" s="13"/>
      <c r="R1048" s="275"/>
      <c r="S1048" s="275"/>
      <c r="T1048" s="275"/>
      <c r="U1048" s="275"/>
      <c r="V1048" s="275"/>
      <c r="W1048" s="275"/>
      <c r="X1048" s="275"/>
      <c r="Y1048" s="275"/>
      <c r="Z1048" s="275"/>
      <c r="AA1048" s="13"/>
      <c r="AB1048" s="13"/>
      <c r="AC1048" s="13"/>
      <c r="AD1048" s="13"/>
      <c r="AE1048" s="13"/>
      <c r="AF1048" s="13"/>
      <c r="AG1048" s="13"/>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c r="BJ1048" s="13"/>
      <c r="BK1048" s="13"/>
      <c r="BL1048" s="13"/>
      <c r="BM1048" s="13"/>
      <c r="BN1048" s="13"/>
      <c r="BO1048" s="13"/>
      <c r="BP1048" s="13"/>
      <c r="BQ1048" s="13"/>
      <c r="BR1048" s="13"/>
      <c r="BS1048" s="13"/>
      <c r="BT1048" s="13"/>
      <c r="BU1048" s="13"/>
      <c r="BV1048" s="13"/>
      <c r="BW1048" s="13"/>
      <c r="BX1048" s="13"/>
      <c r="BY1048" s="13"/>
      <c r="BZ1048" s="13"/>
      <c r="CA1048" s="13"/>
      <c r="CB1048" s="13"/>
      <c r="CC1048" s="13"/>
      <c r="CD1048" s="13"/>
      <c r="CE1048" s="13"/>
      <c r="CF1048" s="13"/>
      <c r="CG1048" s="13"/>
      <c r="CH1048" s="13"/>
      <c r="CI1048" s="13"/>
      <c r="CJ1048" s="13"/>
      <c r="CK1048" s="13"/>
      <c r="CL1048" s="13"/>
      <c r="CM1048" s="13"/>
      <c r="CN1048" s="13"/>
      <c r="CO1048" s="13"/>
      <c r="CP1048" s="13"/>
      <c r="CQ1048" s="13"/>
      <c r="CR1048" s="13"/>
      <c r="CS1048" s="13"/>
      <c r="CT1048" s="13"/>
      <c r="CU1048" s="13"/>
      <c r="CV1048" s="13"/>
      <c r="CW1048" s="13"/>
      <c r="CX1048" s="13"/>
      <c r="CY1048" s="13"/>
      <c r="CZ1048" s="13"/>
      <c r="DA1048" s="13"/>
      <c r="DB1048" s="13"/>
      <c r="DC1048" s="13"/>
      <c r="DD1048" s="13"/>
      <c r="DE1048" s="13"/>
      <c r="DF1048" s="13"/>
      <c r="DG1048" s="13"/>
      <c r="DH1048" s="13"/>
      <c r="DI1048" s="13"/>
      <c r="DJ1048" s="13"/>
      <c r="DK1048" s="13"/>
      <c r="DL1048" s="13"/>
      <c r="DM1048" s="13"/>
      <c r="DN1048" s="13"/>
      <c r="DO1048" s="13"/>
      <c r="DP1048" s="13"/>
      <c r="DQ1048" s="13"/>
      <c r="DR1048" s="13"/>
      <c r="DS1048" s="13"/>
      <c r="DT1048" s="13"/>
      <c r="DU1048" s="13"/>
      <c r="DV1048" s="13"/>
      <c r="DW1048" s="13"/>
      <c r="DX1048" s="13"/>
      <c r="DY1048" s="13"/>
      <c r="DZ1048" s="13"/>
      <c r="EA1048" s="13"/>
    </row>
    <row r="1049" spans="1:131" ht="11.25">
      <c r="A1049" s="1"/>
      <c r="B1049" s="1"/>
      <c r="C1049" s="1"/>
      <c r="D1049" s="2"/>
      <c r="E1049" s="2"/>
      <c r="F1049" s="2"/>
      <c r="G1049" s="2"/>
      <c r="H1049" s="2"/>
      <c r="I1049" s="2"/>
      <c r="J1049" s="2"/>
      <c r="K1049" s="2"/>
      <c r="L1049" s="2"/>
      <c r="M1049" s="2"/>
      <c r="N1049" s="21"/>
      <c r="O1049" s="21"/>
      <c r="P1049" s="21"/>
      <c r="Q1049" s="13"/>
      <c r="R1049" s="275"/>
      <c r="S1049" s="275"/>
      <c r="T1049" s="275"/>
      <c r="U1049" s="275"/>
      <c r="V1049" s="275"/>
      <c r="W1049" s="275"/>
      <c r="X1049" s="275"/>
      <c r="Y1049" s="275"/>
      <c r="Z1049" s="275"/>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c r="CP1049" s="13"/>
      <c r="CQ1049" s="13"/>
      <c r="CR1049" s="13"/>
      <c r="CS1049" s="13"/>
      <c r="CT1049" s="13"/>
      <c r="CU1049" s="13"/>
      <c r="CV1049" s="13"/>
      <c r="CW1049" s="13"/>
      <c r="CX1049" s="13"/>
      <c r="CY1049" s="13"/>
      <c r="CZ1049" s="13"/>
      <c r="DA1049" s="13"/>
      <c r="DB1049" s="13"/>
      <c r="DC1049" s="13"/>
      <c r="DD1049" s="13"/>
      <c r="DE1049" s="13"/>
      <c r="DF1049" s="13"/>
      <c r="DG1049" s="13"/>
      <c r="DH1049" s="13"/>
      <c r="DI1049" s="13"/>
      <c r="DJ1049" s="13"/>
      <c r="DK1049" s="13"/>
      <c r="DL1049" s="13"/>
      <c r="DM1049" s="13"/>
      <c r="DN1049" s="13"/>
      <c r="DO1049" s="13"/>
      <c r="DP1049" s="13"/>
      <c r="DQ1049" s="13"/>
      <c r="DR1049" s="13"/>
      <c r="DS1049" s="13"/>
      <c r="DT1049" s="13"/>
      <c r="DU1049" s="13"/>
      <c r="DV1049" s="13"/>
      <c r="DW1049" s="13"/>
      <c r="DX1049" s="13"/>
      <c r="DY1049" s="13"/>
      <c r="DZ1049" s="13"/>
      <c r="EA1049" s="13"/>
    </row>
    <row r="1050" spans="1:131" ht="11.25">
      <c r="A1050" s="1"/>
      <c r="B1050" s="1"/>
      <c r="C1050" s="1"/>
      <c r="D1050" s="2"/>
      <c r="E1050" s="2"/>
      <c r="F1050" s="2"/>
      <c r="G1050" s="2"/>
      <c r="H1050" s="2"/>
      <c r="I1050" s="2"/>
      <c r="J1050" s="2"/>
      <c r="K1050" s="2"/>
      <c r="L1050" s="2"/>
      <c r="M1050" s="2"/>
      <c r="N1050" s="21"/>
      <c r="O1050" s="21"/>
      <c r="P1050" s="21"/>
      <c r="Q1050" s="13"/>
      <c r="R1050" s="275"/>
      <c r="S1050" s="275"/>
      <c r="T1050" s="275"/>
      <c r="U1050" s="275"/>
      <c r="V1050" s="275"/>
      <c r="W1050" s="275"/>
      <c r="X1050" s="275"/>
      <c r="Y1050" s="275"/>
      <c r="Z1050" s="275"/>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c r="BM1050" s="13"/>
      <c r="BN1050" s="13"/>
      <c r="BO1050" s="13"/>
      <c r="BP1050" s="13"/>
      <c r="BQ1050" s="13"/>
      <c r="BR1050" s="13"/>
      <c r="BS1050" s="13"/>
      <c r="BT1050" s="13"/>
      <c r="BU1050" s="13"/>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c r="CP1050" s="13"/>
      <c r="CQ1050" s="13"/>
      <c r="CR1050" s="13"/>
      <c r="CS1050" s="13"/>
      <c r="CT1050" s="13"/>
      <c r="CU1050" s="13"/>
      <c r="CV1050" s="13"/>
      <c r="CW1050" s="13"/>
      <c r="CX1050" s="13"/>
      <c r="CY1050" s="13"/>
      <c r="CZ1050" s="13"/>
      <c r="DA1050" s="13"/>
      <c r="DB1050" s="13"/>
      <c r="DC1050" s="13"/>
      <c r="DD1050" s="13"/>
      <c r="DE1050" s="13"/>
      <c r="DF1050" s="13"/>
      <c r="DG1050" s="13"/>
      <c r="DH1050" s="13"/>
      <c r="DI1050" s="13"/>
      <c r="DJ1050" s="13"/>
      <c r="DK1050" s="13"/>
      <c r="DL1050" s="13"/>
      <c r="DM1050" s="13"/>
      <c r="DN1050" s="13"/>
      <c r="DO1050" s="13"/>
      <c r="DP1050" s="13"/>
      <c r="DQ1050" s="13"/>
      <c r="DR1050" s="13"/>
      <c r="DS1050" s="13"/>
      <c r="DT1050" s="13"/>
      <c r="DU1050" s="13"/>
      <c r="DV1050" s="13"/>
      <c r="DW1050" s="13"/>
      <c r="DX1050" s="13"/>
      <c r="DY1050" s="13"/>
      <c r="DZ1050" s="13"/>
      <c r="EA1050" s="13"/>
    </row>
    <row r="1051" spans="1:131" ht="11.25">
      <c r="A1051" s="1"/>
      <c r="B1051" s="1"/>
      <c r="C1051" s="1"/>
      <c r="D1051" s="2"/>
      <c r="E1051" s="2"/>
      <c r="F1051" s="2"/>
      <c r="G1051" s="2"/>
      <c r="H1051" s="2"/>
      <c r="I1051" s="2"/>
      <c r="J1051" s="2"/>
      <c r="K1051" s="2"/>
      <c r="L1051" s="2"/>
      <c r="M1051" s="2"/>
      <c r="N1051" s="21"/>
      <c r="O1051" s="21"/>
      <c r="P1051" s="21"/>
      <c r="Q1051" s="13"/>
      <c r="R1051" s="275"/>
      <c r="S1051" s="275"/>
      <c r="T1051" s="275"/>
      <c r="U1051" s="275"/>
      <c r="V1051" s="275"/>
      <c r="W1051" s="275"/>
      <c r="X1051" s="275"/>
      <c r="Y1051" s="275"/>
      <c r="Z1051" s="275"/>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c r="BP1051" s="13"/>
      <c r="BQ1051" s="13"/>
      <c r="BR1051" s="13"/>
      <c r="BS1051" s="13"/>
      <c r="BT1051" s="13"/>
      <c r="BU1051" s="13"/>
      <c r="BV1051" s="13"/>
      <c r="BW1051" s="13"/>
      <c r="BX1051" s="13"/>
      <c r="BY1051" s="13"/>
      <c r="BZ1051" s="13"/>
      <c r="CA1051" s="13"/>
      <c r="CB1051" s="13"/>
      <c r="CC1051" s="13"/>
      <c r="CD1051" s="13"/>
      <c r="CE1051" s="13"/>
      <c r="CF1051" s="13"/>
      <c r="CG1051" s="13"/>
      <c r="CH1051" s="13"/>
      <c r="CI1051" s="13"/>
      <c r="CJ1051" s="13"/>
      <c r="CK1051" s="13"/>
      <c r="CL1051" s="13"/>
      <c r="CM1051" s="13"/>
      <c r="CN1051" s="13"/>
      <c r="CO1051" s="13"/>
      <c r="CP1051" s="13"/>
      <c r="CQ1051" s="13"/>
      <c r="CR1051" s="13"/>
      <c r="CS1051" s="13"/>
      <c r="CT1051" s="13"/>
      <c r="CU1051" s="13"/>
      <c r="CV1051" s="13"/>
      <c r="CW1051" s="13"/>
      <c r="CX1051" s="13"/>
      <c r="CY1051" s="13"/>
      <c r="CZ1051" s="13"/>
      <c r="DA1051" s="13"/>
      <c r="DB1051" s="13"/>
      <c r="DC1051" s="13"/>
      <c r="DD1051" s="13"/>
      <c r="DE1051" s="13"/>
      <c r="DF1051" s="13"/>
      <c r="DG1051" s="13"/>
      <c r="DH1051" s="13"/>
      <c r="DI1051" s="13"/>
      <c r="DJ1051" s="13"/>
      <c r="DK1051" s="13"/>
      <c r="DL1051" s="13"/>
      <c r="DM1051" s="13"/>
      <c r="DN1051" s="13"/>
      <c r="DO1051" s="13"/>
      <c r="DP1051" s="13"/>
      <c r="DQ1051" s="13"/>
      <c r="DR1051" s="13"/>
      <c r="DS1051" s="13"/>
      <c r="DT1051" s="13"/>
      <c r="DU1051" s="13"/>
      <c r="DV1051" s="13"/>
      <c r="DW1051" s="13"/>
      <c r="DX1051" s="13"/>
      <c r="DY1051" s="13"/>
      <c r="DZ1051" s="13"/>
      <c r="EA1051" s="13"/>
    </row>
    <row r="1052" spans="1:131" ht="11.25">
      <c r="A1052" s="1"/>
      <c r="B1052" s="1"/>
      <c r="C1052" s="1"/>
      <c r="D1052" s="2"/>
      <c r="E1052" s="2"/>
      <c r="F1052" s="2"/>
      <c r="G1052" s="2"/>
      <c r="H1052" s="2"/>
      <c r="I1052" s="2"/>
      <c r="J1052" s="2"/>
      <c r="K1052" s="2"/>
      <c r="L1052" s="2"/>
      <c r="M1052" s="2"/>
      <c r="N1052" s="21"/>
      <c r="O1052" s="21"/>
      <c r="P1052" s="21"/>
      <c r="Q1052" s="13"/>
      <c r="R1052" s="275"/>
      <c r="S1052" s="275"/>
      <c r="T1052" s="275"/>
      <c r="U1052" s="275"/>
      <c r="V1052" s="275"/>
      <c r="W1052" s="275"/>
      <c r="X1052" s="275"/>
      <c r="Y1052" s="275"/>
      <c r="Z1052" s="275"/>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c r="BJ1052" s="13"/>
      <c r="BK1052" s="13"/>
      <c r="BL1052" s="13"/>
      <c r="BM1052" s="13"/>
      <c r="BN1052" s="13"/>
      <c r="BO1052" s="13"/>
      <c r="BP1052" s="13"/>
      <c r="BQ1052" s="13"/>
      <c r="BR1052" s="13"/>
      <c r="BS1052" s="13"/>
      <c r="BT1052" s="13"/>
      <c r="BU1052" s="13"/>
      <c r="BV1052" s="13"/>
      <c r="BW1052" s="13"/>
      <c r="BX1052" s="13"/>
      <c r="BY1052" s="13"/>
      <c r="BZ1052" s="13"/>
      <c r="CA1052" s="13"/>
      <c r="CB1052" s="13"/>
      <c r="CC1052" s="13"/>
      <c r="CD1052" s="13"/>
      <c r="CE1052" s="13"/>
      <c r="CF1052" s="13"/>
      <c r="CG1052" s="13"/>
      <c r="CH1052" s="13"/>
      <c r="CI1052" s="13"/>
      <c r="CJ1052" s="13"/>
      <c r="CK1052" s="13"/>
      <c r="CL1052" s="13"/>
      <c r="CM1052" s="13"/>
      <c r="CN1052" s="13"/>
      <c r="CO1052" s="13"/>
      <c r="CP1052" s="13"/>
      <c r="CQ1052" s="13"/>
      <c r="CR1052" s="13"/>
      <c r="CS1052" s="13"/>
      <c r="CT1052" s="13"/>
      <c r="CU1052" s="13"/>
      <c r="CV1052" s="13"/>
      <c r="CW1052" s="13"/>
      <c r="CX1052" s="13"/>
      <c r="CY1052" s="13"/>
      <c r="CZ1052" s="13"/>
      <c r="DA1052" s="13"/>
      <c r="DB1052" s="13"/>
      <c r="DC1052" s="13"/>
      <c r="DD1052" s="13"/>
      <c r="DE1052" s="13"/>
      <c r="DF1052" s="13"/>
      <c r="DG1052" s="13"/>
      <c r="DH1052" s="13"/>
      <c r="DI1052" s="13"/>
      <c r="DJ1052" s="13"/>
      <c r="DK1052" s="13"/>
      <c r="DL1052" s="13"/>
      <c r="DM1052" s="13"/>
      <c r="DN1052" s="13"/>
      <c r="DO1052" s="13"/>
      <c r="DP1052" s="13"/>
      <c r="DQ1052" s="13"/>
      <c r="DR1052" s="13"/>
      <c r="DS1052" s="13"/>
      <c r="DT1052" s="13"/>
      <c r="DU1052" s="13"/>
      <c r="DV1052" s="13"/>
      <c r="DW1052" s="13"/>
      <c r="DX1052" s="13"/>
      <c r="DY1052" s="13"/>
      <c r="DZ1052" s="13"/>
      <c r="EA1052" s="13"/>
    </row>
    <row r="1053" spans="1:131" ht="11.25">
      <c r="A1053" s="1"/>
      <c r="B1053" s="1"/>
      <c r="C1053" s="1"/>
      <c r="D1053" s="2"/>
      <c r="E1053" s="2"/>
      <c r="F1053" s="2"/>
      <c r="G1053" s="2"/>
      <c r="H1053" s="2"/>
      <c r="I1053" s="2"/>
      <c r="J1053" s="2"/>
      <c r="K1053" s="2"/>
      <c r="L1053" s="2"/>
      <c r="M1053" s="2"/>
      <c r="N1053" s="21"/>
      <c r="O1053" s="21"/>
      <c r="P1053" s="21"/>
      <c r="Q1053" s="13"/>
      <c r="R1053" s="275"/>
      <c r="S1053" s="275"/>
      <c r="T1053" s="275"/>
      <c r="U1053" s="275"/>
      <c r="V1053" s="275"/>
      <c r="W1053" s="275"/>
      <c r="X1053" s="275"/>
      <c r="Y1053" s="275"/>
      <c r="Z1053" s="275"/>
      <c r="AA1053" s="13"/>
      <c r="AB1053" s="13"/>
      <c r="AC1053" s="13"/>
      <c r="AD1053" s="13"/>
      <c r="AE1053" s="13"/>
      <c r="AF1053" s="13"/>
      <c r="AG1053" s="13"/>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c r="BJ1053" s="13"/>
      <c r="BK1053" s="13"/>
      <c r="BL1053" s="13"/>
      <c r="BM1053" s="13"/>
      <c r="BN1053" s="13"/>
      <c r="BO1053" s="13"/>
      <c r="BP1053" s="13"/>
      <c r="BQ1053" s="13"/>
      <c r="BR1053" s="13"/>
      <c r="BS1053" s="13"/>
      <c r="BT1053" s="13"/>
      <c r="BU1053" s="13"/>
      <c r="BV1053" s="13"/>
      <c r="BW1053" s="13"/>
      <c r="BX1053" s="13"/>
      <c r="BY1053" s="13"/>
      <c r="BZ1053" s="13"/>
      <c r="CA1053" s="13"/>
      <c r="CB1053" s="13"/>
      <c r="CC1053" s="13"/>
      <c r="CD1053" s="13"/>
      <c r="CE1053" s="13"/>
      <c r="CF1053" s="13"/>
      <c r="CG1053" s="13"/>
      <c r="CH1053" s="13"/>
      <c r="CI1053" s="13"/>
      <c r="CJ1053" s="13"/>
      <c r="CK1053" s="13"/>
      <c r="CL1053" s="13"/>
      <c r="CM1053" s="13"/>
      <c r="CN1053" s="13"/>
      <c r="CO1053" s="13"/>
      <c r="CP1053" s="13"/>
      <c r="CQ1053" s="13"/>
      <c r="CR1053" s="13"/>
      <c r="CS1053" s="13"/>
      <c r="CT1053" s="13"/>
      <c r="CU1053" s="13"/>
      <c r="CV1053" s="13"/>
      <c r="CW1053" s="13"/>
      <c r="CX1053" s="13"/>
      <c r="CY1053" s="13"/>
      <c r="CZ1053" s="13"/>
      <c r="DA1053" s="13"/>
      <c r="DB1053" s="13"/>
      <c r="DC1053" s="13"/>
      <c r="DD1053" s="13"/>
      <c r="DE1053" s="13"/>
      <c r="DF1053" s="13"/>
      <c r="DG1053" s="13"/>
      <c r="DH1053" s="13"/>
      <c r="DI1053" s="13"/>
      <c r="DJ1053" s="13"/>
      <c r="DK1053" s="13"/>
      <c r="DL1053" s="13"/>
      <c r="DM1053" s="13"/>
      <c r="DN1053" s="13"/>
      <c r="DO1053" s="13"/>
      <c r="DP1053" s="13"/>
      <c r="DQ1053" s="13"/>
      <c r="DR1053" s="13"/>
      <c r="DS1053" s="13"/>
      <c r="DT1053" s="13"/>
      <c r="DU1053" s="13"/>
      <c r="DV1053" s="13"/>
      <c r="DW1053" s="13"/>
      <c r="DX1053" s="13"/>
      <c r="DY1053" s="13"/>
      <c r="DZ1053" s="13"/>
      <c r="EA1053" s="13"/>
    </row>
    <row r="1054" spans="1:131" ht="11.25">
      <c r="A1054" s="1"/>
      <c r="B1054" s="1"/>
      <c r="C1054" s="1"/>
      <c r="D1054" s="2"/>
      <c r="E1054" s="2"/>
      <c r="F1054" s="2"/>
      <c r="G1054" s="2"/>
      <c r="H1054" s="2"/>
      <c r="I1054" s="2"/>
      <c r="J1054" s="2"/>
      <c r="K1054" s="2"/>
      <c r="L1054" s="2"/>
      <c r="M1054" s="2"/>
      <c r="N1054" s="21"/>
      <c r="O1054" s="21"/>
      <c r="P1054" s="21"/>
      <c r="Q1054" s="13"/>
      <c r="R1054" s="275"/>
      <c r="S1054" s="275"/>
      <c r="T1054" s="275"/>
      <c r="U1054" s="275"/>
      <c r="V1054" s="275"/>
      <c r="W1054" s="275"/>
      <c r="X1054" s="275"/>
      <c r="Y1054" s="275"/>
      <c r="Z1054" s="275"/>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3"/>
      <c r="DI1054" s="13"/>
      <c r="DJ1054" s="13"/>
      <c r="DK1054" s="13"/>
      <c r="DL1054" s="13"/>
      <c r="DM1054" s="13"/>
      <c r="DN1054" s="13"/>
      <c r="DO1054" s="13"/>
      <c r="DP1054" s="13"/>
      <c r="DQ1054" s="13"/>
      <c r="DR1054" s="13"/>
      <c r="DS1054" s="13"/>
      <c r="DT1054" s="13"/>
      <c r="DU1054" s="13"/>
      <c r="DV1054" s="13"/>
      <c r="DW1054" s="13"/>
      <c r="DX1054" s="13"/>
      <c r="DY1054" s="13"/>
      <c r="DZ1054" s="13"/>
      <c r="EA1054" s="13"/>
    </row>
    <row r="1055" spans="1:131" ht="11.25">
      <c r="A1055" s="1"/>
      <c r="B1055" s="1"/>
      <c r="C1055" s="1"/>
      <c r="D1055" s="2"/>
      <c r="E1055" s="2"/>
      <c r="F1055" s="2"/>
      <c r="G1055" s="2"/>
      <c r="H1055" s="2"/>
      <c r="I1055" s="2"/>
      <c r="J1055" s="2"/>
      <c r="K1055" s="2"/>
      <c r="L1055" s="2"/>
      <c r="M1055" s="2"/>
      <c r="N1055" s="21"/>
      <c r="O1055" s="21"/>
      <c r="P1055" s="21"/>
      <c r="Q1055" s="13"/>
      <c r="R1055" s="275"/>
      <c r="S1055" s="275"/>
      <c r="T1055" s="275"/>
      <c r="U1055" s="275"/>
      <c r="V1055" s="275"/>
      <c r="W1055" s="275"/>
      <c r="X1055" s="275"/>
      <c r="Y1055" s="275"/>
      <c r="Z1055" s="275"/>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c r="CY1055" s="13"/>
      <c r="CZ1055" s="13"/>
      <c r="DA1055" s="13"/>
      <c r="DB1055" s="13"/>
      <c r="DC1055" s="13"/>
      <c r="DD1055" s="13"/>
      <c r="DE1055" s="13"/>
      <c r="DF1055" s="13"/>
      <c r="DG1055" s="13"/>
      <c r="DH1055" s="13"/>
      <c r="DI1055" s="13"/>
      <c r="DJ1055" s="13"/>
      <c r="DK1055" s="13"/>
      <c r="DL1055" s="13"/>
      <c r="DM1055" s="13"/>
      <c r="DN1055" s="13"/>
      <c r="DO1055" s="13"/>
      <c r="DP1055" s="13"/>
      <c r="DQ1055" s="13"/>
      <c r="DR1055" s="13"/>
      <c r="DS1055" s="13"/>
      <c r="DT1055" s="13"/>
      <c r="DU1055" s="13"/>
      <c r="DV1055" s="13"/>
      <c r="DW1055" s="13"/>
      <c r="DX1055" s="13"/>
      <c r="DY1055" s="13"/>
      <c r="DZ1055" s="13"/>
      <c r="EA1055" s="13"/>
    </row>
    <row r="1056" spans="1:131" ht="11.25">
      <c r="A1056" s="1"/>
      <c r="B1056" s="1"/>
      <c r="C1056" s="1"/>
      <c r="D1056" s="2"/>
      <c r="E1056" s="2"/>
      <c r="F1056" s="2"/>
      <c r="G1056" s="2"/>
      <c r="H1056" s="2"/>
      <c r="I1056" s="2"/>
      <c r="J1056" s="2"/>
      <c r="K1056" s="2"/>
      <c r="L1056" s="2"/>
      <c r="M1056" s="2"/>
      <c r="N1056" s="21"/>
      <c r="O1056" s="21"/>
      <c r="P1056" s="21"/>
      <c r="Q1056" s="13"/>
      <c r="R1056" s="275"/>
      <c r="S1056" s="275"/>
      <c r="T1056" s="275"/>
      <c r="U1056" s="275"/>
      <c r="V1056" s="275"/>
      <c r="W1056" s="275"/>
      <c r="X1056" s="275"/>
      <c r="Y1056" s="275"/>
      <c r="Z1056" s="275"/>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c r="CY1056" s="13"/>
      <c r="CZ1056" s="13"/>
      <c r="DA1056" s="13"/>
      <c r="DB1056" s="13"/>
      <c r="DC1056" s="13"/>
      <c r="DD1056" s="13"/>
      <c r="DE1056" s="13"/>
      <c r="DF1056" s="13"/>
      <c r="DG1056" s="13"/>
      <c r="DH1056" s="13"/>
      <c r="DI1056" s="13"/>
      <c r="DJ1056" s="13"/>
      <c r="DK1056" s="13"/>
      <c r="DL1056" s="13"/>
      <c r="DM1056" s="13"/>
      <c r="DN1056" s="13"/>
      <c r="DO1056" s="13"/>
      <c r="DP1056" s="13"/>
      <c r="DQ1056" s="13"/>
      <c r="DR1056" s="13"/>
      <c r="DS1056" s="13"/>
      <c r="DT1056" s="13"/>
      <c r="DU1056" s="13"/>
      <c r="DV1056" s="13"/>
      <c r="DW1056" s="13"/>
      <c r="DX1056" s="13"/>
      <c r="DY1056" s="13"/>
      <c r="DZ1056" s="13"/>
      <c r="EA1056" s="13"/>
    </row>
    <row r="1057" spans="1:131" ht="11.25">
      <c r="A1057" s="1"/>
      <c r="B1057" s="1"/>
      <c r="C1057" s="1"/>
      <c r="D1057" s="2"/>
      <c r="E1057" s="2"/>
      <c r="F1057" s="2"/>
      <c r="G1057" s="2"/>
      <c r="H1057" s="2"/>
      <c r="I1057" s="2"/>
      <c r="J1057" s="2"/>
      <c r="K1057" s="2"/>
      <c r="L1057" s="2"/>
      <c r="M1057" s="2"/>
      <c r="N1057" s="21"/>
      <c r="O1057" s="21"/>
      <c r="P1057" s="21"/>
      <c r="Q1057" s="13"/>
      <c r="R1057" s="275"/>
      <c r="S1057" s="275"/>
      <c r="T1057" s="275"/>
      <c r="U1057" s="275"/>
      <c r="V1057" s="275"/>
      <c r="W1057" s="275"/>
      <c r="X1057" s="275"/>
      <c r="Y1057" s="275"/>
      <c r="Z1057" s="275"/>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c r="CY1057" s="13"/>
      <c r="CZ1057" s="13"/>
      <c r="DA1057" s="13"/>
      <c r="DB1057" s="13"/>
      <c r="DC1057" s="13"/>
      <c r="DD1057" s="13"/>
      <c r="DE1057" s="13"/>
      <c r="DF1057" s="13"/>
      <c r="DG1057" s="13"/>
      <c r="DH1057" s="13"/>
      <c r="DI1057" s="13"/>
      <c r="DJ1057" s="13"/>
      <c r="DK1057" s="13"/>
      <c r="DL1057" s="13"/>
      <c r="DM1057" s="13"/>
      <c r="DN1057" s="13"/>
      <c r="DO1057" s="13"/>
      <c r="DP1057" s="13"/>
      <c r="DQ1057" s="13"/>
      <c r="DR1057" s="13"/>
      <c r="DS1057" s="13"/>
      <c r="DT1057" s="13"/>
      <c r="DU1057" s="13"/>
      <c r="DV1057" s="13"/>
      <c r="DW1057" s="13"/>
      <c r="DX1057" s="13"/>
      <c r="DY1057" s="13"/>
      <c r="DZ1057" s="13"/>
      <c r="EA1057" s="13"/>
    </row>
    <row r="1058" spans="1:131" ht="11.25">
      <c r="A1058" s="1"/>
      <c r="B1058" s="1"/>
      <c r="C1058" s="1"/>
      <c r="D1058" s="2"/>
      <c r="E1058" s="2"/>
      <c r="F1058" s="2"/>
      <c r="G1058" s="2"/>
      <c r="H1058" s="2"/>
      <c r="I1058" s="2"/>
      <c r="J1058" s="2"/>
      <c r="K1058" s="2"/>
      <c r="L1058" s="2"/>
      <c r="M1058" s="2"/>
      <c r="N1058" s="21"/>
      <c r="O1058" s="21"/>
      <c r="P1058" s="21"/>
      <c r="Q1058" s="13"/>
      <c r="R1058" s="275"/>
      <c r="S1058" s="275"/>
      <c r="T1058" s="275"/>
      <c r="U1058" s="275"/>
      <c r="V1058" s="275"/>
      <c r="W1058" s="275"/>
      <c r="X1058" s="275"/>
      <c r="Y1058" s="275"/>
      <c r="Z1058" s="275"/>
      <c r="AA1058" s="13"/>
      <c r="AB1058" s="13"/>
      <c r="AC1058" s="13"/>
      <c r="AD1058" s="13"/>
      <c r="AE1058" s="13"/>
      <c r="AF1058" s="13"/>
      <c r="AG1058" s="13"/>
      <c r="AH1058" s="13"/>
      <c r="AI1058" s="13"/>
      <c r="AJ1058" s="13"/>
      <c r="AK1058" s="13"/>
      <c r="AL1058" s="13"/>
      <c r="AM1058" s="13"/>
      <c r="AN1058" s="13"/>
      <c r="AO1058" s="13"/>
      <c r="AP1058" s="13"/>
      <c r="AQ1058" s="13"/>
      <c r="AR1058" s="13"/>
      <c r="AS1058" s="13"/>
      <c r="AT1058" s="13"/>
      <c r="AU1058" s="13"/>
      <c r="AV1058" s="13"/>
      <c r="AW1058" s="13"/>
      <c r="AX1058" s="13"/>
      <c r="AY1058" s="13"/>
      <c r="AZ1058" s="13"/>
      <c r="BA1058" s="13"/>
      <c r="BB1058" s="13"/>
      <c r="BC1058" s="13"/>
      <c r="BD1058" s="13"/>
      <c r="BE1058" s="13"/>
      <c r="BF1058" s="13"/>
      <c r="BG1058" s="13"/>
      <c r="BH1058" s="13"/>
      <c r="BI1058" s="13"/>
      <c r="BJ1058" s="13"/>
      <c r="BK1058" s="13"/>
      <c r="BL1058" s="13"/>
      <c r="BM1058" s="13"/>
      <c r="BN1058" s="13"/>
      <c r="BO1058" s="13"/>
      <c r="BP1058" s="13"/>
      <c r="BQ1058" s="13"/>
      <c r="BR1058" s="13"/>
      <c r="BS1058" s="13"/>
      <c r="BT1058" s="13"/>
      <c r="BU1058" s="13"/>
      <c r="BV1058" s="13"/>
      <c r="BW1058" s="13"/>
      <c r="BX1058" s="13"/>
      <c r="BY1058" s="13"/>
      <c r="BZ1058" s="13"/>
      <c r="CA1058" s="13"/>
      <c r="CB1058" s="13"/>
      <c r="CC1058" s="13"/>
      <c r="CD1058" s="13"/>
      <c r="CE1058" s="13"/>
      <c r="CF1058" s="13"/>
      <c r="CG1058" s="13"/>
      <c r="CH1058" s="13"/>
      <c r="CI1058" s="13"/>
      <c r="CJ1058" s="13"/>
      <c r="CK1058" s="13"/>
      <c r="CL1058" s="13"/>
      <c r="CM1058" s="13"/>
      <c r="CN1058" s="13"/>
      <c r="CO1058" s="13"/>
      <c r="CP1058" s="13"/>
      <c r="CQ1058" s="13"/>
      <c r="CR1058" s="13"/>
      <c r="CS1058" s="13"/>
      <c r="CT1058" s="13"/>
      <c r="CU1058" s="13"/>
      <c r="CV1058" s="13"/>
      <c r="CW1058" s="13"/>
      <c r="CX1058" s="13"/>
      <c r="CY1058" s="13"/>
      <c r="CZ1058" s="13"/>
      <c r="DA1058" s="13"/>
      <c r="DB1058" s="13"/>
      <c r="DC1058" s="13"/>
      <c r="DD1058" s="13"/>
      <c r="DE1058" s="13"/>
      <c r="DF1058" s="13"/>
      <c r="DG1058" s="13"/>
      <c r="DH1058" s="13"/>
      <c r="DI1058" s="13"/>
      <c r="DJ1058" s="13"/>
      <c r="DK1058" s="13"/>
      <c r="DL1058" s="13"/>
      <c r="DM1058" s="13"/>
      <c r="DN1058" s="13"/>
      <c r="DO1058" s="13"/>
      <c r="DP1058" s="13"/>
      <c r="DQ1058" s="13"/>
      <c r="DR1058" s="13"/>
      <c r="DS1058" s="13"/>
      <c r="DT1058" s="13"/>
      <c r="DU1058" s="13"/>
      <c r="DV1058" s="13"/>
      <c r="DW1058" s="13"/>
      <c r="DX1058" s="13"/>
      <c r="DY1058" s="13"/>
      <c r="DZ1058" s="13"/>
      <c r="EA1058" s="13"/>
    </row>
    <row r="1059" spans="1:131" ht="11.25">
      <c r="A1059" s="1"/>
      <c r="B1059" s="1"/>
      <c r="C1059" s="1"/>
      <c r="D1059" s="2"/>
      <c r="E1059" s="2"/>
      <c r="F1059" s="2"/>
      <c r="G1059" s="2"/>
      <c r="H1059" s="2"/>
      <c r="I1059" s="2"/>
      <c r="J1059" s="2"/>
      <c r="K1059" s="2"/>
      <c r="L1059" s="2"/>
      <c r="M1059" s="2"/>
      <c r="N1059" s="21"/>
      <c r="O1059" s="21"/>
      <c r="P1059" s="21"/>
      <c r="Q1059" s="13"/>
      <c r="R1059" s="275"/>
      <c r="S1059" s="275"/>
      <c r="T1059" s="275"/>
      <c r="U1059" s="275"/>
      <c r="V1059" s="275"/>
      <c r="W1059" s="275"/>
      <c r="X1059" s="275"/>
      <c r="Y1059" s="275"/>
      <c r="Z1059" s="275"/>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c r="CP1059" s="13"/>
      <c r="CQ1059" s="13"/>
      <c r="CR1059" s="13"/>
      <c r="CS1059" s="13"/>
      <c r="CT1059" s="13"/>
      <c r="CU1059" s="13"/>
      <c r="CV1059" s="13"/>
      <c r="CW1059" s="13"/>
      <c r="CX1059" s="13"/>
      <c r="CY1059" s="13"/>
      <c r="CZ1059" s="13"/>
      <c r="DA1059" s="13"/>
      <c r="DB1059" s="13"/>
      <c r="DC1059" s="13"/>
      <c r="DD1059" s="13"/>
      <c r="DE1059" s="13"/>
      <c r="DF1059" s="13"/>
      <c r="DG1059" s="13"/>
      <c r="DH1059" s="13"/>
      <c r="DI1059" s="13"/>
      <c r="DJ1059" s="13"/>
      <c r="DK1059" s="13"/>
      <c r="DL1059" s="13"/>
      <c r="DM1059" s="13"/>
      <c r="DN1059" s="13"/>
      <c r="DO1059" s="13"/>
      <c r="DP1059" s="13"/>
      <c r="DQ1059" s="13"/>
      <c r="DR1059" s="13"/>
      <c r="DS1059" s="13"/>
      <c r="DT1059" s="13"/>
      <c r="DU1059" s="13"/>
      <c r="DV1059" s="13"/>
      <c r="DW1059" s="13"/>
      <c r="DX1059" s="13"/>
      <c r="DY1059" s="13"/>
      <c r="DZ1059" s="13"/>
      <c r="EA1059" s="13"/>
    </row>
    <row r="1060" spans="1:131" ht="11.25">
      <c r="A1060" s="1"/>
      <c r="B1060" s="1"/>
      <c r="C1060" s="1"/>
      <c r="D1060" s="2"/>
      <c r="E1060" s="2"/>
      <c r="F1060" s="2"/>
      <c r="G1060" s="2"/>
      <c r="H1060" s="2"/>
      <c r="I1060" s="2"/>
      <c r="J1060" s="2"/>
      <c r="K1060" s="2"/>
      <c r="L1060" s="2"/>
      <c r="M1060" s="2"/>
      <c r="N1060" s="21"/>
      <c r="O1060" s="21"/>
      <c r="P1060" s="21"/>
      <c r="Q1060" s="13"/>
      <c r="R1060" s="275"/>
      <c r="S1060" s="275"/>
      <c r="T1060" s="275"/>
      <c r="U1060" s="275"/>
      <c r="V1060" s="275"/>
      <c r="W1060" s="275"/>
      <c r="X1060" s="275"/>
      <c r="Y1060" s="275"/>
      <c r="Z1060" s="275"/>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c r="BJ1060" s="13"/>
      <c r="BK1060" s="13"/>
      <c r="BL1060" s="13"/>
      <c r="BM1060" s="13"/>
      <c r="BN1060" s="13"/>
      <c r="BO1060" s="13"/>
      <c r="BP1060" s="13"/>
      <c r="BQ1060" s="13"/>
      <c r="BR1060" s="13"/>
      <c r="BS1060" s="13"/>
      <c r="BT1060" s="13"/>
      <c r="BU1060" s="13"/>
      <c r="BV1060" s="13"/>
      <c r="BW1060" s="13"/>
      <c r="BX1060" s="13"/>
      <c r="BY1060" s="13"/>
      <c r="BZ1060" s="13"/>
      <c r="CA1060" s="13"/>
      <c r="CB1060" s="13"/>
      <c r="CC1060" s="13"/>
      <c r="CD1060" s="13"/>
      <c r="CE1060" s="13"/>
      <c r="CF1060" s="13"/>
      <c r="CG1060" s="13"/>
      <c r="CH1060" s="13"/>
      <c r="CI1060" s="13"/>
      <c r="CJ1060" s="13"/>
      <c r="CK1060" s="13"/>
      <c r="CL1060" s="13"/>
      <c r="CM1060" s="13"/>
      <c r="CN1060" s="13"/>
      <c r="CO1060" s="13"/>
      <c r="CP1060" s="13"/>
      <c r="CQ1060" s="13"/>
      <c r="CR1060" s="13"/>
      <c r="CS1060" s="13"/>
      <c r="CT1060" s="13"/>
      <c r="CU1060" s="13"/>
      <c r="CV1060" s="13"/>
      <c r="CW1060" s="13"/>
      <c r="CX1060" s="13"/>
      <c r="CY1060" s="13"/>
      <c r="CZ1060" s="13"/>
      <c r="DA1060" s="13"/>
      <c r="DB1060" s="13"/>
      <c r="DC1060" s="13"/>
      <c r="DD1060" s="13"/>
      <c r="DE1060" s="13"/>
      <c r="DF1060" s="13"/>
      <c r="DG1060" s="13"/>
      <c r="DH1060" s="13"/>
      <c r="DI1060" s="13"/>
      <c r="DJ1060" s="13"/>
      <c r="DK1060" s="13"/>
      <c r="DL1060" s="13"/>
      <c r="DM1060" s="13"/>
      <c r="DN1060" s="13"/>
      <c r="DO1060" s="13"/>
      <c r="DP1060" s="13"/>
      <c r="DQ1060" s="13"/>
      <c r="DR1060" s="13"/>
      <c r="DS1060" s="13"/>
      <c r="DT1060" s="13"/>
      <c r="DU1060" s="13"/>
      <c r="DV1060" s="13"/>
      <c r="DW1060" s="13"/>
      <c r="DX1060" s="13"/>
      <c r="DY1060" s="13"/>
      <c r="DZ1060" s="13"/>
      <c r="EA1060" s="13"/>
    </row>
    <row r="1061" spans="1:131" ht="11.25">
      <c r="A1061" s="1"/>
      <c r="B1061" s="1"/>
      <c r="C1061" s="1"/>
      <c r="D1061" s="2"/>
      <c r="E1061" s="2"/>
      <c r="F1061" s="2"/>
      <c r="G1061" s="2"/>
      <c r="H1061" s="2"/>
      <c r="I1061" s="2"/>
      <c r="J1061" s="2"/>
      <c r="K1061" s="2"/>
      <c r="L1061" s="2"/>
      <c r="M1061" s="2"/>
      <c r="N1061" s="21"/>
      <c r="O1061" s="21"/>
      <c r="P1061" s="21"/>
      <c r="Q1061" s="13"/>
      <c r="R1061" s="275"/>
      <c r="S1061" s="275"/>
      <c r="T1061" s="275"/>
      <c r="U1061" s="275"/>
      <c r="V1061" s="275"/>
      <c r="W1061" s="275"/>
      <c r="X1061" s="275"/>
      <c r="Y1061" s="275"/>
      <c r="Z1061" s="275"/>
      <c r="AA1061" s="13"/>
      <c r="AB1061" s="13"/>
      <c r="AC1061" s="13"/>
      <c r="AD1061" s="13"/>
      <c r="AE1061" s="13"/>
      <c r="AF1061" s="13"/>
      <c r="AG1061" s="13"/>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c r="BH1061" s="13"/>
      <c r="BI1061" s="13"/>
      <c r="BJ1061" s="13"/>
      <c r="BK1061" s="13"/>
      <c r="BL1061" s="13"/>
      <c r="BM1061" s="13"/>
      <c r="BN1061" s="13"/>
      <c r="BO1061" s="13"/>
      <c r="BP1061" s="13"/>
      <c r="BQ1061" s="13"/>
      <c r="BR1061" s="13"/>
      <c r="BS1061" s="13"/>
      <c r="BT1061" s="13"/>
      <c r="BU1061" s="13"/>
      <c r="BV1061" s="13"/>
      <c r="BW1061" s="13"/>
      <c r="BX1061" s="13"/>
      <c r="BY1061" s="13"/>
      <c r="BZ1061" s="13"/>
      <c r="CA1061" s="13"/>
      <c r="CB1061" s="13"/>
      <c r="CC1061" s="13"/>
      <c r="CD1061" s="13"/>
      <c r="CE1061" s="13"/>
      <c r="CF1061" s="13"/>
      <c r="CG1061" s="13"/>
      <c r="CH1061" s="13"/>
      <c r="CI1061" s="13"/>
      <c r="CJ1061" s="13"/>
      <c r="CK1061" s="13"/>
      <c r="CL1061" s="13"/>
      <c r="CM1061" s="13"/>
      <c r="CN1061" s="13"/>
      <c r="CO1061" s="13"/>
      <c r="CP1061" s="13"/>
      <c r="CQ1061" s="13"/>
      <c r="CR1061" s="13"/>
      <c r="CS1061" s="13"/>
      <c r="CT1061" s="13"/>
      <c r="CU1061" s="13"/>
      <c r="CV1061" s="13"/>
      <c r="CW1061" s="13"/>
      <c r="CX1061" s="13"/>
      <c r="CY1061" s="13"/>
      <c r="CZ1061" s="13"/>
      <c r="DA1061" s="13"/>
      <c r="DB1061" s="13"/>
      <c r="DC1061" s="13"/>
      <c r="DD1061" s="13"/>
      <c r="DE1061" s="13"/>
      <c r="DF1061" s="13"/>
      <c r="DG1061" s="13"/>
      <c r="DH1061" s="13"/>
      <c r="DI1061" s="13"/>
      <c r="DJ1061" s="13"/>
      <c r="DK1061" s="13"/>
      <c r="DL1061" s="13"/>
      <c r="DM1061" s="13"/>
      <c r="DN1061" s="13"/>
      <c r="DO1061" s="13"/>
      <c r="DP1061" s="13"/>
      <c r="DQ1061" s="13"/>
      <c r="DR1061" s="13"/>
      <c r="DS1061" s="13"/>
      <c r="DT1061" s="13"/>
      <c r="DU1061" s="13"/>
      <c r="DV1061" s="13"/>
      <c r="DW1061" s="13"/>
      <c r="DX1061" s="13"/>
      <c r="DY1061" s="13"/>
      <c r="DZ1061" s="13"/>
      <c r="EA1061" s="13"/>
    </row>
    <row r="1062" spans="1:131" ht="11.25">
      <c r="A1062" s="1"/>
      <c r="B1062" s="1"/>
      <c r="C1062" s="1"/>
      <c r="D1062" s="2"/>
      <c r="E1062" s="2"/>
      <c r="F1062" s="2"/>
      <c r="G1062" s="2"/>
      <c r="H1062" s="2"/>
      <c r="I1062" s="2"/>
      <c r="J1062" s="2"/>
      <c r="K1062" s="2"/>
      <c r="L1062" s="2"/>
      <c r="M1062" s="2"/>
      <c r="N1062" s="21"/>
      <c r="O1062" s="21"/>
      <c r="P1062" s="21"/>
      <c r="Q1062" s="13"/>
      <c r="R1062" s="275"/>
      <c r="S1062" s="275"/>
      <c r="T1062" s="275"/>
      <c r="U1062" s="275"/>
      <c r="V1062" s="275"/>
      <c r="W1062" s="275"/>
      <c r="X1062" s="275"/>
      <c r="Y1062" s="275"/>
      <c r="Z1062" s="275"/>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c r="CP1062" s="13"/>
      <c r="CQ1062" s="13"/>
      <c r="CR1062" s="13"/>
      <c r="CS1062" s="13"/>
      <c r="CT1062" s="13"/>
      <c r="CU1062" s="13"/>
      <c r="CV1062" s="13"/>
      <c r="CW1062" s="13"/>
      <c r="CX1062" s="13"/>
      <c r="CY1062" s="13"/>
      <c r="CZ1062" s="13"/>
      <c r="DA1062" s="13"/>
      <c r="DB1062" s="13"/>
      <c r="DC1062" s="13"/>
      <c r="DD1062" s="13"/>
      <c r="DE1062" s="13"/>
      <c r="DF1062" s="13"/>
      <c r="DG1062" s="13"/>
      <c r="DH1062" s="13"/>
      <c r="DI1062" s="13"/>
      <c r="DJ1062" s="13"/>
      <c r="DK1062" s="13"/>
      <c r="DL1062" s="13"/>
      <c r="DM1062" s="13"/>
      <c r="DN1062" s="13"/>
      <c r="DO1062" s="13"/>
      <c r="DP1062" s="13"/>
      <c r="DQ1062" s="13"/>
      <c r="DR1062" s="13"/>
      <c r="DS1062" s="13"/>
      <c r="DT1062" s="13"/>
      <c r="DU1062" s="13"/>
      <c r="DV1062" s="13"/>
      <c r="DW1062" s="13"/>
      <c r="DX1062" s="13"/>
      <c r="DY1062" s="13"/>
      <c r="DZ1062" s="13"/>
      <c r="EA1062" s="13"/>
    </row>
    <row r="1063" spans="1:131" ht="11.25">
      <c r="A1063" s="1"/>
      <c r="B1063" s="1"/>
      <c r="C1063" s="1"/>
      <c r="D1063" s="2"/>
      <c r="E1063" s="2"/>
      <c r="F1063" s="2"/>
      <c r="G1063" s="2"/>
      <c r="H1063" s="2"/>
      <c r="I1063" s="2"/>
      <c r="J1063" s="2"/>
      <c r="K1063" s="2"/>
      <c r="L1063" s="2"/>
      <c r="M1063" s="2"/>
      <c r="N1063" s="21"/>
      <c r="O1063" s="21"/>
      <c r="P1063" s="21"/>
      <c r="Q1063" s="13"/>
      <c r="R1063" s="275"/>
      <c r="S1063" s="275"/>
      <c r="T1063" s="275"/>
      <c r="U1063" s="275"/>
      <c r="V1063" s="275"/>
      <c r="W1063" s="275"/>
      <c r="X1063" s="275"/>
      <c r="Y1063" s="275"/>
      <c r="Z1063" s="275"/>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c r="CF1063" s="13"/>
      <c r="CG1063" s="13"/>
      <c r="CH1063" s="13"/>
      <c r="CI1063" s="13"/>
      <c r="CJ1063" s="13"/>
      <c r="CK1063" s="13"/>
      <c r="CL1063" s="13"/>
      <c r="CM1063" s="13"/>
      <c r="CN1063" s="13"/>
      <c r="CO1063" s="13"/>
      <c r="CP1063" s="13"/>
      <c r="CQ1063" s="13"/>
      <c r="CR1063" s="13"/>
      <c r="CS1063" s="13"/>
      <c r="CT1063" s="13"/>
      <c r="CU1063" s="13"/>
      <c r="CV1063" s="13"/>
      <c r="CW1063" s="13"/>
      <c r="CX1063" s="13"/>
      <c r="CY1063" s="13"/>
      <c r="CZ1063" s="13"/>
      <c r="DA1063" s="13"/>
      <c r="DB1063" s="13"/>
      <c r="DC1063" s="13"/>
      <c r="DD1063" s="13"/>
      <c r="DE1063" s="13"/>
      <c r="DF1063" s="13"/>
      <c r="DG1063" s="13"/>
      <c r="DH1063" s="13"/>
      <c r="DI1063" s="13"/>
      <c r="DJ1063" s="13"/>
      <c r="DK1063" s="13"/>
      <c r="DL1063" s="13"/>
      <c r="DM1063" s="13"/>
      <c r="DN1063" s="13"/>
      <c r="DO1063" s="13"/>
      <c r="DP1063" s="13"/>
      <c r="DQ1063" s="13"/>
      <c r="DR1063" s="13"/>
      <c r="DS1063" s="13"/>
      <c r="DT1063" s="13"/>
      <c r="DU1063" s="13"/>
      <c r="DV1063" s="13"/>
      <c r="DW1063" s="13"/>
      <c r="DX1063" s="13"/>
      <c r="DY1063" s="13"/>
      <c r="DZ1063" s="13"/>
      <c r="EA1063" s="13"/>
    </row>
    <row r="1064" spans="1:131" ht="11.25">
      <c r="A1064" s="1"/>
      <c r="B1064" s="1"/>
      <c r="C1064" s="1"/>
      <c r="D1064" s="2"/>
      <c r="E1064" s="2"/>
      <c r="F1064" s="2"/>
      <c r="G1064" s="2"/>
      <c r="H1064" s="2"/>
      <c r="I1064" s="2"/>
      <c r="J1064" s="2"/>
      <c r="K1064" s="2"/>
      <c r="L1064" s="2"/>
      <c r="M1064" s="2"/>
      <c r="N1064" s="21"/>
      <c r="O1064" s="21"/>
      <c r="P1064" s="21"/>
      <c r="Q1064" s="13"/>
      <c r="R1064" s="275"/>
      <c r="S1064" s="275"/>
      <c r="T1064" s="275"/>
      <c r="U1064" s="275"/>
      <c r="V1064" s="275"/>
      <c r="W1064" s="275"/>
      <c r="X1064" s="275"/>
      <c r="Y1064" s="275"/>
      <c r="Z1064" s="275"/>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c r="CE1064" s="13"/>
      <c r="CF1064" s="13"/>
      <c r="CG1064" s="13"/>
      <c r="CH1064" s="13"/>
      <c r="CI1064" s="13"/>
      <c r="CJ1064" s="13"/>
      <c r="CK1064" s="13"/>
      <c r="CL1064" s="13"/>
      <c r="CM1064" s="13"/>
      <c r="CN1064" s="13"/>
      <c r="CO1064" s="13"/>
      <c r="CP1064" s="13"/>
      <c r="CQ1064" s="13"/>
      <c r="CR1064" s="13"/>
      <c r="CS1064" s="13"/>
      <c r="CT1064" s="13"/>
      <c r="CU1064" s="13"/>
      <c r="CV1064" s="13"/>
      <c r="CW1064" s="13"/>
      <c r="CX1064" s="13"/>
      <c r="CY1064" s="13"/>
      <c r="CZ1064" s="13"/>
      <c r="DA1064" s="13"/>
      <c r="DB1064" s="13"/>
      <c r="DC1064" s="13"/>
      <c r="DD1064" s="13"/>
      <c r="DE1064" s="13"/>
      <c r="DF1064" s="13"/>
      <c r="DG1064" s="13"/>
      <c r="DH1064" s="13"/>
      <c r="DI1064" s="13"/>
      <c r="DJ1064" s="13"/>
      <c r="DK1064" s="13"/>
      <c r="DL1064" s="13"/>
      <c r="DM1064" s="13"/>
      <c r="DN1064" s="13"/>
      <c r="DO1064" s="13"/>
      <c r="DP1064" s="13"/>
      <c r="DQ1064" s="13"/>
      <c r="DR1064" s="13"/>
      <c r="DS1064" s="13"/>
      <c r="DT1064" s="13"/>
      <c r="DU1064" s="13"/>
      <c r="DV1064" s="13"/>
      <c r="DW1064" s="13"/>
      <c r="DX1064" s="13"/>
      <c r="DY1064" s="13"/>
      <c r="DZ1064" s="13"/>
      <c r="EA1064" s="13"/>
    </row>
    <row r="1065" spans="1:131" ht="11.25">
      <c r="A1065" s="1"/>
      <c r="B1065" s="1"/>
      <c r="C1065" s="1"/>
      <c r="D1065" s="2"/>
      <c r="E1065" s="2"/>
      <c r="F1065" s="2"/>
      <c r="G1065" s="2"/>
      <c r="H1065" s="2"/>
      <c r="I1065" s="2"/>
      <c r="J1065" s="2"/>
      <c r="K1065" s="2"/>
      <c r="L1065" s="2"/>
      <c r="M1065" s="2"/>
      <c r="N1065" s="21"/>
      <c r="O1065" s="21"/>
      <c r="P1065" s="21"/>
      <c r="Q1065" s="13"/>
      <c r="R1065" s="275"/>
      <c r="S1065" s="275"/>
      <c r="T1065" s="275"/>
      <c r="U1065" s="275"/>
      <c r="V1065" s="275"/>
      <c r="W1065" s="275"/>
      <c r="X1065" s="275"/>
      <c r="Y1065" s="275"/>
      <c r="Z1065" s="275"/>
      <c r="AA1065" s="13"/>
      <c r="AB1065" s="13"/>
      <c r="AC1065" s="13"/>
      <c r="AD1065" s="13"/>
      <c r="AE1065" s="13"/>
      <c r="AF1065" s="13"/>
      <c r="AG1065" s="13"/>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c r="BH1065" s="13"/>
      <c r="BI1065" s="13"/>
      <c r="BJ1065" s="13"/>
      <c r="BK1065" s="13"/>
      <c r="BL1065" s="13"/>
      <c r="BM1065" s="13"/>
      <c r="BN1065" s="13"/>
      <c r="BO1065" s="13"/>
      <c r="BP1065" s="13"/>
      <c r="BQ1065" s="13"/>
      <c r="BR1065" s="13"/>
      <c r="BS1065" s="13"/>
      <c r="BT1065" s="13"/>
      <c r="BU1065" s="13"/>
      <c r="BV1065" s="13"/>
      <c r="BW1065" s="13"/>
      <c r="BX1065" s="13"/>
      <c r="BY1065" s="13"/>
      <c r="BZ1065" s="13"/>
      <c r="CA1065" s="13"/>
      <c r="CB1065" s="13"/>
      <c r="CC1065" s="13"/>
      <c r="CD1065" s="13"/>
      <c r="CE1065" s="13"/>
      <c r="CF1065" s="13"/>
      <c r="CG1065" s="13"/>
      <c r="CH1065" s="13"/>
      <c r="CI1065" s="13"/>
      <c r="CJ1065" s="13"/>
      <c r="CK1065" s="13"/>
      <c r="CL1065" s="13"/>
      <c r="CM1065" s="13"/>
      <c r="CN1065" s="13"/>
      <c r="CO1065" s="13"/>
      <c r="CP1065" s="13"/>
      <c r="CQ1065" s="13"/>
      <c r="CR1065" s="13"/>
      <c r="CS1065" s="13"/>
      <c r="CT1065" s="13"/>
      <c r="CU1065" s="13"/>
      <c r="CV1065" s="13"/>
      <c r="CW1065" s="13"/>
      <c r="CX1065" s="13"/>
      <c r="CY1065" s="13"/>
      <c r="CZ1065" s="13"/>
      <c r="DA1065" s="13"/>
      <c r="DB1065" s="13"/>
      <c r="DC1065" s="13"/>
      <c r="DD1065" s="13"/>
      <c r="DE1065" s="13"/>
      <c r="DF1065" s="13"/>
      <c r="DG1065" s="13"/>
      <c r="DH1065" s="13"/>
      <c r="DI1065" s="13"/>
      <c r="DJ1065" s="13"/>
      <c r="DK1065" s="13"/>
      <c r="DL1065" s="13"/>
      <c r="DM1065" s="13"/>
      <c r="DN1065" s="13"/>
      <c r="DO1065" s="13"/>
      <c r="DP1065" s="13"/>
      <c r="DQ1065" s="13"/>
      <c r="DR1065" s="13"/>
      <c r="DS1065" s="13"/>
      <c r="DT1065" s="13"/>
      <c r="DU1065" s="13"/>
      <c r="DV1065" s="13"/>
      <c r="DW1065" s="13"/>
      <c r="DX1065" s="13"/>
      <c r="DY1065" s="13"/>
      <c r="DZ1065" s="13"/>
      <c r="EA1065" s="13"/>
    </row>
    <row r="1066" spans="1:131" ht="11.25">
      <c r="A1066" s="1"/>
      <c r="B1066" s="1"/>
      <c r="C1066" s="1"/>
      <c r="D1066" s="2"/>
      <c r="E1066" s="2"/>
      <c r="F1066" s="2"/>
      <c r="G1066" s="2"/>
      <c r="H1066" s="2"/>
      <c r="I1066" s="2"/>
      <c r="J1066" s="2"/>
      <c r="K1066" s="2"/>
      <c r="L1066" s="2"/>
      <c r="M1066" s="2"/>
      <c r="N1066" s="21"/>
      <c r="O1066" s="21"/>
      <c r="P1066" s="21"/>
      <c r="Q1066" s="13"/>
      <c r="R1066" s="275"/>
      <c r="S1066" s="275"/>
      <c r="T1066" s="275"/>
      <c r="U1066" s="275"/>
      <c r="V1066" s="275"/>
      <c r="W1066" s="275"/>
      <c r="X1066" s="275"/>
      <c r="Y1066" s="275"/>
      <c r="Z1066" s="275"/>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c r="BJ1066" s="13"/>
      <c r="BK1066" s="13"/>
      <c r="BL1066" s="13"/>
      <c r="BM1066" s="13"/>
      <c r="BN1066" s="13"/>
      <c r="BO1066" s="13"/>
      <c r="BP1066" s="13"/>
      <c r="BQ1066" s="13"/>
      <c r="BR1066" s="13"/>
      <c r="BS1066" s="13"/>
      <c r="BT1066" s="13"/>
      <c r="BU1066" s="13"/>
      <c r="BV1066" s="13"/>
      <c r="BW1066" s="13"/>
      <c r="BX1066" s="13"/>
      <c r="BY1066" s="13"/>
      <c r="BZ1066" s="13"/>
      <c r="CA1066" s="13"/>
      <c r="CB1066" s="13"/>
      <c r="CC1066" s="13"/>
      <c r="CD1066" s="13"/>
      <c r="CE1066" s="13"/>
      <c r="CF1066" s="13"/>
      <c r="CG1066" s="13"/>
      <c r="CH1066" s="13"/>
      <c r="CI1066" s="13"/>
      <c r="CJ1066" s="13"/>
      <c r="CK1066" s="13"/>
      <c r="CL1066" s="13"/>
      <c r="CM1066" s="13"/>
      <c r="CN1066" s="13"/>
      <c r="CO1066" s="13"/>
      <c r="CP1066" s="13"/>
      <c r="CQ1066" s="13"/>
      <c r="CR1066" s="13"/>
      <c r="CS1066" s="13"/>
      <c r="CT1066" s="13"/>
      <c r="CU1066" s="13"/>
      <c r="CV1066" s="13"/>
      <c r="CW1066" s="13"/>
      <c r="CX1066" s="13"/>
      <c r="CY1066" s="13"/>
      <c r="CZ1066" s="13"/>
      <c r="DA1066" s="13"/>
      <c r="DB1066" s="13"/>
      <c r="DC1066" s="13"/>
      <c r="DD1066" s="13"/>
      <c r="DE1066" s="13"/>
      <c r="DF1066" s="13"/>
      <c r="DG1066" s="13"/>
      <c r="DH1066" s="13"/>
      <c r="DI1066" s="13"/>
      <c r="DJ1066" s="13"/>
      <c r="DK1066" s="13"/>
      <c r="DL1066" s="13"/>
      <c r="DM1066" s="13"/>
      <c r="DN1066" s="13"/>
      <c r="DO1066" s="13"/>
      <c r="DP1066" s="13"/>
      <c r="DQ1066" s="13"/>
      <c r="DR1066" s="13"/>
      <c r="DS1066" s="13"/>
      <c r="DT1066" s="13"/>
      <c r="DU1066" s="13"/>
      <c r="DV1066" s="13"/>
      <c r="DW1066" s="13"/>
      <c r="DX1066" s="13"/>
      <c r="DY1066" s="13"/>
      <c r="DZ1066" s="13"/>
      <c r="EA1066" s="13"/>
    </row>
    <row r="1067" spans="1:131" ht="11.25">
      <c r="A1067" s="1"/>
      <c r="B1067" s="1"/>
      <c r="C1067" s="1"/>
      <c r="D1067" s="2"/>
      <c r="E1067" s="2"/>
      <c r="F1067" s="2"/>
      <c r="G1067" s="2"/>
      <c r="H1067" s="2"/>
      <c r="I1067" s="2"/>
      <c r="J1067" s="2"/>
      <c r="K1067" s="2"/>
      <c r="L1067" s="2"/>
      <c r="M1067" s="2"/>
      <c r="N1067" s="21"/>
      <c r="O1067" s="21"/>
      <c r="P1067" s="21"/>
      <c r="Q1067" s="13"/>
      <c r="R1067" s="275"/>
      <c r="S1067" s="275"/>
      <c r="T1067" s="275"/>
      <c r="U1067" s="275"/>
      <c r="V1067" s="275"/>
      <c r="W1067" s="275"/>
      <c r="X1067" s="275"/>
      <c r="Y1067" s="275"/>
      <c r="Z1067" s="275"/>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c r="BJ1067" s="13"/>
      <c r="BK1067" s="13"/>
      <c r="BL1067" s="13"/>
      <c r="BM1067" s="13"/>
      <c r="BN1067" s="13"/>
      <c r="BO1067" s="13"/>
      <c r="BP1067" s="13"/>
      <c r="BQ1067" s="13"/>
      <c r="BR1067" s="13"/>
      <c r="BS1067" s="13"/>
      <c r="BT1067" s="13"/>
      <c r="BU1067" s="13"/>
      <c r="BV1067" s="13"/>
      <c r="BW1067" s="13"/>
      <c r="BX1067" s="13"/>
      <c r="BY1067" s="13"/>
      <c r="BZ1067" s="13"/>
      <c r="CA1067" s="13"/>
      <c r="CB1067" s="13"/>
      <c r="CC1067" s="13"/>
      <c r="CD1067" s="13"/>
      <c r="CE1067" s="13"/>
      <c r="CF1067" s="13"/>
      <c r="CG1067" s="13"/>
      <c r="CH1067" s="13"/>
      <c r="CI1067" s="13"/>
      <c r="CJ1067" s="13"/>
      <c r="CK1067" s="13"/>
      <c r="CL1067" s="13"/>
      <c r="CM1067" s="13"/>
      <c r="CN1067" s="13"/>
      <c r="CO1067" s="13"/>
      <c r="CP1067" s="13"/>
      <c r="CQ1067" s="13"/>
      <c r="CR1067" s="13"/>
      <c r="CS1067" s="13"/>
      <c r="CT1067" s="13"/>
      <c r="CU1067" s="13"/>
      <c r="CV1067" s="13"/>
      <c r="CW1067" s="13"/>
      <c r="CX1067" s="13"/>
      <c r="CY1067" s="13"/>
      <c r="CZ1067" s="13"/>
      <c r="DA1067" s="13"/>
      <c r="DB1067" s="13"/>
      <c r="DC1067" s="13"/>
      <c r="DD1067" s="13"/>
      <c r="DE1067" s="13"/>
      <c r="DF1067" s="13"/>
      <c r="DG1067" s="13"/>
      <c r="DH1067" s="13"/>
      <c r="DI1067" s="13"/>
      <c r="DJ1067" s="13"/>
      <c r="DK1067" s="13"/>
      <c r="DL1067" s="13"/>
      <c r="DM1067" s="13"/>
      <c r="DN1067" s="13"/>
      <c r="DO1067" s="13"/>
      <c r="DP1067" s="13"/>
      <c r="DQ1067" s="13"/>
      <c r="DR1067" s="13"/>
      <c r="DS1067" s="13"/>
      <c r="DT1067" s="13"/>
      <c r="DU1067" s="13"/>
      <c r="DV1067" s="13"/>
      <c r="DW1067" s="13"/>
      <c r="DX1067" s="13"/>
      <c r="DY1067" s="13"/>
      <c r="DZ1067" s="13"/>
      <c r="EA1067" s="13"/>
    </row>
    <row r="1068" spans="1:131" ht="11.25">
      <c r="A1068" s="1"/>
      <c r="B1068" s="1"/>
      <c r="C1068" s="1"/>
      <c r="D1068" s="2"/>
      <c r="E1068" s="2"/>
      <c r="F1068" s="2"/>
      <c r="G1068" s="2"/>
      <c r="H1068" s="2"/>
      <c r="I1068" s="2"/>
      <c r="J1068" s="2"/>
      <c r="K1068" s="2"/>
      <c r="L1068" s="2"/>
      <c r="M1068" s="2"/>
      <c r="N1068" s="21"/>
      <c r="O1068" s="21"/>
      <c r="P1068" s="21"/>
      <c r="Q1068" s="13"/>
      <c r="R1068" s="275"/>
      <c r="S1068" s="275"/>
      <c r="T1068" s="275"/>
      <c r="U1068" s="275"/>
      <c r="V1068" s="275"/>
      <c r="W1068" s="275"/>
      <c r="X1068" s="275"/>
      <c r="Y1068" s="275"/>
      <c r="Z1068" s="275"/>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c r="CE1068" s="13"/>
      <c r="CF1068" s="13"/>
      <c r="CG1068" s="13"/>
      <c r="CH1068" s="13"/>
      <c r="CI1068" s="13"/>
      <c r="CJ1068" s="13"/>
      <c r="CK1068" s="13"/>
      <c r="CL1068" s="13"/>
      <c r="CM1068" s="13"/>
      <c r="CN1068" s="13"/>
      <c r="CO1068" s="13"/>
      <c r="CP1068" s="13"/>
      <c r="CQ1068" s="13"/>
      <c r="CR1068" s="13"/>
      <c r="CS1068" s="13"/>
      <c r="CT1068" s="13"/>
      <c r="CU1068" s="13"/>
      <c r="CV1068" s="13"/>
      <c r="CW1068" s="13"/>
      <c r="CX1068" s="13"/>
      <c r="CY1068" s="13"/>
      <c r="CZ1068" s="13"/>
      <c r="DA1068" s="13"/>
      <c r="DB1068" s="13"/>
      <c r="DC1068" s="13"/>
      <c r="DD1068" s="13"/>
      <c r="DE1068" s="13"/>
      <c r="DF1068" s="13"/>
      <c r="DG1068" s="13"/>
      <c r="DH1068" s="13"/>
      <c r="DI1068" s="13"/>
      <c r="DJ1068" s="13"/>
      <c r="DK1068" s="13"/>
      <c r="DL1068" s="13"/>
      <c r="DM1068" s="13"/>
      <c r="DN1068" s="13"/>
      <c r="DO1068" s="13"/>
      <c r="DP1068" s="13"/>
      <c r="DQ1068" s="13"/>
      <c r="DR1068" s="13"/>
      <c r="DS1068" s="13"/>
      <c r="DT1068" s="13"/>
      <c r="DU1068" s="13"/>
      <c r="DV1068" s="13"/>
      <c r="DW1068" s="13"/>
      <c r="DX1068" s="13"/>
      <c r="DY1068" s="13"/>
      <c r="DZ1068" s="13"/>
      <c r="EA1068" s="13"/>
    </row>
    <row r="1069" spans="1:131" ht="11.25">
      <c r="A1069" s="1"/>
      <c r="B1069" s="1"/>
      <c r="C1069" s="1"/>
      <c r="D1069" s="2"/>
      <c r="E1069" s="2"/>
      <c r="F1069" s="2"/>
      <c r="G1069" s="2"/>
      <c r="H1069" s="2"/>
      <c r="I1069" s="2"/>
      <c r="J1069" s="2"/>
      <c r="K1069" s="2"/>
      <c r="L1069" s="2"/>
      <c r="M1069" s="2"/>
      <c r="N1069" s="21"/>
      <c r="O1069" s="21"/>
      <c r="P1069" s="21"/>
      <c r="Q1069" s="13"/>
      <c r="R1069" s="275"/>
      <c r="S1069" s="275"/>
      <c r="T1069" s="275"/>
      <c r="U1069" s="275"/>
      <c r="V1069" s="275"/>
      <c r="W1069" s="275"/>
      <c r="X1069" s="275"/>
      <c r="Y1069" s="275"/>
      <c r="Z1069" s="275"/>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c r="BJ1069" s="13"/>
      <c r="BK1069" s="13"/>
      <c r="BL1069" s="13"/>
      <c r="BM1069" s="13"/>
      <c r="BN1069" s="13"/>
      <c r="BO1069" s="13"/>
      <c r="BP1069" s="13"/>
      <c r="BQ1069" s="13"/>
      <c r="BR1069" s="13"/>
      <c r="BS1069" s="13"/>
      <c r="BT1069" s="13"/>
      <c r="BU1069" s="13"/>
      <c r="BV1069" s="13"/>
      <c r="BW1069" s="13"/>
      <c r="BX1069" s="13"/>
      <c r="BY1069" s="13"/>
      <c r="BZ1069" s="13"/>
      <c r="CA1069" s="13"/>
      <c r="CB1069" s="13"/>
      <c r="CC1069" s="13"/>
      <c r="CD1069" s="13"/>
      <c r="CE1069" s="13"/>
      <c r="CF1069" s="13"/>
      <c r="CG1069" s="13"/>
      <c r="CH1069" s="13"/>
      <c r="CI1069" s="13"/>
      <c r="CJ1069" s="13"/>
      <c r="CK1069" s="13"/>
      <c r="CL1069" s="13"/>
      <c r="CM1069" s="13"/>
      <c r="CN1069" s="13"/>
      <c r="CO1069" s="13"/>
      <c r="CP1069" s="13"/>
      <c r="CQ1069" s="13"/>
      <c r="CR1069" s="13"/>
      <c r="CS1069" s="13"/>
      <c r="CT1069" s="13"/>
      <c r="CU1069" s="13"/>
      <c r="CV1069" s="13"/>
      <c r="CW1069" s="13"/>
      <c r="CX1069" s="13"/>
      <c r="CY1069" s="13"/>
      <c r="CZ1069" s="13"/>
      <c r="DA1069" s="13"/>
      <c r="DB1069" s="13"/>
      <c r="DC1069" s="13"/>
      <c r="DD1069" s="13"/>
      <c r="DE1069" s="13"/>
      <c r="DF1069" s="13"/>
      <c r="DG1069" s="13"/>
      <c r="DH1069" s="13"/>
      <c r="DI1069" s="13"/>
      <c r="DJ1069" s="13"/>
      <c r="DK1069" s="13"/>
      <c r="DL1069" s="13"/>
      <c r="DM1069" s="13"/>
      <c r="DN1069" s="13"/>
      <c r="DO1069" s="13"/>
      <c r="DP1069" s="13"/>
      <c r="DQ1069" s="13"/>
      <c r="DR1069" s="13"/>
      <c r="DS1069" s="13"/>
      <c r="DT1069" s="13"/>
      <c r="DU1069" s="13"/>
      <c r="DV1069" s="13"/>
      <c r="DW1069" s="13"/>
      <c r="DX1069" s="13"/>
      <c r="DY1069" s="13"/>
      <c r="DZ1069" s="13"/>
      <c r="EA1069" s="13"/>
    </row>
    <row r="1070" spans="1:131" ht="11.25">
      <c r="A1070" s="1"/>
      <c r="B1070" s="1"/>
      <c r="C1070" s="1"/>
      <c r="D1070" s="2"/>
      <c r="E1070" s="2"/>
      <c r="F1070" s="2"/>
      <c r="G1070" s="2"/>
      <c r="H1070" s="2"/>
      <c r="I1070" s="2"/>
      <c r="J1070" s="2"/>
      <c r="K1070" s="2"/>
      <c r="L1070" s="2"/>
      <c r="M1070" s="2"/>
      <c r="N1070" s="21"/>
      <c r="O1070" s="21"/>
      <c r="P1070" s="21"/>
      <c r="Q1070" s="13"/>
      <c r="R1070" s="275"/>
      <c r="S1070" s="275"/>
      <c r="T1070" s="275"/>
      <c r="U1070" s="275"/>
      <c r="V1070" s="275"/>
      <c r="W1070" s="275"/>
      <c r="X1070" s="275"/>
      <c r="Y1070" s="275"/>
      <c r="Z1070" s="275"/>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c r="CF1070" s="13"/>
      <c r="CG1070" s="13"/>
      <c r="CH1070" s="13"/>
      <c r="CI1070" s="13"/>
      <c r="CJ1070" s="13"/>
      <c r="CK1070" s="13"/>
      <c r="CL1070" s="13"/>
      <c r="CM1070" s="13"/>
      <c r="CN1070" s="13"/>
      <c r="CO1070" s="13"/>
      <c r="CP1070" s="13"/>
      <c r="CQ1070" s="13"/>
      <c r="CR1070" s="13"/>
      <c r="CS1070" s="13"/>
      <c r="CT1070" s="13"/>
      <c r="CU1070" s="13"/>
      <c r="CV1070" s="13"/>
      <c r="CW1070" s="13"/>
      <c r="CX1070" s="13"/>
      <c r="CY1070" s="13"/>
      <c r="CZ1070" s="13"/>
      <c r="DA1070" s="13"/>
      <c r="DB1070" s="13"/>
      <c r="DC1070" s="13"/>
      <c r="DD1070" s="13"/>
      <c r="DE1070" s="13"/>
      <c r="DF1070" s="13"/>
      <c r="DG1070" s="13"/>
      <c r="DH1070" s="13"/>
      <c r="DI1070" s="13"/>
      <c r="DJ1070" s="13"/>
      <c r="DK1070" s="13"/>
      <c r="DL1070" s="13"/>
      <c r="DM1070" s="13"/>
      <c r="DN1070" s="13"/>
      <c r="DO1070" s="13"/>
      <c r="DP1070" s="13"/>
      <c r="DQ1070" s="13"/>
      <c r="DR1070" s="13"/>
      <c r="DS1070" s="13"/>
      <c r="DT1070" s="13"/>
      <c r="DU1070" s="13"/>
      <c r="DV1070" s="13"/>
      <c r="DW1070" s="13"/>
      <c r="DX1070" s="13"/>
      <c r="DY1070" s="13"/>
      <c r="DZ1070" s="13"/>
      <c r="EA1070" s="13"/>
    </row>
    <row r="1071" spans="1:131" ht="11.25">
      <c r="A1071" s="1"/>
      <c r="B1071" s="1"/>
      <c r="C1071" s="1"/>
      <c r="D1071" s="2"/>
      <c r="E1071" s="2"/>
      <c r="F1071" s="2"/>
      <c r="G1071" s="2"/>
      <c r="H1071" s="2"/>
      <c r="I1071" s="2"/>
      <c r="J1071" s="2"/>
      <c r="K1071" s="2"/>
      <c r="L1071" s="2"/>
      <c r="M1071" s="2"/>
      <c r="N1071" s="21"/>
      <c r="O1071" s="21"/>
      <c r="P1071" s="21"/>
      <c r="Q1071" s="13"/>
      <c r="R1071" s="275"/>
      <c r="S1071" s="275"/>
      <c r="T1071" s="275"/>
      <c r="U1071" s="275"/>
      <c r="V1071" s="275"/>
      <c r="W1071" s="275"/>
      <c r="X1071" s="275"/>
      <c r="Y1071" s="275"/>
      <c r="Z1071" s="275"/>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c r="CF1071" s="13"/>
      <c r="CG1071" s="13"/>
      <c r="CH1071" s="13"/>
      <c r="CI1071" s="13"/>
      <c r="CJ1071" s="13"/>
      <c r="CK1071" s="13"/>
      <c r="CL1071" s="13"/>
      <c r="CM1071" s="13"/>
      <c r="CN1071" s="13"/>
      <c r="CO1071" s="13"/>
      <c r="CP1071" s="13"/>
      <c r="CQ1071" s="13"/>
      <c r="CR1071" s="13"/>
      <c r="CS1071" s="13"/>
      <c r="CT1071" s="13"/>
      <c r="CU1071" s="13"/>
      <c r="CV1071" s="13"/>
      <c r="CW1071" s="13"/>
      <c r="CX1071" s="13"/>
      <c r="CY1071" s="13"/>
      <c r="CZ1071" s="13"/>
      <c r="DA1071" s="13"/>
      <c r="DB1071" s="13"/>
      <c r="DC1071" s="13"/>
      <c r="DD1071" s="13"/>
      <c r="DE1071" s="13"/>
      <c r="DF1071" s="13"/>
      <c r="DG1071" s="13"/>
      <c r="DH1071" s="13"/>
      <c r="DI1071" s="13"/>
      <c r="DJ1071" s="13"/>
      <c r="DK1071" s="13"/>
      <c r="DL1071" s="13"/>
      <c r="DM1071" s="13"/>
      <c r="DN1071" s="13"/>
      <c r="DO1071" s="13"/>
      <c r="DP1071" s="13"/>
      <c r="DQ1071" s="13"/>
      <c r="DR1071" s="13"/>
      <c r="DS1071" s="13"/>
      <c r="DT1071" s="13"/>
      <c r="DU1071" s="13"/>
      <c r="DV1071" s="13"/>
      <c r="DW1071" s="13"/>
      <c r="DX1071" s="13"/>
      <c r="DY1071" s="13"/>
      <c r="DZ1071" s="13"/>
      <c r="EA1071" s="13"/>
    </row>
    <row r="1072" spans="1:131" ht="11.25">
      <c r="A1072" s="1"/>
      <c r="B1072" s="1"/>
      <c r="C1072" s="1"/>
      <c r="D1072" s="2"/>
      <c r="E1072" s="2"/>
      <c r="F1072" s="2"/>
      <c r="G1072" s="2"/>
      <c r="H1072" s="2"/>
      <c r="I1072" s="2"/>
      <c r="J1072" s="2"/>
      <c r="K1072" s="2"/>
      <c r="L1072" s="2"/>
      <c r="M1072" s="2"/>
      <c r="N1072" s="21"/>
      <c r="O1072" s="21"/>
      <c r="P1072" s="21"/>
      <c r="Q1072" s="13"/>
      <c r="R1072" s="275"/>
      <c r="S1072" s="275"/>
      <c r="T1072" s="275"/>
      <c r="U1072" s="275"/>
      <c r="V1072" s="275"/>
      <c r="W1072" s="275"/>
      <c r="X1072" s="275"/>
      <c r="Y1072" s="275"/>
      <c r="Z1072" s="275"/>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c r="CD1072" s="13"/>
      <c r="CE1072" s="13"/>
      <c r="CF1072" s="13"/>
      <c r="CG1072" s="13"/>
      <c r="CH1072" s="13"/>
      <c r="CI1072" s="13"/>
      <c r="CJ1072" s="13"/>
      <c r="CK1072" s="13"/>
      <c r="CL1072" s="13"/>
      <c r="CM1072" s="13"/>
      <c r="CN1072" s="13"/>
      <c r="CO1072" s="13"/>
      <c r="CP1072" s="13"/>
      <c r="CQ1072" s="13"/>
      <c r="CR1072" s="13"/>
      <c r="CS1072" s="13"/>
      <c r="CT1072" s="13"/>
      <c r="CU1072" s="13"/>
      <c r="CV1072" s="13"/>
      <c r="CW1072" s="13"/>
      <c r="CX1072" s="13"/>
      <c r="CY1072" s="13"/>
      <c r="CZ1072" s="13"/>
      <c r="DA1072" s="13"/>
      <c r="DB1072" s="13"/>
      <c r="DC1072" s="13"/>
      <c r="DD1072" s="13"/>
      <c r="DE1072" s="13"/>
      <c r="DF1072" s="13"/>
      <c r="DG1072" s="13"/>
      <c r="DH1072" s="13"/>
      <c r="DI1072" s="13"/>
      <c r="DJ1072" s="13"/>
      <c r="DK1072" s="13"/>
      <c r="DL1072" s="13"/>
      <c r="DM1072" s="13"/>
      <c r="DN1072" s="13"/>
      <c r="DO1072" s="13"/>
      <c r="DP1072" s="13"/>
      <c r="DQ1072" s="13"/>
      <c r="DR1072" s="13"/>
      <c r="DS1072" s="13"/>
      <c r="DT1072" s="13"/>
      <c r="DU1072" s="13"/>
      <c r="DV1072" s="13"/>
      <c r="DW1072" s="13"/>
      <c r="DX1072" s="13"/>
      <c r="DY1072" s="13"/>
      <c r="DZ1072" s="13"/>
      <c r="EA1072" s="13"/>
    </row>
    <row r="1073" spans="1:131" ht="11.25">
      <c r="A1073" s="1"/>
      <c r="B1073" s="1"/>
      <c r="C1073" s="1"/>
      <c r="D1073" s="2"/>
      <c r="E1073" s="2"/>
      <c r="F1073" s="2"/>
      <c r="G1073" s="2"/>
      <c r="H1073" s="2"/>
      <c r="I1073" s="2"/>
      <c r="J1073" s="2"/>
      <c r="K1073" s="2"/>
      <c r="L1073" s="2"/>
      <c r="M1073" s="2"/>
      <c r="N1073" s="21"/>
      <c r="O1073" s="21"/>
      <c r="P1073" s="21"/>
      <c r="Q1073" s="13"/>
      <c r="R1073" s="275"/>
      <c r="S1073" s="275"/>
      <c r="T1073" s="275"/>
      <c r="U1073" s="275"/>
      <c r="V1073" s="275"/>
      <c r="W1073" s="275"/>
      <c r="X1073" s="275"/>
      <c r="Y1073" s="275"/>
      <c r="Z1073" s="275"/>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c r="BJ1073" s="13"/>
      <c r="BK1073" s="13"/>
      <c r="BL1073" s="13"/>
      <c r="BM1073" s="13"/>
      <c r="BN1073" s="13"/>
      <c r="BO1073" s="13"/>
      <c r="BP1073" s="13"/>
      <c r="BQ1073" s="13"/>
      <c r="BR1073" s="13"/>
      <c r="BS1073" s="13"/>
      <c r="BT1073" s="13"/>
      <c r="BU1073" s="13"/>
      <c r="BV1073" s="13"/>
      <c r="BW1073" s="13"/>
      <c r="BX1073" s="13"/>
      <c r="BY1073" s="13"/>
      <c r="BZ1073" s="13"/>
      <c r="CA1073" s="13"/>
      <c r="CB1073" s="13"/>
      <c r="CC1073" s="13"/>
      <c r="CD1073" s="13"/>
      <c r="CE1073" s="13"/>
      <c r="CF1073" s="13"/>
      <c r="CG1073" s="13"/>
      <c r="CH1073" s="13"/>
      <c r="CI1073" s="13"/>
      <c r="CJ1073" s="13"/>
      <c r="CK1073" s="13"/>
      <c r="CL1073" s="13"/>
      <c r="CM1073" s="13"/>
      <c r="CN1073" s="13"/>
      <c r="CO1073" s="13"/>
      <c r="CP1073" s="13"/>
      <c r="CQ1073" s="13"/>
      <c r="CR1073" s="13"/>
      <c r="CS1073" s="13"/>
      <c r="CT1073" s="13"/>
      <c r="CU1073" s="13"/>
      <c r="CV1073" s="13"/>
      <c r="CW1073" s="13"/>
      <c r="CX1073" s="13"/>
      <c r="CY1073" s="13"/>
      <c r="CZ1073" s="13"/>
      <c r="DA1073" s="13"/>
      <c r="DB1073" s="13"/>
      <c r="DC1073" s="13"/>
      <c r="DD1073" s="13"/>
      <c r="DE1073" s="13"/>
      <c r="DF1073" s="13"/>
      <c r="DG1073" s="13"/>
      <c r="DH1073" s="13"/>
      <c r="DI1073" s="13"/>
      <c r="DJ1073" s="13"/>
      <c r="DK1073" s="13"/>
      <c r="DL1073" s="13"/>
      <c r="DM1073" s="13"/>
      <c r="DN1073" s="13"/>
      <c r="DO1073" s="13"/>
      <c r="DP1073" s="13"/>
      <c r="DQ1073" s="13"/>
      <c r="DR1073" s="13"/>
      <c r="DS1073" s="13"/>
      <c r="DT1073" s="13"/>
      <c r="DU1073" s="13"/>
      <c r="DV1073" s="13"/>
      <c r="DW1073" s="13"/>
      <c r="DX1073" s="13"/>
      <c r="DY1073" s="13"/>
      <c r="DZ1073" s="13"/>
      <c r="EA1073" s="13"/>
    </row>
    <row r="1074" spans="1:131" ht="11.25">
      <c r="A1074" s="1"/>
      <c r="B1074" s="1"/>
      <c r="C1074" s="1"/>
      <c r="D1074" s="2"/>
      <c r="E1074" s="2"/>
      <c r="F1074" s="2"/>
      <c r="G1074" s="2"/>
      <c r="H1074" s="2"/>
      <c r="I1074" s="2"/>
      <c r="J1074" s="2"/>
      <c r="K1074" s="2"/>
      <c r="L1074" s="2"/>
      <c r="M1074" s="2"/>
      <c r="N1074" s="21"/>
      <c r="O1074" s="21"/>
      <c r="P1074" s="21"/>
      <c r="Q1074" s="13"/>
      <c r="R1074" s="275"/>
      <c r="S1074" s="275"/>
      <c r="T1074" s="275"/>
      <c r="U1074" s="275"/>
      <c r="V1074" s="275"/>
      <c r="W1074" s="275"/>
      <c r="X1074" s="275"/>
      <c r="Y1074" s="275"/>
      <c r="Z1074" s="275"/>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c r="BJ1074" s="13"/>
      <c r="BK1074" s="13"/>
      <c r="BL1074" s="13"/>
      <c r="BM1074" s="13"/>
      <c r="BN1074" s="13"/>
      <c r="BO1074" s="13"/>
      <c r="BP1074" s="13"/>
      <c r="BQ1074" s="13"/>
      <c r="BR1074" s="13"/>
      <c r="BS1074" s="13"/>
      <c r="BT1074" s="13"/>
      <c r="BU1074" s="13"/>
      <c r="BV1074" s="13"/>
      <c r="BW1074" s="13"/>
      <c r="BX1074" s="13"/>
      <c r="BY1074" s="13"/>
      <c r="BZ1074" s="13"/>
      <c r="CA1074" s="13"/>
      <c r="CB1074" s="13"/>
      <c r="CC1074" s="13"/>
      <c r="CD1074" s="13"/>
      <c r="CE1074" s="13"/>
      <c r="CF1074" s="13"/>
      <c r="CG1074" s="13"/>
      <c r="CH1074" s="13"/>
      <c r="CI1074" s="13"/>
      <c r="CJ1074" s="13"/>
      <c r="CK1074" s="13"/>
      <c r="CL1074" s="13"/>
      <c r="CM1074" s="13"/>
      <c r="CN1074" s="13"/>
      <c r="CO1074" s="13"/>
      <c r="CP1074" s="13"/>
      <c r="CQ1074" s="13"/>
      <c r="CR1074" s="13"/>
      <c r="CS1074" s="13"/>
      <c r="CT1074" s="13"/>
      <c r="CU1074" s="13"/>
      <c r="CV1074" s="13"/>
      <c r="CW1074" s="13"/>
      <c r="CX1074" s="13"/>
      <c r="CY1074" s="13"/>
      <c r="CZ1074" s="13"/>
      <c r="DA1074" s="13"/>
      <c r="DB1074" s="13"/>
      <c r="DC1074" s="13"/>
      <c r="DD1074" s="13"/>
      <c r="DE1074" s="13"/>
      <c r="DF1074" s="13"/>
      <c r="DG1074" s="13"/>
      <c r="DH1074" s="13"/>
      <c r="DI1074" s="13"/>
      <c r="DJ1074" s="13"/>
      <c r="DK1074" s="13"/>
      <c r="DL1074" s="13"/>
      <c r="DM1074" s="13"/>
      <c r="DN1074" s="13"/>
      <c r="DO1074" s="13"/>
      <c r="DP1074" s="13"/>
      <c r="DQ1074" s="13"/>
      <c r="DR1074" s="13"/>
      <c r="DS1074" s="13"/>
      <c r="DT1074" s="13"/>
      <c r="DU1074" s="13"/>
      <c r="DV1074" s="13"/>
      <c r="DW1074" s="13"/>
      <c r="DX1074" s="13"/>
      <c r="DY1074" s="13"/>
      <c r="DZ1074" s="13"/>
      <c r="EA1074" s="13"/>
    </row>
    <row r="1075" spans="1:131" ht="11.25">
      <c r="A1075" s="1"/>
      <c r="B1075" s="1"/>
      <c r="C1075" s="1"/>
      <c r="D1075" s="2"/>
      <c r="E1075" s="2"/>
      <c r="F1075" s="2"/>
      <c r="G1075" s="2"/>
      <c r="H1075" s="2"/>
      <c r="I1075" s="2"/>
      <c r="J1075" s="2"/>
      <c r="K1075" s="2"/>
      <c r="L1075" s="2"/>
      <c r="M1075" s="2"/>
      <c r="N1075" s="21"/>
      <c r="O1075" s="21"/>
      <c r="P1075" s="21"/>
      <c r="Q1075" s="13"/>
      <c r="R1075" s="275"/>
      <c r="S1075" s="275"/>
      <c r="T1075" s="275"/>
      <c r="U1075" s="275"/>
      <c r="V1075" s="275"/>
      <c r="W1075" s="275"/>
      <c r="X1075" s="275"/>
      <c r="Y1075" s="275"/>
      <c r="Z1075" s="275"/>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c r="CE1075" s="13"/>
      <c r="CF1075" s="13"/>
      <c r="CG1075" s="13"/>
      <c r="CH1075" s="13"/>
      <c r="CI1075" s="13"/>
      <c r="CJ1075" s="13"/>
      <c r="CK1075" s="13"/>
      <c r="CL1075" s="13"/>
      <c r="CM1075" s="13"/>
      <c r="CN1075" s="13"/>
      <c r="CO1075" s="13"/>
      <c r="CP1075" s="13"/>
      <c r="CQ1075" s="13"/>
      <c r="CR1075" s="13"/>
      <c r="CS1075" s="13"/>
      <c r="CT1075" s="13"/>
      <c r="CU1075" s="13"/>
      <c r="CV1075" s="13"/>
      <c r="CW1075" s="13"/>
      <c r="CX1075" s="13"/>
      <c r="CY1075" s="13"/>
      <c r="CZ1075" s="13"/>
      <c r="DA1075" s="13"/>
      <c r="DB1075" s="13"/>
      <c r="DC1075" s="13"/>
      <c r="DD1075" s="13"/>
      <c r="DE1075" s="13"/>
      <c r="DF1075" s="13"/>
      <c r="DG1075" s="13"/>
      <c r="DH1075" s="13"/>
      <c r="DI1075" s="13"/>
      <c r="DJ1075" s="13"/>
      <c r="DK1075" s="13"/>
      <c r="DL1075" s="13"/>
      <c r="DM1075" s="13"/>
      <c r="DN1075" s="13"/>
      <c r="DO1075" s="13"/>
      <c r="DP1075" s="13"/>
      <c r="DQ1075" s="13"/>
      <c r="DR1075" s="13"/>
      <c r="DS1075" s="13"/>
      <c r="DT1075" s="13"/>
      <c r="DU1075" s="13"/>
      <c r="DV1075" s="13"/>
      <c r="DW1075" s="13"/>
      <c r="DX1075" s="13"/>
      <c r="DY1075" s="13"/>
      <c r="DZ1075" s="13"/>
      <c r="EA1075" s="13"/>
    </row>
    <row r="1076" spans="1:131" ht="11.25">
      <c r="A1076" s="1"/>
      <c r="B1076" s="1"/>
      <c r="C1076" s="1"/>
      <c r="D1076" s="2"/>
      <c r="E1076" s="2"/>
      <c r="F1076" s="2"/>
      <c r="G1076" s="2"/>
      <c r="H1076" s="2"/>
      <c r="I1076" s="2"/>
      <c r="J1076" s="2"/>
      <c r="K1076" s="2"/>
      <c r="L1076" s="2"/>
      <c r="M1076" s="2"/>
      <c r="N1076" s="21"/>
      <c r="O1076" s="21"/>
      <c r="P1076" s="21"/>
      <c r="Q1076" s="13"/>
      <c r="R1076" s="275"/>
      <c r="S1076" s="275"/>
      <c r="T1076" s="275"/>
      <c r="U1076" s="275"/>
      <c r="V1076" s="275"/>
      <c r="W1076" s="275"/>
      <c r="X1076" s="275"/>
      <c r="Y1076" s="275"/>
      <c r="Z1076" s="275"/>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c r="CP1076" s="13"/>
      <c r="CQ1076" s="13"/>
      <c r="CR1076" s="13"/>
      <c r="CS1076" s="13"/>
      <c r="CT1076" s="13"/>
      <c r="CU1076" s="13"/>
      <c r="CV1076" s="13"/>
      <c r="CW1076" s="13"/>
      <c r="CX1076" s="13"/>
      <c r="CY1076" s="13"/>
      <c r="CZ1076" s="13"/>
      <c r="DA1076" s="13"/>
      <c r="DB1076" s="13"/>
      <c r="DC1076" s="13"/>
      <c r="DD1076" s="13"/>
      <c r="DE1076" s="13"/>
      <c r="DF1076" s="13"/>
      <c r="DG1076" s="13"/>
      <c r="DH1076" s="13"/>
      <c r="DI1076" s="13"/>
      <c r="DJ1076" s="13"/>
      <c r="DK1076" s="13"/>
      <c r="DL1076" s="13"/>
      <c r="DM1076" s="13"/>
      <c r="DN1076" s="13"/>
      <c r="DO1076" s="13"/>
      <c r="DP1076" s="13"/>
      <c r="DQ1076" s="13"/>
      <c r="DR1076" s="13"/>
      <c r="DS1076" s="13"/>
      <c r="DT1076" s="13"/>
      <c r="DU1076" s="13"/>
      <c r="DV1076" s="13"/>
      <c r="DW1076" s="13"/>
      <c r="DX1076" s="13"/>
      <c r="DY1076" s="13"/>
      <c r="DZ1076" s="13"/>
      <c r="EA1076" s="13"/>
    </row>
    <row r="1077" spans="1:131" ht="11.25">
      <c r="A1077" s="1"/>
      <c r="B1077" s="1"/>
      <c r="C1077" s="1"/>
      <c r="D1077" s="2"/>
      <c r="E1077" s="2"/>
      <c r="F1077" s="2"/>
      <c r="G1077" s="2"/>
      <c r="H1077" s="2"/>
      <c r="I1077" s="2"/>
      <c r="J1077" s="2"/>
      <c r="K1077" s="2"/>
      <c r="L1077" s="2"/>
      <c r="M1077" s="2"/>
      <c r="N1077" s="21"/>
      <c r="O1077" s="21"/>
      <c r="P1077" s="21"/>
      <c r="Q1077" s="13"/>
      <c r="R1077" s="275"/>
      <c r="S1077" s="275"/>
      <c r="T1077" s="275"/>
      <c r="U1077" s="275"/>
      <c r="V1077" s="275"/>
      <c r="W1077" s="275"/>
      <c r="X1077" s="275"/>
      <c r="Y1077" s="275"/>
      <c r="Z1077" s="275"/>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c r="BH1077" s="13"/>
      <c r="BI1077" s="13"/>
      <c r="BJ1077" s="13"/>
      <c r="BK1077" s="13"/>
      <c r="BL1077" s="13"/>
      <c r="BM1077" s="13"/>
      <c r="BN1077" s="13"/>
      <c r="BO1077" s="13"/>
      <c r="BP1077" s="13"/>
      <c r="BQ1077" s="13"/>
      <c r="BR1077" s="13"/>
      <c r="BS1077" s="13"/>
      <c r="BT1077" s="13"/>
      <c r="BU1077" s="13"/>
      <c r="BV1077" s="13"/>
      <c r="BW1077" s="13"/>
      <c r="BX1077" s="13"/>
      <c r="BY1077" s="13"/>
      <c r="BZ1077" s="13"/>
      <c r="CA1077" s="13"/>
      <c r="CB1077" s="13"/>
      <c r="CC1077" s="13"/>
      <c r="CD1077" s="13"/>
      <c r="CE1077" s="13"/>
      <c r="CF1077" s="13"/>
      <c r="CG1077" s="13"/>
      <c r="CH1077" s="13"/>
      <c r="CI1077" s="13"/>
      <c r="CJ1077" s="13"/>
      <c r="CK1077" s="13"/>
      <c r="CL1077" s="13"/>
      <c r="CM1077" s="13"/>
      <c r="CN1077" s="13"/>
      <c r="CO1077" s="13"/>
      <c r="CP1077" s="13"/>
      <c r="CQ1077" s="13"/>
      <c r="CR1077" s="13"/>
      <c r="CS1077" s="13"/>
      <c r="CT1077" s="13"/>
      <c r="CU1077" s="13"/>
      <c r="CV1077" s="13"/>
      <c r="CW1077" s="13"/>
      <c r="CX1077" s="13"/>
      <c r="CY1077" s="13"/>
      <c r="CZ1077" s="13"/>
      <c r="DA1077" s="13"/>
      <c r="DB1077" s="13"/>
      <c r="DC1077" s="13"/>
      <c r="DD1077" s="13"/>
      <c r="DE1077" s="13"/>
      <c r="DF1077" s="13"/>
      <c r="DG1077" s="13"/>
      <c r="DH1077" s="13"/>
      <c r="DI1077" s="13"/>
      <c r="DJ1077" s="13"/>
      <c r="DK1077" s="13"/>
      <c r="DL1077" s="13"/>
      <c r="DM1077" s="13"/>
      <c r="DN1077" s="13"/>
      <c r="DO1077" s="13"/>
      <c r="DP1077" s="13"/>
      <c r="DQ1077" s="13"/>
      <c r="DR1077" s="13"/>
      <c r="DS1077" s="13"/>
      <c r="DT1077" s="13"/>
      <c r="DU1077" s="13"/>
      <c r="DV1077" s="13"/>
      <c r="DW1077" s="13"/>
      <c r="DX1077" s="13"/>
      <c r="DY1077" s="13"/>
      <c r="DZ1077" s="13"/>
      <c r="EA1077" s="13"/>
    </row>
    <row r="1078" spans="1:131" ht="11.25">
      <c r="A1078" s="1"/>
      <c r="B1078" s="1"/>
      <c r="C1078" s="1"/>
      <c r="D1078" s="2"/>
      <c r="E1078" s="2"/>
      <c r="F1078" s="2"/>
      <c r="G1078" s="2"/>
      <c r="H1078" s="2"/>
      <c r="I1078" s="2"/>
      <c r="J1078" s="2"/>
      <c r="K1078" s="2"/>
      <c r="L1078" s="2"/>
      <c r="M1078" s="2"/>
      <c r="N1078" s="21"/>
      <c r="O1078" s="21"/>
      <c r="P1078" s="21"/>
      <c r="Q1078" s="13"/>
      <c r="R1078" s="275"/>
      <c r="S1078" s="275"/>
      <c r="T1078" s="275"/>
      <c r="U1078" s="275"/>
      <c r="V1078" s="275"/>
      <c r="W1078" s="275"/>
      <c r="X1078" s="275"/>
      <c r="Y1078" s="275"/>
      <c r="Z1078" s="275"/>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c r="CP1078" s="13"/>
      <c r="CQ1078" s="13"/>
      <c r="CR1078" s="13"/>
      <c r="CS1078" s="13"/>
      <c r="CT1078" s="13"/>
      <c r="CU1078" s="13"/>
      <c r="CV1078" s="13"/>
      <c r="CW1078" s="13"/>
      <c r="CX1078" s="13"/>
      <c r="CY1078" s="13"/>
      <c r="CZ1078" s="13"/>
      <c r="DA1078" s="13"/>
      <c r="DB1078" s="13"/>
      <c r="DC1078" s="13"/>
      <c r="DD1078" s="13"/>
      <c r="DE1078" s="13"/>
      <c r="DF1078" s="13"/>
      <c r="DG1078" s="13"/>
      <c r="DH1078" s="13"/>
      <c r="DI1078" s="13"/>
      <c r="DJ1078" s="13"/>
      <c r="DK1078" s="13"/>
      <c r="DL1078" s="13"/>
      <c r="DM1078" s="13"/>
      <c r="DN1078" s="13"/>
      <c r="DO1078" s="13"/>
      <c r="DP1078" s="13"/>
      <c r="DQ1078" s="13"/>
      <c r="DR1078" s="13"/>
      <c r="DS1078" s="13"/>
      <c r="DT1078" s="13"/>
      <c r="DU1078" s="13"/>
      <c r="DV1078" s="13"/>
      <c r="DW1078" s="13"/>
      <c r="DX1078" s="13"/>
      <c r="DY1078" s="13"/>
      <c r="DZ1078" s="13"/>
      <c r="EA1078" s="13"/>
    </row>
    <row r="1079" spans="1:131" ht="11.25">
      <c r="A1079" s="1"/>
      <c r="B1079" s="1"/>
      <c r="C1079" s="1"/>
      <c r="D1079" s="2"/>
      <c r="E1079" s="2"/>
      <c r="F1079" s="2"/>
      <c r="G1079" s="2"/>
      <c r="H1079" s="2"/>
      <c r="I1079" s="2"/>
      <c r="J1079" s="2"/>
      <c r="K1079" s="2"/>
      <c r="L1079" s="2"/>
      <c r="M1079" s="2"/>
      <c r="N1079" s="21"/>
      <c r="O1079" s="21"/>
      <c r="P1079" s="21"/>
      <c r="Q1079" s="13"/>
      <c r="R1079" s="275"/>
      <c r="S1079" s="275"/>
      <c r="T1079" s="275"/>
      <c r="U1079" s="275"/>
      <c r="V1079" s="275"/>
      <c r="W1079" s="275"/>
      <c r="X1079" s="275"/>
      <c r="Y1079" s="275"/>
      <c r="Z1079" s="275"/>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c r="BH1079" s="13"/>
      <c r="BI1079" s="13"/>
      <c r="BJ1079" s="13"/>
      <c r="BK1079" s="13"/>
      <c r="BL1079" s="13"/>
      <c r="BM1079" s="13"/>
      <c r="BN1079" s="13"/>
      <c r="BO1079" s="13"/>
      <c r="BP1079" s="13"/>
      <c r="BQ1079" s="13"/>
      <c r="BR1079" s="13"/>
      <c r="BS1079" s="13"/>
      <c r="BT1079" s="13"/>
      <c r="BU1079" s="13"/>
      <c r="BV1079" s="13"/>
      <c r="BW1079" s="13"/>
      <c r="BX1079" s="13"/>
      <c r="BY1079" s="13"/>
      <c r="BZ1079" s="13"/>
      <c r="CA1079" s="13"/>
      <c r="CB1079" s="13"/>
      <c r="CC1079" s="13"/>
      <c r="CD1079" s="13"/>
      <c r="CE1079" s="13"/>
      <c r="CF1079" s="13"/>
      <c r="CG1079" s="13"/>
      <c r="CH1079" s="13"/>
      <c r="CI1079" s="13"/>
      <c r="CJ1079" s="13"/>
      <c r="CK1079" s="13"/>
      <c r="CL1079" s="13"/>
      <c r="CM1079" s="13"/>
      <c r="CN1079" s="13"/>
      <c r="CO1079" s="13"/>
      <c r="CP1079" s="13"/>
      <c r="CQ1079" s="13"/>
      <c r="CR1079" s="13"/>
      <c r="CS1079" s="13"/>
      <c r="CT1079" s="13"/>
      <c r="CU1079" s="13"/>
      <c r="CV1079" s="13"/>
      <c r="CW1079" s="13"/>
      <c r="CX1079" s="13"/>
      <c r="CY1079" s="13"/>
      <c r="CZ1079" s="13"/>
      <c r="DA1079" s="13"/>
      <c r="DB1079" s="13"/>
      <c r="DC1079" s="13"/>
      <c r="DD1079" s="13"/>
      <c r="DE1079" s="13"/>
      <c r="DF1079" s="13"/>
      <c r="DG1079" s="13"/>
      <c r="DH1079" s="13"/>
      <c r="DI1079" s="13"/>
      <c r="DJ1079" s="13"/>
      <c r="DK1079" s="13"/>
      <c r="DL1079" s="13"/>
      <c r="DM1079" s="13"/>
      <c r="DN1079" s="13"/>
      <c r="DO1079" s="13"/>
      <c r="DP1079" s="13"/>
      <c r="DQ1079" s="13"/>
      <c r="DR1079" s="13"/>
      <c r="DS1079" s="13"/>
      <c r="DT1079" s="13"/>
      <c r="DU1079" s="13"/>
      <c r="DV1079" s="13"/>
      <c r="DW1079" s="13"/>
      <c r="DX1079" s="13"/>
      <c r="DY1079" s="13"/>
      <c r="DZ1079" s="13"/>
      <c r="EA1079" s="13"/>
    </row>
    <row r="1080" spans="1:131" ht="11.25">
      <c r="A1080" s="1"/>
      <c r="B1080" s="1"/>
      <c r="C1080" s="1"/>
      <c r="D1080" s="2"/>
      <c r="E1080" s="2"/>
      <c r="F1080" s="2"/>
      <c r="G1080" s="2"/>
      <c r="H1080" s="2"/>
      <c r="I1080" s="2"/>
      <c r="J1080" s="2"/>
      <c r="K1080" s="2"/>
      <c r="L1080" s="2"/>
      <c r="M1080" s="2"/>
      <c r="N1080" s="21"/>
      <c r="O1080" s="21"/>
      <c r="P1080" s="21"/>
      <c r="Q1080" s="13"/>
      <c r="R1080" s="275"/>
      <c r="S1080" s="275"/>
      <c r="T1080" s="275"/>
      <c r="U1080" s="275"/>
      <c r="V1080" s="275"/>
      <c r="W1080" s="275"/>
      <c r="X1080" s="275"/>
      <c r="Y1080" s="275"/>
      <c r="Z1080" s="275"/>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c r="BJ1080" s="13"/>
      <c r="BK1080" s="13"/>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c r="CY1080" s="13"/>
      <c r="CZ1080" s="13"/>
      <c r="DA1080" s="13"/>
      <c r="DB1080" s="13"/>
      <c r="DC1080" s="13"/>
      <c r="DD1080" s="13"/>
      <c r="DE1080" s="13"/>
      <c r="DF1080" s="13"/>
      <c r="DG1080" s="13"/>
      <c r="DH1080" s="13"/>
      <c r="DI1080" s="13"/>
      <c r="DJ1080" s="13"/>
      <c r="DK1080" s="13"/>
      <c r="DL1080" s="13"/>
      <c r="DM1080" s="13"/>
      <c r="DN1080" s="13"/>
      <c r="DO1080" s="13"/>
      <c r="DP1080" s="13"/>
      <c r="DQ1080" s="13"/>
      <c r="DR1080" s="13"/>
      <c r="DS1080" s="13"/>
      <c r="DT1080" s="13"/>
      <c r="DU1080" s="13"/>
      <c r="DV1080" s="13"/>
      <c r="DW1080" s="13"/>
      <c r="DX1080" s="13"/>
      <c r="DY1080" s="13"/>
      <c r="DZ1080" s="13"/>
      <c r="EA1080" s="13"/>
    </row>
    <row r="1081" spans="1:131" ht="11.25">
      <c r="A1081" s="1"/>
      <c r="B1081" s="1"/>
      <c r="C1081" s="1"/>
      <c r="D1081" s="2"/>
      <c r="E1081" s="2"/>
      <c r="F1081" s="2"/>
      <c r="G1081" s="2"/>
      <c r="H1081" s="2"/>
      <c r="I1081" s="2"/>
      <c r="J1081" s="2"/>
      <c r="K1081" s="2"/>
      <c r="L1081" s="2"/>
      <c r="M1081" s="2"/>
      <c r="N1081" s="21"/>
      <c r="O1081" s="21"/>
      <c r="P1081" s="21"/>
      <c r="Q1081" s="13"/>
      <c r="R1081" s="275"/>
      <c r="S1081" s="275"/>
      <c r="T1081" s="275"/>
      <c r="U1081" s="275"/>
      <c r="V1081" s="275"/>
      <c r="W1081" s="275"/>
      <c r="X1081" s="275"/>
      <c r="Y1081" s="275"/>
      <c r="Z1081" s="275"/>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c r="BH1081" s="13"/>
      <c r="BI1081" s="13"/>
      <c r="BJ1081" s="13"/>
      <c r="BK1081" s="13"/>
      <c r="BL1081" s="13"/>
      <c r="BM1081" s="13"/>
      <c r="BN1081" s="13"/>
      <c r="BO1081" s="13"/>
      <c r="BP1081" s="13"/>
      <c r="BQ1081" s="13"/>
      <c r="BR1081" s="13"/>
      <c r="BS1081" s="13"/>
      <c r="BT1081" s="13"/>
      <c r="BU1081" s="13"/>
      <c r="BV1081" s="13"/>
      <c r="BW1081" s="13"/>
      <c r="BX1081" s="13"/>
      <c r="BY1081" s="13"/>
      <c r="BZ1081" s="13"/>
      <c r="CA1081" s="13"/>
      <c r="CB1081" s="13"/>
      <c r="CC1081" s="13"/>
      <c r="CD1081" s="13"/>
      <c r="CE1081" s="13"/>
      <c r="CF1081" s="13"/>
      <c r="CG1081" s="13"/>
      <c r="CH1081" s="13"/>
      <c r="CI1081" s="13"/>
      <c r="CJ1081" s="13"/>
      <c r="CK1081" s="13"/>
      <c r="CL1081" s="13"/>
      <c r="CM1081" s="13"/>
      <c r="CN1081" s="13"/>
      <c r="CO1081" s="13"/>
      <c r="CP1081" s="13"/>
      <c r="CQ1081" s="13"/>
      <c r="CR1081" s="13"/>
      <c r="CS1081" s="13"/>
      <c r="CT1081" s="13"/>
      <c r="CU1081" s="13"/>
      <c r="CV1081" s="13"/>
      <c r="CW1081" s="13"/>
      <c r="CX1081" s="13"/>
      <c r="CY1081" s="13"/>
      <c r="CZ1081" s="13"/>
      <c r="DA1081" s="13"/>
      <c r="DB1081" s="13"/>
      <c r="DC1081" s="13"/>
      <c r="DD1081" s="13"/>
      <c r="DE1081" s="13"/>
      <c r="DF1081" s="13"/>
      <c r="DG1081" s="13"/>
      <c r="DH1081" s="13"/>
      <c r="DI1081" s="13"/>
      <c r="DJ1081" s="13"/>
      <c r="DK1081" s="13"/>
      <c r="DL1081" s="13"/>
      <c r="DM1081" s="13"/>
      <c r="DN1081" s="13"/>
      <c r="DO1081" s="13"/>
      <c r="DP1081" s="13"/>
      <c r="DQ1081" s="13"/>
      <c r="DR1081" s="13"/>
      <c r="DS1081" s="13"/>
      <c r="DT1081" s="13"/>
      <c r="DU1081" s="13"/>
      <c r="DV1081" s="13"/>
      <c r="DW1081" s="13"/>
      <c r="DX1081" s="13"/>
      <c r="DY1081" s="13"/>
      <c r="DZ1081" s="13"/>
      <c r="EA1081" s="13"/>
    </row>
    <row r="1082" spans="1:131" ht="11.25">
      <c r="A1082" s="1"/>
      <c r="B1082" s="1"/>
      <c r="C1082" s="1"/>
      <c r="D1082" s="2"/>
      <c r="E1082" s="2"/>
      <c r="F1082" s="2"/>
      <c r="G1082" s="2"/>
      <c r="H1082" s="2"/>
      <c r="I1082" s="2"/>
      <c r="J1082" s="2"/>
      <c r="K1082" s="2"/>
      <c r="L1082" s="2"/>
      <c r="M1082" s="2"/>
      <c r="N1082" s="21"/>
      <c r="O1082" s="21"/>
      <c r="P1082" s="21"/>
      <c r="Q1082" s="13"/>
      <c r="R1082" s="275"/>
      <c r="S1082" s="275"/>
      <c r="T1082" s="275"/>
      <c r="U1082" s="275"/>
      <c r="V1082" s="275"/>
      <c r="W1082" s="275"/>
      <c r="X1082" s="275"/>
      <c r="Y1082" s="275"/>
      <c r="Z1082" s="275"/>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c r="AV1082" s="13"/>
      <c r="AW1082" s="13"/>
      <c r="AX1082" s="13"/>
      <c r="AY1082" s="13"/>
      <c r="AZ1082" s="13"/>
      <c r="BA1082" s="13"/>
      <c r="BB1082" s="13"/>
      <c r="BC1082" s="13"/>
      <c r="BD1082" s="13"/>
      <c r="BE1082" s="13"/>
      <c r="BF1082" s="13"/>
      <c r="BG1082" s="13"/>
      <c r="BH1082" s="13"/>
      <c r="BI1082" s="13"/>
      <c r="BJ1082" s="13"/>
      <c r="BK1082" s="13"/>
      <c r="BL1082" s="13"/>
      <c r="BM1082" s="13"/>
      <c r="BN1082" s="13"/>
      <c r="BO1082" s="13"/>
      <c r="BP1082" s="13"/>
      <c r="BQ1082" s="13"/>
      <c r="BR1082" s="13"/>
      <c r="BS1082" s="13"/>
      <c r="BT1082" s="13"/>
      <c r="BU1082" s="13"/>
      <c r="BV1082" s="13"/>
      <c r="BW1082" s="13"/>
      <c r="BX1082" s="13"/>
      <c r="BY1082" s="13"/>
      <c r="BZ1082" s="13"/>
      <c r="CA1082" s="13"/>
      <c r="CB1082" s="13"/>
      <c r="CC1082" s="13"/>
      <c r="CD1082" s="13"/>
      <c r="CE1082" s="13"/>
      <c r="CF1082" s="13"/>
      <c r="CG1082" s="13"/>
      <c r="CH1082" s="13"/>
      <c r="CI1082" s="13"/>
      <c r="CJ1082" s="13"/>
      <c r="CK1082" s="13"/>
      <c r="CL1082" s="13"/>
      <c r="CM1082" s="13"/>
      <c r="CN1082" s="13"/>
      <c r="CO1082" s="13"/>
      <c r="CP1082" s="13"/>
      <c r="CQ1082" s="13"/>
      <c r="CR1082" s="13"/>
      <c r="CS1082" s="13"/>
      <c r="CT1082" s="13"/>
      <c r="CU1082" s="13"/>
      <c r="CV1082" s="13"/>
      <c r="CW1082" s="13"/>
      <c r="CX1082" s="13"/>
      <c r="CY1082" s="13"/>
      <c r="CZ1082" s="13"/>
      <c r="DA1082" s="13"/>
      <c r="DB1082" s="13"/>
      <c r="DC1082" s="13"/>
      <c r="DD1082" s="13"/>
      <c r="DE1082" s="13"/>
      <c r="DF1082" s="13"/>
      <c r="DG1082" s="13"/>
      <c r="DH1082" s="13"/>
      <c r="DI1082" s="13"/>
      <c r="DJ1082" s="13"/>
      <c r="DK1082" s="13"/>
      <c r="DL1082" s="13"/>
      <c r="DM1082" s="13"/>
      <c r="DN1082" s="13"/>
      <c r="DO1082" s="13"/>
      <c r="DP1082" s="13"/>
      <c r="DQ1082" s="13"/>
      <c r="DR1082" s="13"/>
      <c r="DS1082" s="13"/>
      <c r="DT1082" s="13"/>
      <c r="DU1082" s="13"/>
      <c r="DV1082" s="13"/>
      <c r="DW1082" s="13"/>
      <c r="DX1082" s="13"/>
      <c r="DY1082" s="13"/>
      <c r="DZ1082" s="13"/>
      <c r="EA1082" s="13"/>
    </row>
    <row r="1083" spans="1:131" ht="11.25">
      <c r="A1083" s="1"/>
      <c r="B1083" s="1"/>
      <c r="C1083" s="1"/>
      <c r="D1083" s="2"/>
      <c r="E1083" s="2"/>
      <c r="F1083" s="2"/>
      <c r="G1083" s="2"/>
      <c r="H1083" s="2"/>
      <c r="I1083" s="2"/>
      <c r="J1083" s="2"/>
      <c r="K1083" s="2"/>
      <c r="L1083" s="2"/>
      <c r="M1083" s="2"/>
      <c r="N1083" s="21"/>
      <c r="O1083" s="21"/>
      <c r="P1083" s="21"/>
      <c r="Q1083" s="13"/>
      <c r="R1083" s="275"/>
      <c r="S1083" s="275"/>
      <c r="T1083" s="275"/>
      <c r="U1083" s="275"/>
      <c r="V1083" s="275"/>
      <c r="W1083" s="275"/>
      <c r="X1083" s="275"/>
      <c r="Y1083" s="275"/>
      <c r="Z1083" s="275"/>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3"/>
      <c r="AZ1083" s="13"/>
      <c r="BA1083" s="13"/>
      <c r="BB1083" s="13"/>
      <c r="BC1083" s="13"/>
      <c r="BD1083" s="13"/>
      <c r="BE1083" s="13"/>
      <c r="BF1083" s="13"/>
      <c r="BG1083" s="13"/>
      <c r="BH1083" s="13"/>
      <c r="BI1083" s="13"/>
      <c r="BJ1083" s="13"/>
      <c r="BK1083" s="13"/>
      <c r="BL1083" s="13"/>
      <c r="BM1083" s="13"/>
      <c r="BN1083" s="13"/>
      <c r="BO1083" s="13"/>
      <c r="BP1083" s="13"/>
      <c r="BQ1083" s="13"/>
      <c r="BR1083" s="13"/>
      <c r="BS1083" s="13"/>
      <c r="BT1083" s="13"/>
      <c r="BU1083" s="13"/>
      <c r="BV1083" s="13"/>
      <c r="BW1083" s="13"/>
      <c r="BX1083" s="13"/>
      <c r="BY1083" s="13"/>
      <c r="BZ1083" s="13"/>
      <c r="CA1083" s="13"/>
      <c r="CB1083" s="13"/>
      <c r="CC1083" s="13"/>
      <c r="CD1083" s="13"/>
      <c r="CE1083" s="13"/>
      <c r="CF1083" s="13"/>
      <c r="CG1083" s="13"/>
      <c r="CH1083" s="13"/>
      <c r="CI1083" s="13"/>
      <c r="CJ1083" s="13"/>
      <c r="CK1083" s="13"/>
      <c r="CL1083" s="13"/>
      <c r="CM1083" s="13"/>
      <c r="CN1083" s="13"/>
      <c r="CO1083" s="13"/>
      <c r="CP1083" s="13"/>
      <c r="CQ1083" s="13"/>
      <c r="CR1083" s="13"/>
      <c r="CS1083" s="13"/>
      <c r="CT1083" s="13"/>
      <c r="CU1083" s="13"/>
      <c r="CV1083" s="13"/>
      <c r="CW1083" s="13"/>
      <c r="CX1083" s="13"/>
      <c r="CY1083" s="13"/>
      <c r="CZ1083" s="13"/>
      <c r="DA1083" s="13"/>
      <c r="DB1083" s="13"/>
      <c r="DC1083" s="13"/>
      <c r="DD1083" s="13"/>
      <c r="DE1083" s="13"/>
      <c r="DF1083" s="13"/>
      <c r="DG1083" s="13"/>
      <c r="DH1083" s="13"/>
      <c r="DI1083" s="13"/>
      <c r="DJ1083" s="13"/>
      <c r="DK1083" s="13"/>
      <c r="DL1083" s="13"/>
      <c r="DM1083" s="13"/>
      <c r="DN1083" s="13"/>
      <c r="DO1083" s="13"/>
      <c r="DP1083" s="13"/>
      <c r="DQ1083" s="13"/>
      <c r="DR1083" s="13"/>
      <c r="DS1083" s="13"/>
      <c r="DT1083" s="13"/>
      <c r="DU1083" s="13"/>
      <c r="DV1083" s="13"/>
      <c r="DW1083" s="13"/>
      <c r="DX1083" s="13"/>
      <c r="DY1083" s="13"/>
      <c r="DZ1083" s="13"/>
      <c r="EA1083" s="13"/>
    </row>
    <row r="1084" spans="1:131" ht="11.25">
      <c r="A1084" s="1"/>
      <c r="B1084" s="1"/>
      <c r="C1084" s="1"/>
      <c r="D1084" s="2"/>
      <c r="E1084" s="2"/>
      <c r="F1084" s="2"/>
      <c r="G1084" s="2"/>
      <c r="H1084" s="2"/>
      <c r="I1084" s="2"/>
      <c r="J1084" s="2"/>
      <c r="K1084" s="2"/>
      <c r="L1084" s="2"/>
      <c r="M1084" s="2"/>
      <c r="N1084" s="21"/>
      <c r="O1084" s="21"/>
      <c r="P1084" s="21"/>
      <c r="Q1084" s="13"/>
      <c r="R1084" s="275"/>
      <c r="S1084" s="275"/>
      <c r="T1084" s="275"/>
      <c r="U1084" s="275"/>
      <c r="V1084" s="275"/>
      <c r="W1084" s="275"/>
      <c r="X1084" s="275"/>
      <c r="Y1084" s="275"/>
      <c r="Z1084" s="275"/>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c r="BH1084" s="13"/>
      <c r="BI1084" s="13"/>
      <c r="BJ1084" s="13"/>
      <c r="BK1084" s="13"/>
      <c r="BL1084" s="13"/>
      <c r="BM1084" s="13"/>
      <c r="BN1084" s="13"/>
      <c r="BO1084" s="13"/>
      <c r="BP1084" s="13"/>
      <c r="BQ1084" s="13"/>
      <c r="BR1084" s="13"/>
      <c r="BS1084" s="13"/>
      <c r="BT1084" s="13"/>
      <c r="BU1084" s="13"/>
      <c r="BV1084" s="13"/>
      <c r="BW1084" s="13"/>
      <c r="BX1084" s="13"/>
      <c r="BY1084" s="13"/>
      <c r="BZ1084" s="13"/>
      <c r="CA1084" s="13"/>
      <c r="CB1084" s="13"/>
      <c r="CC1084" s="13"/>
      <c r="CD1084" s="13"/>
      <c r="CE1084" s="13"/>
      <c r="CF1084" s="13"/>
      <c r="CG1084" s="13"/>
      <c r="CH1084" s="13"/>
      <c r="CI1084" s="13"/>
      <c r="CJ1084" s="13"/>
      <c r="CK1084" s="13"/>
      <c r="CL1084" s="13"/>
      <c r="CM1084" s="13"/>
      <c r="CN1084" s="13"/>
      <c r="CO1084" s="13"/>
      <c r="CP1084" s="13"/>
      <c r="CQ1084" s="13"/>
      <c r="CR1084" s="13"/>
      <c r="CS1084" s="13"/>
      <c r="CT1084" s="13"/>
      <c r="CU1084" s="13"/>
      <c r="CV1084" s="13"/>
      <c r="CW1084" s="13"/>
      <c r="CX1084" s="13"/>
      <c r="CY1084" s="13"/>
      <c r="CZ1084" s="13"/>
      <c r="DA1084" s="13"/>
      <c r="DB1084" s="13"/>
      <c r="DC1084" s="13"/>
      <c r="DD1084" s="13"/>
      <c r="DE1084" s="13"/>
      <c r="DF1084" s="13"/>
      <c r="DG1084" s="13"/>
      <c r="DH1084" s="13"/>
      <c r="DI1084" s="13"/>
      <c r="DJ1084" s="13"/>
      <c r="DK1084" s="13"/>
      <c r="DL1084" s="13"/>
      <c r="DM1084" s="13"/>
      <c r="DN1084" s="13"/>
      <c r="DO1084" s="13"/>
      <c r="DP1084" s="13"/>
      <c r="DQ1084" s="13"/>
      <c r="DR1084" s="13"/>
      <c r="DS1084" s="13"/>
      <c r="DT1084" s="13"/>
      <c r="DU1084" s="13"/>
      <c r="DV1084" s="13"/>
      <c r="DW1084" s="13"/>
      <c r="DX1084" s="13"/>
      <c r="DY1084" s="13"/>
      <c r="DZ1084" s="13"/>
      <c r="EA1084" s="13"/>
    </row>
    <row r="1085" spans="1:131" ht="11.25">
      <c r="A1085" s="1"/>
      <c r="B1085" s="1"/>
      <c r="C1085" s="1"/>
      <c r="D1085" s="2"/>
      <c r="E1085" s="2"/>
      <c r="F1085" s="2"/>
      <c r="G1085" s="2"/>
      <c r="H1085" s="2"/>
      <c r="I1085" s="2"/>
      <c r="J1085" s="2"/>
      <c r="K1085" s="2"/>
      <c r="L1085" s="2"/>
      <c r="M1085" s="2"/>
      <c r="N1085" s="21"/>
      <c r="O1085" s="21"/>
      <c r="P1085" s="21"/>
      <c r="Q1085" s="13"/>
      <c r="R1085" s="275"/>
      <c r="S1085" s="275"/>
      <c r="T1085" s="275"/>
      <c r="U1085" s="275"/>
      <c r="V1085" s="275"/>
      <c r="W1085" s="275"/>
      <c r="X1085" s="275"/>
      <c r="Y1085" s="275"/>
      <c r="Z1085" s="275"/>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c r="BH1085" s="13"/>
      <c r="BI1085" s="13"/>
      <c r="BJ1085" s="13"/>
      <c r="BK1085" s="13"/>
      <c r="BL1085" s="13"/>
      <c r="BM1085" s="13"/>
      <c r="BN1085" s="13"/>
      <c r="BO1085" s="13"/>
      <c r="BP1085" s="13"/>
      <c r="BQ1085" s="13"/>
      <c r="BR1085" s="13"/>
      <c r="BS1085" s="13"/>
      <c r="BT1085" s="13"/>
      <c r="BU1085" s="13"/>
      <c r="BV1085" s="13"/>
      <c r="BW1085" s="13"/>
      <c r="BX1085" s="13"/>
      <c r="BY1085" s="13"/>
      <c r="BZ1085" s="13"/>
      <c r="CA1085" s="13"/>
      <c r="CB1085" s="13"/>
      <c r="CC1085" s="13"/>
      <c r="CD1085" s="13"/>
      <c r="CE1085" s="13"/>
      <c r="CF1085" s="13"/>
      <c r="CG1085" s="13"/>
      <c r="CH1085" s="13"/>
      <c r="CI1085" s="13"/>
      <c r="CJ1085" s="13"/>
      <c r="CK1085" s="13"/>
      <c r="CL1085" s="13"/>
      <c r="CM1085" s="13"/>
      <c r="CN1085" s="13"/>
      <c r="CO1085" s="13"/>
      <c r="CP1085" s="13"/>
      <c r="CQ1085" s="13"/>
      <c r="CR1085" s="13"/>
      <c r="CS1085" s="13"/>
      <c r="CT1085" s="13"/>
      <c r="CU1085" s="13"/>
      <c r="CV1085" s="13"/>
      <c r="CW1085" s="13"/>
      <c r="CX1085" s="13"/>
      <c r="CY1085" s="13"/>
      <c r="CZ1085" s="13"/>
      <c r="DA1085" s="13"/>
      <c r="DB1085" s="13"/>
      <c r="DC1085" s="13"/>
      <c r="DD1085" s="13"/>
      <c r="DE1085" s="13"/>
      <c r="DF1085" s="13"/>
      <c r="DG1085" s="13"/>
      <c r="DH1085" s="13"/>
      <c r="DI1085" s="13"/>
      <c r="DJ1085" s="13"/>
      <c r="DK1085" s="13"/>
      <c r="DL1085" s="13"/>
      <c r="DM1085" s="13"/>
      <c r="DN1085" s="13"/>
      <c r="DO1085" s="13"/>
      <c r="DP1085" s="13"/>
      <c r="DQ1085" s="13"/>
      <c r="DR1085" s="13"/>
      <c r="DS1085" s="13"/>
      <c r="DT1085" s="13"/>
      <c r="DU1085" s="13"/>
      <c r="DV1085" s="13"/>
      <c r="DW1085" s="13"/>
      <c r="DX1085" s="13"/>
      <c r="DY1085" s="13"/>
      <c r="DZ1085" s="13"/>
      <c r="EA1085" s="13"/>
    </row>
    <row r="1086" spans="1:131" ht="11.25">
      <c r="A1086" s="1"/>
      <c r="B1086" s="1"/>
      <c r="C1086" s="1"/>
      <c r="D1086" s="2"/>
      <c r="E1086" s="2"/>
      <c r="F1086" s="2"/>
      <c r="G1086" s="2"/>
      <c r="H1086" s="2"/>
      <c r="I1086" s="2"/>
      <c r="J1086" s="2"/>
      <c r="K1086" s="2"/>
      <c r="L1086" s="2"/>
      <c r="M1086" s="2"/>
      <c r="N1086" s="21"/>
      <c r="O1086" s="21"/>
      <c r="P1086" s="21"/>
      <c r="Q1086" s="13"/>
      <c r="R1086" s="275"/>
      <c r="S1086" s="275"/>
      <c r="T1086" s="275"/>
      <c r="U1086" s="275"/>
      <c r="V1086" s="275"/>
      <c r="W1086" s="275"/>
      <c r="X1086" s="275"/>
      <c r="Y1086" s="275"/>
      <c r="Z1086" s="275"/>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c r="BJ1086" s="13"/>
      <c r="BK1086" s="13"/>
      <c r="BL1086" s="13"/>
      <c r="BM1086" s="13"/>
      <c r="BN1086" s="13"/>
      <c r="BO1086" s="13"/>
      <c r="BP1086" s="13"/>
      <c r="BQ1086" s="13"/>
      <c r="BR1086" s="13"/>
      <c r="BS1086" s="13"/>
      <c r="BT1086" s="13"/>
      <c r="BU1086" s="13"/>
      <c r="BV1086" s="13"/>
      <c r="BW1086" s="13"/>
      <c r="BX1086" s="13"/>
      <c r="BY1086" s="13"/>
      <c r="BZ1086" s="13"/>
      <c r="CA1086" s="13"/>
      <c r="CB1086" s="13"/>
      <c r="CC1086" s="13"/>
      <c r="CD1086" s="13"/>
      <c r="CE1086" s="13"/>
      <c r="CF1086" s="13"/>
      <c r="CG1086" s="13"/>
      <c r="CH1086" s="13"/>
      <c r="CI1086" s="13"/>
      <c r="CJ1086" s="13"/>
      <c r="CK1086" s="13"/>
      <c r="CL1086" s="13"/>
      <c r="CM1086" s="13"/>
      <c r="CN1086" s="13"/>
      <c r="CO1086" s="13"/>
      <c r="CP1086" s="13"/>
      <c r="CQ1086" s="13"/>
      <c r="CR1086" s="13"/>
      <c r="CS1086" s="13"/>
      <c r="CT1086" s="13"/>
      <c r="CU1086" s="13"/>
      <c r="CV1086" s="13"/>
      <c r="CW1086" s="13"/>
      <c r="CX1086" s="13"/>
      <c r="CY1086" s="13"/>
      <c r="CZ1086" s="13"/>
      <c r="DA1086" s="13"/>
      <c r="DB1086" s="13"/>
      <c r="DC1086" s="13"/>
      <c r="DD1086" s="13"/>
      <c r="DE1086" s="13"/>
      <c r="DF1086" s="13"/>
      <c r="DG1086" s="13"/>
      <c r="DH1086" s="13"/>
      <c r="DI1086" s="13"/>
      <c r="DJ1086" s="13"/>
      <c r="DK1086" s="13"/>
      <c r="DL1086" s="13"/>
      <c r="DM1086" s="13"/>
      <c r="DN1086" s="13"/>
      <c r="DO1086" s="13"/>
      <c r="DP1086" s="13"/>
      <c r="DQ1086" s="13"/>
      <c r="DR1086" s="13"/>
      <c r="DS1086" s="13"/>
      <c r="DT1086" s="13"/>
      <c r="DU1086" s="13"/>
      <c r="DV1086" s="13"/>
      <c r="DW1086" s="13"/>
      <c r="DX1086" s="13"/>
      <c r="DY1086" s="13"/>
      <c r="DZ1086" s="13"/>
      <c r="EA1086" s="13"/>
    </row>
    <row r="1087" spans="1:131" ht="11.25">
      <c r="A1087" s="1"/>
      <c r="B1087" s="1"/>
      <c r="C1087" s="1"/>
      <c r="D1087" s="2"/>
      <c r="E1087" s="2"/>
      <c r="F1087" s="2"/>
      <c r="G1087" s="2"/>
      <c r="H1087" s="2"/>
      <c r="I1087" s="2"/>
      <c r="J1087" s="2"/>
      <c r="K1087" s="2"/>
      <c r="L1087" s="2"/>
      <c r="M1087" s="2"/>
      <c r="N1087" s="21"/>
      <c r="O1087" s="21"/>
      <c r="P1087" s="21"/>
      <c r="Q1087" s="13"/>
      <c r="R1087" s="275"/>
      <c r="S1087" s="275"/>
      <c r="T1087" s="275"/>
      <c r="U1087" s="275"/>
      <c r="V1087" s="275"/>
      <c r="W1087" s="275"/>
      <c r="X1087" s="275"/>
      <c r="Y1087" s="275"/>
      <c r="Z1087" s="275"/>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c r="AV1087" s="13"/>
      <c r="AW1087" s="13"/>
      <c r="AX1087" s="13"/>
      <c r="AY1087" s="13"/>
      <c r="AZ1087" s="13"/>
      <c r="BA1087" s="13"/>
      <c r="BB1087" s="13"/>
      <c r="BC1087" s="13"/>
      <c r="BD1087" s="13"/>
      <c r="BE1087" s="13"/>
      <c r="BF1087" s="13"/>
      <c r="BG1087" s="13"/>
      <c r="BH1087" s="13"/>
      <c r="BI1087" s="13"/>
      <c r="BJ1087" s="13"/>
      <c r="BK1087" s="13"/>
      <c r="BL1087" s="13"/>
      <c r="BM1087" s="13"/>
      <c r="BN1087" s="13"/>
      <c r="BO1087" s="13"/>
      <c r="BP1087" s="13"/>
      <c r="BQ1087" s="13"/>
      <c r="BR1087" s="13"/>
      <c r="BS1087" s="13"/>
      <c r="BT1087" s="13"/>
      <c r="BU1087" s="13"/>
      <c r="BV1087" s="13"/>
      <c r="BW1087" s="13"/>
      <c r="BX1087" s="13"/>
      <c r="BY1087" s="13"/>
      <c r="BZ1087" s="13"/>
      <c r="CA1087" s="13"/>
      <c r="CB1087" s="13"/>
      <c r="CC1087" s="13"/>
      <c r="CD1087" s="13"/>
      <c r="CE1087" s="13"/>
      <c r="CF1087" s="13"/>
      <c r="CG1087" s="13"/>
      <c r="CH1087" s="13"/>
      <c r="CI1087" s="13"/>
      <c r="CJ1087" s="13"/>
      <c r="CK1087" s="13"/>
      <c r="CL1087" s="13"/>
      <c r="CM1087" s="13"/>
      <c r="CN1087" s="13"/>
      <c r="CO1087" s="13"/>
      <c r="CP1087" s="13"/>
      <c r="CQ1087" s="13"/>
      <c r="CR1087" s="13"/>
      <c r="CS1087" s="13"/>
      <c r="CT1087" s="13"/>
      <c r="CU1087" s="13"/>
      <c r="CV1087" s="13"/>
      <c r="CW1087" s="13"/>
      <c r="CX1087" s="13"/>
      <c r="CY1087" s="13"/>
      <c r="CZ1087" s="13"/>
      <c r="DA1087" s="13"/>
      <c r="DB1087" s="13"/>
      <c r="DC1087" s="13"/>
      <c r="DD1087" s="13"/>
      <c r="DE1087" s="13"/>
      <c r="DF1087" s="13"/>
      <c r="DG1087" s="13"/>
      <c r="DH1087" s="13"/>
      <c r="DI1087" s="13"/>
      <c r="DJ1087" s="13"/>
      <c r="DK1087" s="13"/>
      <c r="DL1087" s="13"/>
      <c r="DM1087" s="13"/>
      <c r="DN1087" s="13"/>
      <c r="DO1087" s="13"/>
      <c r="DP1087" s="13"/>
      <c r="DQ1087" s="13"/>
      <c r="DR1087" s="13"/>
      <c r="DS1087" s="13"/>
      <c r="DT1087" s="13"/>
      <c r="DU1087" s="13"/>
      <c r="DV1087" s="13"/>
      <c r="DW1087" s="13"/>
      <c r="DX1087" s="13"/>
      <c r="DY1087" s="13"/>
      <c r="DZ1087" s="13"/>
      <c r="EA1087" s="13"/>
    </row>
    <row r="1088" spans="1:131" ht="11.25">
      <c r="A1088" s="1"/>
      <c r="B1088" s="1"/>
      <c r="C1088" s="1"/>
      <c r="D1088" s="2"/>
      <c r="E1088" s="2"/>
      <c r="F1088" s="2"/>
      <c r="G1088" s="2"/>
      <c r="H1088" s="2"/>
      <c r="I1088" s="2"/>
      <c r="J1088" s="2"/>
      <c r="K1088" s="2"/>
      <c r="L1088" s="2"/>
      <c r="M1088" s="2"/>
      <c r="N1088" s="21"/>
      <c r="O1088" s="21"/>
      <c r="P1088" s="21"/>
      <c r="Q1088" s="13"/>
      <c r="R1088" s="275"/>
      <c r="S1088" s="275"/>
      <c r="T1088" s="275"/>
      <c r="U1088" s="275"/>
      <c r="V1088" s="275"/>
      <c r="W1088" s="275"/>
      <c r="X1088" s="275"/>
      <c r="Y1088" s="275"/>
      <c r="Z1088" s="275"/>
      <c r="AA1088" s="13"/>
      <c r="AB1088" s="13"/>
      <c r="AC1088" s="13"/>
      <c r="AD1088" s="13"/>
      <c r="AE1088" s="13"/>
      <c r="AF1088" s="13"/>
      <c r="AG1088" s="13"/>
      <c r="AH1088" s="13"/>
      <c r="AI1088" s="13"/>
      <c r="AJ1088" s="13"/>
      <c r="AK1088" s="13"/>
      <c r="AL1088" s="13"/>
      <c r="AM1088" s="13"/>
      <c r="AN1088" s="13"/>
      <c r="AO1088" s="13"/>
      <c r="AP1088" s="13"/>
      <c r="AQ1088" s="13"/>
      <c r="AR1088" s="13"/>
      <c r="AS1088" s="13"/>
      <c r="AT1088" s="13"/>
      <c r="AU1088" s="13"/>
      <c r="AV1088" s="13"/>
      <c r="AW1088" s="13"/>
      <c r="AX1088" s="13"/>
      <c r="AY1088" s="13"/>
      <c r="AZ1088" s="13"/>
      <c r="BA1088" s="13"/>
      <c r="BB1088" s="13"/>
      <c r="BC1088" s="13"/>
      <c r="BD1088" s="13"/>
      <c r="BE1088" s="13"/>
      <c r="BF1088" s="13"/>
      <c r="BG1088" s="13"/>
      <c r="BH1088" s="13"/>
      <c r="BI1088" s="13"/>
      <c r="BJ1088" s="13"/>
      <c r="BK1088" s="13"/>
      <c r="BL1088" s="13"/>
      <c r="BM1088" s="13"/>
      <c r="BN1088" s="13"/>
      <c r="BO1088" s="13"/>
      <c r="BP1088" s="13"/>
      <c r="BQ1088" s="13"/>
      <c r="BR1088" s="13"/>
      <c r="BS1088" s="13"/>
      <c r="BT1088" s="13"/>
      <c r="BU1088" s="13"/>
      <c r="BV1088" s="13"/>
      <c r="BW1088" s="13"/>
      <c r="BX1088" s="13"/>
      <c r="BY1088" s="13"/>
      <c r="BZ1088" s="13"/>
      <c r="CA1088" s="13"/>
      <c r="CB1088" s="13"/>
      <c r="CC1088" s="13"/>
      <c r="CD1088" s="13"/>
      <c r="CE1088" s="13"/>
      <c r="CF1088" s="13"/>
      <c r="CG1088" s="13"/>
      <c r="CH1088" s="13"/>
      <c r="CI1088" s="13"/>
      <c r="CJ1088" s="13"/>
      <c r="CK1088" s="13"/>
      <c r="CL1088" s="13"/>
      <c r="CM1088" s="13"/>
      <c r="CN1088" s="13"/>
      <c r="CO1088" s="13"/>
      <c r="CP1088" s="13"/>
      <c r="CQ1088" s="13"/>
      <c r="CR1088" s="13"/>
      <c r="CS1088" s="13"/>
      <c r="CT1088" s="13"/>
      <c r="CU1088" s="13"/>
      <c r="CV1088" s="13"/>
      <c r="CW1088" s="13"/>
      <c r="CX1088" s="13"/>
      <c r="CY1088" s="13"/>
      <c r="CZ1088" s="13"/>
      <c r="DA1088" s="13"/>
      <c r="DB1088" s="13"/>
      <c r="DC1088" s="13"/>
      <c r="DD1088" s="13"/>
      <c r="DE1088" s="13"/>
      <c r="DF1088" s="13"/>
      <c r="DG1088" s="13"/>
      <c r="DH1088" s="13"/>
      <c r="DI1088" s="13"/>
      <c r="DJ1088" s="13"/>
      <c r="DK1088" s="13"/>
      <c r="DL1088" s="13"/>
      <c r="DM1088" s="13"/>
      <c r="DN1088" s="13"/>
      <c r="DO1088" s="13"/>
      <c r="DP1088" s="13"/>
      <c r="DQ1088" s="13"/>
      <c r="DR1088" s="13"/>
      <c r="DS1088" s="13"/>
      <c r="DT1088" s="13"/>
      <c r="DU1088" s="13"/>
      <c r="DV1088" s="13"/>
      <c r="DW1088" s="13"/>
      <c r="DX1088" s="13"/>
      <c r="DY1088" s="13"/>
      <c r="DZ1088" s="13"/>
      <c r="EA1088" s="13"/>
    </row>
    <row r="1089" spans="1:131" ht="11.25">
      <c r="A1089" s="1"/>
      <c r="B1089" s="1"/>
      <c r="C1089" s="1"/>
      <c r="D1089" s="2"/>
      <c r="E1089" s="2"/>
      <c r="F1089" s="2"/>
      <c r="G1089" s="2"/>
      <c r="H1089" s="2"/>
      <c r="I1089" s="2"/>
      <c r="J1089" s="2"/>
      <c r="K1089" s="2"/>
      <c r="L1089" s="2"/>
      <c r="M1089" s="2"/>
      <c r="N1089" s="21"/>
      <c r="O1089" s="21"/>
      <c r="P1089" s="21"/>
      <c r="Q1089" s="13"/>
      <c r="R1089" s="275"/>
      <c r="S1089" s="275"/>
      <c r="T1089" s="275"/>
      <c r="U1089" s="275"/>
      <c r="V1089" s="275"/>
      <c r="W1089" s="275"/>
      <c r="X1089" s="275"/>
      <c r="Y1089" s="275"/>
      <c r="Z1089" s="275"/>
      <c r="AA1089" s="13"/>
      <c r="AB1089" s="13"/>
      <c r="AC1089" s="13"/>
      <c r="AD1089" s="13"/>
      <c r="AE1089" s="13"/>
      <c r="AF1089" s="13"/>
      <c r="AG1089" s="13"/>
      <c r="AH1089" s="13"/>
      <c r="AI1089" s="13"/>
      <c r="AJ1089" s="13"/>
      <c r="AK1089" s="13"/>
      <c r="AL1089" s="13"/>
      <c r="AM1089" s="13"/>
      <c r="AN1089" s="13"/>
      <c r="AO1089" s="13"/>
      <c r="AP1089" s="13"/>
      <c r="AQ1089" s="13"/>
      <c r="AR1089" s="13"/>
      <c r="AS1089" s="13"/>
      <c r="AT1089" s="13"/>
      <c r="AU1089" s="13"/>
      <c r="AV1089" s="13"/>
      <c r="AW1089" s="13"/>
      <c r="AX1089" s="13"/>
      <c r="AY1089" s="13"/>
      <c r="AZ1089" s="13"/>
      <c r="BA1089" s="13"/>
      <c r="BB1089" s="13"/>
      <c r="BC1089" s="13"/>
      <c r="BD1089" s="13"/>
      <c r="BE1089" s="13"/>
      <c r="BF1089" s="13"/>
      <c r="BG1089" s="13"/>
      <c r="BH1089" s="13"/>
      <c r="BI1089" s="13"/>
      <c r="BJ1089" s="13"/>
      <c r="BK1089" s="13"/>
      <c r="BL1089" s="13"/>
      <c r="BM1089" s="13"/>
      <c r="BN1089" s="13"/>
      <c r="BO1089" s="13"/>
      <c r="BP1089" s="13"/>
      <c r="BQ1089" s="13"/>
      <c r="BR1089" s="13"/>
      <c r="BS1089" s="13"/>
      <c r="BT1089" s="13"/>
      <c r="BU1089" s="13"/>
      <c r="BV1089" s="13"/>
      <c r="BW1089" s="13"/>
      <c r="BX1089" s="13"/>
      <c r="BY1089" s="13"/>
      <c r="BZ1089" s="13"/>
      <c r="CA1089" s="13"/>
      <c r="CB1089" s="13"/>
      <c r="CC1089" s="13"/>
      <c r="CD1089" s="13"/>
      <c r="CE1089" s="13"/>
      <c r="CF1089" s="13"/>
      <c r="CG1089" s="13"/>
      <c r="CH1089" s="13"/>
      <c r="CI1089" s="13"/>
      <c r="CJ1089" s="13"/>
      <c r="CK1089" s="13"/>
      <c r="CL1089" s="13"/>
      <c r="CM1089" s="13"/>
      <c r="CN1089" s="13"/>
      <c r="CO1089" s="13"/>
      <c r="CP1089" s="13"/>
      <c r="CQ1089" s="13"/>
      <c r="CR1089" s="13"/>
      <c r="CS1089" s="13"/>
      <c r="CT1089" s="13"/>
      <c r="CU1089" s="13"/>
      <c r="CV1089" s="13"/>
      <c r="CW1089" s="13"/>
      <c r="CX1089" s="13"/>
      <c r="CY1089" s="13"/>
      <c r="CZ1089" s="13"/>
      <c r="DA1089" s="13"/>
      <c r="DB1089" s="13"/>
      <c r="DC1089" s="13"/>
      <c r="DD1089" s="13"/>
      <c r="DE1089" s="13"/>
      <c r="DF1089" s="13"/>
      <c r="DG1089" s="13"/>
      <c r="DH1089" s="13"/>
      <c r="DI1089" s="13"/>
      <c r="DJ1089" s="13"/>
      <c r="DK1089" s="13"/>
      <c r="DL1089" s="13"/>
      <c r="DM1089" s="13"/>
      <c r="DN1089" s="13"/>
      <c r="DO1089" s="13"/>
      <c r="DP1089" s="13"/>
      <c r="DQ1089" s="13"/>
      <c r="DR1089" s="13"/>
      <c r="DS1089" s="13"/>
      <c r="DT1089" s="13"/>
      <c r="DU1089" s="13"/>
      <c r="DV1089" s="13"/>
      <c r="DW1089" s="13"/>
      <c r="DX1089" s="13"/>
      <c r="DY1089" s="13"/>
      <c r="DZ1089" s="13"/>
      <c r="EA1089" s="13"/>
    </row>
    <row r="1090" spans="1:131" ht="11.25">
      <c r="A1090" s="1"/>
      <c r="B1090" s="1"/>
      <c r="C1090" s="1"/>
      <c r="D1090" s="2"/>
      <c r="E1090" s="2"/>
      <c r="F1090" s="2"/>
      <c r="G1090" s="2"/>
      <c r="H1090" s="2"/>
      <c r="I1090" s="2"/>
      <c r="J1090" s="2"/>
      <c r="K1090" s="2"/>
      <c r="L1090" s="2"/>
      <c r="M1090" s="2"/>
      <c r="N1090" s="21"/>
      <c r="O1090" s="21"/>
      <c r="P1090" s="21"/>
      <c r="Q1090" s="13"/>
      <c r="R1090" s="275"/>
      <c r="S1090" s="275"/>
      <c r="T1090" s="275"/>
      <c r="U1090" s="275"/>
      <c r="V1090" s="275"/>
      <c r="W1090" s="275"/>
      <c r="X1090" s="275"/>
      <c r="Y1090" s="275"/>
      <c r="Z1090" s="275"/>
      <c r="AA1090" s="13"/>
      <c r="AB1090" s="13"/>
      <c r="AC1090" s="13"/>
      <c r="AD1090" s="13"/>
      <c r="AE1090" s="13"/>
      <c r="AF1090" s="13"/>
      <c r="AG1090" s="13"/>
      <c r="AH1090" s="13"/>
      <c r="AI1090" s="13"/>
      <c r="AJ1090" s="13"/>
      <c r="AK1090" s="13"/>
      <c r="AL1090" s="13"/>
      <c r="AM1090" s="13"/>
      <c r="AN1090" s="13"/>
      <c r="AO1090" s="13"/>
      <c r="AP1090" s="13"/>
      <c r="AQ1090" s="13"/>
      <c r="AR1090" s="13"/>
      <c r="AS1090" s="13"/>
      <c r="AT1090" s="13"/>
      <c r="AU1090" s="13"/>
      <c r="AV1090" s="13"/>
      <c r="AW1090" s="13"/>
      <c r="AX1090" s="13"/>
      <c r="AY1090" s="13"/>
      <c r="AZ1090" s="13"/>
      <c r="BA1090" s="13"/>
      <c r="BB1090" s="13"/>
      <c r="BC1090" s="13"/>
      <c r="BD1090" s="13"/>
      <c r="BE1090" s="13"/>
      <c r="BF1090" s="13"/>
      <c r="BG1090" s="13"/>
      <c r="BH1090" s="13"/>
      <c r="BI1090" s="13"/>
      <c r="BJ1090" s="13"/>
      <c r="BK1090" s="13"/>
      <c r="BL1090" s="13"/>
      <c r="BM1090" s="13"/>
      <c r="BN1090" s="13"/>
      <c r="BO1090" s="13"/>
      <c r="BP1090" s="13"/>
      <c r="BQ1090" s="13"/>
      <c r="BR1090" s="13"/>
      <c r="BS1090" s="13"/>
      <c r="BT1090" s="13"/>
      <c r="BU1090" s="13"/>
      <c r="BV1090" s="13"/>
      <c r="BW1090" s="13"/>
      <c r="BX1090" s="13"/>
      <c r="BY1090" s="13"/>
      <c r="BZ1090" s="13"/>
      <c r="CA1090" s="13"/>
      <c r="CB1090" s="13"/>
      <c r="CC1090" s="13"/>
      <c r="CD1090" s="13"/>
      <c r="CE1090" s="13"/>
      <c r="CF1090" s="13"/>
      <c r="CG1090" s="13"/>
      <c r="CH1090" s="13"/>
      <c r="CI1090" s="13"/>
      <c r="CJ1090" s="13"/>
      <c r="CK1090" s="13"/>
      <c r="CL1090" s="13"/>
      <c r="CM1090" s="13"/>
      <c r="CN1090" s="13"/>
      <c r="CO1090" s="13"/>
      <c r="CP1090" s="13"/>
      <c r="CQ1090" s="13"/>
      <c r="CR1090" s="13"/>
      <c r="CS1090" s="13"/>
      <c r="CT1090" s="13"/>
      <c r="CU1090" s="13"/>
      <c r="CV1090" s="13"/>
      <c r="CW1090" s="13"/>
      <c r="CX1090" s="13"/>
      <c r="CY1090" s="13"/>
      <c r="CZ1090" s="13"/>
      <c r="DA1090" s="13"/>
      <c r="DB1090" s="13"/>
      <c r="DC1090" s="13"/>
      <c r="DD1090" s="13"/>
      <c r="DE1090" s="13"/>
      <c r="DF1090" s="13"/>
      <c r="DG1090" s="13"/>
      <c r="DH1090" s="13"/>
      <c r="DI1090" s="13"/>
      <c r="DJ1090" s="13"/>
      <c r="DK1090" s="13"/>
      <c r="DL1090" s="13"/>
      <c r="DM1090" s="13"/>
      <c r="DN1090" s="13"/>
      <c r="DO1090" s="13"/>
      <c r="DP1090" s="13"/>
      <c r="DQ1090" s="13"/>
      <c r="DR1090" s="13"/>
      <c r="DS1090" s="13"/>
      <c r="DT1090" s="13"/>
      <c r="DU1090" s="13"/>
      <c r="DV1090" s="13"/>
      <c r="DW1090" s="13"/>
      <c r="DX1090" s="13"/>
      <c r="DY1090" s="13"/>
      <c r="DZ1090" s="13"/>
      <c r="EA1090" s="13"/>
    </row>
    <row r="1091" spans="1:131" ht="11.25">
      <c r="A1091" s="1"/>
      <c r="B1091" s="1"/>
      <c r="C1091" s="1"/>
      <c r="D1091" s="2"/>
      <c r="E1091" s="2"/>
      <c r="F1091" s="2"/>
      <c r="G1091" s="2"/>
      <c r="H1091" s="2"/>
      <c r="I1091" s="2"/>
      <c r="J1091" s="2"/>
      <c r="K1091" s="2"/>
      <c r="L1091" s="2"/>
      <c r="M1091" s="2"/>
      <c r="N1091" s="21"/>
      <c r="O1091" s="21"/>
      <c r="P1091" s="21"/>
      <c r="Q1091" s="13"/>
      <c r="R1091" s="275"/>
      <c r="S1091" s="275"/>
      <c r="T1091" s="275"/>
      <c r="U1091" s="275"/>
      <c r="V1091" s="275"/>
      <c r="W1091" s="275"/>
      <c r="X1091" s="275"/>
      <c r="Y1091" s="275"/>
      <c r="Z1091" s="275"/>
      <c r="AA1091" s="13"/>
      <c r="AB1091" s="13"/>
      <c r="AC1091" s="13"/>
      <c r="AD1091" s="13"/>
      <c r="AE1091" s="13"/>
      <c r="AF1091" s="13"/>
      <c r="AG1091" s="13"/>
      <c r="AH1091" s="13"/>
      <c r="AI1091" s="13"/>
      <c r="AJ1091" s="13"/>
      <c r="AK1091" s="13"/>
      <c r="AL1091" s="13"/>
      <c r="AM1091" s="13"/>
      <c r="AN1091" s="13"/>
      <c r="AO1091" s="13"/>
      <c r="AP1091" s="13"/>
      <c r="AQ1091" s="13"/>
      <c r="AR1091" s="13"/>
      <c r="AS1091" s="13"/>
      <c r="AT1091" s="13"/>
      <c r="AU1091" s="13"/>
      <c r="AV1091" s="13"/>
      <c r="AW1091" s="13"/>
      <c r="AX1091" s="13"/>
      <c r="AY1091" s="13"/>
      <c r="AZ1091" s="13"/>
      <c r="BA1091" s="13"/>
      <c r="BB1091" s="13"/>
      <c r="BC1091" s="13"/>
      <c r="BD1091" s="13"/>
      <c r="BE1091" s="13"/>
      <c r="BF1091" s="13"/>
      <c r="BG1091" s="13"/>
      <c r="BH1091" s="13"/>
      <c r="BI1091" s="13"/>
      <c r="BJ1091" s="13"/>
      <c r="BK1091" s="13"/>
      <c r="BL1091" s="13"/>
      <c r="BM1091" s="13"/>
      <c r="BN1091" s="13"/>
      <c r="BO1091" s="13"/>
      <c r="BP1091" s="13"/>
      <c r="BQ1091" s="13"/>
      <c r="BR1091" s="13"/>
      <c r="BS1091" s="13"/>
      <c r="BT1091" s="13"/>
      <c r="BU1091" s="13"/>
      <c r="BV1091" s="13"/>
      <c r="BW1091" s="13"/>
      <c r="BX1091" s="13"/>
      <c r="BY1091" s="13"/>
      <c r="BZ1091" s="13"/>
      <c r="CA1091" s="13"/>
      <c r="CB1091" s="13"/>
      <c r="CC1091" s="13"/>
      <c r="CD1091" s="13"/>
      <c r="CE1091" s="13"/>
      <c r="CF1091" s="13"/>
      <c r="CG1091" s="13"/>
      <c r="CH1091" s="13"/>
      <c r="CI1091" s="13"/>
      <c r="CJ1091" s="13"/>
      <c r="CK1091" s="13"/>
      <c r="CL1091" s="13"/>
      <c r="CM1091" s="13"/>
      <c r="CN1091" s="13"/>
      <c r="CO1091" s="13"/>
      <c r="CP1091" s="13"/>
      <c r="CQ1091" s="13"/>
      <c r="CR1091" s="13"/>
      <c r="CS1091" s="13"/>
      <c r="CT1091" s="13"/>
      <c r="CU1091" s="13"/>
      <c r="CV1091" s="13"/>
      <c r="CW1091" s="13"/>
      <c r="CX1091" s="13"/>
      <c r="CY1091" s="13"/>
      <c r="CZ1091" s="13"/>
      <c r="DA1091" s="13"/>
      <c r="DB1091" s="13"/>
      <c r="DC1091" s="13"/>
      <c r="DD1091" s="13"/>
      <c r="DE1091" s="13"/>
      <c r="DF1091" s="13"/>
      <c r="DG1091" s="13"/>
      <c r="DH1091" s="13"/>
      <c r="DI1091" s="13"/>
      <c r="DJ1091" s="13"/>
      <c r="DK1091" s="13"/>
      <c r="DL1091" s="13"/>
      <c r="DM1091" s="13"/>
      <c r="DN1091" s="13"/>
      <c r="DO1091" s="13"/>
      <c r="DP1091" s="13"/>
      <c r="DQ1091" s="13"/>
      <c r="DR1091" s="13"/>
      <c r="DS1091" s="13"/>
      <c r="DT1091" s="13"/>
      <c r="DU1091" s="13"/>
      <c r="DV1091" s="13"/>
      <c r="DW1091" s="13"/>
      <c r="DX1091" s="13"/>
      <c r="DY1091" s="13"/>
      <c r="DZ1091" s="13"/>
      <c r="EA1091" s="13"/>
    </row>
    <row r="1092" spans="1:131" ht="11.25">
      <c r="A1092" s="1"/>
      <c r="B1092" s="1"/>
      <c r="C1092" s="1"/>
      <c r="D1092" s="2"/>
      <c r="E1092" s="2"/>
      <c r="F1092" s="2"/>
      <c r="G1092" s="2"/>
      <c r="H1092" s="2"/>
      <c r="I1092" s="2"/>
      <c r="J1092" s="2"/>
      <c r="K1092" s="2"/>
      <c r="L1092" s="2"/>
      <c r="M1092" s="2"/>
      <c r="N1092" s="21"/>
      <c r="O1092" s="21"/>
      <c r="P1092" s="21"/>
      <c r="Q1092" s="13"/>
      <c r="R1092" s="275"/>
      <c r="S1092" s="275"/>
      <c r="T1092" s="275"/>
      <c r="U1092" s="275"/>
      <c r="V1092" s="275"/>
      <c r="W1092" s="275"/>
      <c r="X1092" s="275"/>
      <c r="Y1092" s="275"/>
      <c r="Z1092" s="275"/>
      <c r="AA1092" s="13"/>
      <c r="AB1092" s="13"/>
      <c r="AC1092" s="13"/>
      <c r="AD1092" s="13"/>
      <c r="AE1092" s="13"/>
      <c r="AF1092" s="13"/>
      <c r="AG1092" s="13"/>
      <c r="AH1092" s="13"/>
      <c r="AI1092" s="13"/>
      <c r="AJ1092" s="13"/>
      <c r="AK1092" s="13"/>
      <c r="AL1092" s="13"/>
      <c r="AM1092" s="13"/>
      <c r="AN1092" s="13"/>
      <c r="AO1092" s="13"/>
      <c r="AP1092" s="13"/>
      <c r="AQ1092" s="13"/>
      <c r="AR1092" s="13"/>
      <c r="AS1092" s="13"/>
      <c r="AT1092" s="13"/>
      <c r="AU1092" s="13"/>
      <c r="AV1092" s="13"/>
      <c r="AW1092" s="13"/>
      <c r="AX1092" s="13"/>
      <c r="AY1092" s="13"/>
      <c r="AZ1092" s="13"/>
      <c r="BA1092" s="13"/>
      <c r="BB1092" s="13"/>
      <c r="BC1092" s="13"/>
      <c r="BD1092" s="13"/>
      <c r="BE1092" s="13"/>
      <c r="BF1092" s="13"/>
      <c r="BG1092" s="13"/>
      <c r="BH1092" s="13"/>
      <c r="BI1092" s="13"/>
      <c r="BJ1092" s="13"/>
      <c r="BK1092" s="13"/>
      <c r="BL1092" s="13"/>
      <c r="BM1092" s="13"/>
      <c r="BN1092" s="13"/>
      <c r="BO1092" s="13"/>
      <c r="BP1092" s="13"/>
      <c r="BQ1092" s="13"/>
      <c r="BR1092" s="13"/>
      <c r="BS1092" s="13"/>
      <c r="BT1092" s="13"/>
      <c r="BU1092" s="13"/>
      <c r="BV1092" s="13"/>
      <c r="BW1092" s="13"/>
      <c r="BX1092" s="13"/>
      <c r="BY1092" s="13"/>
      <c r="BZ1092" s="13"/>
      <c r="CA1092" s="13"/>
      <c r="CB1092" s="13"/>
      <c r="CC1092" s="13"/>
      <c r="CD1092" s="13"/>
      <c r="CE1092" s="13"/>
      <c r="CF1092" s="13"/>
      <c r="CG1092" s="13"/>
      <c r="CH1092" s="13"/>
      <c r="CI1092" s="13"/>
      <c r="CJ1092" s="13"/>
      <c r="CK1092" s="13"/>
      <c r="CL1092" s="13"/>
      <c r="CM1092" s="13"/>
      <c r="CN1092" s="13"/>
      <c r="CO1092" s="13"/>
      <c r="CP1092" s="13"/>
      <c r="CQ1092" s="13"/>
      <c r="CR1092" s="13"/>
      <c r="CS1092" s="13"/>
      <c r="CT1092" s="13"/>
      <c r="CU1092" s="13"/>
      <c r="CV1092" s="13"/>
      <c r="CW1092" s="13"/>
      <c r="CX1092" s="13"/>
      <c r="CY1092" s="13"/>
      <c r="CZ1092" s="13"/>
      <c r="DA1092" s="13"/>
      <c r="DB1092" s="13"/>
      <c r="DC1092" s="13"/>
      <c r="DD1092" s="13"/>
      <c r="DE1092" s="13"/>
      <c r="DF1092" s="13"/>
      <c r="DG1092" s="13"/>
      <c r="DH1092" s="13"/>
      <c r="DI1092" s="13"/>
      <c r="DJ1092" s="13"/>
      <c r="DK1092" s="13"/>
      <c r="DL1092" s="13"/>
      <c r="DM1092" s="13"/>
      <c r="DN1092" s="13"/>
      <c r="DO1092" s="13"/>
      <c r="DP1092" s="13"/>
      <c r="DQ1092" s="13"/>
      <c r="DR1092" s="13"/>
      <c r="DS1092" s="13"/>
      <c r="DT1092" s="13"/>
      <c r="DU1092" s="13"/>
      <c r="DV1092" s="13"/>
      <c r="DW1092" s="13"/>
      <c r="DX1092" s="13"/>
      <c r="DY1092" s="13"/>
      <c r="DZ1092" s="13"/>
      <c r="EA1092" s="13"/>
    </row>
    <row r="1093" spans="1:131" ht="11.25">
      <c r="A1093" s="1"/>
      <c r="B1093" s="1"/>
      <c r="C1093" s="1"/>
      <c r="D1093" s="2"/>
      <c r="E1093" s="2"/>
      <c r="F1093" s="2"/>
      <c r="G1093" s="2"/>
      <c r="H1093" s="2"/>
      <c r="I1093" s="2"/>
      <c r="J1093" s="2"/>
      <c r="K1093" s="2"/>
      <c r="L1093" s="2"/>
      <c r="M1093" s="2"/>
      <c r="N1093" s="21"/>
      <c r="O1093" s="21"/>
      <c r="P1093" s="21"/>
      <c r="Q1093" s="13"/>
      <c r="R1093" s="275"/>
      <c r="S1093" s="275"/>
      <c r="T1093" s="275"/>
      <c r="U1093" s="275"/>
      <c r="V1093" s="275"/>
      <c r="W1093" s="275"/>
      <c r="X1093" s="275"/>
      <c r="Y1093" s="275"/>
      <c r="Z1093" s="275"/>
      <c r="AA1093" s="13"/>
      <c r="AB1093" s="13"/>
      <c r="AC1093" s="13"/>
      <c r="AD1093" s="13"/>
      <c r="AE1093" s="13"/>
      <c r="AF1093" s="13"/>
      <c r="AG1093" s="13"/>
      <c r="AH1093" s="13"/>
      <c r="AI1093" s="13"/>
      <c r="AJ1093" s="13"/>
      <c r="AK1093" s="13"/>
      <c r="AL1093" s="13"/>
      <c r="AM1093" s="13"/>
      <c r="AN1093" s="13"/>
      <c r="AO1093" s="13"/>
      <c r="AP1093" s="13"/>
      <c r="AQ1093" s="13"/>
      <c r="AR1093" s="13"/>
      <c r="AS1093" s="13"/>
      <c r="AT1093" s="13"/>
      <c r="AU1093" s="13"/>
      <c r="AV1093" s="13"/>
      <c r="AW1093" s="13"/>
      <c r="AX1093" s="13"/>
      <c r="AY1093" s="13"/>
      <c r="AZ1093" s="13"/>
      <c r="BA1093" s="13"/>
      <c r="BB1093" s="13"/>
      <c r="BC1093" s="13"/>
      <c r="BD1093" s="13"/>
      <c r="BE1093" s="13"/>
      <c r="BF1093" s="13"/>
      <c r="BG1093" s="13"/>
      <c r="BH1093" s="13"/>
      <c r="BI1093" s="13"/>
      <c r="BJ1093" s="13"/>
      <c r="BK1093" s="13"/>
      <c r="BL1093" s="13"/>
      <c r="BM1093" s="13"/>
      <c r="BN1093" s="13"/>
      <c r="BO1093" s="13"/>
      <c r="BP1093" s="13"/>
      <c r="BQ1093" s="13"/>
      <c r="BR1093" s="13"/>
      <c r="BS1093" s="13"/>
      <c r="BT1093" s="13"/>
      <c r="BU1093" s="13"/>
      <c r="BV1093" s="13"/>
      <c r="BW1093" s="13"/>
      <c r="BX1093" s="13"/>
      <c r="BY1093" s="13"/>
      <c r="BZ1093" s="13"/>
      <c r="CA1093" s="13"/>
      <c r="CB1093" s="13"/>
      <c r="CC1093" s="13"/>
      <c r="CD1093" s="13"/>
      <c r="CE1093" s="13"/>
      <c r="CF1093" s="13"/>
      <c r="CG1093" s="13"/>
      <c r="CH1093" s="13"/>
      <c r="CI1093" s="13"/>
      <c r="CJ1093" s="13"/>
      <c r="CK1093" s="13"/>
      <c r="CL1093" s="13"/>
      <c r="CM1093" s="13"/>
      <c r="CN1093" s="13"/>
      <c r="CO1093" s="13"/>
      <c r="CP1093" s="13"/>
      <c r="CQ1093" s="13"/>
      <c r="CR1093" s="13"/>
      <c r="CS1093" s="13"/>
      <c r="CT1093" s="13"/>
      <c r="CU1093" s="13"/>
      <c r="CV1093" s="13"/>
      <c r="CW1093" s="13"/>
      <c r="CX1093" s="13"/>
      <c r="CY1093" s="13"/>
      <c r="CZ1093" s="13"/>
      <c r="DA1093" s="13"/>
      <c r="DB1093" s="13"/>
      <c r="DC1093" s="13"/>
      <c r="DD1093" s="13"/>
      <c r="DE1093" s="13"/>
      <c r="DF1093" s="13"/>
      <c r="DG1093" s="13"/>
      <c r="DH1093" s="13"/>
      <c r="DI1093" s="13"/>
      <c r="DJ1093" s="13"/>
      <c r="DK1093" s="13"/>
      <c r="DL1093" s="13"/>
      <c r="DM1093" s="13"/>
      <c r="DN1093" s="13"/>
      <c r="DO1093" s="13"/>
      <c r="DP1093" s="13"/>
      <c r="DQ1093" s="13"/>
      <c r="DR1093" s="13"/>
      <c r="DS1093" s="13"/>
      <c r="DT1093" s="13"/>
      <c r="DU1093" s="13"/>
      <c r="DV1093" s="13"/>
      <c r="DW1093" s="13"/>
      <c r="DX1093" s="13"/>
      <c r="DY1093" s="13"/>
      <c r="DZ1093" s="13"/>
      <c r="EA1093" s="13"/>
    </row>
    <row r="1094" spans="1:131" ht="11.25">
      <c r="A1094" s="1"/>
      <c r="B1094" s="1"/>
      <c r="C1094" s="1"/>
      <c r="D1094" s="2"/>
      <c r="E1094" s="2"/>
      <c r="F1094" s="2"/>
      <c r="G1094" s="2"/>
      <c r="H1094" s="2"/>
      <c r="I1094" s="2"/>
      <c r="J1094" s="2"/>
      <c r="K1094" s="2"/>
      <c r="L1094" s="2"/>
      <c r="M1094" s="2"/>
      <c r="N1094" s="21"/>
      <c r="O1094" s="21"/>
      <c r="P1094" s="21"/>
      <c r="Q1094" s="13"/>
      <c r="R1094" s="275"/>
      <c r="S1094" s="275"/>
      <c r="T1094" s="275"/>
      <c r="U1094" s="275"/>
      <c r="V1094" s="275"/>
      <c r="W1094" s="275"/>
      <c r="X1094" s="275"/>
      <c r="Y1094" s="275"/>
      <c r="Z1094" s="275"/>
      <c r="AA1094" s="13"/>
      <c r="AB1094" s="13"/>
      <c r="AC1094" s="13"/>
      <c r="AD1094" s="13"/>
      <c r="AE1094" s="13"/>
      <c r="AF1094" s="13"/>
      <c r="AG1094" s="13"/>
      <c r="AH1094" s="13"/>
      <c r="AI1094" s="13"/>
      <c r="AJ1094" s="13"/>
      <c r="AK1094" s="13"/>
      <c r="AL1094" s="13"/>
      <c r="AM1094" s="13"/>
      <c r="AN1094" s="13"/>
      <c r="AO1094" s="13"/>
      <c r="AP1094" s="13"/>
      <c r="AQ1094" s="13"/>
      <c r="AR1094" s="13"/>
      <c r="AS1094" s="13"/>
      <c r="AT1094" s="13"/>
      <c r="AU1094" s="13"/>
      <c r="AV1094" s="13"/>
      <c r="AW1094" s="13"/>
      <c r="AX1094" s="13"/>
      <c r="AY1094" s="13"/>
      <c r="AZ1094" s="13"/>
      <c r="BA1094" s="13"/>
      <c r="BB1094" s="13"/>
      <c r="BC1094" s="13"/>
      <c r="BD1094" s="13"/>
      <c r="BE1094" s="13"/>
      <c r="BF1094" s="13"/>
      <c r="BG1094" s="13"/>
      <c r="BH1094" s="13"/>
      <c r="BI1094" s="13"/>
      <c r="BJ1094" s="13"/>
      <c r="BK1094" s="13"/>
      <c r="BL1094" s="13"/>
      <c r="BM1094" s="13"/>
      <c r="BN1094" s="13"/>
      <c r="BO1094" s="13"/>
      <c r="BP1094" s="13"/>
      <c r="BQ1094" s="13"/>
      <c r="BR1094" s="13"/>
      <c r="BS1094" s="13"/>
      <c r="BT1094" s="13"/>
      <c r="BU1094" s="13"/>
      <c r="BV1094" s="13"/>
      <c r="BW1094" s="13"/>
      <c r="BX1094" s="13"/>
      <c r="BY1094" s="13"/>
      <c r="BZ1094" s="13"/>
      <c r="CA1094" s="13"/>
      <c r="CB1094" s="13"/>
      <c r="CC1094" s="13"/>
      <c r="CD1094" s="13"/>
      <c r="CE1094" s="13"/>
      <c r="CF1094" s="13"/>
      <c r="CG1094" s="13"/>
      <c r="CH1094" s="13"/>
      <c r="CI1094" s="13"/>
      <c r="CJ1094" s="13"/>
      <c r="CK1094" s="13"/>
      <c r="CL1094" s="13"/>
      <c r="CM1094" s="13"/>
      <c r="CN1094" s="13"/>
      <c r="CO1094" s="13"/>
      <c r="CP1094" s="13"/>
      <c r="CQ1094" s="13"/>
      <c r="CR1094" s="13"/>
      <c r="CS1094" s="13"/>
      <c r="CT1094" s="13"/>
      <c r="CU1094" s="13"/>
      <c r="CV1094" s="13"/>
      <c r="CW1094" s="13"/>
      <c r="CX1094" s="13"/>
      <c r="CY1094" s="13"/>
      <c r="CZ1094" s="13"/>
      <c r="DA1094" s="13"/>
      <c r="DB1094" s="13"/>
      <c r="DC1094" s="13"/>
      <c r="DD1094" s="13"/>
      <c r="DE1094" s="13"/>
      <c r="DF1094" s="13"/>
      <c r="DG1094" s="13"/>
      <c r="DH1094" s="13"/>
      <c r="DI1094" s="13"/>
      <c r="DJ1094" s="13"/>
      <c r="DK1094" s="13"/>
      <c r="DL1094" s="13"/>
      <c r="DM1094" s="13"/>
      <c r="DN1094" s="13"/>
      <c r="DO1094" s="13"/>
      <c r="DP1094" s="13"/>
      <c r="DQ1094" s="13"/>
      <c r="DR1094" s="13"/>
      <c r="DS1094" s="13"/>
      <c r="DT1094" s="13"/>
      <c r="DU1094" s="13"/>
      <c r="DV1094" s="13"/>
      <c r="DW1094" s="13"/>
      <c r="DX1094" s="13"/>
      <c r="DY1094" s="13"/>
      <c r="DZ1094" s="13"/>
      <c r="EA1094" s="13"/>
    </row>
    <row r="1095" spans="1:131" ht="11.25">
      <c r="A1095" s="1"/>
      <c r="B1095" s="1"/>
      <c r="C1095" s="1"/>
      <c r="D1095" s="2"/>
      <c r="E1095" s="2"/>
      <c r="F1095" s="2"/>
      <c r="G1095" s="2"/>
      <c r="H1095" s="2"/>
      <c r="I1095" s="2"/>
      <c r="J1095" s="2"/>
      <c r="K1095" s="2"/>
      <c r="L1095" s="2"/>
      <c r="M1095" s="2"/>
      <c r="N1095" s="21"/>
      <c r="O1095" s="21"/>
      <c r="P1095" s="21"/>
      <c r="Q1095" s="13"/>
      <c r="R1095" s="275"/>
      <c r="S1095" s="275"/>
      <c r="T1095" s="275"/>
      <c r="U1095" s="275"/>
      <c r="V1095" s="275"/>
      <c r="W1095" s="275"/>
      <c r="X1095" s="275"/>
      <c r="Y1095" s="275"/>
      <c r="Z1095" s="275"/>
      <c r="AA1095" s="13"/>
      <c r="AB1095" s="13"/>
      <c r="AC1095" s="13"/>
      <c r="AD1095" s="13"/>
      <c r="AE1095" s="13"/>
      <c r="AF1095" s="13"/>
      <c r="AG1095" s="13"/>
      <c r="AH1095" s="13"/>
      <c r="AI1095" s="13"/>
      <c r="AJ1095" s="13"/>
      <c r="AK1095" s="13"/>
      <c r="AL1095" s="13"/>
      <c r="AM1095" s="13"/>
      <c r="AN1095" s="13"/>
      <c r="AO1095" s="13"/>
      <c r="AP1095" s="13"/>
      <c r="AQ1095" s="13"/>
      <c r="AR1095" s="13"/>
      <c r="AS1095" s="13"/>
      <c r="AT1095" s="13"/>
      <c r="AU1095" s="13"/>
      <c r="AV1095" s="13"/>
      <c r="AW1095" s="13"/>
      <c r="AX1095" s="13"/>
      <c r="AY1095" s="13"/>
      <c r="AZ1095" s="13"/>
      <c r="BA1095" s="13"/>
      <c r="BB1095" s="13"/>
      <c r="BC1095" s="13"/>
      <c r="BD1095" s="13"/>
      <c r="BE1095" s="13"/>
      <c r="BF1095" s="13"/>
      <c r="BG1095" s="13"/>
      <c r="BH1095" s="13"/>
      <c r="BI1095" s="13"/>
      <c r="BJ1095" s="13"/>
      <c r="BK1095" s="13"/>
      <c r="BL1095" s="13"/>
      <c r="BM1095" s="13"/>
      <c r="BN1095" s="13"/>
      <c r="BO1095" s="13"/>
      <c r="BP1095" s="13"/>
      <c r="BQ1095" s="13"/>
      <c r="BR1095" s="13"/>
      <c r="BS1095" s="13"/>
      <c r="BT1095" s="13"/>
      <c r="BU1095" s="13"/>
      <c r="BV1095" s="13"/>
      <c r="BW1095" s="13"/>
      <c r="BX1095" s="13"/>
      <c r="BY1095" s="13"/>
      <c r="BZ1095" s="13"/>
      <c r="CA1095" s="13"/>
      <c r="CB1095" s="13"/>
      <c r="CC1095" s="13"/>
      <c r="CD1095" s="13"/>
      <c r="CE1095" s="13"/>
      <c r="CF1095" s="13"/>
      <c r="CG1095" s="13"/>
      <c r="CH1095" s="13"/>
      <c r="CI1095" s="13"/>
      <c r="CJ1095" s="13"/>
      <c r="CK1095" s="13"/>
      <c r="CL1095" s="13"/>
      <c r="CM1095" s="13"/>
      <c r="CN1095" s="13"/>
      <c r="CO1095" s="13"/>
      <c r="CP1095" s="13"/>
      <c r="CQ1095" s="13"/>
      <c r="CR1095" s="13"/>
      <c r="CS1095" s="13"/>
      <c r="CT1095" s="13"/>
      <c r="CU1095" s="13"/>
      <c r="CV1095" s="13"/>
      <c r="CW1095" s="13"/>
      <c r="CX1095" s="13"/>
      <c r="CY1095" s="13"/>
      <c r="CZ1095" s="13"/>
      <c r="DA1095" s="13"/>
      <c r="DB1095" s="13"/>
      <c r="DC1095" s="13"/>
      <c r="DD1095" s="13"/>
      <c r="DE1095" s="13"/>
      <c r="DF1095" s="13"/>
      <c r="DG1095" s="13"/>
      <c r="DH1095" s="13"/>
      <c r="DI1095" s="13"/>
      <c r="DJ1095" s="13"/>
      <c r="DK1095" s="13"/>
      <c r="DL1095" s="13"/>
      <c r="DM1095" s="13"/>
      <c r="DN1095" s="13"/>
      <c r="DO1095" s="13"/>
      <c r="DP1095" s="13"/>
      <c r="DQ1095" s="13"/>
      <c r="DR1095" s="13"/>
      <c r="DS1095" s="13"/>
      <c r="DT1095" s="13"/>
      <c r="DU1095" s="13"/>
      <c r="DV1095" s="13"/>
      <c r="DW1095" s="13"/>
      <c r="DX1095" s="13"/>
      <c r="DY1095" s="13"/>
      <c r="DZ1095" s="13"/>
      <c r="EA1095" s="13"/>
    </row>
    <row r="1096" spans="1:131" ht="11.25">
      <c r="A1096" s="1"/>
      <c r="B1096" s="1"/>
      <c r="C1096" s="1"/>
      <c r="D1096" s="2"/>
      <c r="E1096" s="2"/>
      <c r="F1096" s="2"/>
      <c r="G1096" s="2"/>
      <c r="H1096" s="2"/>
      <c r="I1096" s="2"/>
      <c r="J1096" s="2"/>
      <c r="K1096" s="2"/>
      <c r="L1096" s="2"/>
      <c r="M1096" s="2"/>
      <c r="N1096" s="21"/>
      <c r="O1096" s="21"/>
      <c r="P1096" s="21"/>
      <c r="Q1096" s="13"/>
      <c r="R1096" s="275"/>
      <c r="S1096" s="275"/>
      <c r="T1096" s="275"/>
      <c r="U1096" s="275"/>
      <c r="V1096" s="275"/>
      <c r="W1096" s="275"/>
      <c r="X1096" s="275"/>
      <c r="Y1096" s="275"/>
      <c r="Z1096" s="275"/>
      <c r="AA1096" s="13"/>
      <c r="AB1096" s="13"/>
      <c r="AC1096" s="13"/>
      <c r="AD1096" s="13"/>
      <c r="AE1096" s="13"/>
      <c r="AF1096" s="13"/>
      <c r="AG1096" s="13"/>
      <c r="AH1096" s="13"/>
      <c r="AI1096" s="13"/>
      <c r="AJ1096" s="13"/>
      <c r="AK1096" s="13"/>
      <c r="AL1096" s="13"/>
      <c r="AM1096" s="13"/>
      <c r="AN1096" s="13"/>
      <c r="AO1096" s="13"/>
      <c r="AP1096" s="13"/>
      <c r="AQ1096" s="13"/>
      <c r="AR1096" s="13"/>
      <c r="AS1096" s="13"/>
      <c r="AT1096" s="13"/>
      <c r="AU1096" s="13"/>
      <c r="AV1096" s="13"/>
      <c r="AW1096" s="13"/>
      <c r="AX1096" s="13"/>
      <c r="AY1096" s="13"/>
      <c r="AZ1096" s="13"/>
      <c r="BA1096" s="13"/>
      <c r="BB1096" s="13"/>
      <c r="BC1096" s="13"/>
      <c r="BD1096" s="13"/>
      <c r="BE1096" s="13"/>
      <c r="BF1096" s="13"/>
      <c r="BG1096" s="13"/>
      <c r="BH1096" s="13"/>
      <c r="BI1096" s="13"/>
      <c r="BJ1096" s="13"/>
      <c r="BK1096" s="13"/>
      <c r="BL1096" s="13"/>
      <c r="BM1096" s="13"/>
      <c r="BN1096" s="13"/>
      <c r="BO1096" s="13"/>
      <c r="BP1096" s="13"/>
      <c r="BQ1096" s="13"/>
      <c r="BR1096" s="13"/>
      <c r="BS1096" s="13"/>
      <c r="BT1096" s="13"/>
      <c r="BU1096" s="13"/>
      <c r="BV1096" s="13"/>
      <c r="BW1096" s="13"/>
      <c r="BX1096" s="13"/>
      <c r="BY1096" s="13"/>
      <c r="BZ1096" s="13"/>
      <c r="CA1096" s="13"/>
      <c r="CB1096" s="13"/>
      <c r="CC1096" s="13"/>
      <c r="CD1096" s="13"/>
      <c r="CE1096" s="13"/>
      <c r="CF1096" s="13"/>
      <c r="CG1096" s="13"/>
      <c r="CH1096" s="13"/>
      <c r="CI1096" s="13"/>
      <c r="CJ1096" s="13"/>
      <c r="CK1096" s="13"/>
      <c r="CL1096" s="13"/>
      <c r="CM1096" s="13"/>
      <c r="CN1096" s="13"/>
      <c r="CO1096" s="13"/>
      <c r="CP1096" s="13"/>
      <c r="CQ1096" s="13"/>
      <c r="CR1096" s="13"/>
      <c r="CS1096" s="13"/>
      <c r="CT1096" s="13"/>
      <c r="CU1096" s="13"/>
      <c r="CV1096" s="13"/>
      <c r="CW1096" s="13"/>
      <c r="CX1096" s="13"/>
      <c r="CY1096" s="13"/>
      <c r="CZ1096" s="13"/>
      <c r="DA1096" s="13"/>
      <c r="DB1096" s="13"/>
      <c r="DC1096" s="13"/>
      <c r="DD1096" s="13"/>
      <c r="DE1096" s="13"/>
      <c r="DF1096" s="13"/>
      <c r="DG1096" s="13"/>
      <c r="DH1096" s="13"/>
      <c r="DI1096" s="13"/>
      <c r="DJ1096" s="13"/>
      <c r="DK1096" s="13"/>
      <c r="DL1096" s="13"/>
      <c r="DM1096" s="13"/>
      <c r="DN1096" s="13"/>
      <c r="DO1096" s="13"/>
      <c r="DP1096" s="13"/>
      <c r="DQ1096" s="13"/>
      <c r="DR1096" s="13"/>
      <c r="DS1096" s="13"/>
      <c r="DT1096" s="13"/>
      <c r="DU1096" s="13"/>
      <c r="DV1096" s="13"/>
      <c r="DW1096" s="13"/>
      <c r="DX1096" s="13"/>
      <c r="DY1096" s="13"/>
      <c r="DZ1096" s="13"/>
      <c r="EA1096" s="13"/>
    </row>
    <row r="1097" spans="1:131" ht="11.25">
      <c r="A1097" s="1"/>
      <c r="B1097" s="1"/>
      <c r="C1097" s="1"/>
      <c r="D1097" s="2"/>
      <c r="E1097" s="2"/>
      <c r="F1097" s="2"/>
      <c r="G1097" s="2"/>
      <c r="H1097" s="2"/>
      <c r="I1097" s="2"/>
      <c r="J1097" s="2"/>
      <c r="K1097" s="2"/>
      <c r="L1097" s="2"/>
      <c r="M1097" s="2"/>
      <c r="N1097" s="21"/>
      <c r="O1097" s="21"/>
      <c r="P1097" s="21"/>
      <c r="Q1097" s="13"/>
      <c r="R1097" s="275"/>
      <c r="S1097" s="275"/>
      <c r="T1097" s="275"/>
      <c r="U1097" s="275"/>
      <c r="V1097" s="275"/>
      <c r="W1097" s="275"/>
      <c r="X1097" s="275"/>
      <c r="Y1097" s="275"/>
      <c r="Z1097" s="275"/>
      <c r="AA1097" s="13"/>
      <c r="AB1097" s="13"/>
      <c r="AC1097" s="13"/>
      <c r="AD1097" s="13"/>
      <c r="AE1097" s="13"/>
      <c r="AF1097" s="13"/>
      <c r="AG1097" s="13"/>
      <c r="AH1097" s="13"/>
      <c r="AI1097" s="13"/>
      <c r="AJ1097" s="13"/>
      <c r="AK1097" s="13"/>
      <c r="AL1097" s="13"/>
      <c r="AM1097" s="13"/>
      <c r="AN1097" s="13"/>
      <c r="AO1097" s="13"/>
      <c r="AP1097" s="13"/>
      <c r="AQ1097" s="13"/>
      <c r="AR1097" s="13"/>
      <c r="AS1097" s="13"/>
      <c r="AT1097" s="13"/>
      <c r="AU1097" s="13"/>
      <c r="AV1097" s="13"/>
      <c r="AW1097" s="13"/>
      <c r="AX1097" s="13"/>
      <c r="AY1097" s="13"/>
      <c r="AZ1097" s="13"/>
      <c r="BA1097" s="13"/>
      <c r="BB1097" s="13"/>
      <c r="BC1097" s="13"/>
      <c r="BD1097" s="13"/>
      <c r="BE1097" s="13"/>
      <c r="BF1097" s="13"/>
      <c r="BG1097" s="13"/>
      <c r="BH1097" s="13"/>
      <c r="BI1097" s="13"/>
      <c r="BJ1097" s="13"/>
      <c r="BK1097" s="13"/>
      <c r="BL1097" s="13"/>
      <c r="BM1097" s="13"/>
      <c r="BN1097" s="13"/>
      <c r="BO1097" s="13"/>
      <c r="BP1097" s="13"/>
      <c r="BQ1097" s="13"/>
      <c r="BR1097" s="13"/>
      <c r="BS1097" s="13"/>
      <c r="BT1097" s="13"/>
      <c r="BU1097" s="13"/>
      <c r="BV1097" s="13"/>
      <c r="BW1097" s="13"/>
      <c r="BX1097" s="13"/>
      <c r="BY1097" s="13"/>
      <c r="BZ1097" s="13"/>
      <c r="CA1097" s="13"/>
      <c r="CB1097" s="13"/>
      <c r="CC1097" s="13"/>
      <c r="CD1097" s="13"/>
      <c r="CE1097" s="13"/>
      <c r="CF1097" s="13"/>
      <c r="CG1097" s="13"/>
      <c r="CH1097" s="13"/>
      <c r="CI1097" s="13"/>
      <c r="CJ1097" s="13"/>
      <c r="CK1097" s="13"/>
      <c r="CL1097" s="13"/>
      <c r="CM1097" s="13"/>
      <c r="CN1097" s="13"/>
      <c r="CO1097" s="13"/>
      <c r="CP1097" s="13"/>
      <c r="CQ1097" s="13"/>
      <c r="CR1097" s="13"/>
      <c r="CS1097" s="13"/>
      <c r="CT1097" s="13"/>
      <c r="CU1097" s="13"/>
      <c r="CV1097" s="13"/>
      <c r="CW1097" s="13"/>
      <c r="CX1097" s="13"/>
      <c r="CY1097" s="13"/>
      <c r="CZ1097" s="13"/>
      <c r="DA1097" s="13"/>
      <c r="DB1097" s="13"/>
      <c r="DC1097" s="13"/>
      <c r="DD1097" s="13"/>
      <c r="DE1097" s="13"/>
      <c r="DF1097" s="13"/>
      <c r="DG1097" s="13"/>
      <c r="DH1097" s="13"/>
      <c r="DI1097" s="13"/>
      <c r="DJ1097" s="13"/>
      <c r="DK1097" s="13"/>
      <c r="DL1097" s="13"/>
      <c r="DM1097" s="13"/>
      <c r="DN1097" s="13"/>
      <c r="DO1097" s="13"/>
      <c r="DP1097" s="13"/>
      <c r="DQ1097" s="13"/>
      <c r="DR1097" s="13"/>
      <c r="DS1097" s="13"/>
      <c r="DT1097" s="13"/>
      <c r="DU1097" s="13"/>
      <c r="DV1097" s="13"/>
      <c r="DW1097" s="13"/>
      <c r="DX1097" s="13"/>
      <c r="DY1097" s="13"/>
      <c r="DZ1097" s="13"/>
      <c r="EA1097" s="13"/>
    </row>
    <row r="1098" spans="1:131" ht="11.25">
      <c r="A1098" s="1"/>
      <c r="B1098" s="1"/>
      <c r="C1098" s="1"/>
      <c r="D1098" s="2"/>
      <c r="E1098" s="2"/>
      <c r="F1098" s="2"/>
      <c r="G1098" s="2"/>
      <c r="H1098" s="2"/>
      <c r="I1098" s="2"/>
      <c r="J1098" s="2"/>
      <c r="K1098" s="2"/>
      <c r="L1098" s="2"/>
      <c r="M1098" s="2"/>
      <c r="N1098" s="21"/>
      <c r="O1098" s="21"/>
      <c r="P1098" s="21"/>
      <c r="Q1098" s="13"/>
      <c r="R1098" s="275"/>
      <c r="S1098" s="275"/>
      <c r="T1098" s="275"/>
      <c r="U1098" s="275"/>
      <c r="V1098" s="275"/>
      <c r="W1098" s="275"/>
      <c r="X1098" s="275"/>
      <c r="Y1098" s="275"/>
      <c r="Z1098" s="275"/>
      <c r="AA1098" s="13"/>
      <c r="AB1098" s="13"/>
      <c r="AC1098" s="13"/>
      <c r="AD1098" s="13"/>
      <c r="AE1098" s="13"/>
      <c r="AF1098" s="13"/>
      <c r="AG1098" s="13"/>
      <c r="AH1098" s="13"/>
      <c r="AI1098" s="13"/>
      <c r="AJ1098" s="13"/>
      <c r="AK1098" s="13"/>
      <c r="AL1098" s="13"/>
      <c r="AM1098" s="13"/>
      <c r="AN1098" s="13"/>
      <c r="AO1098" s="13"/>
      <c r="AP1098" s="13"/>
      <c r="AQ1098" s="13"/>
      <c r="AR1098" s="13"/>
      <c r="AS1098" s="13"/>
      <c r="AT1098" s="13"/>
      <c r="AU1098" s="13"/>
      <c r="AV1098" s="13"/>
      <c r="AW1098" s="13"/>
      <c r="AX1098" s="13"/>
      <c r="AY1098" s="13"/>
      <c r="AZ1098" s="13"/>
      <c r="BA1098" s="13"/>
      <c r="BB1098" s="13"/>
      <c r="BC1098" s="13"/>
      <c r="BD1098" s="13"/>
      <c r="BE1098" s="13"/>
      <c r="BF1098" s="13"/>
      <c r="BG1098" s="13"/>
      <c r="BH1098" s="13"/>
      <c r="BI1098" s="13"/>
      <c r="BJ1098" s="13"/>
      <c r="BK1098" s="13"/>
      <c r="BL1098" s="13"/>
      <c r="BM1098" s="13"/>
      <c r="BN1098" s="13"/>
      <c r="BO1098" s="13"/>
      <c r="BP1098" s="13"/>
      <c r="BQ1098" s="13"/>
      <c r="BR1098" s="13"/>
      <c r="BS1098" s="13"/>
      <c r="BT1098" s="13"/>
      <c r="BU1098" s="13"/>
      <c r="BV1098" s="13"/>
      <c r="BW1098" s="13"/>
      <c r="BX1098" s="13"/>
      <c r="BY1098" s="13"/>
      <c r="BZ1098" s="13"/>
      <c r="CA1098" s="13"/>
      <c r="CB1098" s="13"/>
      <c r="CC1098" s="13"/>
      <c r="CD1098" s="13"/>
      <c r="CE1098" s="13"/>
      <c r="CF1098" s="13"/>
      <c r="CG1098" s="13"/>
      <c r="CH1098" s="13"/>
      <c r="CI1098" s="13"/>
      <c r="CJ1098" s="13"/>
      <c r="CK1098" s="13"/>
      <c r="CL1098" s="13"/>
      <c r="CM1098" s="13"/>
      <c r="CN1098" s="13"/>
      <c r="CO1098" s="13"/>
      <c r="CP1098" s="13"/>
      <c r="CQ1098" s="13"/>
      <c r="CR1098" s="13"/>
      <c r="CS1098" s="13"/>
      <c r="CT1098" s="13"/>
      <c r="CU1098" s="13"/>
      <c r="CV1098" s="13"/>
      <c r="CW1098" s="13"/>
      <c r="CX1098" s="13"/>
      <c r="CY1098" s="13"/>
      <c r="CZ1098" s="13"/>
      <c r="DA1098" s="13"/>
      <c r="DB1098" s="13"/>
      <c r="DC1098" s="13"/>
      <c r="DD1098" s="13"/>
      <c r="DE1098" s="13"/>
      <c r="DF1098" s="13"/>
      <c r="DG1098" s="13"/>
      <c r="DH1098" s="13"/>
      <c r="DI1098" s="13"/>
      <c r="DJ1098" s="13"/>
      <c r="DK1098" s="13"/>
      <c r="DL1098" s="13"/>
      <c r="DM1098" s="13"/>
      <c r="DN1098" s="13"/>
      <c r="DO1098" s="13"/>
      <c r="DP1098" s="13"/>
      <c r="DQ1098" s="13"/>
      <c r="DR1098" s="13"/>
      <c r="DS1098" s="13"/>
      <c r="DT1098" s="13"/>
      <c r="DU1098" s="13"/>
      <c r="DV1098" s="13"/>
      <c r="DW1098" s="13"/>
      <c r="DX1098" s="13"/>
      <c r="DY1098" s="13"/>
      <c r="DZ1098" s="13"/>
      <c r="EA1098" s="13"/>
    </row>
    <row r="1099" spans="1:131" ht="11.25">
      <c r="A1099" s="1"/>
      <c r="B1099" s="1"/>
      <c r="C1099" s="1"/>
      <c r="D1099" s="2"/>
      <c r="E1099" s="2"/>
      <c r="F1099" s="2"/>
      <c r="G1099" s="2"/>
      <c r="H1099" s="2"/>
      <c r="I1099" s="2"/>
      <c r="J1099" s="2"/>
      <c r="K1099" s="2"/>
      <c r="L1099" s="2"/>
      <c r="M1099" s="2"/>
      <c r="N1099" s="21"/>
      <c r="O1099" s="21"/>
      <c r="P1099" s="21"/>
      <c r="Q1099" s="13"/>
      <c r="R1099" s="275"/>
      <c r="S1099" s="275"/>
      <c r="T1099" s="275"/>
      <c r="U1099" s="275"/>
      <c r="V1099" s="275"/>
      <c r="W1099" s="275"/>
      <c r="X1099" s="275"/>
      <c r="Y1099" s="275"/>
      <c r="Z1099" s="275"/>
      <c r="AA1099" s="13"/>
      <c r="AB1099" s="13"/>
      <c r="AC1099" s="13"/>
      <c r="AD1099" s="13"/>
      <c r="AE1099" s="13"/>
      <c r="AF1099" s="13"/>
      <c r="AG1099" s="13"/>
      <c r="AH1099" s="13"/>
      <c r="AI1099" s="13"/>
      <c r="AJ1099" s="13"/>
      <c r="AK1099" s="13"/>
      <c r="AL1099" s="13"/>
      <c r="AM1099" s="13"/>
      <c r="AN1099" s="13"/>
      <c r="AO1099" s="13"/>
      <c r="AP1099" s="13"/>
      <c r="AQ1099" s="13"/>
      <c r="AR1099" s="13"/>
      <c r="AS1099" s="13"/>
      <c r="AT1099" s="13"/>
      <c r="AU1099" s="13"/>
      <c r="AV1099" s="13"/>
      <c r="AW1099" s="13"/>
      <c r="AX1099" s="13"/>
      <c r="AY1099" s="13"/>
      <c r="AZ1099" s="13"/>
      <c r="BA1099" s="13"/>
      <c r="BB1099" s="13"/>
      <c r="BC1099" s="13"/>
      <c r="BD1099" s="13"/>
      <c r="BE1099" s="13"/>
      <c r="BF1099" s="13"/>
      <c r="BG1099" s="13"/>
      <c r="BH1099" s="13"/>
      <c r="BI1099" s="13"/>
      <c r="BJ1099" s="13"/>
      <c r="BK1099" s="13"/>
      <c r="BL1099" s="13"/>
      <c r="BM1099" s="13"/>
      <c r="BN1099" s="13"/>
      <c r="BO1099" s="13"/>
      <c r="BP1099" s="13"/>
      <c r="BQ1099" s="13"/>
      <c r="BR1099" s="13"/>
      <c r="BS1099" s="13"/>
      <c r="BT1099" s="13"/>
      <c r="BU1099" s="13"/>
      <c r="BV1099" s="13"/>
      <c r="BW1099" s="13"/>
      <c r="BX1099" s="13"/>
      <c r="BY1099" s="13"/>
      <c r="BZ1099" s="13"/>
      <c r="CA1099" s="13"/>
      <c r="CB1099" s="13"/>
      <c r="CC1099" s="13"/>
      <c r="CD1099" s="13"/>
      <c r="CE1099" s="13"/>
      <c r="CF1099" s="13"/>
      <c r="CG1099" s="13"/>
      <c r="CH1099" s="13"/>
      <c r="CI1099" s="13"/>
      <c r="CJ1099" s="13"/>
      <c r="CK1099" s="13"/>
      <c r="CL1099" s="13"/>
      <c r="CM1099" s="13"/>
      <c r="CN1099" s="13"/>
      <c r="CO1099" s="13"/>
      <c r="CP1099" s="13"/>
      <c r="CQ1099" s="13"/>
      <c r="CR1099" s="13"/>
      <c r="CS1099" s="13"/>
      <c r="CT1099" s="13"/>
      <c r="CU1099" s="13"/>
      <c r="CV1099" s="13"/>
      <c r="CW1099" s="13"/>
      <c r="CX1099" s="13"/>
      <c r="CY1099" s="13"/>
      <c r="CZ1099" s="13"/>
      <c r="DA1099" s="13"/>
      <c r="DB1099" s="13"/>
      <c r="DC1099" s="13"/>
      <c r="DD1099" s="13"/>
      <c r="DE1099" s="13"/>
      <c r="DF1099" s="13"/>
      <c r="DG1099" s="13"/>
      <c r="DH1099" s="13"/>
      <c r="DI1099" s="13"/>
      <c r="DJ1099" s="13"/>
      <c r="DK1099" s="13"/>
      <c r="DL1099" s="13"/>
      <c r="DM1099" s="13"/>
      <c r="DN1099" s="13"/>
      <c r="DO1099" s="13"/>
      <c r="DP1099" s="13"/>
      <c r="DQ1099" s="13"/>
      <c r="DR1099" s="13"/>
      <c r="DS1099" s="13"/>
      <c r="DT1099" s="13"/>
      <c r="DU1099" s="13"/>
      <c r="DV1099" s="13"/>
      <c r="DW1099" s="13"/>
      <c r="DX1099" s="13"/>
      <c r="DY1099" s="13"/>
      <c r="DZ1099" s="13"/>
      <c r="EA1099" s="13"/>
    </row>
    <row r="1100" spans="1:131" ht="11.25">
      <c r="A1100" s="1"/>
      <c r="B1100" s="1"/>
      <c r="C1100" s="1"/>
      <c r="D1100" s="2"/>
      <c r="E1100" s="2"/>
      <c r="F1100" s="2"/>
      <c r="G1100" s="2"/>
      <c r="H1100" s="2"/>
      <c r="I1100" s="2"/>
      <c r="J1100" s="2"/>
      <c r="K1100" s="2"/>
      <c r="L1100" s="2"/>
      <c r="M1100" s="2"/>
      <c r="N1100" s="21"/>
      <c r="O1100" s="21"/>
      <c r="P1100" s="21"/>
      <c r="Q1100" s="13"/>
      <c r="R1100" s="275"/>
      <c r="S1100" s="275"/>
      <c r="T1100" s="275"/>
      <c r="U1100" s="275"/>
      <c r="V1100" s="275"/>
      <c r="W1100" s="275"/>
      <c r="X1100" s="275"/>
      <c r="Y1100" s="275"/>
      <c r="Z1100" s="275"/>
      <c r="AA1100" s="13"/>
      <c r="AB1100" s="13"/>
      <c r="AC1100" s="13"/>
      <c r="AD1100" s="13"/>
      <c r="AE1100" s="13"/>
      <c r="AF1100" s="13"/>
      <c r="AG1100" s="13"/>
      <c r="AH1100" s="13"/>
      <c r="AI1100" s="13"/>
      <c r="AJ1100" s="13"/>
      <c r="AK1100" s="13"/>
      <c r="AL1100" s="13"/>
      <c r="AM1100" s="13"/>
      <c r="AN1100" s="13"/>
      <c r="AO1100" s="13"/>
      <c r="AP1100" s="13"/>
      <c r="AQ1100" s="13"/>
      <c r="AR1100" s="13"/>
      <c r="AS1100" s="13"/>
      <c r="AT1100" s="13"/>
      <c r="AU1100" s="13"/>
      <c r="AV1100" s="13"/>
      <c r="AW1100" s="13"/>
      <c r="AX1100" s="13"/>
      <c r="AY1100" s="13"/>
      <c r="AZ1100" s="13"/>
      <c r="BA1100" s="13"/>
      <c r="BB1100" s="13"/>
      <c r="BC1100" s="13"/>
      <c r="BD1100" s="13"/>
      <c r="BE1100" s="13"/>
      <c r="BF1100" s="13"/>
      <c r="BG1100" s="13"/>
      <c r="BH1100" s="13"/>
      <c r="BI1100" s="13"/>
      <c r="BJ1100" s="13"/>
      <c r="BK1100" s="13"/>
      <c r="BL1100" s="13"/>
      <c r="BM1100" s="13"/>
      <c r="BN1100" s="13"/>
      <c r="BO1100" s="13"/>
      <c r="BP1100" s="13"/>
      <c r="BQ1100" s="13"/>
      <c r="BR1100" s="13"/>
      <c r="BS1100" s="13"/>
      <c r="BT1100" s="13"/>
      <c r="BU1100" s="13"/>
      <c r="BV1100" s="13"/>
      <c r="BW1100" s="13"/>
      <c r="BX1100" s="13"/>
      <c r="BY1100" s="13"/>
      <c r="BZ1100" s="13"/>
      <c r="CA1100" s="13"/>
      <c r="CB1100" s="13"/>
      <c r="CC1100" s="13"/>
      <c r="CD1100" s="13"/>
      <c r="CE1100" s="13"/>
      <c r="CF1100" s="13"/>
      <c r="CG1100" s="13"/>
      <c r="CH1100" s="13"/>
      <c r="CI1100" s="13"/>
      <c r="CJ1100" s="13"/>
      <c r="CK1100" s="13"/>
      <c r="CL1100" s="13"/>
      <c r="CM1100" s="13"/>
      <c r="CN1100" s="13"/>
      <c r="CO1100" s="13"/>
      <c r="CP1100" s="13"/>
      <c r="CQ1100" s="13"/>
      <c r="CR1100" s="13"/>
      <c r="CS1100" s="13"/>
      <c r="CT1100" s="13"/>
      <c r="CU1100" s="13"/>
      <c r="CV1100" s="13"/>
      <c r="CW1100" s="13"/>
      <c r="CX1100" s="13"/>
      <c r="CY1100" s="13"/>
      <c r="CZ1100" s="13"/>
      <c r="DA1100" s="13"/>
      <c r="DB1100" s="13"/>
      <c r="DC1100" s="13"/>
      <c r="DD1100" s="13"/>
      <c r="DE1100" s="13"/>
      <c r="DF1100" s="13"/>
      <c r="DG1100" s="13"/>
      <c r="DH1100" s="13"/>
      <c r="DI1100" s="13"/>
      <c r="DJ1100" s="13"/>
      <c r="DK1100" s="13"/>
      <c r="DL1100" s="13"/>
      <c r="DM1100" s="13"/>
      <c r="DN1100" s="13"/>
      <c r="DO1100" s="13"/>
      <c r="DP1100" s="13"/>
      <c r="DQ1100" s="13"/>
      <c r="DR1100" s="13"/>
      <c r="DS1100" s="13"/>
      <c r="DT1100" s="13"/>
      <c r="DU1100" s="13"/>
      <c r="DV1100" s="13"/>
      <c r="DW1100" s="13"/>
      <c r="DX1100" s="13"/>
      <c r="DY1100" s="13"/>
      <c r="DZ1100" s="13"/>
      <c r="EA1100" s="13"/>
    </row>
    <row r="1101" spans="1:131" ht="11.25">
      <c r="A1101" s="1"/>
      <c r="B1101" s="1"/>
      <c r="C1101" s="1"/>
      <c r="D1101" s="2"/>
      <c r="E1101" s="2"/>
      <c r="F1101" s="2"/>
      <c r="G1101" s="2"/>
      <c r="H1101" s="2"/>
      <c r="I1101" s="2"/>
      <c r="J1101" s="2"/>
      <c r="K1101" s="2"/>
      <c r="L1101" s="2"/>
      <c r="M1101" s="2"/>
      <c r="N1101" s="21"/>
      <c r="O1101" s="21"/>
      <c r="P1101" s="21"/>
      <c r="Q1101" s="13"/>
      <c r="R1101" s="275"/>
      <c r="S1101" s="275"/>
      <c r="T1101" s="275"/>
      <c r="U1101" s="275"/>
      <c r="V1101" s="275"/>
      <c r="W1101" s="275"/>
      <c r="X1101" s="275"/>
      <c r="Y1101" s="275"/>
      <c r="Z1101" s="275"/>
      <c r="AA1101" s="13"/>
      <c r="AB1101" s="13"/>
      <c r="AC1101" s="13"/>
      <c r="AD1101" s="13"/>
      <c r="AE1101" s="13"/>
      <c r="AF1101" s="13"/>
      <c r="AG1101" s="13"/>
      <c r="AH1101" s="13"/>
      <c r="AI1101" s="13"/>
      <c r="AJ1101" s="13"/>
      <c r="AK1101" s="13"/>
      <c r="AL1101" s="13"/>
      <c r="AM1101" s="13"/>
      <c r="AN1101" s="13"/>
      <c r="AO1101" s="13"/>
      <c r="AP1101" s="13"/>
      <c r="AQ1101" s="13"/>
      <c r="AR1101" s="13"/>
      <c r="AS1101" s="13"/>
      <c r="AT1101" s="13"/>
      <c r="AU1101" s="13"/>
      <c r="AV1101" s="13"/>
      <c r="AW1101" s="13"/>
      <c r="AX1101" s="13"/>
      <c r="AY1101" s="13"/>
      <c r="AZ1101" s="13"/>
      <c r="BA1101" s="13"/>
      <c r="BB1101" s="13"/>
      <c r="BC1101" s="13"/>
      <c r="BD1101" s="13"/>
      <c r="BE1101" s="13"/>
      <c r="BF1101" s="13"/>
      <c r="BG1101" s="13"/>
      <c r="BH1101" s="13"/>
      <c r="BI1101" s="13"/>
      <c r="BJ1101" s="13"/>
      <c r="BK1101" s="13"/>
      <c r="BL1101" s="13"/>
      <c r="BM1101" s="13"/>
      <c r="BN1101" s="13"/>
      <c r="BO1101" s="13"/>
      <c r="BP1101" s="13"/>
      <c r="BQ1101" s="13"/>
      <c r="BR1101" s="13"/>
      <c r="BS1101" s="13"/>
      <c r="BT1101" s="13"/>
      <c r="BU1101" s="13"/>
      <c r="BV1101" s="13"/>
      <c r="BW1101" s="13"/>
      <c r="BX1101" s="13"/>
      <c r="BY1101" s="13"/>
      <c r="BZ1101" s="13"/>
      <c r="CA1101" s="13"/>
      <c r="CB1101" s="13"/>
      <c r="CC1101" s="13"/>
      <c r="CD1101" s="13"/>
      <c r="CE1101" s="13"/>
      <c r="CF1101" s="13"/>
      <c r="CG1101" s="13"/>
      <c r="CH1101" s="13"/>
      <c r="CI1101" s="13"/>
      <c r="CJ1101" s="13"/>
      <c r="CK1101" s="13"/>
      <c r="CL1101" s="13"/>
      <c r="CM1101" s="13"/>
      <c r="CN1101" s="13"/>
      <c r="CO1101" s="13"/>
      <c r="CP1101" s="13"/>
      <c r="CQ1101" s="13"/>
      <c r="CR1101" s="13"/>
      <c r="CS1101" s="13"/>
      <c r="CT1101" s="13"/>
      <c r="CU1101" s="13"/>
      <c r="CV1101" s="13"/>
      <c r="CW1101" s="13"/>
      <c r="CX1101" s="13"/>
      <c r="CY1101" s="13"/>
      <c r="CZ1101" s="13"/>
      <c r="DA1101" s="13"/>
      <c r="DB1101" s="13"/>
      <c r="DC1101" s="13"/>
      <c r="DD1101" s="13"/>
      <c r="DE1101" s="13"/>
      <c r="DF1101" s="13"/>
      <c r="DG1101" s="13"/>
      <c r="DH1101" s="13"/>
      <c r="DI1101" s="13"/>
      <c r="DJ1101" s="13"/>
      <c r="DK1101" s="13"/>
      <c r="DL1101" s="13"/>
      <c r="DM1101" s="13"/>
      <c r="DN1101" s="13"/>
      <c r="DO1101" s="13"/>
      <c r="DP1101" s="13"/>
      <c r="DQ1101" s="13"/>
      <c r="DR1101" s="13"/>
      <c r="DS1101" s="13"/>
      <c r="DT1101" s="13"/>
      <c r="DU1101" s="13"/>
      <c r="DV1101" s="13"/>
      <c r="DW1101" s="13"/>
      <c r="DX1101" s="13"/>
      <c r="DY1101" s="13"/>
      <c r="DZ1101" s="13"/>
      <c r="EA1101" s="13"/>
    </row>
    <row r="1102" spans="1:131" ht="11.25">
      <c r="A1102" s="1"/>
      <c r="B1102" s="1"/>
      <c r="C1102" s="1"/>
      <c r="D1102" s="2"/>
      <c r="E1102" s="2"/>
      <c r="F1102" s="2"/>
      <c r="G1102" s="2"/>
      <c r="H1102" s="2"/>
      <c r="I1102" s="2"/>
      <c r="J1102" s="2"/>
      <c r="K1102" s="2"/>
      <c r="L1102" s="2"/>
      <c r="M1102" s="2"/>
      <c r="N1102" s="21"/>
      <c r="O1102" s="21"/>
      <c r="P1102" s="21"/>
      <c r="Q1102" s="13"/>
      <c r="R1102" s="275"/>
      <c r="S1102" s="275"/>
      <c r="T1102" s="275"/>
      <c r="U1102" s="275"/>
      <c r="V1102" s="275"/>
      <c r="W1102" s="275"/>
      <c r="X1102" s="275"/>
      <c r="Y1102" s="275"/>
      <c r="Z1102" s="275"/>
      <c r="AA1102" s="13"/>
      <c r="AB1102" s="13"/>
      <c r="AC1102" s="13"/>
      <c r="AD1102" s="13"/>
      <c r="AE1102" s="13"/>
      <c r="AF1102" s="13"/>
      <c r="AG1102" s="13"/>
      <c r="AH1102" s="13"/>
      <c r="AI1102" s="13"/>
      <c r="AJ1102" s="13"/>
      <c r="AK1102" s="13"/>
      <c r="AL1102" s="13"/>
      <c r="AM1102" s="13"/>
      <c r="AN1102" s="13"/>
      <c r="AO1102" s="13"/>
      <c r="AP1102" s="13"/>
      <c r="AQ1102" s="13"/>
      <c r="AR1102" s="13"/>
      <c r="AS1102" s="13"/>
      <c r="AT1102" s="13"/>
      <c r="AU1102" s="13"/>
      <c r="AV1102" s="13"/>
      <c r="AW1102" s="13"/>
      <c r="AX1102" s="13"/>
      <c r="AY1102" s="13"/>
      <c r="AZ1102" s="13"/>
      <c r="BA1102" s="13"/>
      <c r="BB1102" s="13"/>
      <c r="BC1102" s="13"/>
      <c r="BD1102" s="13"/>
      <c r="BE1102" s="13"/>
      <c r="BF1102" s="13"/>
      <c r="BG1102" s="13"/>
      <c r="BH1102" s="13"/>
      <c r="BI1102" s="13"/>
      <c r="BJ1102" s="13"/>
      <c r="BK1102" s="13"/>
      <c r="BL1102" s="13"/>
      <c r="BM1102" s="13"/>
      <c r="BN1102" s="13"/>
      <c r="BO1102" s="13"/>
      <c r="BP1102" s="13"/>
      <c r="BQ1102" s="13"/>
      <c r="BR1102" s="13"/>
      <c r="BS1102" s="13"/>
      <c r="BT1102" s="13"/>
      <c r="BU1102" s="13"/>
      <c r="BV1102" s="13"/>
      <c r="BW1102" s="13"/>
      <c r="BX1102" s="13"/>
      <c r="BY1102" s="13"/>
      <c r="BZ1102" s="13"/>
      <c r="CA1102" s="13"/>
      <c r="CB1102" s="13"/>
      <c r="CC1102" s="13"/>
      <c r="CD1102" s="13"/>
      <c r="CE1102" s="13"/>
      <c r="CF1102" s="13"/>
      <c r="CG1102" s="13"/>
      <c r="CH1102" s="13"/>
      <c r="CI1102" s="13"/>
      <c r="CJ1102" s="13"/>
      <c r="CK1102" s="13"/>
      <c r="CL1102" s="13"/>
      <c r="CM1102" s="13"/>
      <c r="CN1102" s="13"/>
      <c r="CO1102" s="13"/>
      <c r="CP1102" s="13"/>
      <c r="CQ1102" s="13"/>
      <c r="CR1102" s="13"/>
      <c r="CS1102" s="13"/>
      <c r="CT1102" s="13"/>
      <c r="CU1102" s="13"/>
      <c r="CV1102" s="13"/>
      <c r="CW1102" s="13"/>
      <c r="CX1102" s="13"/>
      <c r="CY1102" s="13"/>
      <c r="CZ1102" s="13"/>
      <c r="DA1102" s="13"/>
      <c r="DB1102" s="13"/>
      <c r="DC1102" s="13"/>
      <c r="DD1102" s="13"/>
      <c r="DE1102" s="13"/>
      <c r="DF1102" s="13"/>
      <c r="DG1102" s="13"/>
      <c r="DH1102" s="13"/>
      <c r="DI1102" s="13"/>
      <c r="DJ1102" s="13"/>
      <c r="DK1102" s="13"/>
      <c r="DL1102" s="13"/>
      <c r="DM1102" s="13"/>
      <c r="DN1102" s="13"/>
      <c r="DO1102" s="13"/>
      <c r="DP1102" s="13"/>
      <c r="DQ1102" s="13"/>
      <c r="DR1102" s="13"/>
      <c r="DS1102" s="13"/>
      <c r="DT1102" s="13"/>
      <c r="DU1102" s="13"/>
      <c r="DV1102" s="13"/>
      <c r="DW1102" s="13"/>
      <c r="DX1102" s="13"/>
      <c r="DY1102" s="13"/>
      <c r="DZ1102" s="13"/>
      <c r="EA1102" s="13"/>
    </row>
    <row r="1103" spans="1:131" ht="11.25">
      <c r="A1103" s="1"/>
      <c r="B1103" s="1"/>
      <c r="C1103" s="1"/>
      <c r="D1103" s="2"/>
      <c r="E1103" s="2"/>
      <c r="F1103" s="2"/>
      <c r="G1103" s="2"/>
      <c r="H1103" s="2"/>
      <c r="I1103" s="2"/>
      <c r="J1103" s="2"/>
      <c r="K1103" s="2"/>
      <c r="L1103" s="2"/>
      <c r="M1103" s="2"/>
      <c r="N1103" s="21"/>
      <c r="O1103" s="21"/>
      <c r="P1103" s="21"/>
      <c r="Q1103" s="13"/>
      <c r="R1103" s="275"/>
      <c r="S1103" s="275"/>
      <c r="T1103" s="275"/>
      <c r="U1103" s="275"/>
      <c r="V1103" s="275"/>
      <c r="W1103" s="275"/>
      <c r="X1103" s="275"/>
      <c r="Y1103" s="275"/>
      <c r="Z1103" s="275"/>
      <c r="AA1103" s="13"/>
      <c r="AB1103" s="13"/>
      <c r="AC1103" s="13"/>
      <c r="AD1103" s="13"/>
      <c r="AE1103" s="13"/>
      <c r="AF1103" s="13"/>
      <c r="AG1103" s="13"/>
      <c r="AH1103" s="13"/>
      <c r="AI1103" s="13"/>
      <c r="AJ1103" s="13"/>
      <c r="AK1103" s="13"/>
      <c r="AL1103" s="13"/>
      <c r="AM1103" s="13"/>
      <c r="AN1103" s="13"/>
      <c r="AO1103" s="13"/>
      <c r="AP1103" s="13"/>
      <c r="AQ1103" s="13"/>
      <c r="AR1103" s="13"/>
      <c r="AS1103" s="13"/>
      <c r="AT1103" s="13"/>
      <c r="AU1103" s="13"/>
      <c r="AV1103" s="13"/>
      <c r="AW1103" s="13"/>
      <c r="AX1103" s="13"/>
      <c r="AY1103" s="13"/>
      <c r="AZ1103" s="13"/>
      <c r="BA1103" s="13"/>
      <c r="BB1103" s="13"/>
      <c r="BC1103" s="13"/>
      <c r="BD1103" s="13"/>
      <c r="BE1103" s="13"/>
      <c r="BF1103" s="13"/>
      <c r="BG1103" s="13"/>
      <c r="BH1103" s="13"/>
      <c r="BI1103" s="13"/>
      <c r="BJ1103" s="13"/>
      <c r="BK1103" s="13"/>
      <c r="BL1103" s="13"/>
      <c r="BM1103" s="13"/>
      <c r="BN1103" s="13"/>
      <c r="BO1103" s="13"/>
      <c r="BP1103" s="13"/>
      <c r="BQ1103" s="13"/>
      <c r="BR1103" s="13"/>
      <c r="BS1103" s="13"/>
      <c r="BT1103" s="13"/>
      <c r="BU1103" s="13"/>
      <c r="BV1103" s="13"/>
      <c r="BW1103" s="13"/>
      <c r="BX1103" s="13"/>
      <c r="BY1103" s="13"/>
      <c r="BZ1103" s="13"/>
      <c r="CA1103" s="13"/>
      <c r="CB1103" s="13"/>
      <c r="CC1103" s="13"/>
      <c r="CD1103" s="13"/>
      <c r="CE1103" s="13"/>
      <c r="CF1103" s="13"/>
      <c r="CG1103" s="13"/>
      <c r="CH1103" s="13"/>
      <c r="CI1103" s="13"/>
      <c r="CJ1103" s="13"/>
      <c r="CK1103" s="13"/>
      <c r="CL1103" s="13"/>
      <c r="CM1103" s="13"/>
      <c r="CN1103" s="13"/>
      <c r="CO1103" s="13"/>
      <c r="CP1103" s="13"/>
      <c r="CQ1103" s="13"/>
      <c r="CR1103" s="13"/>
      <c r="CS1103" s="13"/>
      <c r="CT1103" s="13"/>
      <c r="CU1103" s="13"/>
      <c r="CV1103" s="13"/>
      <c r="CW1103" s="13"/>
      <c r="CX1103" s="13"/>
      <c r="CY1103" s="13"/>
      <c r="CZ1103" s="13"/>
      <c r="DA1103" s="13"/>
      <c r="DB1103" s="13"/>
      <c r="DC1103" s="13"/>
      <c r="DD1103" s="13"/>
      <c r="DE1103" s="13"/>
      <c r="DF1103" s="13"/>
      <c r="DG1103" s="13"/>
      <c r="DH1103" s="13"/>
      <c r="DI1103" s="13"/>
      <c r="DJ1103" s="13"/>
      <c r="DK1103" s="13"/>
      <c r="DL1103" s="13"/>
      <c r="DM1103" s="13"/>
      <c r="DN1103" s="13"/>
      <c r="DO1103" s="13"/>
      <c r="DP1103" s="13"/>
      <c r="DQ1103" s="13"/>
      <c r="DR1103" s="13"/>
      <c r="DS1103" s="13"/>
      <c r="DT1103" s="13"/>
      <c r="DU1103" s="13"/>
      <c r="DV1103" s="13"/>
      <c r="DW1103" s="13"/>
      <c r="DX1103" s="13"/>
      <c r="DY1103" s="13"/>
      <c r="DZ1103" s="13"/>
      <c r="EA1103" s="13"/>
    </row>
  </sheetData>
  <sheetProtection/>
  <mergeCells count="22">
    <mergeCell ref="D3:G10"/>
    <mergeCell ref="F14:G14"/>
    <mergeCell ref="J2:L2"/>
    <mergeCell ref="A13:P13"/>
    <mergeCell ref="J16:J17"/>
    <mergeCell ref="G15:J15"/>
    <mergeCell ref="A15:A17"/>
    <mergeCell ref="B15:B17"/>
    <mergeCell ref="C15:C17"/>
    <mergeCell ref="N10:S10"/>
    <mergeCell ref="O1002:P1002"/>
    <mergeCell ref="N15:P15"/>
    <mergeCell ref="N16:O16"/>
    <mergeCell ref="P16:P17"/>
    <mergeCell ref="K16:M16"/>
    <mergeCell ref="N2:P2"/>
    <mergeCell ref="A1005:B1005"/>
    <mergeCell ref="F16:F17"/>
    <mergeCell ref="D15:F15"/>
    <mergeCell ref="G16:I16"/>
    <mergeCell ref="A1002:D1002"/>
    <mergeCell ref="D16:E16"/>
  </mergeCells>
  <printOptions horizontalCentered="1" verticalCentered="1"/>
  <pageMargins left="0" right="0" top="0.35433070866141736" bottom="0" header="0" footer="0"/>
  <pageSetup fitToHeight="1" fitToWidth="1" horizontalDpi="600" verticalDpi="600" orientation="landscape" paperSize="9" scale="71" r:id="rId1"/>
  <rowBreaks count="2" manualBreakCount="2">
    <brk id="907" max="16" man="1"/>
    <brk id="1005"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Іванченко Яна Юріївна</cp:lastModifiedBy>
  <cp:lastPrinted>2023-10-11T11:46:02Z</cp:lastPrinted>
  <dcterms:created xsi:type="dcterms:W3CDTF">2014-04-22T08:24:49Z</dcterms:created>
  <dcterms:modified xsi:type="dcterms:W3CDTF">2023-10-11T11:54:21Z</dcterms:modified>
  <cp:category/>
  <cp:version/>
  <cp:contentType/>
  <cp:contentStatus/>
</cp:coreProperties>
</file>