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Розрахунок!$A$1:$M$449</definedName>
    <definedName name="_xlnm.Print_Area" localSheetId="0">Титулка!$A$1:$E$34</definedName>
  </definedNames>
  <calcPr calcId="125725"/>
</workbook>
</file>

<file path=xl/calcChain.xml><?xml version="1.0" encoding="utf-8"?>
<calcChain xmlns="http://schemas.openxmlformats.org/spreadsheetml/2006/main">
  <c r="B10" i="2"/>
  <c r="M139" i="1"/>
  <c r="I139" s="1"/>
  <c r="M138"/>
  <c r="M137"/>
  <c r="I137" s="1"/>
  <c r="I140" s="1"/>
  <c r="I141" s="1"/>
  <c r="M136"/>
  <c r="D15" i="2"/>
  <c r="I138" i="1"/>
  <c r="I136"/>
  <c r="I393"/>
  <c r="I408"/>
  <c r="I409"/>
  <c r="I342"/>
  <c r="I341"/>
  <c r="I16"/>
  <c r="I9"/>
  <c r="I405" s="1"/>
  <c r="I410"/>
  <c r="I415"/>
  <c r="I416"/>
  <c r="I417" s="1"/>
  <c r="I394"/>
  <c r="I182"/>
  <c r="I183"/>
  <c r="I184" s="1"/>
  <c r="I172"/>
  <c r="B33" i="2"/>
  <c r="K101" i="1"/>
  <c r="K100"/>
  <c r="I102"/>
  <c r="I101"/>
  <c r="K26"/>
  <c r="I362"/>
  <c r="I77"/>
  <c r="C24" i="2"/>
  <c r="H24" s="1"/>
  <c r="I263" i="1"/>
  <c r="I264"/>
  <c r="I448"/>
  <c r="I450"/>
  <c r="I348"/>
  <c r="I343"/>
  <c r="I317"/>
  <c r="I306"/>
  <c r="I268"/>
  <c r="I243"/>
  <c r="I240"/>
  <c r="I244"/>
  <c r="I253" s="1"/>
  <c r="I220"/>
  <c r="I219"/>
  <c r="I218"/>
  <c r="I217"/>
  <c r="I216"/>
  <c r="I195"/>
  <c r="I194"/>
  <c r="I196"/>
  <c r="I156"/>
  <c r="I157" s="1"/>
  <c r="I118"/>
  <c r="I112"/>
  <c r="I93"/>
  <c r="I270"/>
  <c r="I327"/>
  <c r="I331" s="1"/>
  <c r="D14" i="2"/>
  <c r="I94" i="1"/>
  <c r="I95"/>
  <c r="I273"/>
  <c r="I242"/>
  <c r="I429"/>
  <c r="I430"/>
  <c r="J40"/>
  <c r="J34"/>
  <c r="I375"/>
  <c r="I377"/>
  <c r="I378" s="1"/>
  <c r="I373"/>
  <c r="I374" s="1"/>
  <c r="I369"/>
  <c r="I370" s="1"/>
  <c r="I365"/>
  <c r="I366" s="1"/>
  <c r="I367"/>
  <c r="I368" s="1"/>
  <c r="I363"/>
  <c r="B9" i="2"/>
  <c r="J26" i="1"/>
  <c r="I349"/>
  <c r="I347"/>
  <c r="I351" s="1"/>
  <c r="I354" s="1"/>
  <c r="I346"/>
  <c r="I345"/>
  <c r="I352" s="1"/>
  <c r="I355" s="1"/>
  <c r="I307"/>
  <c r="I308"/>
  <c r="I274"/>
  <c r="I272"/>
  <c r="I278" s="1"/>
  <c r="I281" s="1"/>
  <c r="I271"/>
  <c r="I265"/>
  <c r="I276" s="1"/>
  <c r="I225"/>
  <c r="I226"/>
  <c r="I241"/>
  <c r="I223"/>
  <c r="I224" s="1"/>
  <c r="I227" s="1"/>
  <c r="I201"/>
  <c r="I202" s="1"/>
  <c r="I199"/>
  <c r="I200" s="1"/>
  <c r="I173"/>
  <c r="I174" s="1"/>
  <c r="I123"/>
  <c r="I119"/>
  <c r="I120"/>
  <c r="I318"/>
  <c r="I319"/>
  <c r="I320" s="1"/>
  <c r="I322" s="1"/>
  <c r="I275"/>
  <c r="I248"/>
  <c r="I249" s="1"/>
  <c r="I192"/>
  <c r="I197" s="1"/>
  <c r="I113"/>
  <c r="I114"/>
  <c r="I115" s="1"/>
  <c r="I76"/>
  <c r="I75"/>
  <c r="I74"/>
  <c r="I439"/>
  <c r="I441"/>
  <c r="I442" s="1"/>
  <c r="I443" s="1"/>
  <c r="I371"/>
  <c r="I372"/>
  <c r="I379"/>
  <c r="I380"/>
  <c r="I376"/>
  <c r="I267"/>
  <c r="I193"/>
  <c r="I364"/>
  <c r="I277"/>
  <c r="I280"/>
  <c r="I431"/>
  <c r="I432"/>
  <c r="I221"/>
  <c r="I222"/>
  <c r="I361"/>
  <c r="I344"/>
  <c r="I350" s="1"/>
  <c r="I359"/>
  <c r="I360" s="1"/>
  <c r="I230"/>
  <c r="C11" i="2"/>
  <c r="I295" i="1"/>
  <c r="I296" s="1"/>
  <c r="I298" s="1"/>
  <c r="I328"/>
  <c r="I329" s="1"/>
  <c r="I330"/>
  <c r="I246"/>
  <c r="I247" s="1"/>
  <c r="I321"/>
  <c r="I309"/>
  <c r="I311" s="1"/>
  <c r="I310"/>
  <c r="I245"/>
  <c r="I451"/>
  <c r="I452" s="1"/>
  <c r="I453"/>
  <c r="I454" s="1"/>
  <c r="K453" s="1"/>
  <c r="J454" s="1"/>
  <c r="I455" s="1"/>
  <c r="I411"/>
  <c r="I412"/>
  <c r="I96"/>
  <c r="I97" s="1"/>
  <c r="I100"/>
  <c r="I433"/>
  <c r="I434"/>
  <c r="I436" s="1"/>
  <c r="I395"/>
  <c r="I396" s="1"/>
  <c r="I435"/>
  <c r="C26" i="2"/>
  <c r="H26" s="1"/>
  <c r="I418" i="1"/>
  <c r="I414"/>
  <c r="I419" s="1"/>
  <c r="I413"/>
  <c r="I78"/>
  <c r="I79" s="1"/>
  <c r="I420" l="1"/>
  <c r="I421" s="1"/>
  <c r="C28" i="2"/>
  <c r="H28" s="1"/>
  <c r="I312" i="1"/>
  <c r="I313" s="1"/>
  <c r="K313" s="1"/>
  <c r="J313" s="1"/>
  <c r="I314" s="1"/>
  <c r="C20" i="2" s="1"/>
  <c r="H20" s="1"/>
  <c r="I116" i="1"/>
  <c r="I125"/>
  <c r="I206"/>
  <c r="I198"/>
  <c r="I203" s="1"/>
  <c r="I175"/>
  <c r="I176"/>
  <c r="I158"/>
  <c r="I160"/>
  <c r="I185"/>
  <c r="I186" s="1"/>
  <c r="I80"/>
  <c r="I83"/>
  <c r="I398"/>
  <c r="I397"/>
  <c r="I98"/>
  <c r="I99"/>
  <c r="I103" s="1"/>
  <c r="I382"/>
  <c r="I353"/>
  <c r="I356" s="1"/>
  <c r="I444"/>
  <c r="I445"/>
  <c r="K444" s="1"/>
  <c r="J445" s="1"/>
  <c r="I446" s="1"/>
  <c r="C27" i="2" s="1"/>
  <c r="H27" s="1"/>
  <c r="I323" i="1"/>
  <c r="I324"/>
  <c r="K324" s="1"/>
  <c r="J324" s="1"/>
  <c r="I325" s="1"/>
  <c r="C21" i="2" s="1"/>
  <c r="H21" s="1"/>
  <c r="I229" i="1"/>
  <c r="I228"/>
  <c r="I231" s="1"/>
  <c r="I279"/>
  <c r="I282" s="1"/>
  <c r="I285"/>
  <c r="I144"/>
  <c r="I142"/>
  <c r="I250"/>
  <c r="I297"/>
  <c r="I299" s="1"/>
  <c r="I332"/>
  <c r="I204" l="1"/>
  <c r="I205"/>
  <c r="I207" s="1"/>
  <c r="I422"/>
  <c r="I423" s="1"/>
  <c r="I232"/>
  <c r="I234" s="1"/>
  <c r="I105"/>
  <c r="I104"/>
  <c r="I187"/>
  <c r="I188" s="1"/>
  <c r="K188" s="1"/>
  <c r="J188" s="1"/>
  <c r="I189" s="1"/>
  <c r="C18" i="2" s="1"/>
  <c r="H18" s="1"/>
  <c r="I334" i="1"/>
  <c r="I333"/>
  <c r="I301"/>
  <c r="I302" s="1"/>
  <c r="I300"/>
  <c r="I145"/>
  <c r="I143"/>
  <c r="I146" s="1"/>
  <c r="I161"/>
  <c r="I162"/>
  <c r="I159"/>
  <c r="I124"/>
  <c r="I117"/>
  <c r="I126"/>
  <c r="I251"/>
  <c r="I252"/>
  <c r="I254"/>
  <c r="I284"/>
  <c r="I286"/>
  <c r="I283"/>
  <c r="I358"/>
  <c r="I357"/>
  <c r="I381" s="1"/>
  <c r="I399"/>
  <c r="I400" s="1"/>
  <c r="I82"/>
  <c r="I84"/>
  <c r="I81"/>
  <c r="I177"/>
  <c r="I178" s="1"/>
  <c r="K178" s="1"/>
  <c r="J178" s="1"/>
  <c r="I179" s="1"/>
  <c r="C17" i="2" s="1"/>
  <c r="H17" s="1"/>
  <c r="I147" i="1" l="1"/>
  <c r="I148" s="1"/>
  <c r="I424"/>
  <c r="I425" s="1"/>
  <c r="K424" s="1"/>
  <c r="J425" s="1"/>
  <c r="I426" s="1"/>
  <c r="K401"/>
  <c r="J402" s="1"/>
  <c r="K399"/>
  <c r="J400" s="1"/>
  <c r="I401" s="1"/>
  <c r="I208"/>
  <c r="I210" s="1"/>
  <c r="I209"/>
  <c r="I211" s="1"/>
  <c r="I233"/>
  <c r="I235" s="1"/>
  <c r="I85"/>
  <c r="I86"/>
  <c r="I287"/>
  <c r="I289" s="1"/>
  <c r="I288"/>
  <c r="I290" s="1"/>
  <c r="I255"/>
  <c r="I257" s="1"/>
  <c r="I256"/>
  <c r="I258" s="1"/>
  <c r="I127"/>
  <c r="I128" s="1"/>
  <c r="I163"/>
  <c r="I164"/>
  <c r="I335"/>
  <c r="I336"/>
  <c r="I106"/>
  <c r="I107" s="1"/>
  <c r="I383"/>
  <c r="I129" l="1"/>
  <c r="I130" s="1"/>
  <c r="I108"/>
  <c r="I109"/>
  <c r="I110" s="1"/>
  <c r="I149"/>
  <c r="I150" s="1"/>
  <c r="C25" i="2"/>
  <c r="H25" s="1"/>
  <c r="I338" i="1"/>
  <c r="K338" s="1"/>
  <c r="J338" s="1"/>
  <c r="I339" s="1"/>
  <c r="C22" i="2" s="1"/>
  <c r="H22" s="1"/>
  <c r="I337" i="1"/>
  <c r="I165"/>
  <c r="I166" s="1"/>
  <c r="I260"/>
  <c r="I261" s="1"/>
  <c r="I259"/>
  <c r="I292"/>
  <c r="I293" s="1"/>
  <c r="I291"/>
  <c r="I87"/>
  <c r="I88" s="1"/>
  <c r="I237"/>
  <c r="I238" s="1"/>
  <c r="I236"/>
  <c r="I384"/>
  <c r="I385" s="1"/>
  <c r="I212"/>
  <c r="I213" s="1"/>
  <c r="I214" s="1"/>
  <c r="J302" s="1"/>
  <c r="I303" s="1"/>
  <c r="C19" i="2" s="1"/>
  <c r="H19" s="1"/>
  <c r="I89" i="1" l="1"/>
  <c r="I90" s="1"/>
  <c r="I91" s="1"/>
  <c r="J133" s="1"/>
  <c r="I134" s="1"/>
  <c r="I132"/>
  <c r="I133" s="1"/>
  <c r="I131"/>
  <c r="I386"/>
  <c r="I387" s="1"/>
  <c r="I167"/>
  <c r="I168" s="1"/>
  <c r="K168" s="1"/>
  <c r="J168" s="1"/>
  <c r="I169" s="1"/>
  <c r="C16" i="2" s="1"/>
  <c r="H16" s="1"/>
  <c r="I152" i="1"/>
  <c r="K153" s="1"/>
  <c r="J153" s="1"/>
  <c r="I153" s="1"/>
  <c r="C15" i="2" s="1"/>
  <c r="H15" s="1"/>
  <c r="I151" i="1"/>
  <c r="C14" i="2" l="1"/>
  <c r="I389" i="1"/>
  <c r="K390" s="1"/>
  <c r="J390" s="1"/>
  <c r="I390" s="1"/>
  <c r="I403" s="1"/>
  <c r="I388"/>
  <c r="C23" i="2" l="1"/>
  <c r="H23" s="1"/>
  <c r="J405" i="1"/>
  <c r="H14" i="2"/>
  <c r="H29" s="1"/>
  <c r="I456" i="1"/>
  <c r="C29" i="2" l="1"/>
</calcChain>
</file>

<file path=xl/sharedStrings.xml><?xml version="1.0" encoding="utf-8"?>
<sst xmlns="http://schemas.openxmlformats.org/spreadsheetml/2006/main" count="978" uniqueCount="398">
  <si>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</si>
  <si>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</si>
  <si>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</si>
  <si>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</si>
  <si>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</si>
  <si>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</si>
  <si>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</si>
  <si>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</si>
  <si>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</si>
  <si>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</si>
  <si>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</si>
  <si>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</si>
  <si>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</si>
  <si>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</si>
  <si>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</si>
  <si>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</si>
  <si>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</si>
  <si>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</si>
  <si>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</si>
  <si>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</si>
  <si>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</si>
  <si>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</si>
  <si>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</si>
  <si>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</si>
  <si>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</si>
  <si>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</si>
  <si>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</si>
  <si>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</si>
  <si>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</si>
  <si>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</si>
  <si>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</si>
  <si>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</si>
  <si>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</si>
  <si>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</si>
  <si>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</si>
  <si>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</si>
  <si>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</si>
  <si>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</si>
  <si>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</si>
  <si>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</si>
  <si>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</si>
  <si>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</si>
  <si>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</si>
  <si>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</si>
  <si>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</si>
  <si>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</si>
  <si>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</si>
  <si>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</si>
  <si>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</si>
  <si>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</si>
  <si>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</si>
  <si>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</si>
  <si>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</si>
  <si>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</si>
  <si>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</si>
  <si>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</si>
  <si>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</si>
  <si>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</si>
  <si>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</si>
  <si>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</si>
  <si>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</si>
  <si>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</si>
  <si>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</si>
  <si>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</si>
  <si>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</si>
  <si>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</si>
  <si>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</si>
  <si>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</si>
  <si>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</si>
  <si>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</si>
  <si>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</si>
  <si>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</si>
  <si>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</si>
  <si>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</si>
  <si>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</si>
  <si>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</si>
  <si>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</si>
  <si>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</si>
  <si>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</si>
  <si>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</si>
  <si>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</si>
  <si>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</si>
  <si>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</si>
  <si>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</si>
  <si>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</si>
  <si>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</si>
  <si>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</si>
  <si>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</si>
  <si>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</si>
  <si>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</si>
  <si>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</si>
  <si>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</si>
  <si>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</si>
  <si>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</si>
  <si>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</si>
  <si>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</si>
  <si>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</si>
  <si>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</si>
  <si>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</si>
  <si>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</si>
  <si>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</si>
  <si>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</si>
  <si>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</si>
  <si>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</si>
  <si>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</si>
  <si>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</si>
  <si>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</si>
  <si>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</si>
  <si>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</si>
  <si>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</si>
  <si>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</si>
  <si>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</si>
  <si>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</si>
  <si>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</si>
  <si>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</si>
  <si>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</si>
  <si>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</si>
  <si>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</si>
  <si>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</si>
  <si>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</si>
  <si>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</si>
  <si>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</si>
  <si>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</si>
  <si>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</si>
  <si>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</si>
  <si>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</si>
  <si>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</si>
  <si>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</si>
  <si>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</si>
  <si>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</si>
  <si>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</si>
  <si>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</si>
  <si>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</si>
  <si>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</si>
  <si>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</si>
  <si>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</si>
  <si>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</si>
  <si>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</si>
  <si>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</si>
  <si>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Вартість на ТО ліфтів по будинку</t>
  </si>
  <si>
    <t>разом на 1 м2 загальної площі (без урахування 1-х поверхів)</t>
  </si>
  <si>
    <t>Вартість обслуговуванн системи диспетчеризації по будинку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</si>
  <si>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</si>
  <si>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</si>
  <si>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</si>
  <si>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</si>
  <si>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</si>
  <si>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</si>
  <si>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</si>
  <si>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</si>
  <si>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</si>
  <si>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</si>
  <si>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</si>
  <si>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</si>
  <si>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</si>
  <si>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</si>
  <si>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</si>
  <si>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</si>
  <si>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</si>
  <si>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</si>
  <si>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</si>
  <si>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</si>
  <si>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</si>
  <si>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</si>
  <si>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</si>
  <si>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</si>
  <si>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</si>
  <si>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</si>
  <si>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</si>
  <si>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</si>
  <si>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</si>
  <si>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</si>
  <si>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</si>
  <si>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</si>
  <si>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</si>
  <si>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</si>
  <si>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</si>
  <si>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</si>
  <si>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</si>
  <si>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</si>
  <si>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</si>
  <si>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</si>
  <si>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</si>
  <si>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</si>
  <si>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ВСЬОГО витрат на будинок, грн.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</si>
  <si>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</si>
  <si>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</si>
  <si>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</si>
  <si>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</si>
  <si>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</si>
  <si>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</si>
  <si>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</si>
  <si>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</si>
  <si>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</si>
  <si>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</si>
  <si>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</si>
  <si>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</si>
  <si>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</si>
  <si>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</si>
  <si>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</si>
  <si>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</si>
  <si>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</si>
  <si>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</si>
  <si>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</si>
  <si>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</si>
  <si>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</si>
  <si>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</si>
  <si>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</si>
  <si>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</si>
  <si>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</si>
  <si>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</si>
  <si>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</si>
  <si>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</si>
  <si>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</si>
  <si>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</si>
  <si>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</si>
  <si>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</si>
  <si>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</si>
  <si>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</si>
  <si>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</si>
  <si>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</si>
  <si>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</si>
  <si>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</si>
  <si>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</si>
  <si>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</si>
  <si>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</si>
  <si>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</si>
  <si>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</si>
  <si>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</si>
  <si>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</si>
  <si>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</si>
  <si>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</si>
  <si>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</si>
  <si>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</si>
  <si>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Кількість номерних знаків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</si>
  <si>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</si>
  <si>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</si>
  <si>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</si>
  <si>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</si>
  <si>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</si>
  <si>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</si>
  <si>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</si>
  <si>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</si>
  <si>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</si>
  <si>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</si>
  <si>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</si>
  <si>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</si>
  <si>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</si>
  <si>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</si>
  <si>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</si>
  <si>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</si>
  <si>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</si>
  <si>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</si>
  <si>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</si>
  <si>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</si>
  <si>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</si>
  <si>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</si>
  <si>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</si>
  <si>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</si>
  <si>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</si>
  <si>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</si>
  <si>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</si>
  <si>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</si>
  <si>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</si>
  <si>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</si>
  <si>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</si>
  <si>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</si>
  <si>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</si>
  <si>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</si>
  <si>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</si>
  <si>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</si>
  <si>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</si>
  <si>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</si>
  <si>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</si>
  <si>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</si>
  <si>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</si>
  <si>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</si>
  <si>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</si>
  <si>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</si>
  <si>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</si>
  <si>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</si>
  <si>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</si>
  <si>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</si>
  <si>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</si>
  <si>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</si>
  <si>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</si>
  <si>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</si>
  <si>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</si>
  <si>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</si>
  <si>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</si>
  <si>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</si>
  <si>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</si>
  <si>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</si>
  <si>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</si>
  <si>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</si>
  <si>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</si>
  <si>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</si>
  <si>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</si>
  <si>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</si>
  <si>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</si>
  <si>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</si>
  <si>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</si>
  <si>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</si>
  <si>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</si>
  <si>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</si>
  <si>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</si>
  <si>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</si>
  <si>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</si>
  <si>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</si>
  <si>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</si>
  <si>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</si>
  <si>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</si>
  <si>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</si>
  <si>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</si>
  <si>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</si>
  <si>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</si>
  <si>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</si>
  <si>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</si>
  <si>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</si>
  <si>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</si>
  <si>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</si>
  <si>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t>Загальновиробничі витрати 58% (додаток 3)</t>
  </si>
  <si>
    <r>
      <t>Адміністративні витрати 27%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</si>
  <si>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</si>
  <si>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</si>
  <si>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</si>
  <si>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</si>
  <si>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</si>
  <si>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</si>
  <si>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</si>
  <si>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</si>
  <si>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</si>
  <si>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</si>
  <si>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</si>
  <si>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</si>
  <si>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</si>
  <si>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</si>
  <si>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</si>
  <si>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t>9.2</t>
  </si>
  <si>
    <t>Технічне обслуговування електроплит</t>
  </si>
  <si>
    <t>Вартість  ТО  1 елктроплити згідно калькуляції підрядника</t>
  </si>
  <si>
    <t>Вартість  ТО всіх електроплит по будинку з урахуванням періодичності надання полсуги (2 рази на рік)</t>
  </si>
  <si>
    <r>
      <rPr>
        <b/>
        <sz val="12"/>
        <color indexed="8"/>
        <rFont val="Times New Roman"/>
        <family val="1"/>
        <charset val="204"/>
      </rPr>
      <t>Всього  витрат</t>
    </r>
    <r>
      <rPr>
        <sz val="12"/>
        <color indexed="8"/>
        <rFont val="Times New Roman"/>
        <family val="1"/>
        <charset val="204"/>
      </rPr>
      <t xml:space="preserve"> на місяць ( прямі та загальновиробничі витрати)</t>
    </r>
  </si>
  <si>
    <t>Кількість електроплит будинку</t>
  </si>
  <si>
    <t>Загальна кількість люд./год. в  рік при періодичності прибирання  3 рази на тиждень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</si>
  <si>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</si>
  <si>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</si>
  <si>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</si>
  <si>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</si>
  <si>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</si>
  <si>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</si>
  <si>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</si>
  <si>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t>Загальновиробничі витрати 34% (додаток 3)</t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</si>
  <si>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</si>
  <si>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</si>
  <si>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</si>
  <si>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Адміністративні витрати 20,0% (до прямих витрат) </t>
    </r>
    <r>
      <rPr>
        <sz val="12"/>
        <color indexed="10"/>
        <rFont val="Times New Roman"/>
        <family val="1"/>
        <charset val="204"/>
      </rPr>
      <t>(додаток 4)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</si>
  <si>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</si>
  <si>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>Загальна площа квартир які виходять  на сходові клітини ( без урахування квартир 0-го поверху)</t>
  </si>
  <si>
    <t>Площа сходових кліток і маршів перших трьох поверхів</t>
  </si>
  <si>
    <t>Площа сходових кліток і маршів вище третього поверху</t>
  </si>
  <si>
    <t>2.Прибирання сходових кліток</t>
  </si>
  <si>
    <t>3.Прибирання підвалу,технічних поверхів та покрівлі</t>
  </si>
  <si>
    <t>4. Технічне обслуговування ліфтів</t>
  </si>
  <si>
    <t>5. Обслуговування систем диспетчеризації</t>
  </si>
  <si>
    <t>6. Технічне обслуговування внутрішньобудинкових систем</t>
  </si>
  <si>
    <t>6.1</t>
  </si>
  <si>
    <t>6.2</t>
  </si>
  <si>
    <t>6.3</t>
  </si>
  <si>
    <t>6.4</t>
  </si>
  <si>
    <t>7.  Дератизація</t>
  </si>
  <si>
    <t>8. Дезінсекція</t>
  </si>
  <si>
    <t>9.Обслуговування димових та вентиляційних каналів</t>
  </si>
  <si>
    <t>10.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</si>
  <si>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11.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</si>
  <si>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12.Прибирання і вивезеня снігу, посипання частини прибудинкової території, призначеної для проходу та проїзду протиожеледними сумішами</t>
  </si>
  <si>
    <t>13. Експлуатація номерних знаків</t>
  </si>
  <si>
    <t>14. Освітлення місць загального користування і підвальних приміщень та підкачування води</t>
  </si>
  <si>
    <t>15. Енергопостачання ліфтів</t>
  </si>
  <si>
    <t>1-67-1</t>
  </si>
  <si>
    <t>2 рази на тиждень</t>
  </si>
  <si>
    <t>1,68-1</t>
  </si>
  <si>
    <t>1-71-1</t>
  </si>
  <si>
    <t>1-72-1</t>
  </si>
  <si>
    <t>Загальна кількість люд./год. в  рік при періодичності прибирання  2 рази на тиждень</t>
  </si>
  <si>
    <t>Потреба робітників з комплексного обсуговування (Всього люд.год), чол.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</si>
  <si>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</si>
  <si>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</si>
  <si>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підмітання попередньо зволожених сходових кліток та маршів перших трьох поверхів</t>
    </r>
    <r>
      <rPr>
        <b/>
        <i/>
        <sz val="12"/>
        <rFont val="Times New Roman"/>
        <family val="1"/>
        <charset val="204"/>
      </rPr>
      <t>.Витрати праці робітника з комплексного прибираннята утримання будинків з прилеглими територоріями 0,74 на 100 м</t>
    </r>
    <r>
      <rPr>
        <b/>
        <i/>
        <vertAlign val="superscript"/>
        <sz val="12"/>
        <rFont val="Times New Roman"/>
        <family val="1"/>
        <charset val="204"/>
      </rPr>
      <t xml:space="preserve">2 </t>
    </r>
    <r>
      <rPr>
        <b/>
        <i/>
        <sz val="12"/>
        <rFont val="Times New Roman"/>
        <family val="1"/>
        <charset val="204"/>
      </rPr>
      <t>,(S прибирання перших трьох поверхів *періодичність прибирання на м-ць*норма часу по типовим нормам на одиницю виміру /100 м2 )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</si>
  <si>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миття сходових кліток і маршів перших трьох поверхів </t>
    </r>
    <r>
      <rPr>
        <b/>
        <i/>
        <sz val="12"/>
        <rFont val="Times New Roman"/>
        <family val="1"/>
        <charset val="204"/>
      </rPr>
      <t>.Витрати праці робітника з комплексного прибираннята утримання будинків з прилеглими територоріями 2,21 на 100 м</t>
    </r>
    <r>
      <rPr>
        <b/>
        <i/>
        <vertAlign val="superscript"/>
        <sz val="12"/>
        <rFont val="Times New Roman"/>
        <family val="1"/>
        <charset val="204"/>
      </rPr>
      <t xml:space="preserve">2 </t>
    </r>
    <r>
      <rPr>
        <b/>
        <i/>
        <sz val="12"/>
        <rFont val="Times New Roman"/>
        <family val="1"/>
        <charset val="204"/>
      </rPr>
      <t>(S прибирання з 1по 3 поверх* періодичність прибирання на м-ць*норма часу по типовим нормам на одиницю виміру /100 м2 )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</si>
  <si>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миття сходових кліток і маршів перших трьох поверхів</t>
    </r>
    <r>
      <rPr>
        <b/>
        <i/>
        <sz val="12"/>
        <rFont val="Times New Roman"/>
        <family val="1"/>
        <charset val="204"/>
      </rPr>
      <t xml:space="preserve"> .Витрати праці робітника з комплексного прибираннята утримання будинків з прилеглими територоріями 2,1 на 100 м</t>
    </r>
    <r>
      <rPr>
        <b/>
        <i/>
        <vertAlign val="superscript"/>
        <sz val="12"/>
        <rFont val="Times New Roman"/>
        <family val="1"/>
        <charset val="204"/>
      </rPr>
      <t>2</t>
    </r>
    <r>
      <rPr>
        <b/>
        <i/>
        <sz val="12"/>
        <rFont val="Times New Roman"/>
        <family val="1"/>
        <charset val="204"/>
      </rPr>
      <t>(S прибирання вище третього поверху* періодичність прибирання на м-ць*норма часу по типовим нормам на одиницю виміру /100 м2 )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</si>
  <si>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підмітання попередньо зволожених сходових кліток та маршів вище  третьго поверху</t>
    </r>
    <r>
      <rPr>
        <b/>
        <i/>
        <sz val="12"/>
        <rFont val="Times New Roman"/>
        <family val="1"/>
        <charset val="204"/>
      </rPr>
      <t>.Витрати праці робітника з комплексного прибираннята утримання будинків з прилеглими територоріями 0,55 на 100 м</t>
    </r>
    <r>
      <rPr>
        <b/>
        <i/>
        <vertAlign val="superscript"/>
        <sz val="12"/>
        <rFont val="Times New Roman"/>
        <family val="1"/>
        <charset val="204"/>
      </rPr>
      <t xml:space="preserve">2 </t>
    </r>
    <r>
      <rPr>
        <b/>
        <i/>
        <sz val="12"/>
        <rFont val="Times New Roman"/>
        <family val="1"/>
        <charset val="204"/>
      </rPr>
      <t>(S прибирання вище третього поверху *періодичність прибирання на м-ць*норма часу по типовим нормам на одиницю виміру /100 м2 )</t>
    </r>
  </si>
  <si>
    <t>Прибирання сходових кліток</t>
  </si>
  <si>
    <t>3 дні на тиждень</t>
  </si>
  <si>
    <t>2 раз на тиждень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</si>
  <si>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Інтернаціоналістів, 41</t>
    </r>
  </si>
  <si>
    <r>
      <t>категорія будинку: 16</t>
    </r>
    <r>
      <rPr>
        <b/>
        <i/>
        <sz val="12"/>
        <rFont val="Times New Roman"/>
        <family val="1"/>
        <charset val="204"/>
      </rPr>
      <t>-поверховий</t>
    </r>
  </si>
  <si>
    <t xml:space="preserve">              Додаток  № 13                                        до рішення виконавчого комітету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</si>
</sst>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vertAlign val="superscript"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52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2" fontId="21" fillId="0" borderId="10" xfId="0" applyNumberFormat="1" applyFont="1" applyBorder="1" applyAlignment="1">
      <alignment horizontal="center" vertical="center"/>
    </xf>
    <xf numFmtId="0" fontId="24" fillId="0" borderId="0" xfId="0" applyFont="1" applyBorder="1"/>
    <xf numFmtId="0" fontId="24" fillId="0" borderId="10" xfId="0" applyFont="1" applyBorder="1" applyAlignment="1">
      <alignment horizontal="center"/>
    </xf>
    <xf numFmtId="9" fontId="24" fillId="0" borderId="0" xfId="0" applyNumberFormat="1" applyFont="1" applyBorder="1"/>
    <xf numFmtId="9" fontId="21" fillId="0" borderId="10" xfId="0" applyNumberFormat="1" applyFont="1" applyBorder="1"/>
    <xf numFmtId="165" fontId="24" fillId="30" borderId="0" xfId="0" applyNumberFormat="1" applyFont="1" applyFill="1" applyBorder="1"/>
    <xf numFmtId="2" fontId="36" fillId="27" borderId="10" xfId="36" applyNumberFormat="1" applyFont="1" applyFill="1" applyBorder="1" applyAlignment="1">
      <alignment horizontal="center" vertical="center" wrapText="1"/>
    </xf>
    <xf numFmtId="2" fontId="36" fillId="0" borderId="10" xfId="36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distributed" wrapText="1"/>
    </xf>
    <xf numFmtId="0" fontId="22" fillId="28" borderId="12" xfId="0" applyFont="1" applyFill="1" applyBorder="1" applyAlignment="1">
      <alignment horizontal="left"/>
    </xf>
    <xf numFmtId="164" fontId="22" fillId="0" borderId="10" xfId="36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28" borderId="12" xfId="0" applyFont="1" applyFill="1" applyBorder="1" applyAlignment="1">
      <alignment horizontal="center"/>
    </xf>
    <xf numFmtId="165" fontId="19" fillId="28" borderId="11" xfId="0" applyNumberFormat="1" applyFont="1" applyFill="1" applyBorder="1" applyAlignment="1">
      <alignment horizontal="center" vertical="center"/>
    </xf>
    <xf numFmtId="9" fontId="29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164" fontId="22" fillId="0" borderId="13" xfId="36" applyNumberFormat="1" applyFont="1" applyBorder="1" applyAlignment="1">
      <alignment horizontal="left" vertical="center" wrapText="1"/>
    </xf>
    <xf numFmtId="164" fontId="22" fillId="0" borderId="12" xfId="36" applyNumberFormat="1" applyFont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0" fillId="0" borderId="12" xfId="0" applyBorder="1"/>
    <xf numFmtId="0" fontId="0" fillId="0" borderId="11" xfId="0" applyBorder="1"/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164" fontId="22" fillId="0" borderId="10" xfId="36" applyNumberFormat="1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0" fontId="21" fillId="0" borderId="13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27" borderId="13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36" fillId="0" borderId="13" xfId="0" applyFont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44" t="s">
        <v>397</v>
      </c>
      <c r="D1" s="144"/>
      <c r="E1" s="144"/>
    </row>
    <row r="4" spans="1:8">
      <c r="B4" s="145" t="s">
        <v>222</v>
      </c>
      <c r="C4" s="145"/>
      <c r="D4" s="145"/>
      <c r="E4" s="145"/>
    </row>
    <row r="5" spans="1:8">
      <c r="B5" s="144" t="s">
        <v>223</v>
      </c>
      <c r="C5" s="144"/>
      <c r="D5" s="144"/>
      <c r="E5" s="144"/>
    </row>
    <row r="6" spans="1:8">
      <c r="B6" s="144" t="s">
        <v>337</v>
      </c>
      <c r="C6" s="144"/>
      <c r="D6" s="144"/>
      <c r="E6" s="14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16-поверховий</v>
      </c>
    </row>
    <row r="10" spans="1:8">
      <c r="B10" s="6" t="str">
        <f>Розрахунок!C4</f>
        <v>за адресою: вулиця Інтернаціоналістів, 41</v>
      </c>
    </row>
    <row r="11" spans="1:8">
      <c r="B11" s="6" t="s">
        <v>243</v>
      </c>
      <c r="C11" s="66">
        <f>Розрахунок!I9</f>
        <v>5903.11</v>
      </c>
    </row>
    <row r="12" spans="1:8">
      <c r="B12" s="6"/>
    </row>
    <row r="13" spans="1:8" ht="25.95" customHeight="1">
      <c r="A13" s="40" t="s">
        <v>201</v>
      </c>
      <c r="B13" s="40" t="s">
        <v>202</v>
      </c>
      <c r="C13" s="41" t="s">
        <v>203</v>
      </c>
      <c r="D13" s="41" t="s">
        <v>204</v>
      </c>
      <c r="E13" s="41" t="s">
        <v>205</v>
      </c>
    </row>
    <row r="14" spans="1:8" ht="25.2" customHeight="1">
      <c r="A14" s="40">
        <v>1</v>
      </c>
      <c r="B14" s="36" t="s">
        <v>206</v>
      </c>
      <c r="C14" s="42">
        <f>Розрахунок!I134</f>
        <v>0.25</v>
      </c>
      <c r="D14" s="38" t="str">
        <f>Розрахунок!N73</f>
        <v>3 дні на тиждень</v>
      </c>
      <c r="E14" s="38" t="s">
        <v>207</v>
      </c>
      <c r="H14" s="69">
        <f>ROUND(C14,3)</f>
        <v>0.25</v>
      </c>
    </row>
    <row r="15" spans="1:8" ht="25.2" customHeight="1">
      <c r="A15" s="22">
        <v>2</v>
      </c>
      <c r="B15" s="36" t="s">
        <v>392</v>
      </c>
      <c r="C15" s="42">
        <f>Розрахунок!I153</f>
        <v>0.124</v>
      </c>
      <c r="D15" s="38" t="str">
        <f>Розрахунок!N136</f>
        <v>2 рази на тиждень</v>
      </c>
      <c r="E15" s="38" t="s">
        <v>207</v>
      </c>
      <c r="H15" s="69">
        <f>ROUND(C15,3)</f>
        <v>0.124</v>
      </c>
    </row>
    <row r="16" spans="1:8" ht="25.2" customHeight="1">
      <c r="A16" s="22">
        <v>2</v>
      </c>
      <c r="B16" s="36" t="s">
        <v>208</v>
      </c>
      <c r="C16" s="42">
        <f>Розрахунок!I169</f>
        <v>0</v>
      </c>
      <c r="D16" s="38"/>
      <c r="E16" s="38"/>
      <c r="H16" s="69">
        <f t="shared" ref="H16:H28" si="0">ROUND(C16,3)</f>
        <v>0</v>
      </c>
    </row>
    <row r="17" spans="1:8" ht="25.2" customHeight="1">
      <c r="A17" s="22">
        <v>3</v>
      </c>
      <c r="B17" s="36" t="s">
        <v>209</v>
      </c>
      <c r="C17" s="42">
        <f>Розрахунок!I179</f>
        <v>0.504</v>
      </c>
      <c r="D17" s="38" t="s">
        <v>224</v>
      </c>
      <c r="E17" s="38" t="s">
        <v>207</v>
      </c>
      <c r="H17" s="69">
        <f t="shared" si="0"/>
        <v>0.504</v>
      </c>
    </row>
    <row r="18" spans="1:8" ht="25.2" customHeight="1">
      <c r="A18" s="22">
        <v>4</v>
      </c>
      <c r="B18" s="36" t="s">
        <v>210</v>
      </c>
      <c r="C18" s="42">
        <f>Розрахунок!I189</f>
        <v>3.2000000000000001E-2</v>
      </c>
      <c r="D18" s="38" t="s">
        <v>224</v>
      </c>
      <c r="E18" s="38" t="s">
        <v>207</v>
      </c>
      <c r="H18" s="69">
        <f t="shared" si="0"/>
        <v>3.2000000000000001E-2</v>
      </c>
    </row>
    <row r="19" spans="1:8" ht="25.2" customHeight="1">
      <c r="A19" s="22">
        <v>5</v>
      </c>
      <c r="B19" s="36" t="s">
        <v>211</v>
      </c>
      <c r="C19" s="42">
        <f>Розрахунок!I303</f>
        <v>0.37157894736842112</v>
      </c>
      <c r="D19" s="38" t="s">
        <v>224</v>
      </c>
      <c r="E19" s="38" t="s">
        <v>207</v>
      </c>
      <c r="H19" s="69">
        <f t="shared" si="0"/>
        <v>0.372</v>
      </c>
    </row>
    <row r="20" spans="1:8" ht="25.2" customHeight="1">
      <c r="A20" s="22">
        <v>6</v>
      </c>
      <c r="B20" s="36" t="s">
        <v>212</v>
      </c>
      <c r="C20" s="42">
        <f>Розрахунок!I314</f>
        <v>0</v>
      </c>
      <c r="D20" s="38"/>
      <c r="E20" s="38"/>
      <c r="H20" s="69">
        <f t="shared" si="0"/>
        <v>0</v>
      </c>
    </row>
    <row r="21" spans="1:8" ht="25.2" customHeight="1">
      <c r="A21" s="22">
        <v>7</v>
      </c>
      <c r="B21" s="36" t="s">
        <v>213</v>
      </c>
      <c r="C21" s="42">
        <f>Розрахунок!I325</f>
        <v>0</v>
      </c>
      <c r="D21" s="38"/>
      <c r="E21" s="38"/>
      <c r="H21" s="69">
        <f t="shared" si="0"/>
        <v>0</v>
      </c>
    </row>
    <row r="22" spans="1:8" ht="25.2" customHeight="1">
      <c r="A22" s="22">
        <v>8</v>
      </c>
      <c r="B22" s="36" t="s">
        <v>214</v>
      </c>
      <c r="C22" s="42">
        <f>Розрахунок!I339</f>
        <v>1.9E-2</v>
      </c>
      <c r="D22" s="38" t="s">
        <v>225</v>
      </c>
      <c r="E22" s="38" t="s">
        <v>207</v>
      </c>
      <c r="H22" s="69">
        <f t="shared" si="0"/>
        <v>1.9E-2</v>
      </c>
    </row>
    <row r="23" spans="1:8" ht="73.2" customHeight="1">
      <c r="A23" s="22">
        <v>9</v>
      </c>
      <c r="B23" s="37" t="s">
        <v>215</v>
      </c>
      <c r="C23" s="42">
        <f>Розрахунок!I403</f>
        <v>0.11499999999999999</v>
      </c>
      <c r="D23" s="38" t="s">
        <v>225</v>
      </c>
      <c r="E23" s="38" t="s">
        <v>207</v>
      </c>
      <c r="H23" s="69">
        <f t="shared" si="0"/>
        <v>0.115</v>
      </c>
    </row>
    <row r="24" spans="1:8" ht="106.95" customHeight="1">
      <c r="A24" s="22">
        <v>10</v>
      </c>
      <c r="B24" s="37" t="s">
        <v>216</v>
      </c>
      <c r="C24" s="42">
        <f>Розрахунок!I406</f>
        <v>0.36</v>
      </c>
      <c r="D24" s="38" t="s">
        <v>225</v>
      </c>
      <c r="E24" s="38" t="s">
        <v>207</v>
      </c>
      <c r="H24" s="69">
        <f t="shared" si="0"/>
        <v>0.36</v>
      </c>
    </row>
    <row r="25" spans="1:8" ht="43.95" customHeight="1">
      <c r="A25" s="22">
        <v>11</v>
      </c>
      <c r="B25" s="37" t="s">
        <v>217</v>
      </c>
      <c r="C25" s="42">
        <f>Розрахунок!I426</f>
        <v>6.8000000000000005E-2</v>
      </c>
      <c r="D25" s="38" t="s">
        <v>226</v>
      </c>
      <c r="E25" s="38" t="s">
        <v>207</v>
      </c>
      <c r="H25" s="69">
        <f t="shared" si="0"/>
        <v>6.8000000000000005E-2</v>
      </c>
    </row>
    <row r="26" spans="1:8" ht="37.5" customHeight="1">
      <c r="A26" s="22">
        <v>12</v>
      </c>
      <c r="B26" s="37" t="s">
        <v>240</v>
      </c>
      <c r="C26" s="42">
        <f>Розрахунок!I437</f>
        <v>0</v>
      </c>
      <c r="D26" s="38"/>
      <c r="E26" s="38"/>
      <c r="H26" s="69">
        <f t="shared" si="0"/>
        <v>0</v>
      </c>
    </row>
    <row r="27" spans="1:8" ht="25.2" customHeight="1">
      <c r="A27" s="22">
        <v>13</v>
      </c>
      <c r="B27" s="37" t="s">
        <v>218</v>
      </c>
      <c r="C27" s="42">
        <f>Розрахунок!I446</f>
        <v>2.5999999999999999E-2</v>
      </c>
      <c r="D27" s="38" t="s">
        <v>224</v>
      </c>
      <c r="E27" s="38" t="s">
        <v>207</v>
      </c>
      <c r="H27" s="69">
        <f t="shared" si="0"/>
        <v>2.5999999999999999E-2</v>
      </c>
    </row>
    <row r="28" spans="1:8" ht="25.2" customHeight="1">
      <c r="A28" s="22">
        <v>14</v>
      </c>
      <c r="B28" s="37" t="s">
        <v>219</v>
      </c>
      <c r="C28" s="42">
        <f>Розрахунок!I455</f>
        <v>0.13</v>
      </c>
      <c r="D28" s="38" t="s">
        <v>224</v>
      </c>
      <c r="E28" s="38" t="s">
        <v>207</v>
      </c>
      <c r="H28" s="69">
        <f t="shared" si="0"/>
        <v>0.13</v>
      </c>
    </row>
    <row r="29" spans="1:8" s="8" customFormat="1" ht="25.2" customHeight="1">
      <c r="A29" s="43"/>
      <c r="B29" s="44" t="s">
        <v>221</v>
      </c>
      <c r="C29" s="45">
        <f>SUM(C14:C28)</f>
        <v>1.9995789473684211</v>
      </c>
      <c r="D29" s="39"/>
      <c r="E29" s="39"/>
      <c r="H29" s="70">
        <f>SUM(H14:H28)</f>
        <v>2</v>
      </c>
    </row>
    <row r="33" spans="2:5" s="8" customFormat="1">
      <c r="B33" s="8" t="str">
        <f>Розрахунок!C461</f>
        <v>Директор ТОВ "КОМЕНЕРГО СУМИ"</v>
      </c>
      <c r="C33" s="8" t="s">
        <v>220</v>
      </c>
      <c r="D33" s="143" t="s">
        <v>249</v>
      </c>
      <c r="E33" s="143"/>
    </row>
    <row r="34" spans="2:5">
      <c r="B34" s="8"/>
    </row>
  </sheetData>
  <mergeCells count="5">
    <mergeCell ref="D33:E33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3"/>
  <sheetViews>
    <sheetView topLeftCell="A430" zoomScale="81" zoomScaleNormal="81" zoomScaleSheetLayoutView="55" workbookViewId="0">
      <selection sqref="A1:I461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220" t="s">
        <v>25</v>
      </c>
      <c r="D1" s="220"/>
      <c r="E1" s="220"/>
      <c r="F1" s="220"/>
      <c r="G1" s="220"/>
      <c r="H1" s="220"/>
      <c r="I1" s="220"/>
    </row>
    <row r="2" spans="1:14">
      <c r="C2" s="220" t="s">
        <v>337</v>
      </c>
      <c r="D2" s="220"/>
      <c r="E2" s="220"/>
      <c r="F2" s="220"/>
      <c r="G2" s="220"/>
      <c r="H2" s="220"/>
      <c r="I2" s="220"/>
    </row>
    <row r="3" spans="1:14" ht="16.2">
      <c r="C3" s="220" t="s">
        <v>396</v>
      </c>
      <c r="D3" s="220"/>
      <c r="E3" s="220"/>
      <c r="F3" s="220"/>
      <c r="G3" s="220"/>
      <c r="H3" s="220"/>
      <c r="I3" s="220"/>
    </row>
    <row r="4" spans="1:14" ht="16.2">
      <c r="C4" s="220" t="s">
        <v>395</v>
      </c>
      <c r="D4" s="220"/>
      <c r="E4" s="220"/>
      <c r="F4" s="220"/>
      <c r="G4" s="220"/>
      <c r="H4" s="220"/>
      <c r="I4" s="220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232" t="s">
        <v>4</v>
      </c>
      <c r="D6" s="233"/>
      <c r="E6" s="233"/>
      <c r="F6" s="233"/>
      <c r="G6" s="76" t="s">
        <v>14</v>
      </c>
      <c r="H6" s="77" t="s">
        <v>14</v>
      </c>
      <c r="I6" s="18">
        <v>16</v>
      </c>
      <c r="J6" s="62"/>
      <c r="K6" s="62"/>
      <c r="L6" s="63"/>
      <c r="M6" s="9"/>
      <c r="N6" s="9"/>
    </row>
    <row r="7" spans="1:14" ht="19.95" customHeight="1">
      <c r="A7" s="21"/>
      <c r="B7" s="21"/>
      <c r="C7" s="232" t="s">
        <v>7</v>
      </c>
      <c r="D7" s="233"/>
      <c r="E7" s="233"/>
      <c r="F7" s="233"/>
      <c r="G7" s="76" t="s">
        <v>14</v>
      </c>
      <c r="H7" s="77" t="s">
        <v>14</v>
      </c>
      <c r="I7" s="18">
        <v>1</v>
      </c>
      <c r="J7" s="62"/>
      <c r="K7" s="62"/>
      <c r="L7" s="63"/>
      <c r="M7" s="9"/>
      <c r="N7" s="9"/>
    </row>
    <row r="8" spans="1:14" ht="16.2">
      <c r="A8" s="21"/>
      <c r="B8" s="21"/>
      <c r="C8" s="232" t="s">
        <v>30</v>
      </c>
      <c r="D8" s="233"/>
      <c r="E8" s="233"/>
      <c r="F8" s="233"/>
      <c r="G8" s="76" t="s">
        <v>14</v>
      </c>
      <c r="H8" s="77" t="s">
        <v>14</v>
      </c>
      <c r="I8" s="18">
        <v>94</v>
      </c>
      <c r="J8" s="62"/>
      <c r="K8" s="62"/>
      <c r="L8" s="63"/>
      <c r="M8" s="9"/>
      <c r="N8" s="9"/>
    </row>
    <row r="9" spans="1:14" ht="18">
      <c r="A9" s="21"/>
      <c r="B9" s="21"/>
      <c r="C9" s="221" t="s">
        <v>31</v>
      </c>
      <c r="D9" s="222"/>
      <c r="E9" s="222"/>
      <c r="F9" s="222"/>
      <c r="G9" s="76" t="s">
        <v>259</v>
      </c>
      <c r="H9" s="77" t="s">
        <v>28</v>
      </c>
      <c r="I9" s="78">
        <f>I10+I11</f>
        <v>5903.11</v>
      </c>
      <c r="J9" s="62"/>
      <c r="K9" s="62"/>
      <c r="L9" s="63"/>
      <c r="M9" s="9"/>
      <c r="N9" s="9"/>
    </row>
    <row r="10" spans="1:14" ht="18">
      <c r="A10" s="21"/>
      <c r="B10" s="21"/>
      <c r="C10" s="175" t="s">
        <v>29</v>
      </c>
      <c r="D10" s="216"/>
      <c r="E10" s="216"/>
      <c r="F10" s="216"/>
      <c r="G10" s="76" t="s">
        <v>259</v>
      </c>
      <c r="H10" s="77" t="s">
        <v>28</v>
      </c>
      <c r="I10" s="78">
        <v>5536.91</v>
      </c>
      <c r="J10" s="62"/>
      <c r="K10" s="62"/>
      <c r="L10" s="63"/>
      <c r="M10" s="9"/>
      <c r="N10" s="9"/>
    </row>
    <row r="11" spans="1:14" ht="18">
      <c r="A11" s="21"/>
      <c r="B11" s="21"/>
      <c r="C11" s="234" t="s">
        <v>71</v>
      </c>
      <c r="D11" s="234"/>
      <c r="E11" s="234"/>
      <c r="F11" s="232"/>
      <c r="G11" s="76" t="s">
        <v>259</v>
      </c>
      <c r="H11" s="77" t="s">
        <v>28</v>
      </c>
      <c r="I11" s="78">
        <v>366.2</v>
      </c>
      <c r="J11" s="62"/>
      <c r="K11" s="62"/>
      <c r="L11" s="63"/>
      <c r="M11" s="9"/>
      <c r="N11" s="9"/>
    </row>
    <row r="12" spans="1:14" ht="18">
      <c r="A12" s="21"/>
      <c r="B12" s="21"/>
      <c r="C12" s="175" t="s">
        <v>194</v>
      </c>
      <c r="D12" s="216"/>
      <c r="E12" s="216"/>
      <c r="F12" s="216"/>
      <c r="G12" s="76" t="s">
        <v>259</v>
      </c>
      <c r="H12" s="77" t="s">
        <v>28</v>
      </c>
      <c r="I12" s="78">
        <v>4898.75</v>
      </c>
      <c r="J12" s="62"/>
      <c r="K12" s="62"/>
      <c r="L12" s="63"/>
      <c r="M12" s="9"/>
      <c r="N12" s="9"/>
    </row>
    <row r="13" spans="1:14" ht="16.2">
      <c r="A13" s="21"/>
      <c r="B13" s="21"/>
      <c r="C13" s="173" t="s">
        <v>358</v>
      </c>
      <c r="D13" s="174"/>
      <c r="E13" s="175"/>
      <c r="F13" s="137"/>
      <c r="G13" s="76"/>
      <c r="H13" s="77" t="s">
        <v>28</v>
      </c>
      <c r="I13" s="78">
        <v>5284.01</v>
      </c>
      <c r="J13" s="62"/>
      <c r="K13" s="62"/>
      <c r="L13" s="63"/>
      <c r="M13" s="9"/>
      <c r="N13" s="9"/>
    </row>
    <row r="14" spans="1:14" ht="16.2">
      <c r="A14" s="21"/>
      <c r="B14" s="21"/>
      <c r="C14" s="173" t="s">
        <v>359</v>
      </c>
      <c r="D14" s="174"/>
      <c r="E14" s="175"/>
      <c r="F14" s="137"/>
      <c r="G14" s="76"/>
      <c r="H14" s="77" t="s">
        <v>28</v>
      </c>
      <c r="I14" s="78">
        <v>52.9</v>
      </c>
      <c r="J14" s="62"/>
      <c r="K14" s="62"/>
      <c r="L14" s="63"/>
      <c r="M14" s="9"/>
      <c r="N14" s="9"/>
    </row>
    <row r="15" spans="1:14" ht="16.2">
      <c r="A15" s="21"/>
      <c r="B15" s="21"/>
      <c r="C15" s="173" t="s">
        <v>360</v>
      </c>
      <c r="D15" s="174"/>
      <c r="E15" s="175"/>
      <c r="F15" s="137"/>
      <c r="G15" s="76"/>
      <c r="H15" s="77" t="s">
        <v>28</v>
      </c>
      <c r="I15" s="78">
        <v>132.6</v>
      </c>
      <c r="J15" s="62"/>
      <c r="K15" s="62"/>
      <c r="L15" s="63"/>
      <c r="M15" s="9"/>
      <c r="N15" s="9"/>
    </row>
    <row r="16" spans="1:14" ht="18">
      <c r="A16" s="21"/>
      <c r="B16" s="21"/>
      <c r="C16" s="175" t="s">
        <v>335</v>
      </c>
      <c r="D16" s="216"/>
      <c r="E16" s="216"/>
      <c r="F16" s="216"/>
      <c r="G16" s="76" t="s">
        <v>259</v>
      </c>
      <c r="H16" s="77" t="s">
        <v>28</v>
      </c>
      <c r="I16" s="79">
        <f>I17+I18+I19</f>
        <v>2852.2</v>
      </c>
      <c r="J16" s="62"/>
      <c r="K16" s="62"/>
      <c r="L16" s="63"/>
      <c r="M16" s="9"/>
      <c r="N16" s="9"/>
    </row>
    <row r="17" spans="1:14" ht="18">
      <c r="A17" s="21"/>
      <c r="B17" s="21"/>
      <c r="C17" s="226" t="s">
        <v>72</v>
      </c>
      <c r="D17" s="227"/>
      <c r="E17" s="227"/>
      <c r="F17" s="227"/>
      <c r="G17" s="76" t="s">
        <v>259</v>
      </c>
      <c r="H17" s="77" t="s">
        <v>28</v>
      </c>
      <c r="I17" s="79">
        <v>1444</v>
      </c>
      <c r="J17" s="80"/>
      <c r="K17" s="62"/>
      <c r="L17" s="63"/>
      <c r="M17" s="9"/>
      <c r="N17" s="9"/>
    </row>
    <row r="18" spans="1:14" ht="18">
      <c r="A18" s="21"/>
      <c r="B18" s="21"/>
      <c r="C18" s="226" t="s">
        <v>246</v>
      </c>
      <c r="D18" s="227"/>
      <c r="E18" s="227"/>
      <c r="F18" s="227"/>
      <c r="G18" s="76" t="s">
        <v>259</v>
      </c>
      <c r="H18" s="77" t="s">
        <v>28</v>
      </c>
      <c r="I18" s="79">
        <v>480</v>
      </c>
      <c r="J18" s="80"/>
      <c r="K18" s="62"/>
      <c r="L18" s="63"/>
      <c r="M18" s="9"/>
      <c r="N18" s="9"/>
    </row>
    <row r="19" spans="1:14" ht="18">
      <c r="A19" s="21"/>
      <c r="B19" s="21"/>
      <c r="C19" s="226" t="s">
        <v>245</v>
      </c>
      <c r="D19" s="227"/>
      <c r="E19" s="227"/>
      <c r="F19" s="227"/>
      <c r="G19" s="76" t="s">
        <v>259</v>
      </c>
      <c r="H19" s="77" t="s">
        <v>28</v>
      </c>
      <c r="I19" s="79">
        <v>928.2</v>
      </c>
      <c r="J19" s="80"/>
      <c r="K19" s="62"/>
      <c r="L19" s="63"/>
      <c r="M19" s="9"/>
      <c r="N19" s="9"/>
    </row>
    <row r="20" spans="1:14" ht="18">
      <c r="A20" s="21"/>
      <c r="B20" s="21"/>
      <c r="C20" s="226" t="s">
        <v>32</v>
      </c>
      <c r="D20" s="227"/>
      <c r="E20" s="227"/>
      <c r="F20" s="227"/>
      <c r="G20" s="76" t="s">
        <v>259</v>
      </c>
      <c r="H20" s="77" t="s">
        <v>28</v>
      </c>
      <c r="I20" s="79">
        <v>14</v>
      </c>
      <c r="J20" s="80"/>
      <c r="K20" s="81"/>
      <c r="L20" s="63"/>
      <c r="M20" s="9"/>
      <c r="N20" s="9"/>
    </row>
    <row r="21" spans="1:14" ht="18">
      <c r="A21" s="21"/>
      <c r="B21" s="21"/>
      <c r="C21" s="175" t="s">
        <v>33</v>
      </c>
      <c r="D21" s="216"/>
      <c r="E21" s="216"/>
      <c r="F21" s="216"/>
      <c r="G21" s="76" t="s">
        <v>259</v>
      </c>
      <c r="H21" s="77" t="s">
        <v>28</v>
      </c>
      <c r="I21" s="78">
        <v>580</v>
      </c>
      <c r="J21" s="62"/>
      <c r="K21" s="62"/>
      <c r="L21" s="63"/>
      <c r="M21" s="9"/>
      <c r="N21" s="9"/>
    </row>
    <row r="22" spans="1:14" ht="18">
      <c r="A22" s="21"/>
      <c r="B22" s="21"/>
      <c r="C22" s="175" t="s">
        <v>34</v>
      </c>
      <c r="D22" s="216"/>
      <c r="E22" s="216"/>
      <c r="F22" s="216"/>
      <c r="G22" s="76" t="s">
        <v>259</v>
      </c>
      <c r="H22" s="77" t="s">
        <v>28</v>
      </c>
      <c r="I22" s="78">
        <v>594</v>
      </c>
      <c r="J22" s="62"/>
      <c r="K22" s="62"/>
      <c r="L22" s="63"/>
      <c r="M22" s="9"/>
      <c r="N22" s="9"/>
    </row>
    <row r="23" spans="1:14" ht="16.2">
      <c r="A23" s="21"/>
      <c r="B23" s="21"/>
      <c r="C23" s="217" t="s">
        <v>5</v>
      </c>
      <c r="D23" s="218"/>
      <c r="E23" s="218"/>
      <c r="F23" s="218"/>
      <c r="G23" s="76"/>
      <c r="H23" s="77"/>
      <c r="I23" s="78" t="s">
        <v>8</v>
      </c>
      <c r="J23" s="62"/>
      <c r="K23" s="62"/>
      <c r="L23" s="63"/>
      <c r="M23" s="9"/>
      <c r="N23" s="9"/>
    </row>
    <row r="24" spans="1:14" ht="18">
      <c r="A24" s="21"/>
      <c r="B24" s="21"/>
      <c r="C24" s="225" t="s">
        <v>73</v>
      </c>
      <c r="D24" s="225"/>
      <c r="E24" s="225"/>
      <c r="F24" s="217"/>
      <c r="G24" s="76" t="s">
        <v>259</v>
      </c>
      <c r="H24" s="77" t="s">
        <v>28</v>
      </c>
      <c r="I24" s="78">
        <v>0</v>
      </c>
      <c r="J24" s="62"/>
      <c r="K24" s="62" t="s">
        <v>116</v>
      </c>
      <c r="L24" s="63"/>
      <c r="M24" s="9"/>
      <c r="N24" s="9"/>
    </row>
    <row r="25" spans="1:14" ht="16.2">
      <c r="A25" s="21"/>
      <c r="B25" s="21"/>
      <c r="C25" s="235" t="s">
        <v>52</v>
      </c>
      <c r="D25" s="236"/>
      <c r="E25" s="236"/>
      <c r="F25" s="236"/>
      <c r="G25" s="76"/>
      <c r="H25" s="77"/>
      <c r="I25" s="78"/>
      <c r="J25" s="62"/>
      <c r="K25" s="62"/>
      <c r="L25" s="63"/>
      <c r="M25" s="9"/>
      <c r="N25" s="9"/>
    </row>
    <row r="26" spans="1:14" ht="16.2">
      <c r="A26" s="21"/>
      <c r="B26" s="21"/>
      <c r="C26" s="197" t="s">
        <v>98</v>
      </c>
      <c r="D26" s="219"/>
      <c r="E26" s="219"/>
      <c r="F26" s="219"/>
      <c r="G26" s="76" t="s">
        <v>14</v>
      </c>
      <c r="H26" s="77" t="s">
        <v>14</v>
      </c>
      <c r="I26" s="67">
        <v>32</v>
      </c>
      <c r="J26" s="62">
        <f>2*I7*I6</f>
        <v>32</v>
      </c>
      <c r="K26" s="62">
        <f>I7*2</f>
        <v>2</v>
      </c>
      <c r="L26" s="63"/>
      <c r="M26" s="9"/>
      <c r="N26" s="9"/>
    </row>
    <row r="27" spans="1:14" ht="16.2">
      <c r="A27" s="21"/>
      <c r="B27" s="21"/>
      <c r="C27" s="197" t="s">
        <v>35</v>
      </c>
      <c r="D27" s="219"/>
      <c r="E27" s="219"/>
      <c r="F27" s="219"/>
      <c r="G27" s="76" t="s">
        <v>21</v>
      </c>
      <c r="H27" s="77" t="s">
        <v>21</v>
      </c>
      <c r="I27" s="18">
        <v>40</v>
      </c>
      <c r="J27" s="62"/>
      <c r="K27" s="62"/>
      <c r="L27" s="63"/>
      <c r="M27" s="9"/>
      <c r="N27" s="9"/>
    </row>
    <row r="28" spans="1:14" ht="16.2">
      <c r="A28" s="21"/>
      <c r="B28" s="21"/>
      <c r="C28" s="197" t="s">
        <v>36</v>
      </c>
      <c r="D28" s="219"/>
      <c r="E28" s="219"/>
      <c r="F28" s="219"/>
      <c r="G28" s="76" t="s">
        <v>14</v>
      </c>
      <c r="H28" s="77" t="s">
        <v>14</v>
      </c>
      <c r="I28" s="18">
        <v>16</v>
      </c>
      <c r="J28" s="62"/>
      <c r="K28" s="62"/>
      <c r="L28" s="63"/>
      <c r="M28" s="9"/>
      <c r="N28" s="9"/>
    </row>
    <row r="29" spans="1:14" ht="16.2">
      <c r="A29" s="21"/>
      <c r="B29" s="21"/>
      <c r="C29" s="197" t="s">
        <v>37</v>
      </c>
      <c r="D29" s="219"/>
      <c r="E29" s="219"/>
      <c r="F29" s="219"/>
      <c r="G29" s="76" t="s">
        <v>14</v>
      </c>
      <c r="H29" s="77" t="s">
        <v>14</v>
      </c>
      <c r="I29" s="18">
        <v>2</v>
      </c>
      <c r="J29" s="62"/>
      <c r="K29" s="62"/>
      <c r="L29" s="63"/>
      <c r="M29" s="9"/>
      <c r="N29" s="9"/>
    </row>
    <row r="30" spans="1:14" ht="16.2">
      <c r="A30" s="21"/>
      <c r="B30" s="21"/>
      <c r="C30" s="197" t="s">
        <v>334</v>
      </c>
      <c r="D30" s="219"/>
      <c r="E30" s="219"/>
      <c r="F30" s="219"/>
      <c r="G30" s="76" t="s">
        <v>14</v>
      </c>
      <c r="H30" s="77" t="s">
        <v>14</v>
      </c>
      <c r="I30" s="18">
        <v>2</v>
      </c>
      <c r="J30" s="62"/>
      <c r="K30" s="62"/>
      <c r="L30" s="63"/>
      <c r="M30" s="9"/>
      <c r="N30" s="9"/>
    </row>
    <row r="31" spans="1:14" ht="16.2">
      <c r="A31" s="21"/>
      <c r="B31" s="21"/>
      <c r="C31" s="197" t="s">
        <v>38</v>
      </c>
      <c r="D31" s="219"/>
      <c r="E31" s="219"/>
      <c r="F31" s="219"/>
      <c r="G31" s="76" t="s">
        <v>21</v>
      </c>
      <c r="H31" s="77" t="s">
        <v>21</v>
      </c>
      <c r="I31" s="18">
        <v>40</v>
      </c>
      <c r="J31" s="62"/>
      <c r="K31" s="62"/>
      <c r="L31" s="63"/>
      <c r="M31" s="9"/>
      <c r="N31" s="9"/>
    </row>
    <row r="32" spans="1:14" ht="16.2">
      <c r="A32" s="21"/>
      <c r="B32" s="21"/>
      <c r="C32" s="197" t="s">
        <v>19</v>
      </c>
      <c r="D32" s="219"/>
      <c r="E32" s="219"/>
      <c r="F32" s="219"/>
      <c r="G32" s="76" t="s">
        <v>14</v>
      </c>
      <c r="H32" s="77" t="s">
        <v>14</v>
      </c>
      <c r="I32" s="18">
        <v>2</v>
      </c>
      <c r="J32" s="62"/>
      <c r="K32" s="62"/>
      <c r="L32" s="63"/>
      <c r="M32" s="9"/>
      <c r="N32" s="9"/>
    </row>
    <row r="33" spans="1:14" ht="16.2">
      <c r="A33" s="21"/>
      <c r="B33" s="21"/>
      <c r="C33" s="223" t="s">
        <v>183</v>
      </c>
      <c r="D33" s="224"/>
      <c r="E33" s="224"/>
      <c r="F33" s="224"/>
      <c r="G33" s="76" t="s">
        <v>14</v>
      </c>
      <c r="H33" s="77" t="s">
        <v>14</v>
      </c>
      <c r="I33" s="18">
        <v>11</v>
      </c>
      <c r="J33" s="62"/>
      <c r="K33" s="62"/>
      <c r="L33" s="63"/>
      <c r="M33" s="9"/>
      <c r="N33" s="9"/>
    </row>
    <row r="34" spans="1:14" ht="16.2">
      <c r="A34" s="21"/>
      <c r="B34" s="21"/>
      <c r="C34" s="237" t="s">
        <v>181</v>
      </c>
      <c r="D34" s="238"/>
      <c r="E34" s="238"/>
      <c r="F34" s="223"/>
      <c r="G34" s="76" t="s">
        <v>14</v>
      </c>
      <c r="H34" s="77" t="s">
        <v>14</v>
      </c>
      <c r="I34" s="18">
        <v>10</v>
      </c>
      <c r="J34" s="62">
        <f>I6*I7</f>
        <v>16</v>
      </c>
      <c r="K34" s="62"/>
      <c r="L34" s="63"/>
      <c r="M34" s="9"/>
      <c r="N34" s="9"/>
    </row>
    <row r="35" spans="1:14" ht="16.2">
      <c r="A35" s="21"/>
      <c r="B35" s="21"/>
      <c r="C35" s="197" t="s">
        <v>232</v>
      </c>
      <c r="D35" s="219"/>
      <c r="E35" s="219"/>
      <c r="F35" s="219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 hidden="1">
      <c r="A36" s="21"/>
      <c r="B36" s="21"/>
      <c r="C36" s="197" t="s">
        <v>241</v>
      </c>
      <c r="D36" s="219"/>
      <c r="E36" s="219"/>
      <c r="F36" s="219"/>
      <c r="G36" s="76" t="s">
        <v>53</v>
      </c>
      <c r="H36" s="77" t="s">
        <v>53</v>
      </c>
      <c r="I36" s="18"/>
      <c r="J36" s="62"/>
      <c r="K36" s="62"/>
      <c r="L36" s="63"/>
      <c r="M36" s="9"/>
      <c r="N36" s="9"/>
    </row>
    <row r="37" spans="1:14" ht="16.2">
      <c r="A37" s="21"/>
      <c r="B37" s="21"/>
      <c r="C37" s="197" t="s">
        <v>182</v>
      </c>
      <c r="D37" s="219"/>
      <c r="E37" s="219"/>
      <c r="F37" s="219"/>
      <c r="G37" s="76" t="s">
        <v>14</v>
      </c>
      <c r="H37" s="77" t="s">
        <v>14</v>
      </c>
      <c r="I37" s="18">
        <v>2</v>
      </c>
      <c r="J37" s="62"/>
      <c r="K37" s="62"/>
      <c r="L37" s="63"/>
      <c r="M37" s="9"/>
      <c r="N37" s="9"/>
    </row>
    <row r="38" spans="1:14" ht="16.2">
      <c r="A38" s="21"/>
      <c r="B38" s="21"/>
      <c r="C38" s="197" t="s">
        <v>195</v>
      </c>
      <c r="D38" s="219"/>
      <c r="E38" s="219"/>
      <c r="F38" s="219"/>
      <c r="G38" s="76" t="s">
        <v>14</v>
      </c>
      <c r="H38" s="77" t="s">
        <v>14</v>
      </c>
      <c r="I38" s="18">
        <v>1</v>
      </c>
      <c r="J38" s="62"/>
      <c r="K38" s="62"/>
      <c r="L38" s="63"/>
      <c r="M38" s="9"/>
      <c r="N38" s="9"/>
    </row>
    <row r="39" spans="1:14" ht="16.2">
      <c r="A39" s="21"/>
      <c r="B39" s="21"/>
      <c r="C39" s="241" t="s">
        <v>6</v>
      </c>
      <c r="D39" s="242"/>
      <c r="E39" s="242"/>
      <c r="F39" s="242"/>
      <c r="G39" s="76" t="s">
        <v>14</v>
      </c>
      <c r="H39" s="77" t="s">
        <v>14</v>
      </c>
      <c r="I39" s="67">
        <v>51</v>
      </c>
      <c r="J39" s="62"/>
      <c r="K39" s="62"/>
      <c r="L39" s="63"/>
      <c r="M39" s="9"/>
      <c r="N39" s="9"/>
    </row>
    <row r="40" spans="1:14" ht="16.2">
      <c r="A40" s="21"/>
      <c r="B40" s="21"/>
      <c r="C40" s="241" t="s">
        <v>20</v>
      </c>
      <c r="D40" s="242"/>
      <c r="E40" s="242"/>
      <c r="F40" s="242"/>
      <c r="G40" s="76" t="s">
        <v>21</v>
      </c>
      <c r="H40" s="77" t="s">
        <v>21</v>
      </c>
      <c r="I40" s="72">
        <v>440</v>
      </c>
      <c r="J40" s="62">
        <f>I39*3</f>
        <v>153</v>
      </c>
      <c r="K40" s="62"/>
      <c r="L40" s="63"/>
      <c r="M40" s="9"/>
      <c r="N40" s="9"/>
    </row>
    <row r="41" spans="1:14" ht="15.6" customHeight="1">
      <c r="A41" s="21"/>
      <c r="B41" s="21"/>
      <c r="C41" s="198" t="s">
        <v>22</v>
      </c>
      <c r="D41" s="199"/>
      <c r="E41" s="199"/>
      <c r="F41" s="199"/>
      <c r="G41" s="82" t="s">
        <v>11</v>
      </c>
      <c r="H41" s="83" t="s">
        <v>11</v>
      </c>
      <c r="I41" s="18">
        <v>533</v>
      </c>
      <c r="J41" s="62"/>
      <c r="K41" s="62"/>
      <c r="L41" s="63"/>
      <c r="M41" s="9"/>
      <c r="N41" s="9"/>
    </row>
    <row r="42" spans="1:14" ht="15.6" customHeight="1">
      <c r="A42" s="21"/>
      <c r="B42" s="21"/>
      <c r="C42" s="198" t="s">
        <v>9</v>
      </c>
      <c r="D42" s="199"/>
      <c r="E42" s="199"/>
      <c r="F42" s="199"/>
      <c r="G42" s="82" t="s">
        <v>11</v>
      </c>
      <c r="H42" s="83" t="s">
        <v>11</v>
      </c>
      <c r="I42" s="18">
        <v>464</v>
      </c>
      <c r="J42" s="62"/>
      <c r="K42" s="62"/>
      <c r="L42" s="63"/>
      <c r="M42" s="9"/>
      <c r="N42" s="9"/>
    </row>
    <row r="43" spans="1:14" ht="15.6" customHeight="1">
      <c r="A43" s="21"/>
      <c r="B43" s="21"/>
      <c r="C43" s="198" t="s">
        <v>10</v>
      </c>
      <c r="D43" s="199"/>
      <c r="E43" s="199"/>
      <c r="F43" s="199"/>
      <c r="G43" s="82" t="s">
        <v>11</v>
      </c>
      <c r="H43" s="83" t="s">
        <v>11</v>
      </c>
      <c r="I43" s="18">
        <v>1129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94" t="s">
        <v>13</v>
      </c>
      <c r="D44" s="195"/>
      <c r="E44" s="195"/>
      <c r="F44" s="195"/>
      <c r="G44" s="84" t="s">
        <v>14</v>
      </c>
      <c r="H44" s="85" t="s">
        <v>14</v>
      </c>
      <c r="I44" s="18">
        <v>1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239" t="s">
        <v>23</v>
      </c>
      <c r="D45" s="240"/>
      <c r="E45" s="240"/>
      <c r="F45" s="240"/>
      <c r="G45" s="76"/>
      <c r="H45" s="77"/>
      <c r="I45" s="18"/>
      <c r="J45" s="62"/>
      <c r="K45" s="62"/>
      <c r="L45" s="63"/>
      <c r="M45" s="9"/>
      <c r="N45" s="9"/>
    </row>
    <row r="46" spans="1:14" ht="15.6" customHeight="1">
      <c r="A46" s="21"/>
      <c r="B46" s="21"/>
      <c r="C46" s="192" t="s">
        <v>196</v>
      </c>
      <c r="D46" s="193"/>
      <c r="E46" s="193"/>
      <c r="F46" s="86" t="s">
        <v>26</v>
      </c>
      <c r="G46" s="84" t="s">
        <v>14</v>
      </c>
      <c r="H46" s="85" t="s">
        <v>14</v>
      </c>
      <c r="I46" s="18">
        <v>89</v>
      </c>
      <c r="J46" s="62"/>
      <c r="K46" s="62"/>
      <c r="L46" s="63"/>
      <c r="M46" s="9"/>
      <c r="N46" s="9"/>
    </row>
    <row r="47" spans="1:14" ht="15.6" customHeight="1">
      <c r="A47" s="21"/>
      <c r="B47" s="21"/>
      <c r="C47" s="192" t="s">
        <v>242</v>
      </c>
      <c r="D47" s="193"/>
      <c r="E47" s="193"/>
      <c r="F47" s="86" t="s">
        <v>100</v>
      </c>
      <c r="G47" s="84" t="s">
        <v>14</v>
      </c>
      <c r="H47" s="85" t="s">
        <v>14</v>
      </c>
      <c r="I47" s="18">
        <v>71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92" t="s">
        <v>197</v>
      </c>
      <c r="D48" s="193"/>
      <c r="E48" s="193"/>
      <c r="F48" s="86" t="s">
        <v>27</v>
      </c>
      <c r="G48" s="84" t="s">
        <v>14</v>
      </c>
      <c r="H48" s="85" t="s">
        <v>14</v>
      </c>
      <c r="I48" s="18">
        <v>1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94" t="s">
        <v>24</v>
      </c>
      <c r="D49" s="195"/>
      <c r="E49" s="195"/>
      <c r="F49" s="195"/>
      <c r="G49" s="76"/>
      <c r="H49" s="77"/>
      <c r="I49" s="18"/>
      <c r="J49" s="62"/>
      <c r="K49" s="62"/>
      <c r="L49" s="63"/>
      <c r="M49" s="9"/>
      <c r="N49" s="9"/>
    </row>
    <row r="50" spans="1:14" ht="15.6" customHeight="1">
      <c r="A50" s="21"/>
      <c r="B50" s="21"/>
      <c r="C50" s="192" t="s">
        <v>198</v>
      </c>
      <c r="D50" s="193"/>
      <c r="E50" s="193"/>
      <c r="F50" s="86" t="s">
        <v>2</v>
      </c>
      <c r="G50" s="84" t="s">
        <v>14</v>
      </c>
      <c r="H50" s="85" t="s">
        <v>14</v>
      </c>
      <c r="I50" s="18">
        <v>264</v>
      </c>
      <c r="J50" s="62"/>
      <c r="K50" s="62"/>
      <c r="L50" s="63"/>
      <c r="M50" s="9"/>
      <c r="N50" s="9"/>
    </row>
    <row r="51" spans="1:14" ht="15.6" customHeight="1">
      <c r="A51" s="21"/>
      <c r="B51" s="21"/>
      <c r="C51" s="192" t="s">
        <v>197</v>
      </c>
      <c r="D51" s="193"/>
      <c r="E51" s="193"/>
      <c r="F51" s="86" t="s">
        <v>3</v>
      </c>
      <c r="G51" s="84" t="s">
        <v>14</v>
      </c>
      <c r="H51" s="85" t="s">
        <v>14</v>
      </c>
      <c r="I51" s="18">
        <v>6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92" t="s">
        <v>17</v>
      </c>
      <c r="D52" s="193"/>
      <c r="E52" s="193"/>
      <c r="F52" s="193"/>
      <c r="G52" s="84" t="s">
        <v>14</v>
      </c>
      <c r="H52" s="85" t="s">
        <v>14</v>
      </c>
      <c r="I52" s="18">
        <v>336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92" t="s">
        <v>200</v>
      </c>
      <c r="D53" s="193"/>
      <c r="E53" s="193"/>
      <c r="F53" s="193"/>
      <c r="G53" s="84" t="s">
        <v>14</v>
      </c>
      <c r="H53" s="85" t="s">
        <v>14</v>
      </c>
      <c r="I53" s="67">
        <v>1</v>
      </c>
      <c r="J53" s="62"/>
      <c r="K53" s="62"/>
      <c r="L53" s="63"/>
      <c r="M53" s="9"/>
      <c r="N53" s="9"/>
    </row>
    <row r="54" spans="1:14" ht="15.6" customHeight="1">
      <c r="A54" s="21"/>
      <c r="B54" s="21"/>
      <c r="C54" s="198" t="s">
        <v>199</v>
      </c>
      <c r="D54" s="199"/>
      <c r="E54" s="199"/>
      <c r="F54" s="199"/>
      <c r="G54" s="82" t="s">
        <v>11</v>
      </c>
      <c r="H54" s="83" t="s">
        <v>11</v>
      </c>
      <c r="I54" s="67">
        <v>478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92" t="s">
        <v>155</v>
      </c>
      <c r="D55" s="193"/>
      <c r="E55" s="193"/>
      <c r="F55" s="193"/>
      <c r="G55" s="82" t="s">
        <v>14</v>
      </c>
      <c r="H55" s="83" t="s">
        <v>14</v>
      </c>
      <c r="I55" s="18">
        <v>10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92" t="s">
        <v>156</v>
      </c>
      <c r="D56" s="193"/>
      <c r="E56" s="193"/>
      <c r="F56" s="193"/>
      <c r="G56" s="82" t="s">
        <v>14</v>
      </c>
      <c r="H56" s="83" t="s">
        <v>14</v>
      </c>
      <c r="I56" s="18">
        <v>7</v>
      </c>
      <c r="J56" s="62"/>
      <c r="K56" s="62"/>
      <c r="L56" s="63"/>
      <c r="M56" s="9"/>
      <c r="N56" s="9"/>
    </row>
    <row r="57" spans="1:14" ht="15.6" customHeight="1">
      <c r="A57" s="21"/>
      <c r="B57" s="21"/>
      <c r="C57" s="192" t="s">
        <v>157</v>
      </c>
      <c r="D57" s="193"/>
      <c r="E57" s="193"/>
      <c r="F57" s="193"/>
      <c r="G57" s="82" t="s">
        <v>14</v>
      </c>
      <c r="H57" s="83" t="s">
        <v>14</v>
      </c>
      <c r="I57" s="18">
        <v>10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92" t="s">
        <v>152</v>
      </c>
      <c r="D58" s="193"/>
      <c r="E58" s="193"/>
      <c r="F58" s="193"/>
      <c r="G58" s="82" t="s">
        <v>14</v>
      </c>
      <c r="H58" s="83" t="s">
        <v>14</v>
      </c>
      <c r="I58" s="18">
        <v>6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92" t="s">
        <v>151</v>
      </c>
      <c r="D59" s="193"/>
      <c r="E59" s="193"/>
      <c r="F59" s="193"/>
      <c r="G59" s="82" t="s">
        <v>14</v>
      </c>
      <c r="H59" s="83" t="s">
        <v>14</v>
      </c>
      <c r="I59" s="18">
        <v>6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92" t="s">
        <v>153</v>
      </c>
      <c r="D60" s="193"/>
      <c r="E60" s="193"/>
      <c r="F60" s="193"/>
      <c r="G60" s="82" t="s">
        <v>14</v>
      </c>
      <c r="H60" s="83" t="s">
        <v>14</v>
      </c>
      <c r="I60" s="18">
        <v>8</v>
      </c>
      <c r="J60" s="62"/>
      <c r="K60" s="62"/>
      <c r="L60" s="63"/>
      <c r="M60" s="9"/>
      <c r="N60" s="9"/>
    </row>
    <row r="61" spans="1:14" ht="15.6" customHeight="1">
      <c r="A61" s="21"/>
      <c r="B61" s="21"/>
      <c r="C61" s="192" t="s">
        <v>154</v>
      </c>
      <c r="D61" s="193"/>
      <c r="E61" s="193"/>
      <c r="F61" s="193"/>
      <c r="G61" s="82" t="s">
        <v>14</v>
      </c>
      <c r="H61" s="83" t="s">
        <v>14</v>
      </c>
      <c r="I61" s="18">
        <v>5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92" t="s">
        <v>145</v>
      </c>
      <c r="D62" s="193"/>
      <c r="E62" s="193"/>
      <c r="F62" s="193"/>
      <c r="G62" s="82" t="s">
        <v>14</v>
      </c>
      <c r="H62" s="83" t="s">
        <v>14</v>
      </c>
      <c r="I62" s="18">
        <v>10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2" t="s">
        <v>258</v>
      </c>
      <c r="D63" s="193"/>
      <c r="E63" s="193"/>
      <c r="F63" s="193"/>
      <c r="G63" s="82" t="s">
        <v>14</v>
      </c>
      <c r="H63" s="83" t="s">
        <v>14</v>
      </c>
      <c r="I63" s="18">
        <v>10</v>
      </c>
      <c r="J63" s="62"/>
      <c r="K63" s="62"/>
      <c r="L63" s="63"/>
      <c r="M63" s="9"/>
      <c r="N63" s="9"/>
    </row>
    <row r="64" spans="1:14" ht="15.6" customHeight="1">
      <c r="A64" s="21"/>
      <c r="B64" s="21"/>
      <c r="C64" s="192" t="s">
        <v>146</v>
      </c>
      <c r="D64" s="193"/>
      <c r="E64" s="193"/>
      <c r="F64" s="193"/>
      <c r="G64" s="82" t="s">
        <v>14</v>
      </c>
      <c r="H64" s="83" t="s">
        <v>14</v>
      </c>
      <c r="I64" s="18">
        <v>10</v>
      </c>
      <c r="J64" s="62"/>
      <c r="K64" s="62"/>
      <c r="L64" s="63"/>
      <c r="M64" s="9"/>
      <c r="N64" s="9"/>
    </row>
    <row r="65" spans="1:14" ht="15.6" customHeight="1">
      <c r="A65" s="21"/>
      <c r="B65" s="21"/>
      <c r="C65" s="192" t="s">
        <v>147</v>
      </c>
      <c r="D65" s="193"/>
      <c r="E65" s="193"/>
      <c r="F65" s="193"/>
      <c r="G65" s="82" t="s">
        <v>14</v>
      </c>
      <c r="H65" s="83" t="s">
        <v>14</v>
      </c>
      <c r="I65" s="18">
        <v>20</v>
      </c>
      <c r="J65" s="62"/>
      <c r="K65" s="62"/>
      <c r="L65" s="63"/>
      <c r="M65" s="9"/>
      <c r="N65" s="9"/>
    </row>
    <row r="66" spans="1:14" ht="15.6" customHeight="1">
      <c r="A66" s="21"/>
      <c r="B66" s="21"/>
      <c r="C66" s="228" t="s">
        <v>192</v>
      </c>
      <c r="D66" s="229"/>
      <c r="E66" s="229"/>
      <c r="F66" s="229"/>
      <c r="G66" s="82" t="s">
        <v>14</v>
      </c>
      <c r="H66" s="83" t="s">
        <v>14</v>
      </c>
      <c r="I66" s="77">
        <v>2</v>
      </c>
      <c r="J66" s="62"/>
      <c r="K66" s="62"/>
      <c r="L66" s="63"/>
      <c r="M66" s="9"/>
      <c r="N66" s="9"/>
    </row>
    <row r="67" spans="1:14" ht="20.25" customHeight="1">
      <c r="A67" s="128"/>
      <c r="B67" s="21"/>
      <c r="C67" s="228" t="s">
        <v>343</v>
      </c>
      <c r="D67" s="229"/>
      <c r="E67" s="229"/>
      <c r="F67" s="229"/>
      <c r="G67" s="132"/>
      <c r="H67" s="133" t="s">
        <v>14</v>
      </c>
      <c r="I67" s="134">
        <v>94</v>
      </c>
      <c r="J67" s="62"/>
      <c r="K67" s="62"/>
      <c r="L67" s="63"/>
      <c r="M67" s="9"/>
      <c r="N67" s="9"/>
    </row>
    <row r="68" spans="1:14" ht="16.2" customHeight="1">
      <c r="A68" s="21"/>
      <c r="B68" s="21"/>
      <c r="C68" s="196" t="s">
        <v>237</v>
      </c>
      <c r="D68" s="196"/>
      <c r="E68" s="196"/>
      <c r="F68" s="197"/>
      <c r="G68" s="76"/>
      <c r="H68" s="77" t="s">
        <v>236</v>
      </c>
      <c r="I68" s="72">
        <v>100</v>
      </c>
      <c r="J68" s="62"/>
      <c r="K68" s="62"/>
      <c r="L68" s="63"/>
      <c r="M68" s="9"/>
      <c r="N68" s="9"/>
    </row>
    <row r="69" spans="1:14" ht="16.2">
      <c r="A69" s="21"/>
      <c r="B69" s="21"/>
      <c r="C69" s="196" t="s">
        <v>238</v>
      </c>
      <c r="D69" s="196"/>
      <c r="E69" s="196"/>
      <c r="F69" s="197"/>
      <c r="G69" s="76"/>
      <c r="H69" s="77" t="s">
        <v>236</v>
      </c>
      <c r="I69" s="72">
        <v>600</v>
      </c>
      <c r="J69" s="62"/>
      <c r="K69" s="62"/>
      <c r="L69" s="63"/>
      <c r="M69" s="9"/>
      <c r="N69" s="9"/>
    </row>
    <row r="70" spans="1:14">
      <c r="A70" s="21"/>
      <c r="B70" s="21"/>
      <c r="C70" s="230" t="s">
        <v>39</v>
      </c>
      <c r="D70" s="231"/>
      <c r="E70" s="231"/>
      <c r="F70" s="231"/>
      <c r="G70" s="231"/>
      <c r="H70" s="231"/>
      <c r="I70" s="231"/>
      <c r="J70" s="62"/>
      <c r="K70" s="62"/>
      <c r="L70" s="63"/>
      <c r="M70" s="9"/>
      <c r="N70" s="9"/>
    </row>
    <row r="71" spans="1:14" ht="16.95" customHeight="1">
      <c r="A71" s="171" t="s">
        <v>40</v>
      </c>
      <c r="B71" s="172"/>
      <c r="C71" s="172"/>
      <c r="D71" s="172"/>
      <c r="E71" s="172"/>
      <c r="F71" s="172"/>
      <c r="G71" s="172"/>
      <c r="H71" s="172"/>
      <c r="I71" s="186"/>
      <c r="J71" s="62"/>
      <c r="K71" s="62"/>
      <c r="L71" s="63"/>
      <c r="M71" s="9"/>
      <c r="N71" s="9"/>
    </row>
    <row r="72" spans="1:14" ht="31.5" customHeight="1">
      <c r="A72" s="58" t="s">
        <v>123</v>
      </c>
      <c r="B72" s="21"/>
      <c r="C72" s="204" t="s">
        <v>124</v>
      </c>
      <c r="D72" s="205"/>
      <c r="E72" s="205"/>
      <c r="F72" s="205"/>
      <c r="G72" s="205"/>
      <c r="H72" s="34"/>
      <c r="I72" s="75"/>
      <c r="J72" s="62"/>
      <c r="K72" s="62"/>
      <c r="L72" s="63"/>
      <c r="M72" s="9"/>
      <c r="N72" s="9"/>
    </row>
    <row r="73" spans="1:14" ht="16.95" customHeight="1">
      <c r="A73" s="21"/>
      <c r="B73" s="21"/>
      <c r="C73" s="169" t="s">
        <v>244</v>
      </c>
      <c r="D73" s="169"/>
      <c r="E73" s="169"/>
      <c r="F73" s="169"/>
      <c r="G73" s="169"/>
      <c r="H73" s="169"/>
      <c r="I73" s="170"/>
      <c r="J73" s="62">
        <v>0.25</v>
      </c>
      <c r="K73" s="62">
        <v>100</v>
      </c>
      <c r="L73" s="63"/>
      <c r="M73" s="65">
        <v>96</v>
      </c>
      <c r="N73" s="9" t="s">
        <v>393</v>
      </c>
    </row>
    <row r="74" spans="1:14" ht="16.95" customHeight="1">
      <c r="A74" s="21"/>
      <c r="B74" s="21" t="s">
        <v>117</v>
      </c>
      <c r="C74" s="151" t="s">
        <v>260</v>
      </c>
      <c r="D74" s="152"/>
      <c r="E74" s="152"/>
      <c r="F74" s="152"/>
      <c r="G74" s="152"/>
      <c r="H74" s="153"/>
      <c r="I74" s="78">
        <f>I17*J73*M73/K73</f>
        <v>346.56</v>
      </c>
      <c r="J74" s="62">
        <v>0.33</v>
      </c>
      <c r="K74" s="62">
        <v>100</v>
      </c>
      <c r="L74" s="63"/>
      <c r="M74" s="65">
        <v>96</v>
      </c>
      <c r="N74" s="9"/>
    </row>
    <row r="75" spans="1:14" ht="16.95" customHeight="1">
      <c r="A75" s="21"/>
      <c r="B75" s="21" t="s">
        <v>118</v>
      </c>
      <c r="C75" s="151" t="s">
        <v>261</v>
      </c>
      <c r="D75" s="152"/>
      <c r="E75" s="152"/>
      <c r="F75" s="152" t="s">
        <v>74</v>
      </c>
      <c r="G75" s="152"/>
      <c r="H75" s="153"/>
      <c r="I75" s="78">
        <f>I18*J74*M74/K74</f>
        <v>152.06400000000002</v>
      </c>
      <c r="J75" s="62">
        <v>0.13</v>
      </c>
      <c r="K75" s="62">
        <v>100</v>
      </c>
      <c r="L75" s="63"/>
      <c r="M75" s="65">
        <v>64</v>
      </c>
      <c r="N75" s="9"/>
    </row>
    <row r="76" spans="1:14" ht="16.95" customHeight="1">
      <c r="A76" s="21"/>
      <c r="B76" s="21" t="s">
        <v>119</v>
      </c>
      <c r="C76" s="151" t="s">
        <v>120</v>
      </c>
      <c r="D76" s="152"/>
      <c r="E76" s="152"/>
      <c r="F76" s="152" t="s">
        <v>74</v>
      </c>
      <c r="G76" s="152"/>
      <c r="H76" s="153"/>
      <c r="I76" s="78">
        <f>I19*J75*M75/K75</f>
        <v>77.226240000000004</v>
      </c>
      <c r="J76" s="81">
        <v>0.38</v>
      </c>
      <c r="K76" s="81">
        <v>2</v>
      </c>
      <c r="L76" s="63"/>
      <c r="M76" s="65">
        <v>64</v>
      </c>
      <c r="N76" s="9"/>
    </row>
    <row r="77" spans="1:14" ht="16.95" customHeight="1">
      <c r="A77" s="21"/>
      <c r="B77" s="21" t="s">
        <v>121</v>
      </c>
      <c r="C77" s="151" t="s">
        <v>255</v>
      </c>
      <c r="D77" s="152"/>
      <c r="E77" s="152"/>
      <c r="F77" s="152" t="s">
        <v>74</v>
      </c>
      <c r="G77" s="152"/>
      <c r="H77" s="153"/>
      <c r="I77" s="78">
        <f>J76*0.36*M76</f>
        <v>8.7552000000000003</v>
      </c>
      <c r="J77" s="62">
        <v>2003</v>
      </c>
      <c r="K77" s="62"/>
      <c r="L77" s="63"/>
      <c r="M77" s="65" t="s">
        <v>239</v>
      </c>
      <c r="N77" s="9"/>
    </row>
    <row r="78" spans="1:14" ht="16.95" customHeight="1">
      <c r="A78" s="21"/>
      <c r="B78" s="21"/>
      <c r="C78" s="151" t="s">
        <v>344</v>
      </c>
      <c r="D78" s="152"/>
      <c r="E78" s="152"/>
      <c r="F78" s="152" t="s">
        <v>70</v>
      </c>
      <c r="G78" s="152"/>
      <c r="H78" s="153"/>
      <c r="I78" s="78">
        <f>I74+I75+I76+I77</f>
        <v>584.60543999999993</v>
      </c>
      <c r="J78" s="81"/>
      <c r="K78" s="81"/>
      <c r="L78" s="63"/>
      <c r="M78" s="9"/>
      <c r="N78" s="9"/>
    </row>
    <row r="79" spans="1:14" ht="18.600000000000001" customHeight="1">
      <c r="A79" s="21"/>
      <c r="B79" s="21"/>
      <c r="C79" s="151" t="s">
        <v>252</v>
      </c>
      <c r="D79" s="152"/>
      <c r="E79" s="152"/>
      <c r="F79" s="152" t="s">
        <v>42</v>
      </c>
      <c r="G79" s="152"/>
      <c r="H79" s="153"/>
      <c r="I79" s="87">
        <f>I78/J77</f>
        <v>0.29186492261607583</v>
      </c>
      <c r="J79" s="81">
        <v>1450</v>
      </c>
      <c r="K79" s="81">
        <v>1.2</v>
      </c>
      <c r="L79" s="63">
        <v>1.2</v>
      </c>
      <c r="M79" s="9"/>
      <c r="N79" s="9"/>
    </row>
    <row r="80" spans="1:14" ht="15" customHeight="1">
      <c r="A80" s="21"/>
      <c r="B80" s="21"/>
      <c r="C80" s="151" t="s">
        <v>75</v>
      </c>
      <c r="D80" s="152"/>
      <c r="E80" s="152"/>
      <c r="F80" s="152" t="s">
        <v>18</v>
      </c>
      <c r="G80" s="152"/>
      <c r="H80" s="153"/>
      <c r="I80" s="78">
        <f>I79*J79*K79*L79</f>
        <v>609.41395842236625</v>
      </c>
      <c r="J80" s="81"/>
      <c r="K80" s="81"/>
      <c r="L80" s="63"/>
      <c r="M80" s="9"/>
      <c r="N80" s="9"/>
    </row>
    <row r="81" spans="1:14" s="71" customFormat="1" ht="15" customHeight="1">
      <c r="A81" s="21"/>
      <c r="B81" s="21"/>
      <c r="C81" s="151" t="s">
        <v>250</v>
      </c>
      <c r="D81" s="152"/>
      <c r="E81" s="152"/>
      <c r="F81" s="152" t="s">
        <v>18</v>
      </c>
      <c r="G81" s="152"/>
      <c r="H81" s="153"/>
      <c r="I81" s="78">
        <f>I80*0.22</f>
        <v>134.07107085292057</v>
      </c>
      <c r="J81" s="51">
        <v>0.34</v>
      </c>
      <c r="K81" s="81"/>
      <c r="L81" s="88"/>
      <c r="M81" s="49"/>
      <c r="N81" s="49"/>
    </row>
    <row r="82" spans="1:14" s="71" customFormat="1" ht="16.95" customHeight="1">
      <c r="A82" s="47"/>
      <c r="B82" s="47"/>
      <c r="C82" s="157" t="s">
        <v>345</v>
      </c>
      <c r="D82" s="158"/>
      <c r="E82" s="158"/>
      <c r="F82" s="158" t="s">
        <v>18</v>
      </c>
      <c r="G82" s="158"/>
      <c r="H82" s="159"/>
      <c r="I82" s="72">
        <f>I80*J81</f>
        <v>207.20074586360454</v>
      </c>
      <c r="J82" s="81">
        <v>212.92</v>
      </c>
      <c r="K82" s="81"/>
      <c r="L82" s="88"/>
      <c r="M82" s="49"/>
      <c r="N82" s="49"/>
    </row>
    <row r="83" spans="1:14" s="71" customFormat="1" ht="15" customHeight="1">
      <c r="A83" s="47"/>
      <c r="B83" s="47"/>
      <c r="C83" s="160" t="s">
        <v>318</v>
      </c>
      <c r="D83" s="161"/>
      <c r="E83" s="162" t="s">
        <v>319</v>
      </c>
      <c r="F83" s="163"/>
      <c r="G83" s="163"/>
      <c r="H83" s="164"/>
      <c r="I83" s="72">
        <f>I79*J82</f>
        <v>62.143879323414865</v>
      </c>
      <c r="J83" s="81"/>
      <c r="K83" s="81"/>
      <c r="L83" s="88"/>
      <c r="M83" s="49"/>
      <c r="N83" s="49"/>
    </row>
    <row r="84" spans="1:14" s="71" customFormat="1" ht="16.2" customHeight="1">
      <c r="A84" s="47"/>
      <c r="B84" s="47"/>
      <c r="C84" s="160" t="s">
        <v>262</v>
      </c>
      <c r="D84" s="176"/>
      <c r="E84" s="176"/>
      <c r="F84" s="176"/>
      <c r="G84" s="176"/>
      <c r="H84" s="161"/>
      <c r="I84" s="72">
        <f>SUM(I80:I83)</f>
        <v>1012.8296544623063</v>
      </c>
      <c r="J84" s="51">
        <v>0.2</v>
      </c>
      <c r="K84" s="81"/>
      <c r="L84" s="88"/>
      <c r="M84" s="49"/>
      <c r="N84" s="49"/>
    </row>
    <row r="85" spans="1:14" s="71" customFormat="1" ht="15" customHeight="1">
      <c r="A85" s="47"/>
      <c r="B85" s="47"/>
      <c r="C85" s="160" t="s">
        <v>346</v>
      </c>
      <c r="D85" s="176"/>
      <c r="E85" s="176"/>
      <c r="F85" s="176"/>
      <c r="G85" s="176"/>
      <c r="H85" s="161"/>
      <c r="I85" s="72">
        <f>I84*J84</f>
        <v>202.56593089246127</v>
      </c>
      <c r="J85" s="81"/>
      <c r="K85" s="81"/>
      <c r="L85" s="88"/>
      <c r="M85" s="49"/>
      <c r="N85" s="49"/>
    </row>
    <row r="86" spans="1:14" s="71" customFormat="1" ht="15" customHeight="1">
      <c r="A86" s="47"/>
      <c r="B86" s="47"/>
      <c r="C86" s="160" t="s">
        <v>45</v>
      </c>
      <c r="D86" s="176"/>
      <c r="E86" s="176"/>
      <c r="F86" s="176"/>
      <c r="G86" s="176"/>
      <c r="H86" s="161"/>
      <c r="I86" s="72">
        <f>I84+I85</f>
        <v>1215.3955853547675</v>
      </c>
      <c r="J86" s="91">
        <v>0.05</v>
      </c>
      <c r="K86" s="81"/>
      <c r="L86" s="88"/>
      <c r="M86" s="49"/>
      <c r="N86" s="49"/>
    </row>
    <row r="87" spans="1:14" ht="15" customHeight="1">
      <c r="A87" s="47"/>
      <c r="B87" s="47"/>
      <c r="C87" s="165" t="s">
        <v>46</v>
      </c>
      <c r="D87" s="166"/>
      <c r="E87" s="167"/>
      <c r="F87" s="162" t="s">
        <v>18</v>
      </c>
      <c r="G87" s="164"/>
      <c r="H87" s="90">
        <v>0.05</v>
      </c>
      <c r="I87" s="72">
        <f>I86*J86</f>
        <v>60.769779267738379</v>
      </c>
      <c r="J87" s="81"/>
      <c r="K87" s="81"/>
      <c r="L87" s="63"/>
      <c r="M87" s="9"/>
      <c r="N87" s="9"/>
    </row>
    <row r="88" spans="1:14" ht="15" customHeight="1">
      <c r="A88" s="21"/>
      <c r="B88" s="21"/>
      <c r="C88" s="177" t="s">
        <v>47</v>
      </c>
      <c r="D88" s="178"/>
      <c r="E88" s="178"/>
      <c r="F88" s="178" t="s">
        <v>18</v>
      </c>
      <c r="G88" s="178"/>
      <c r="H88" s="179"/>
      <c r="I88" s="78">
        <f>I86+I87</f>
        <v>1276.1653646225059</v>
      </c>
      <c r="J88" s="80">
        <v>0.05</v>
      </c>
      <c r="K88" s="80">
        <v>0.95</v>
      </c>
      <c r="L88" s="63"/>
      <c r="M88" s="9"/>
      <c r="N88" s="9"/>
    </row>
    <row r="89" spans="1:14" ht="15" customHeight="1">
      <c r="A89" s="21"/>
      <c r="B89" s="21"/>
      <c r="C89" s="146" t="s">
        <v>48</v>
      </c>
      <c r="D89" s="147"/>
      <c r="E89" s="148"/>
      <c r="F89" s="149" t="s">
        <v>18</v>
      </c>
      <c r="G89" s="150"/>
      <c r="H89" s="92">
        <v>0.05</v>
      </c>
      <c r="I89" s="78">
        <f>I88*J88/K88</f>
        <v>67.166598138026629</v>
      </c>
      <c r="J89" s="81"/>
      <c r="K89" s="81"/>
      <c r="L89" s="63"/>
      <c r="M89" s="9"/>
      <c r="N89" s="9"/>
    </row>
    <row r="90" spans="1:14" ht="15" customHeight="1">
      <c r="A90" s="21"/>
      <c r="B90" s="21"/>
      <c r="C90" s="177" t="s">
        <v>49</v>
      </c>
      <c r="D90" s="178"/>
      <c r="E90" s="178"/>
      <c r="F90" s="178" t="s">
        <v>18</v>
      </c>
      <c r="G90" s="178"/>
      <c r="H90" s="179"/>
      <c r="I90" s="78">
        <f>I88+I89</f>
        <v>1343.3319627605324</v>
      </c>
      <c r="J90" s="81"/>
      <c r="K90" s="81"/>
      <c r="L90" s="63"/>
      <c r="M90" s="9"/>
      <c r="N90" s="9"/>
    </row>
    <row r="91" spans="1:14" ht="18" customHeight="1">
      <c r="A91" s="21"/>
      <c r="B91" s="21"/>
      <c r="C91" s="154" t="s">
        <v>94</v>
      </c>
      <c r="D91" s="155"/>
      <c r="E91" s="155"/>
      <c r="F91" s="155"/>
      <c r="G91" s="155"/>
      <c r="H91" s="156"/>
      <c r="I91" s="14">
        <f>I90/I9</f>
        <v>0.22756343059176137</v>
      </c>
      <c r="J91" s="81"/>
      <c r="K91" s="81"/>
      <c r="L91" s="63"/>
      <c r="M91" s="9"/>
      <c r="N91" s="9"/>
    </row>
    <row r="92" spans="1:14" ht="32.4" customHeight="1">
      <c r="A92" s="58" t="s">
        <v>125</v>
      </c>
      <c r="B92" s="21"/>
      <c r="C92" s="204" t="s">
        <v>126</v>
      </c>
      <c r="D92" s="205"/>
      <c r="E92" s="205"/>
      <c r="F92" s="205"/>
      <c r="G92" s="205"/>
      <c r="H92" s="34"/>
      <c r="I92" s="78"/>
      <c r="J92" s="81">
        <v>3.8</v>
      </c>
      <c r="K92" s="81"/>
      <c r="L92" s="63">
        <v>2</v>
      </c>
      <c r="M92" s="9"/>
      <c r="N92" s="9"/>
    </row>
    <row r="93" spans="1:14" ht="38.25" customHeight="1">
      <c r="A93" s="21"/>
      <c r="B93" s="21" t="s">
        <v>122</v>
      </c>
      <c r="C93" s="151" t="s">
        <v>263</v>
      </c>
      <c r="D93" s="152"/>
      <c r="E93" s="152"/>
      <c r="F93" s="152"/>
      <c r="G93" s="152"/>
      <c r="H93" s="153"/>
      <c r="I93" s="78">
        <f>J92*L92</f>
        <v>7.6</v>
      </c>
      <c r="J93" s="81">
        <v>0.38</v>
      </c>
      <c r="K93" s="81">
        <v>0.5</v>
      </c>
      <c r="L93" s="63">
        <v>2</v>
      </c>
      <c r="M93" s="9"/>
      <c r="N93" s="9"/>
    </row>
    <row r="94" spans="1:14" ht="15" customHeight="1">
      <c r="A94" s="21"/>
      <c r="B94" s="21" t="s">
        <v>121</v>
      </c>
      <c r="C94" s="151" t="s">
        <v>320</v>
      </c>
      <c r="D94" s="152"/>
      <c r="E94" s="152"/>
      <c r="F94" s="152" t="s">
        <v>264</v>
      </c>
      <c r="G94" s="152"/>
      <c r="H94" s="153"/>
      <c r="I94" s="78">
        <f>J93*L93*K93</f>
        <v>0.38</v>
      </c>
      <c r="J94" s="62">
        <v>2003</v>
      </c>
      <c r="K94" s="62"/>
      <c r="L94" s="63"/>
      <c r="M94" s="9"/>
      <c r="N94" s="9"/>
    </row>
    <row r="95" spans="1:14" ht="15" customHeight="1">
      <c r="A95" s="21"/>
      <c r="B95" s="21"/>
      <c r="C95" s="151" t="s">
        <v>265</v>
      </c>
      <c r="D95" s="152"/>
      <c r="E95" s="152"/>
      <c r="F95" s="152" t="s">
        <v>42</v>
      </c>
      <c r="G95" s="152"/>
      <c r="H95" s="153"/>
      <c r="I95" s="16">
        <f>(I93+I94)/J94</f>
        <v>3.9840239640539189E-3</v>
      </c>
      <c r="J95" s="81">
        <v>1450</v>
      </c>
      <c r="K95" s="81">
        <v>1.2</v>
      </c>
      <c r="L95" s="63">
        <v>1.2</v>
      </c>
      <c r="M95" s="9"/>
      <c r="N95" s="9"/>
    </row>
    <row r="96" spans="1:14" ht="15" customHeight="1">
      <c r="A96" s="21"/>
      <c r="B96" s="21"/>
      <c r="C96" s="151" t="s">
        <v>75</v>
      </c>
      <c r="D96" s="152"/>
      <c r="E96" s="152"/>
      <c r="F96" s="152" t="s">
        <v>18</v>
      </c>
      <c r="G96" s="152"/>
      <c r="H96" s="153"/>
      <c r="I96" s="78">
        <f>J95*K95*L95*I95</f>
        <v>8.318642036944583</v>
      </c>
      <c r="J96" s="62"/>
      <c r="K96" s="62"/>
      <c r="L96" s="63"/>
      <c r="M96" s="9"/>
      <c r="N96" s="9"/>
    </row>
    <row r="97" spans="1:14" s="71" customFormat="1" ht="15" customHeight="1">
      <c r="A97" s="21"/>
      <c r="B97" s="21"/>
      <c r="C97" s="151" t="s">
        <v>44</v>
      </c>
      <c r="D97" s="152"/>
      <c r="E97" s="152"/>
      <c r="F97" s="152" t="s">
        <v>18</v>
      </c>
      <c r="G97" s="152"/>
      <c r="H97" s="153"/>
      <c r="I97" s="78">
        <f>SUM(I96:I96)</f>
        <v>8.318642036944583</v>
      </c>
      <c r="J97" s="91">
        <v>0.22</v>
      </c>
      <c r="K97" s="81"/>
      <c r="L97" s="88"/>
      <c r="M97" s="49"/>
      <c r="N97" s="49"/>
    </row>
    <row r="98" spans="1:14" s="71" customFormat="1" ht="15" customHeight="1">
      <c r="A98" s="47"/>
      <c r="B98" s="47"/>
      <c r="C98" s="157" t="s">
        <v>250</v>
      </c>
      <c r="D98" s="158"/>
      <c r="E98" s="158"/>
      <c r="F98" s="158" t="s">
        <v>18</v>
      </c>
      <c r="G98" s="158"/>
      <c r="H98" s="159"/>
      <c r="I98" s="72">
        <f>I97*J97</f>
        <v>1.8301012481278083</v>
      </c>
      <c r="J98" s="51">
        <v>0.34</v>
      </c>
      <c r="K98" s="81"/>
      <c r="L98" s="88"/>
      <c r="M98" s="49"/>
      <c r="N98" s="49"/>
    </row>
    <row r="99" spans="1:14" s="71" customFormat="1" ht="15" customHeight="1">
      <c r="A99" s="47"/>
      <c r="B99" s="47"/>
      <c r="C99" s="157" t="s">
        <v>347</v>
      </c>
      <c r="D99" s="158"/>
      <c r="E99" s="158"/>
      <c r="F99" s="158" t="s">
        <v>18</v>
      </c>
      <c r="G99" s="158"/>
      <c r="H99" s="159"/>
      <c r="I99" s="72">
        <f>I97*J98</f>
        <v>2.8283382925611584</v>
      </c>
      <c r="J99" s="81">
        <v>212.92</v>
      </c>
      <c r="K99" s="81"/>
      <c r="L99" s="88"/>
      <c r="M99" s="49"/>
      <c r="N99" s="49"/>
    </row>
    <row r="100" spans="1:14" s="71" customFormat="1" ht="15" customHeight="1">
      <c r="A100" s="47"/>
      <c r="B100" s="47"/>
      <c r="C100" s="160" t="s">
        <v>266</v>
      </c>
      <c r="D100" s="176"/>
      <c r="E100" s="161"/>
      <c r="F100" s="162" t="s">
        <v>18</v>
      </c>
      <c r="G100" s="164"/>
      <c r="H100" s="93">
        <v>212.92</v>
      </c>
      <c r="I100" s="72">
        <f>J99*I95</f>
        <v>0.84827838242636033</v>
      </c>
      <c r="J100" s="81">
        <v>320</v>
      </c>
      <c r="K100" s="81">
        <f>L92/6+1</f>
        <v>1.3333333333333333</v>
      </c>
      <c r="L100" s="88"/>
      <c r="M100" s="49"/>
      <c r="N100" s="49"/>
    </row>
    <row r="101" spans="1:14" s="71" customFormat="1" ht="15" customHeight="1">
      <c r="A101" s="47"/>
      <c r="B101" s="47"/>
      <c r="C101" s="160" t="s">
        <v>256</v>
      </c>
      <c r="D101" s="176"/>
      <c r="E101" s="161"/>
      <c r="F101" s="162" t="s">
        <v>18</v>
      </c>
      <c r="G101" s="164"/>
      <c r="H101" s="93" t="s">
        <v>253</v>
      </c>
      <c r="I101" s="72">
        <f>J100*K100/12</f>
        <v>35.55555555555555</v>
      </c>
      <c r="J101" s="81">
        <v>300</v>
      </c>
      <c r="K101" s="81">
        <f>L93/6</f>
        <v>0.33333333333333331</v>
      </c>
      <c r="L101" s="88"/>
      <c r="M101" s="49"/>
      <c r="N101" s="49"/>
    </row>
    <row r="102" spans="1:14" s="71" customFormat="1" ht="15" customHeight="1">
      <c r="A102" s="47"/>
      <c r="B102" s="47"/>
      <c r="C102" s="160" t="s">
        <v>257</v>
      </c>
      <c r="D102" s="176"/>
      <c r="E102" s="161"/>
      <c r="F102" s="162" t="s">
        <v>18</v>
      </c>
      <c r="G102" s="164"/>
      <c r="H102" s="93" t="s">
        <v>254</v>
      </c>
      <c r="I102" s="72">
        <f>J101/12*K101</f>
        <v>8.3333333333333321</v>
      </c>
      <c r="J102" s="81"/>
      <c r="K102" s="81"/>
      <c r="L102" s="88"/>
      <c r="M102" s="49"/>
      <c r="N102" s="49"/>
    </row>
    <row r="103" spans="1:14" s="71" customFormat="1" ht="15" customHeight="1">
      <c r="A103" s="47"/>
      <c r="B103" s="47"/>
      <c r="C103" s="157" t="s">
        <v>267</v>
      </c>
      <c r="D103" s="158"/>
      <c r="E103" s="158"/>
      <c r="F103" s="158" t="s">
        <v>18</v>
      </c>
      <c r="G103" s="158"/>
      <c r="H103" s="159"/>
      <c r="I103" s="72">
        <f>SUM(I97:I102)</f>
        <v>57.714248848948785</v>
      </c>
      <c r="J103" s="51">
        <v>0.2</v>
      </c>
      <c r="K103" s="81"/>
      <c r="L103" s="88"/>
      <c r="M103" s="49"/>
      <c r="N103" s="49"/>
    </row>
    <row r="104" spans="1:14" ht="15" customHeight="1">
      <c r="A104" s="47"/>
      <c r="B104" s="47"/>
      <c r="C104" s="157" t="s">
        <v>348</v>
      </c>
      <c r="D104" s="158"/>
      <c r="E104" s="158"/>
      <c r="F104" s="158" t="s">
        <v>18</v>
      </c>
      <c r="G104" s="158"/>
      <c r="H104" s="159"/>
      <c r="I104" s="72">
        <f>I103*J103</f>
        <v>11.542849769789758</v>
      </c>
      <c r="J104" s="62"/>
      <c r="K104" s="62"/>
      <c r="L104" s="63"/>
      <c r="M104" s="9"/>
      <c r="N104" s="9"/>
    </row>
    <row r="105" spans="1:14" ht="15" customHeight="1">
      <c r="A105" s="21"/>
      <c r="B105" s="21"/>
      <c r="C105" s="151" t="s">
        <v>45</v>
      </c>
      <c r="D105" s="152"/>
      <c r="E105" s="152"/>
      <c r="F105" s="152" t="s">
        <v>18</v>
      </c>
      <c r="G105" s="152"/>
      <c r="H105" s="153"/>
      <c r="I105" s="78">
        <f>SUM(I103:I104)</f>
        <v>69.257098618738539</v>
      </c>
      <c r="J105" s="80">
        <v>0.05</v>
      </c>
      <c r="K105" s="62"/>
      <c r="L105" s="63"/>
      <c r="M105" s="9"/>
      <c r="N105" s="9"/>
    </row>
    <row r="106" spans="1:14" ht="15" customHeight="1">
      <c r="A106" s="21"/>
      <c r="B106" s="21"/>
      <c r="C106" s="177" t="s">
        <v>46</v>
      </c>
      <c r="D106" s="178"/>
      <c r="E106" s="179"/>
      <c r="F106" s="149" t="s">
        <v>18</v>
      </c>
      <c r="G106" s="150"/>
      <c r="H106" s="92">
        <v>0.05</v>
      </c>
      <c r="I106" s="78">
        <f>I105*J105</f>
        <v>3.4628549309369272</v>
      </c>
      <c r="J106" s="62"/>
      <c r="K106" s="62"/>
      <c r="L106" s="63"/>
      <c r="M106" s="9"/>
      <c r="N106" s="9"/>
    </row>
    <row r="107" spans="1:14" ht="15" customHeight="1">
      <c r="A107" s="21"/>
      <c r="B107" s="21"/>
      <c r="C107" s="151" t="s">
        <v>47</v>
      </c>
      <c r="D107" s="152"/>
      <c r="E107" s="152"/>
      <c r="F107" s="152" t="s">
        <v>18</v>
      </c>
      <c r="G107" s="152"/>
      <c r="H107" s="153"/>
      <c r="I107" s="78">
        <f>I105+I106</f>
        <v>72.719953549675466</v>
      </c>
      <c r="J107" s="80">
        <v>0.05</v>
      </c>
      <c r="K107" s="80">
        <v>0.95</v>
      </c>
      <c r="L107" s="63"/>
      <c r="M107" s="9"/>
      <c r="N107" s="9"/>
    </row>
    <row r="108" spans="1:14" ht="15" customHeight="1">
      <c r="A108" s="21"/>
      <c r="B108" s="21"/>
      <c r="C108" s="177" t="s">
        <v>48</v>
      </c>
      <c r="D108" s="178"/>
      <c r="E108" s="179"/>
      <c r="F108" s="149" t="s">
        <v>18</v>
      </c>
      <c r="G108" s="150"/>
      <c r="H108" s="92">
        <v>0.05</v>
      </c>
      <c r="I108" s="78">
        <f>I107*J107/K107</f>
        <v>3.8273659762987093</v>
      </c>
      <c r="J108" s="62"/>
      <c r="K108" s="62"/>
      <c r="L108" s="63"/>
      <c r="M108" s="9"/>
      <c r="N108" s="9"/>
    </row>
    <row r="109" spans="1:14" s="6" customFormat="1">
      <c r="A109" s="21"/>
      <c r="B109" s="21"/>
      <c r="C109" s="151" t="s">
        <v>49</v>
      </c>
      <c r="D109" s="152"/>
      <c r="E109" s="152"/>
      <c r="F109" s="152" t="s">
        <v>18</v>
      </c>
      <c r="G109" s="152"/>
      <c r="H109" s="153"/>
      <c r="I109" s="78">
        <f>I107+I108</f>
        <v>76.547319525974174</v>
      </c>
      <c r="J109" s="55"/>
      <c r="K109" s="55"/>
      <c r="L109" s="54"/>
      <c r="M109" s="54"/>
      <c r="N109" s="54"/>
    </row>
    <row r="110" spans="1:14" s="6" customFormat="1" ht="16.2">
      <c r="A110" s="53"/>
      <c r="B110" s="53"/>
      <c r="C110" s="154" t="s">
        <v>94</v>
      </c>
      <c r="D110" s="155"/>
      <c r="E110" s="155"/>
      <c r="F110" s="155" t="s">
        <v>51</v>
      </c>
      <c r="G110" s="155"/>
      <c r="H110" s="156"/>
      <c r="I110" s="14">
        <f>I109/I9</f>
        <v>1.2967286654996125E-2</v>
      </c>
      <c r="J110" s="55"/>
      <c r="K110" s="55"/>
      <c r="L110" s="54"/>
      <c r="M110" s="54"/>
      <c r="N110" s="54"/>
    </row>
    <row r="111" spans="1:14" s="15" customFormat="1" ht="15" customHeight="1">
      <c r="A111" s="58" t="s">
        <v>127</v>
      </c>
      <c r="B111" s="53"/>
      <c r="C111" s="204" t="s">
        <v>130</v>
      </c>
      <c r="D111" s="205"/>
      <c r="E111" s="205"/>
      <c r="F111" s="205"/>
      <c r="G111" s="205"/>
      <c r="H111" s="23"/>
      <c r="I111" s="23"/>
      <c r="J111" s="62">
        <v>0.28000000000000003</v>
      </c>
      <c r="K111" s="62">
        <v>100</v>
      </c>
      <c r="L111" s="63"/>
      <c r="M111" s="9"/>
      <c r="N111" s="61"/>
    </row>
    <row r="112" spans="1:14" s="15" customFormat="1" ht="15" customHeight="1">
      <c r="A112" s="60"/>
      <c r="B112" s="60" t="s">
        <v>128</v>
      </c>
      <c r="C112" s="177" t="s">
        <v>268</v>
      </c>
      <c r="D112" s="178"/>
      <c r="E112" s="178"/>
      <c r="F112" s="178"/>
      <c r="G112" s="178"/>
      <c r="H112" s="179"/>
      <c r="I112" s="78">
        <f>J111*I19/K111</f>
        <v>2.5989599999999999</v>
      </c>
      <c r="J112" s="62">
        <v>0.11</v>
      </c>
      <c r="K112" s="62">
        <v>100</v>
      </c>
      <c r="L112" s="63"/>
      <c r="M112" s="61"/>
      <c r="N112" s="61"/>
    </row>
    <row r="113" spans="1:14" s="15" customFormat="1" ht="15" customHeight="1">
      <c r="A113" s="60"/>
      <c r="B113" s="60" t="s">
        <v>129</v>
      </c>
      <c r="C113" s="177" t="s">
        <v>269</v>
      </c>
      <c r="D113" s="178"/>
      <c r="E113" s="178"/>
      <c r="F113" s="178" t="s">
        <v>70</v>
      </c>
      <c r="G113" s="178"/>
      <c r="H113" s="179"/>
      <c r="I113" s="78">
        <f>J112*I19/K112</f>
        <v>1.02102</v>
      </c>
      <c r="J113" s="62">
        <v>3</v>
      </c>
      <c r="K113" s="62"/>
      <c r="L113" s="63"/>
      <c r="M113" s="9"/>
      <c r="N113" s="61"/>
    </row>
    <row r="114" spans="1:14" s="15" customFormat="1" ht="15" customHeight="1">
      <c r="A114" s="60"/>
      <c r="B114" s="60"/>
      <c r="C114" s="177" t="s">
        <v>131</v>
      </c>
      <c r="D114" s="178"/>
      <c r="E114" s="178"/>
      <c r="F114" s="178" t="s">
        <v>70</v>
      </c>
      <c r="G114" s="178"/>
      <c r="H114" s="179"/>
      <c r="I114" s="16">
        <f>(I112+I113)*J113</f>
        <v>10.85994</v>
      </c>
      <c r="J114" s="81">
        <v>2003</v>
      </c>
      <c r="K114" s="62"/>
      <c r="L114" s="63"/>
      <c r="M114" s="61"/>
      <c r="N114" s="61"/>
    </row>
    <row r="115" spans="1:14" s="15" customFormat="1" ht="15" customHeight="1">
      <c r="A115" s="60"/>
      <c r="B115" s="60"/>
      <c r="C115" s="151" t="s">
        <v>270</v>
      </c>
      <c r="D115" s="152"/>
      <c r="E115" s="152"/>
      <c r="F115" s="152" t="s">
        <v>42</v>
      </c>
      <c r="G115" s="152"/>
      <c r="H115" s="153"/>
      <c r="I115" s="16">
        <f>I114/J114</f>
        <v>5.4218372441337996E-3</v>
      </c>
      <c r="J115" s="81">
        <v>1450</v>
      </c>
      <c r="K115" s="81">
        <v>1.2</v>
      </c>
      <c r="L115" s="63">
        <v>1.2</v>
      </c>
      <c r="M115" s="61"/>
      <c r="N115" s="61"/>
    </row>
    <row r="116" spans="1:14" s="15" customFormat="1" ht="15" customHeight="1">
      <c r="A116" s="60"/>
      <c r="B116" s="60"/>
      <c r="C116" s="177" t="s">
        <v>95</v>
      </c>
      <c r="D116" s="178"/>
      <c r="E116" s="178"/>
      <c r="F116" s="178" t="s">
        <v>18</v>
      </c>
      <c r="G116" s="178"/>
      <c r="H116" s="179"/>
      <c r="I116" s="78">
        <f>J115*K115*L115*I115</f>
        <v>11.320796165751373</v>
      </c>
      <c r="J116" s="94">
        <v>0.22</v>
      </c>
      <c r="K116" s="62"/>
      <c r="L116" s="63"/>
      <c r="M116" s="61"/>
      <c r="N116" s="61"/>
    </row>
    <row r="117" spans="1:14" s="15" customFormat="1" ht="15" customHeight="1">
      <c r="A117" s="60"/>
      <c r="B117" s="60"/>
      <c r="C117" s="151" t="s">
        <v>250</v>
      </c>
      <c r="D117" s="152"/>
      <c r="E117" s="152"/>
      <c r="F117" s="152" t="s">
        <v>18</v>
      </c>
      <c r="G117" s="152"/>
      <c r="H117" s="153"/>
      <c r="I117" s="78">
        <f>I116*J116</f>
        <v>2.4905751564653023</v>
      </c>
      <c r="J117" s="95"/>
      <c r="K117" s="62"/>
      <c r="L117" s="63"/>
      <c r="M117" s="61"/>
      <c r="N117" s="61"/>
    </row>
    <row r="118" spans="1:14" s="15" customFormat="1" ht="15" customHeight="1">
      <c r="A118" s="60"/>
      <c r="B118" s="60" t="s">
        <v>128</v>
      </c>
      <c r="C118" s="177" t="s">
        <v>132</v>
      </c>
      <c r="D118" s="178"/>
      <c r="E118" s="178"/>
      <c r="F118" s="178"/>
      <c r="G118" s="178"/>
      <c r="H118" s="179"/>
      <c r="I118" s="78">
        <f>0.26*I19/100</f>
        <v>2.4133200000000001</v>
      </c>
      <c r="J118" s="95"/>
      <c r="K118" s="62"/>
      <c r="L118" s="63"/>
      <c r="M118" s="61"/>
      <c r="N118" s="61"/>
    </row>
    <row r="119" spans="1:14" s="15" customFormat="1" ht="15" customHeight="1">
      <c r="A119" s="60"/>
      <c r="B119" s="60"/>
      <c r="C119" s="177" t="s">
        <v>133</v>
      </c>
      <c r="D119" s="178"/>
      <c r="E119" s="178"/>
      <c r="F119" s="178"/>
      <c r="G119" s="178"/>
      <c r="H119" s="179"/>
      <c r="I119" s="78">
        <f>I118*3</f>
        <v>7.23996</v>
      </c>
      <c r="J119" s="95"/>
      <c r="K119" s="62"/>
      <c r="L119" s="63"/>
      <c r="M119" s="61"/>
      <c r="N119" s="61"/>
    </row>
    <row r="120" spans="1:14" s="15" customFormat="1" ht="15" customHeight="1">
      <c r="A120" s="60"/>
      <c r="B120" s="60"/>
      <c r="C120" s="177" t="s">
        <v>134</v>
      </c>
      <c r="D120" s="178"/>
      <c r="E120" s="178"/>
      <c r="F120" s="178"/>
      <c r="G120" s="178"/>
      <c r="H120" s="179"/>
      <c r="I120" s="78">
        <f>I119/12</f>
        <v>0.60333000000000003</v>
      </c>
      <c r="J120" s="81"/>
      <c r="K120" s="81"/>
      <c r="L120" s="88"/>
      <c r="M120" s="61"/>
      <c r="N120" s="61"/>
    </row>
    <row r="121" spans="1:14" s="15" customFormat="1" ht="15" customHeight="1">
      <c r="A121" s="60"/>
      <c r="B121" s="60"/>
      <c r="C121" s="160" t="s">
        <v>96</v>
      </c>
      <c r="D121" s="176"/>
      <c r="E121" s="176"/>
      <c r="F121" s="176"/>
      <c r="G121" s="176"/>
      <c r="H121" s="161"/>
      <c r="I121" s="72"/>
      <c r="J121" s="81"/>
      <c r="K121" s="81"/>
      <c r="L121" s="88"/>
      <c r="M121" s="61"/>
      <c r="N121" s="61"/>
    </row>
    <row r="122" spans="1:14" s="15" customFormat="1" ht="15" customHeight="1">
      <c r="A122" s="60"/>
      <c r="B122" s="60"/>
      <c r="C122" s="160" t="s">
        <v>323</v>
      </c>
      <c r="D122" s="176"/>
      <c r="E122" s="176"/>
      <c r="F122" s="176" t="s">
        <v>18</v>
      </c>
      <c r="G122" s="176"/>
      <c r="H122" s="161"/>
      <c r="I122" s="72">
        <v>10.1</v>
      </c>
      <c r="J122" s="96"/>
      <c r="K122" s="81"/>
      <c r="L122" s="88"/>
      <c r="M122" s="61"/>
      <c r="N122" s="61"/>
    </row>
    <row r="123" spans="1:14" s="15" customFormat="1" ht="15" customHeight="1">
      <c r="A123" s="60"/>
      <c r="B123" s="60"/>
      <c r="C123" s="160" t="s">
        <v>135</v>
      </c>
      <c r="D123" s="176"/>
      <c r="E123" s="176"/>
      <c r="F123" s="176" t="s">
        <v>18</v>
      </c>
      <c r="G123" s="176"/>
      <c r="H123" s="161"/>
      <c r="I123" s="72">
        <f>I122*I19/100*3/12</f>
        <v>23.437049999999999</v>
      </c>
      <c r="J123" s="96">
        <v>0.34</v>
      </c>
      <c r="K123" s="81"/>
      <c r="L123" s="88"/>
      <c r="M123" s="61"/>
      <c r="N123" s="61"/>
    </row>
    <row r="124" spans="1:14" s="15" customFormat="1">
      <c r="A124" s="60"/>
      <c r="B124" s="60"/>
      <c r="C124" s="160" t="s">
        <v>347</v>
      </c>
      <c r="D124" s="176"/>
      <c r="E124" s="176"/>
      <c r="F124" s="176" t="s">
        <v>18</v>
      </c>
      <c r="G124" s="176"/>
      <c r="H124" s="161"/>
      <c r="I124" s="72">
        <f>I116*J123</f>
        <v>3.8490706963554673</v>
      </c>
      <c r="J124" s="81">
        <v>212.92</v>
      </c>
      <c r="K124" s="81"/>
      <c r="L124" s="88"/>
      <c r="M124" s="61"/>
      <c r="N124" s="61"/>
    </row>
    <row r="125" spans="1:14" s="15" customFormat="1" ht="15.6" customHeight="1">
      <c r="A125" s="60"/>
      <c r="B125" s="60"/>
      <c r="C125" s="160" t="s">
        <v>97</v>
      </c>
      <c r="D125" s="176"/>
      <c r="E125" s="161"/>
      <c r="F125" s="162" t="s">
        <v>18</v>
      </c>
      <c r="G125" s="164"/>
      <c r="H125" s="93">
        <v>212.92</v>
      </c>
      <c r="I125" s="72">
        <f>J124*I115</f>
        <v>1.1544175860209684</v>
      </c>
      <c r="J125" s="81"/>
      <c r="K125" s="81"/>
      <c r="L125" s="88"/>
      <c r="M125" s="61"/>
      <c r="N125" s="61"/>
    </row>
    <row r="126" spans="1:14" s="15" customFormat="1" ht="15" customHeight="1">
      <c r="A126" s="60"/>
      <c r="B126" s="60"/>
      <c r="C126" s="160" t="s">
        <v>262</v>
      </c>
      <c r="D126" s="176"/>
      <c r="E126" s="176"/>
      <c r="F126" s="176" t="s">
        <v>18</v>
      </c>
      <c r="G126" s="176"/>
      <c r="H126" s="161"/>
      <c r="I126" s="72">
        <f>SUM(I123:I125)+I116+I117</f>
        <v>42.251909604593116</v>
      </c>
      <c r="J126" s="91">
        <v>0.2</v>
      </c>
      <c r="K126" s="81"/>
      <c r="L126" s="88"/>
      <c r="M126" s="61"/>
      <c r="N126" s="61"/>
    </row>
    <row r="127" spans="1:14" s="15" customFormat="1" ht="15" customHeight="1">
      <c r="A127" s="60"/>
      <c r="B127" s="60"/>
      <c r="C127" s="160" t="s">
        <v>348</v>
      </c>
      <c r="D127" s="176"/>
      <c r="E127" s="176"/>
      <c r="F127" s="176" t="s">
        <v>18</v>
      </c>
      <c r="G127" s="176"/>
      <c r="H127" s="161"/>
      <c r="I127" s="72">
        <f>I126*J126</f>
        <v>8.4503819209186233</v>
      </c>
      <c r="J127" s="81"/>
      <c r="K127" s="81"/>
      <c r="L127" s="88"/>
      <c r="M127" s="61"/>
      <c r="N127" s="61"/>
    </row>
    <row r="128" spans="1:14" s="15" customFormat="1" ht="15" customHeight="1">
      <c r="A128" s="60"/>
      <c r="B128" s="60"/>
      <c r="C128" s="160" t="s">
        <v>45</v>
      </c>
      <c r="D128" s="176"/>
      <c r="E128" s="176"/>
      <c r="F128" s="176" t="s">
        <v>18</v>
      </c>
      <c r="G128" s="176"/>
      <c r="H128" s="161"/>
      <c r="I128" s="72">
        <f>SUM(I126:I127)</f>
        <v>50.70229152551174</v>
      </c>
      <c r="J128" s="91">
        <v>0.05</v>
      </c>
      <c r="K128" s="81"/>
      <c r="L128" s="88"/>
      <c r="M128" s="61"/>
      <c r="N128" s="61"/>
    </row>
    <row r="129" spans="1:14" s="6" customFormat="1" ht="15" customHeight="1">
      <c r="A129" s="60"/>
      <c r="B129" s="60"/>
      <c r="C129" s="165" t="s">
        <v>46</v>
      </c>
      <c r="D129" s="166"/>
      <c r="E129" s="167"/>
      <c r="F129" s="162" t="s">
        <v>18</v>
      </c>
      <c r="G129" s="164"/>
      <c r="H129" s="90">
        <v>0.05</v>
      </c>
      <c r="I129" s="72">
        <f>I128*J128</f>
        <v>2.5351145762755873</v>
      </c>
      <c r="J129" s="62"/>
      <c r="K129" s="62"/>
      <c r="L129" s="63"/>
      <c r="M129" s="54"/>
      <c r="N129" s="54"/>
    </row>
    <row r="130" spans="1:14" s="6" customFormat="1" ht="15" customHeight="1">
      <c r="A130" s="53"/>
      <c r="B130" s="53"/>
      <c r="C130" s="177" t="s">
        <v>47</v>
      </c>
      <c r="D130" s="178"/>
      <c r="E130" s="178"/>
      <c r="F130" s="178" t="s">
        <v>18</v>
      </c>
      <c r="G130" s="178"/>
      <c r="H130" s="179"/>
      <c r="I130" s="78">
        <f>I128+I129</f>
        <v>53.237406101787329</v>
      </c>
      <c r="J130" s="80">
        <v>0.05</v>
      </c>
      <c r="K130" s="80">
        <v>0.95</v>
      </c>
      <c r="L130" s="63"/>
      <c r="M130" s="54"/>
      <c r="N130" s="54"/>
    </row>
    <row r="131" spans="1:14" s="6" customFormat="1" ht="15.6" customHeight="1">
      <c r="A131" s="53"/>
      <c r="B131" s="53"/>
      <c r="C131" s="146" t="s">
        <v>48</v>
      </c>
      <c r="D131" s="147"/>
      <c r="E131" s="148"/>
      <c r="F131" s="149" t="s">
        <v>18</v>
      </c>
      <c r="G131" s="150"/>
      <c r="H131" s="92">
        <v>0.05</v>
      </c>
      <c r="I131" s="78">
        <f>I130*J130/K130</f>
        <v>2.8019687421993336</v>
      </c>
      <c r="J131" s="54"/>
      <c r="K131" s="54"/>
      <c r="L131" s="63"/>
      <c r="M131" s="54"/>
      <c r="N131" s="54"/>
    </row>
    <row r="132" spans="1:14" s="6" customFormat="1" ht="15.6" customHeight="1">
      <c r="A132" s="53"/>
      <c r="B132" s="53"/>
      <c r="C132" s="177" t="s">
        <v>49</v>
      </c>
      <c r="D132" s="178"/>
      <c r="E132" s="178"/>
      <c r="F132" s="178" t="s">
        <v>18</v>
      </c>
      <c r="G132" s="178"/>
      <c r="H132" s="179"/>
      <c r="I132" s="78">
        <f>I130+I131</f>
        <v>56.039374843986664</v>
      </c>
      <c r="J132" s="62"/>
      <c r="K132" s="62"/>
      <c r="L132" s="63"/>
      <c r="M132" s="54"/>
      <c r="N132" s="54"/>
    </row>
    <row r="133" spans="1:14" s="6" customFormat="1" ht="16.2">
      <c r="A133" s="53"/>
      <c r="B133" s="53"/>
      <c r="C133" s="154" t="s">
        <v>94</v>
      </c>
      <c r="D133" s="155"/>
      <c r="E133" s="155"/>
      <c r="F133" s="155"/>
      <c r="G133" s="155"/>
      <c r="H133" s="156"/>
      <c r="I133" s="14">
        <f>I132/I9</f>
        <v>9.493195085977844E-3</v>
      </c>
      <c r="J133" s="97">
        <f>ROUND(I91,3)+ROUND(I110,3)+ROUND(I133,3)</f>
        <v>0.25</v>
      </c>
      <c r="K133" s="62"/>
      <c r="L133" s="63"/>
      <c r="M133" s="54"/>
      <c r="N133" s="54"/>
    </row>
    <row r="134" spans="1:14" s="6" customFormat="1" ht="16.2">
      <c r="A134" s="189" t="s">
        <v>136</v>
      </c>
      <c r="B134" s="190"/>
      <c r="C134" s="190"/>
      <c r="D134" s="190"/>
      <c r="E134" s="191"/>
      <c r="F134" s="187" t="s">
        <v>51</v>
      </c>
      <c r="G134" s="188"/>
      <c r="H134" s="27"/>
      <c r="I134" s="16">
        <f>J133</f>
        <v>0.25</v>
      </c>
      <c r="J134" s="55"/>
      <c r="K134" s="55"/>
      <c r="L134" s="54"/>
      <c r="M134" s="54"/>
      <c r="N134" s="54"/>
    </row>
    <row r="135" spans="1:14" s="6" customFormat="1" ht="16.2">
      <c r="A135" s="171" t="s">
        <v>361</v>
      </c>
      <c r="B135" s="172"/>
      <c r="C135" s="172"/>
      <c r="D135" s="136"/>
      <c r="E135" s="136"/>
      <c r="F135" s="140"/>
      <c r="G135" s="140"/>
      <c r="H135" s="140"/>
      <c r="I135" s="141"/>
      <c r="J135" s="55"/>
      <c r="K135" s="55"/>
      <c r="L135" s="54"/>
      <c r="M135" s="54"/>
      <c r="N135" s="54"/>
    </row>
    <row r="136" spans="1:14" s="6" customFormat="1" ht="57" customHeight="1">
      <c r="A136" s="139"/>
      <c r="B136" s="138" t="s">
        <v>379</v>
      </c>
      <c r="C136" s="168" t="s">
        <v>388</v>
      </c>
      <c r="D136" s="169"/>
      <c r="E136" s="169"/>
      <c r="F136" s="169"/>
      <c r="G136" s="169"/>
      <c r="H136" s="170"/>
      <c r="I136" s="98">
        <f>I14*M136*K136/L136</f>
        <v>21.921759999999999</v>
      </c>
      <c r="J136" s="55"/>
      <c r="K136" s="55">
        <v>0.74</v>
      </c>
      <c r="L136" s="54">
        <v>100</v>
      </c>
      <c r="M136" s="54">
        <f>7*2*4</f>
        <v>56</v>
      </c>
      <c r="N136" s="54" t="s">
        <v>380</v>
      </c>
    </row>
    <row r="137" spans="1:14" s="6" customFormat="1" ht="57.75" customHeight="1">
      <c r="A137" s="139"/>
      <c r="B137" s="138" t="s">
        <v>381</v>
      </c>
      <c r="C137" s="168" t="s">
        <v>391</v>
      </c>
      <c r="D137" s="169"/>
      <c r="E137" s="169"/>
      <c r="F137" s="169"/>
      <c r="G137" s="169"/>
      <c r="H137" s="170"/>
      <c r="I137" s="98">
        <f>I15*M137*K137/L137</f>
        <v>40.840800000000002</v>
      </c>
      <c r="J137" s="55"/>
      <c r="K137" s="55">
        <v>0.55000000000000004</v>
      </c>
      <c r="L137" s="54">
        <v>100</v>
      </c>
      <c r="M137" s="54">
        <f>7*2*4</f>
        <v>56</v>
      </c>
      <c r="N137" s="54" t="s">
        <v>380</v>
      </c>
    </row>
    <row r="138" spans="1:14" s="6" customFormat="1" ht="50.25" customHeight="1">
      <c r="A138" s="139"/>
      <c r="B138" s="138" t="s">
        <v>382</v>
      </c>
      <c r="C138" s="168" t="s">
        <v>389</v>
      </c>
      <c r="D138" s="169"/>
      <c r="E138" s="169"/>
      <c r="F138" s="169"/>
      <c r="G138" s="169"/>
      <c r="H138" s="170"/>
      <c r="I138" s="98">
        <f>I14*M138*K138/L138</f>
        <v>65.469040000000007</v>
      </c>
      <c r="J138" s="55"/>
      <c r="K138" s="55">
        <v>2.21</v>
      </c>
      <c r="L138" s="54">
        <v>100</v>
      </c>
      <c r="M138" s="54">
        <f>7*2*4</f>
        <v>56</v>
      </c>
      <c r="N138" s="54" t="s">
        <v>394</v>
      </c>
    </row>
    <row r="139" spans="1:14" s="6" customFormat="1" ht="52.5" customHeight="1">
      <c r="A139" s="139"/>
      <c r="B139" s="138" t="s">
        <v>383</v>
      </c>
      <c r="C139" s="168" t="s">
        <v>390</v>
      </c>
      <c r="D139" s="169"/>
      <c r="E139" s="169"/>
      <c r="F139" s="169"/>
      <c r="G139" s="169"/>
      <c r="H139" s="170"/>
      <c r="I139" s="98">
        <f>I15*M139*K139/L139</f>
        <v>155.9376</v>
      </c>
      <c r="J139" s="55"/>
      <c r="K139" s="55">
        <v>2.1</v>
      </c>
      <c r="L139" s="54">
        <v>100</v>
      </c>
      <c r="M139" s="54">
        <f>7*2*4</f>
        <v>56</v>
      </c>
      <c r="N139" s="54" t="s">
        <v>394</v>
      </c>
    </row>
    <row r="140" spans="1:14" s="6" customFormat="1" ht="18" customHeight="1">
      <c r="A140" s="139"/>
      <c r="B140" s="139"/>
      <c r="C140" s="151" t="s">
        <v>384</v>
      </c>
      <c r="D140" s="152"/>
      <c r="E140" s="152"/>
      <c r="F140" s="152" t="s">
        <v>70</v>
      </c>
      <c r="G140" s="152"/>
      <c r="H140" s="153"/>
      <c r="I140" s="98">
        <f>I136+I137+I138+I139</f>
        <v>284.16920000000005</v>
      </c>
      <c r="J140" s="55"/>
      <c r="K140" s="55"/>
      <c r="L140" s="54"/>
      <c r="M140" s="54"/>
      <c r="N140" s="54"/>
    </row>
    <row r="141" spans="1:14" s="6" customFormat="1" ht="18" customHeight="1">
      <c r="A141" s="139"/>
      <c r="B141" s="139"/>
      <c r="C141" s="151" t="s">
        <v>385</v>
      </c>
      <c r="D141" s="152"/>
      <c r="E141" s="152"/>
      <c r="F141" s="152" t="s">
        <v>42</v>
      </c>
      <c r="G141" s="152"/>
      <c r="H141" s="153"/>
      <c r="I141" s="98">
        <f>I140/J141</f>
        <v>0.14187179231153271</v>
      </c>
      <c r="J141" s="55">
        <v>2003</v>
      </c>
      <c r="K141" s="55"/>
      <c r="L141" s="54"/>
      <c r="M141" s="54"/>
      <c r="N141" s="54"/>
    </row>
    <row r="142" spans="1:14" s="6" customFormat="1" ht="18" customHeight="1">
      <c r="A142" s="139"/>
      <c r="B142" s="139"/>
      <c r="C142" s="151" t="s">
        <v>138</v>
      </c>
      <c r="D142" s="152"/>
      <c r="E142" s="152"/>
      <c r="F142" s="152" t="s">
        <v>18</v>
      </c>
      <c r="G142" s="152"/>
      <c r="H142" s="153"/>
      <c r="I142" s="98">
        <f>I141*J142*K142*L142</f>
        <v>296.22830234648029</v>
      </c>
      <c r="J142" s="81">
        <v>1450</v>
      </c>
      <c r="K142" s="81">
        <v>1.2</v>
      </c>
      <c r="L142" s="63">
        <v>1.2</v>
      </c>
      <c r="M142" s="54"/>
      <c r="N142" s="54"/>
    </row>
    <row r="143" spans="1:14" s="6" customFormat="1" ht="18" customHeight="1">
      <c r="A143" s="139"/>
      <c r="B143" s="139"/>
      <c r="C143" s="157" t="s">
        <v>250</v>
      </c>
      <c r="D143" s="158"/>
      <c r="E143" s="158"/>
      <c r="F143" s="158" t="s">
        <v>18</v>
      </c>
      <c r="G143" s="158"/>
      <c r="H143" s="159"/>
      <c r="I143" s="98">
        <f>I142*J143</f>
        <v>65.170226516225668</v>
      </c>
      <c r="J143" s="142">
        <v>0.22</v>
      </c>
      <c r="K143" s="55"/>
      <c r="L143" s="54"/>
      <c r="M143" s="54"/>
      <c r="N143" s="54"/>
    </row>
    <row r="144" spans="1:14" s="6" customFormat="1" ht="18" customHeight="1">
      <c r="A144" s="139"/>
      <c r="B144" s="139"/>
      <c r="C144" s="160" t="s">
        <v>273</v>
      </c>
      <c r="D144" s="161"/>
      <c r="E144" s="162" t="s">
        <v>324</v>
      </c>
      <c r="F144" s="163"/>
      <c r="G144" s="163"/>
      <c r="H144" s="164"/>
      <c r="I144" s="98">
        <f>I141*J144</f>
        <v>30.207342018971545</v>
      </c>
      <c r="J144" s="55">
        <v>212.92</v>
      </c>
      <c r="K144" s="55"/>
      <c r="L144" s="54"/>
      <c r="M144" s="54"/>
      <c r="N144" s="54"/>
    </row>
    <row r="145" spans="1:14" s="6" customFormat="1" ht="18" customHeight="1">
      <c r="A145" s="139"/>
      <c r="B145" s="139"/>
      <c r="C145" s="157" t="s">
        <v>386</v>
      </c>
      <c r="D145" s="158"/>
      <c r="E145" s="158"/>
      <c r="F145" s="158" t="s">
        <v>18</v>
      </c>
      <c r="G145" s="158"/>
      <c r="H145" s="159"/>
      <c r="I145" s="98">
        <f>I142*J145</f>
        <v>100.7176227978033</v>
      </c>
      <c r="J145" s="142">
        <v>0.34</v>
      </c>
      <c r="K145" s="55"/>
      <c r="L145" s="54"/>
      <c r="M145" s="54"/>
      <c r="N145" s="54"/>
    </row>
    <row r="146" spans="1:14" s="6" customFormat="1" ht="18" customHeight="1">
      <c r="A146" s="139"/>
      <c r="B146" s="139"/>
      <c r="C146" s="157" t="s">
        <v>267</v>
      </c>
      <c r="D146" s="158"/>
      <c r="E146" s="158"/>
      <c r="F146" s="158" t="s">
        <v>18</v>
      </c>
      <c r="G146" s="158"/>
      <c r="H146" s="159"/>
      <c r="I146" s="98">
        <f>SUM(I142:I145)</f>
        <v>492.3234936794808</v>
      </c>
      <c r="J146" s="55"/>
      <c r="K146" s="55"/>
      <c r="L146" s="54"/>
      <c r="M146" s="54"/>
      <c r="N146" s="54"/>
    </row>
    <row r="147" spans="1:14" s="6" customFormat="1" ht="18" customHeight="1">
      <c r="A147" s="139"/>
      <c r="B147" s="139"/>
      <c r="C147" s="157" t="s">
        <v>387</v>
      </c>
      <c r="D147" s="158"/>
      <c r="E147" s="158"/>
      <c r="F147" s="158" t="s">
        <v>77</v>
      </c>
      <c r="G147" s="158"/>
      <c r="H147" s="159"/>
      <c r="I147" s="98">
        <f>I146*J147</f>
        <v>98.464698735896164</v>
      </c>
      <c r="J147" s="142">
        <v>0.2</v>
      </c>
      <c r="K147" s="55"/>
      <c r="L147" s="54"/>
      <c r="M147" s="54"/>
      <c r="N147" s="54"/>
    </row>
    <row r="148" spans="1:14" s="6" customFormat="1" ht="18" customHeight="1">
      <c r="A148" s="139"/>
      <c r="B148" s="139"/>
      <c r="C148" s="157" t="s">
        <v>78</v>
      </c>
      <c r="D148" s="158"/>
      <c r="E148" s="158"/>
      <c r="F148" s="158" t="s">
        <v>77</v>
      </c>
      <c r="G148" s="158"/>
      <c r="H148" s="159"/>
      <c r="I148" s="98">
        <f>I146+I147</f>
        <v>590.78819241537701</v>
      </c>
      <c r="J148" s="55"/>
      <c r="K148" s="55"/>
      <c r="L148" s="54"/>
      <c r="M148" s="54"/>
      <c r="N148" s="54"/>
    </row>
    <row r="149" spans="1:14" s="6" customFormat="1" ht="18" customHeight="1">
      <c r="A149" s="139"/>
      <c r="B149" s="139"/>
      <c r="C149" s="165" t="s">
        <v>46</v>
      </c>
      <c r="D149" s="166"/>
      <c r="E149" s="167"/>
      <c r="F149" s="162" t="s">
        <v>18</v>
      </c>
      <c r="G149" s="164"/>
      <c r="H149" s="90">
        <v>0.05</v>
      </c>
      <c r="I149" s="98">
        <f>I148*J149</f>
        <v>29.539409620768851</v>
      </c>
      <c r="J149" s="142">
        <v>0.05</v>
      </c>
      <c r="K149" s="55"/>
      <c r="L149" s="54"/>
      <c r="M149" s="54"/>
      <c r="N149" s="54"/>
    </row>
    <row r="150" spans="1:14" s="6" customFormat="1" ht="18" customHeight="1">
      <c r="A150" s="139"/>
      <c r="B150" s="138"/>
      <c r="C150" s="157" t="s">
        <v>47</v>
      </c>
      <c r="D150" s="158"/>
      <c r="E150" s="158"/>
      <c r="F150" s="158" t="s">
        <v>18</v>
      </c>
      <c r="G150" s="158"/>
      <c r="H150" s="159"/>
      <c r="I150" s="16">
        <f>SUM(I148:I149)</f>
        <v>620.32760203614589</v>
      </c>
      <c r="J150" s="55"/>
      <c r="K150" s="55"/>
      <c r="L150" s="54"/>
      <c r="M150" s="54"/>
      <c r="N150" s="54"/>
    </row>
    <row r="151" spans="1:14" s="6" customFormat="1" ht="18" customHeight="1">
      <c r="A151" s="139"/>
      <c r="B151" s="138"/>
      <c r="C151" s="146" t="s">
        <v>48</v>
      </c>
      <c r="D151" s="147"/>
      <c r="E151" s="148"/>
      <c r="F151" s="149" t="s">
        <v>18</v>
      </c>
      <c r="G151" s="150"/>
      <c r="H151" s="92">
        <v>0.05</v>
      </c>
      <c r="I151" s="16">
        <f>I150*J151/K151</f>
        <v>32.648821159797158</v>
      </c>
      <c r="J151" s="142">
        <v>0.05</v>
      </c>
      <c r="K151" s="142">
        <v>0.95</v>
      </c>
      <c r="L151" s="54"/>
      <c r="M151" s="54"/>
      <c r="N151" s="54"/>
    </row>
    <row r="152" spans="1:14" s="6" customFormat="1" ht="18" customHeight="1">
      <c r="A152" s="139"/>
      <c r="B152" s="138"/>
      <c r="C152" s="151" t="s">
        <v>49</v>
      </c>
      <c r="D152" s="152"/>
      <c r="E152" s="152"/>
      <c r="F152" s="152" t="s">
        <v>18</v>
      </c>
      <c r="G152" s="152"/>
      <c r="H152" s="153"/>
      <c r="I152" s="16">
        <f>SUM(I150:I151)</f>
        <v>652.97642319594308</v>
      </c>
      <c r="J152" s="55"/>
      <c r="K152" s="55"/>
      <c r="L152" s="54"/>
      <c r="M152" s="54"/>
      <c r="N152" s="54"/>
    </row>
    <row r="153" spans="1:14" s="6" customFormat="1" ht="18" customHeight="1">
      <c r="A153" s="139"/>
      <c r="B153" s="138"/>
      <c r="C153" s="154" t="s">
        <v>50</v>
      </c>
      <c r="D153" s="155"/>
      <c r="E153" s="155"/>
      <c r="F153" s="155" t="s">
        <v>51</v>
      </c>
      <c r="G153" s="155"/>
      <c r="H153" s="156"/>
      <c r="I153" s="16">
        <f>J153</f>
        <v>0.124</v>
      </c>
      <c r="J153" s="97">
        <f>ROUND(K153,3)</f>
        <v>0.124</v>
      </c>
      <c r="K153" s="97">
        <f>I152/I13</f>
        <v>0.1235759249501691</v>
      </c>
      <c r="L153" s="54"/>
      <c r="M153" s="54"/>
      <c r="N153" s="54"/>
    </row>
    <row r="154" spans="1:14" s="6" customFormat="1" ht="14.4" customHeight="1">
      <c r="A154" s="171" t="s">
        <v>362</v>
      </c>
      <c r="B154" s="172"/>
      <c r="C154" s="172"/>
      <c r="D154" s="172"/>
      <c r="E154" s="172"/>
      <c r="F154" s="172"/>
      <c r="G154" s="172"/>
      <c r="H154" s="172"/>
      <c r="I154" s="186"/>
      <c r="J154" s="55"/>
      <c r="K154" s="55"/>
      <c r="L154" s="54"/>
      <c r="M154" s="54"/>
      <c r="N154" s="54"/>
    </row>
    <row r="155" spans="1:14" s="6" customFormat="1" ht="46.5" customHeight="1">
      <c r="A155" s="53"/>
      <c r="B155" s="208" t="s">
        <v>137</v>
      </c>
      <c r="C155" s="168" t="s">
        <v>76</v>
      </c>
      <c r="D155" s="206"/>
      <c r="E155" s="206"/>
      <c r="F155" s="206"/>
      <c r="G155" s="206"/>
      <c r="H155" s="206"/>
      <c r="I155" s="207"/>
      <c r="J155" s="81">
        <v>2</v>
      </c>
      <c r="K155" s="81">
        <v>0.51</v>
      </c>
      <c r="L155" s="63"/>
      <c r="M155" s="54"/>
      <c r="N155" s="54"/>
    </row>
    <row r="156" spans="1:14" s="6" customFormat="1" ht="54" customHeight="1">
      <c r="A156" s="53"/>
      <c r="B156" s="209"/>
      <c r="C156" s="151" t="s">
        <v>271</v>
      </c>
      <c r="D156" s="152"/>
      <c r="E156" s="152"/>
      <c r="F156" s="152"/>
      <c r="G156" s="152"/>
      <c r="H156" s="153"/>
      <c r="I156" s="98">
        <f>I24*K155*J155/100</f>
        <v>0</v>
      </c>
      <c r="J156" s="81">
        <v>2003</v>
      </c>
      <c r="K156" s="81"/>
      <c r="L156" s="63"/>
      <c r="M156" s="54"/>
      <c r="N156" s="54"/>
    </row>
    <row r="157" spans="1:14" s="6" customFormat="1" ht="15" customHeight="1">
      <c r="A157" s="53"/>
      <c r="B157" s="53"/>
      <c r="C157" s="151" t="s">
        <v>272</v>
      </c>
      <c r="D157" s="152"/>
      <c r="E157" s="152"/>
      <c r="F157" s="152" t="s">
        <v>42</v>
      </c>
      <c r="G157" s="152"/>
      <c r="H157" s="153"/>
      <c r="I157" s="99">
        <f>I156/J156</f>
        <v>0</v>
      </c>
      <c r="J157" s="81">
        <v>1450</v>
      </c>
      <c r="K157" s="81">
        <v>1.2</v>
      </c>
      <c r="L157" s="63">
        <v>1.2</v>
      </c>
      <c r="M157" s="9"/>
      <c r="N157" s="54"/>
    </row>
    <row r="158" spans="1:14" s="15" customFormat="1" ht="15" customHeight="1">
      <c r="A158" s="53"/>
      <c r="B158" s="53"/>
      <c r="C158" s="151" t="s">
        <v>138</v>
      </c>
      <c r="D158" s="152"/>
      <c r="E158" s="152"/>
      <c r="F158" s="152" t="s">
        <v>18</v>
      </c>
      <c r="G158" s="152"/>
      <c r="H158" s="153"/>
      <c r="I158" s="100">
        <f>(J157*K157*L157)*I157</f>
        <v>0</v>
      </c>
      <c r="J158" s="96">
        <v>0.22</v>
      </c>
      <c r="K158" s="81"/>
      <c r="L158" s="88"/>
      <c r="M158" s="49"/>
      <c r="N158" s="61"/>
    </row>
    <row r="159" spans="1:14" s="15" customFormat="1" ht="15" customHeight="1">
      <c r="A159" s="60"/>
      <c r="B159" s="60"/>
      <c r="C159" s="157" t="s">
        <v>250</v>
      </c>
      <c r="D159" s="158"/>
      <c r="E159" s="158"/>
      <c r="F159" s="158" t="s">
        <v>18</v>
      </c>
      <c r="G159" s="158"/>
      <c r="H159" s="159"/>
      <c r="I159" s="101">
        <f>I158*J158</f>
        <v>0</v>
      </c>
      <c r="J159" s="102">
        <v>212.92</v>
      </c>
      <c r="K159" s="81"/>
      <c r="L159" s="88"/>
      <c r="M159" s="49"/>
      <c r="N159" s="61"/>
    </row>
    <row r="160" spans="1:14" s="15" customFormat="1" ht="15" customHeight="1">
      <c r="A160" s="60"/>
      <c r="B160" s="60"/>
      <c r="C160" s="160" t="s">
        <v>273</v>
      </c>
      <c r="D160" s="161"/>
      <c r="E160" s="162" t="s">
        <v>324</v>
      </c>
      <c r="F160" s="163"/>
      <c r="G160" s="163"/>
      <c r="H160" s="164"/>
      <c r="I160" s="101">
        <f>I157*J159</f>
        <v>0</v>
      </c>
      <c r="J160" s="91">
        <v>0.34</v>
      </c>
      <c r="K160" s="81"/>
      <c r="L160" s="88"/>
      <c r="M160" s="49"/>
      <c r="N160" s="61"/>
    </row>
    <row r="161" spans="1:14" s="15" customFormat="1" ht="15" customHeight="1">
      <c r="A161" s="60"/>
      <c r="B161" s="60"/>
      <c r="C161" s="157" t="s">
        <v>347</v>
      </c>
      <c r="D161" s="158"/>
      <c r="E161" s="158"/>
      <c r="F161" s="158" t="s">
        <v>18</v>
      </c>
      <c r="G161" s="158"/>
      <c r="H161" s="159"/>
      <c r="I161" s="101">
        <f>I158*J160</f>
        <v>0</v>
      </c>
      <c r="J161" s="81"/>
      <c r="K161" s="48"/>
      <c r="L161" s="61"/>
      <c r="M161" s="61"/>
      <c r="N161" s="61"/>
    </row>
    <row r="162" spans="1:14" s="15" customFormat="1" ht="15" customHeight="1">
      <c r="A162" s="60"/>
      <c r="B162" s="60"/>
      <c r="C162" s="157" t="s">
        <v>267</v>
      </c>
      <c r="D162" s="158"/>
      <c r="E162" s="158"/>
      <c r="F162" s="158" t="s">
        <v>18</v>
      </c>
      <c r="G162" s="158"/>
      <c r="H162" s="159"/>
      <c r="I162" s="72">
        <f>SUM(I158:I161)</f>
        <v>0</v>
      </c>
      <c r="J162" s="91">
        <v>0.2</v>
      </c>
      <c r="K162" s="48"/>
      <c r="L162" s="61"/>
      <c r="M162" s="61"/>
      <c r="N162" s="61"/>
    </row>
    <row r="163" spans="1:14" s="15" customFormat="1" ht="15" customHeight="1">
      <c r="A163" s="60"/>
      <c r="B163" s="60"/>
      <c r="C163" s="157" t="s">
        <v>349</v>
      </c>
      <c r="D163" s="158"/>
      <c r="E163" s="158"/>
      <c r="F163" s="158" t="s">
        <v>77</v>
      </c>
      <c r="G163" s="158"/>
      <c r="H163" s="159"/>
      <c r="I163" s="101">
        <f>I162*J162</f>
        <v>0</v>
      </c>
      <c r="J163" s="91"/>
      <c r="K163" s="48"/>
      <c r="L163" s="61"/>
      <c r="M163" s="61"/>
      <c r="N163" s="61"/>
    </row>
    <row r="164" spans="1:14" s="15" customFormat="1" ht="15" customHeight="1">
      <c r="A164" s="60"/>
      <c r="B164" s="60"/>
      <c r="C164" s="157" t="s">
        <v>78</v>
      </c>
      <c r="D164" s="158"/>
      <c r="E164" s="158"/>
      <c r="F164" s="158" t="s">
        <v>77</v>
      </c>
      <c r="G164" s="158"/>
      <c r="H164" s="159"/>
      <c r="I164" s="101">
        <f>SUM(I162:I163)</f>
        <v>0</v>
      </c>
      <c r="J164" s="96">
        <v>0.05</v>
      </c>
      <c r="K164" s="48"/>
      <c r="L164" s="61"/>
      <c r="M164" s="61"/>
      <c r="N164" s="61"/>
    </row>
    <row r="165" spans="1:14" s="15" customFormat="1" ht="15" customHeight="1">
      <c r="A165" s="60"/>
      <c r="B165" s="60"/>
      <c r="C165" s="165" t="s">
        <v>46</v>
      </c>
      <c r="D165" s="166"/>
      <c r="E165" s="167"/>
      <c r="F165" s="162" t="s">
        <v>18</v>
      </c>
      <c r="G165" s="164"/>
      <c r="H165" s="90">
        <v>0.05</v>
      </c>
      <c r="I165" s="101">
        <f>I164*J164</f>
        <v>0</v>
      </c>
      <c r="J165" s="96"/>
      <c r="K165" s="48"/>
      <c r="L165" s="61"/>
      <c r="M165" s="61"/>
      <c r="N165" s="61"/>
    </row>
    <row r="166" spans="1:14" s="6" customFormat="1" ht="15" customHeight="1">
      <c r="A166" s="60"/>
      <c r="B166" s="60"/>
      <c r="C166" s="157" t="s">
        <v>47</v>
      </c>
      <c r="D166" s="158"/>
      <c r="E166" s="158"/>
      <c r="F166" s="158" t="s">
        <v>18</v>
      </c>
      <c r="G166" s="158"/>
      <c r="H166" s="159"/>
      <c r="I166" s="72">
        <f>I164+I165</f>
        <v>0</v>
      </c>
      <c r="J166" s="80">
        <v>0.05</v>
      </c>
      <c r="K166" s="80">
        <v>0.95</v>
      </c>
      <c r="L166" s="54"/>
      <c r="M166" s="54"/>
      <c r="N166" s="54"/>
    </row>
    <row r="167" spans="1:14" s="6" customFormat="1">
      <c r="A167" s="53"/>
      <c r="B167" s="53"/>
      <c r="C167" s="146" t="s">
        <v>48</v>
      </c>
      <c r="D167" s="147"/>
      <c r="E167" s="148"/>
      <c r="F167" s="149" t="s">
        <v>18</v>
      </c>
      <c r="G167" s="150"/>
      <c r="H167" s="92">
        <v>0.05</v>
      </c>
      <c r="I167" s="78">
        <f>I166*J166/K166</f>
        <v>0</v>
      </c>
      <c r="J167" s="62"/>
      <c r="K167" s="62"/>
      <c r="L167" s="54"/>
      <c r="M167" s="54"/>
      <c r="N167" s="54"/>
    </row>
    <row r="168" spans="1:14">
      <c r="A168" s="53"/>
      <c r="B168" s="53"/>
      <c r="C168" s="151" t="s">
        <v>49</v>
      </c>
      <c r="D168" s="152"/>
      <c r="E168" s="152"/>
      <c r="F168" s="152" t="s">
        <v>18</v>
      </c>
      <c r="G168" s="152"/>
      <c r="H168" s="153"/>
      <c r="I168" s="78">
        <f>I166+I167</f>
        <v>0</v>
      </c>
      <c r="J168" s="97">
        <f>ROUND(K168,3)</f>
        <v>0</v>
      </c>
      <c r="K168" s="97">
        <f>I168/I9</f>
        <v>0</v>
      </c>
      <c r="L168" s="63"/>
      <c r="M168" s="9"/>
      <c r="N168" s="9"/>
    </row>
    <row r="169" spans="1:14" ht="16.2">
      <c r="A169" s="21"/>
      <c r="B169" s="21"/>
      <c r="C169" s="154" t="s">
        <v>50</v>
      </c>
      <c r="D169" s="155"/>
      <c r="E169" s="155"/>
      <c r="F169" s="155" t="s">
        <v>51</v>
      </c>
      <c r="G169" s="155"/>
      <c r="H169" s="156"/>
      <c r="I169" s="10">
        <f>J168</f>
        <v>0</v>
      </c>
      <c r="J169" s="91"/>
      <c r="K169" s="55"/>
      <c r="L169" s="63"/>
      <c r="M169" s="9"/>
      <c r="N169" s="9"/>
    </row>
    <row r="170" spans="1:14" ht="16.2">
      <c r="A170" s="171" t="s">
        <v>363</v>
      </c>
      <c r="B170" s="172"/>
      <c r="C170" s="172"/>
      <c r="D170" s="172"/>
      <c r="E170" s="172"/>
      <c r="F170" s="172"/>
      <c r="G170" s="172"/>
      <c r="H170" s="172"/>
      <c r="I170" s="186"/>
      <c r="J170" s="91"/>
      <c r="K170" s="55"/>
      <c r="L170" s="63"/>
      <c r="M170" s="9"/>
      <c r="N170" s="9"/>
    </row>
    <row r="171" spans="1:14">
      <c r="A171" s="53"/>
      <c r="B171" s="53"/>
      <c r="C171" s="151" t="s">
        <v>325</v>
      </c>
      <c r="D171" s="152"/>
      <c r="E171" s="152"/>
      <c r="F171" s="152"/>
      <c r="G171" s="152"/>
      <c r="H171" s="153"/>
      <c r="I171" s="100">
        <v>930.41</v>
      </c>
      <c r="J171" s="91"/>
      <c r="K171" s="55"/>
      <c r="L171" s="63"/>
      <c r="M171" s="9"/>
      <c r="N171" s="9"/>
    </row>
    <row r="172" spans="1:14" s="71" customFormat="1" ht="15.6" customHeight="1">
      <c r="A172" s="53"/>
      <c r="B172" s="53"/>
      <c r="C172" s="151" t="s">
        <v>139</v>
      </c>
      <c r="D172" s="152"/>
      <c r="E172" s="152"/>
      <c r="F172" s="152"/>
      <c r="G172" s="152"/>
      <c r="H172" s="153"/>
      <c r="I172" s="100">
        <f>I171*I66</f>
        <v>1860.82</v>
      </c>
      <c r="J172" s="91">
        <v>0.2</v>
      </c>
      <c r="K172" s="81"/>
      <c r="L172" s="88"/>
      <c r="M172" s="49"/>
      <c r="N172" s="49"/>
    </row>
    <row r="173" spans="1:14">
      <c r="A173" s="60"/>
      <c r="B173" s="60"/>
      <c r="C173" s="157" t="s">
        <v>346</v>
      </c>
      <c r="D173" s="158"/>
      <c r="E173" s="158"/>
      <c r="F173" s="158" t="s">
        <v>18</v>
      </c>
      <c r="G173" s="158"/>
      <c r="H173" s="159"/>
      <c r="I173" s="72">
        <f>I172*J172</f>
        <v>372.16399999999999</v>
      </c>
      <c r="J173" s="62"/>
      <c r="K173" s="62"/>
      <c r="L173" s="63"/>
      <c r="M173" s="9"/>
      <c r="N173" s="9"/>
    </row>
    <row r="174" spans="1:14">
      <c r="A174" s="53"/>
      <c r="B174" s="53"/>
      <c r="C174" s="151" t="s">
        <v>45</v>
      </c>
      <c r="D174" s="152"/>
      <c r="E174" s="152"/>
      <c r="F174" s="152" t="s">
        <v>18</v>
      </c>
      <c r="G174" s="152"/>
      <c r="H174" s="153"/>
      <c r="I174" s="78">
        <f>SUM(I172:I173)</f>
        <v>2232.9839999999999</v>
      </c>
      <c r="J174" s="80">
        <v>0.05</v>
      </c>
      <c r="K174" s="62"/>
      <c r="L174" s="63"/>
      <c r="M174" s="9"/>
      <c r="N174" s="9"/>
    </row>
    <row r="175" spans="1:14">
      <c r="A175" s="53"/>
      <c r="B175" s="53"/>
      <c r="C175" s="146" t="s">
        <v>46</v>
      </c>
      <c r="D175" s="147"/>
      <c r="E175" s="148"/>
      <c r="F175" s="149" t="s">
        <v>18</v>
      </c>
      <c r="G175" s="150"/>
      <c r="H175" s="92">
        <v>0.05</v>
      </c>
      <c r="I175" s="78">
        <f>I174*J174</f>
        <v>111.64920000000001</v>
      </c>
      <c r="J175" s="62"/>
      <c r="K175" s="62"/>
      <c r="L175" s="63"/>
      <c r="M175" s="9"/>
      <c r="N175" s="9"/>
    </row>
    <row r="176" spans="1:14">
      <c r="A176" s="53"/>
      <c r="B176" s="53"/>
      <c r="C176" s="151" t="s">
        <v>47</v>
      </c>
      <c r="D176" s="152"/>
      <c r="E176" s="152"/>
      <c r="F176" s="152" t="s">
        <v>18</v>
      </c>
      <c r="G176" s="152"/>
      <c r="H176" s="153"/>
      <c r="I176" s="78">
        <f>I174+I175</f>
        <v>2344.6331999999998</v>
      </c>
      <c r="J176" s="80">
        <v>0.05</v>
      </c>
      <c r="K176" s="80">
        <v>0.95</v>
      </c>
      <c r="L176" s="63"/>
      <c r="M176" s="9"/>
      <c r="N176" s="9"/>
    </row>
    <row r="177" spans="1:14">
      <c r="A177" s="53"/>
      <c r="B177" s="53"/>
      <c r="C177" s="146" t="s">
        <v>48</v>
      </c>
      <c r="D177" s="147"/>
      <c r="E177" s="148"/>
      <c r="F177" s="149" t="s">
        <v>18</v>
      </c>
      <c r="G177" s="150"/>
      <c r="H177" s="92">
        <v>0.05</v>
      </c>
      <c r="I177" s="78">
        <f>I176*J176/K176</f>
        <v>123.40174736842106</v>
      </c>
      <c r="J177" s="54"/>
      <c r="K177" s="54"/>
      <c r="L177" s="63"/>
      <c r="M177" s="9"/>
      <c r="N177" s="9"/>
    </row>
    <row r="178" spans="1:14" ht="16.2" customHeight="1">
      <c r="A178" s="53"/>
      <c r="B178" s="53"/>
      <c r="C178" s="151" t="s">
        <v>49</v>
      </c>
      <c r="D178" s="152"/>
      <c r="E178" s="152"/>
      <c r="F178" s="152" t="s">
        <v>18</v>
      </c>
      <c r="G178" s="152"/>
      <c r="H178" s="153"/>
      <c r="I178" s="78">
        <f>I176+I177</f>
        <v>2468.0349473684209</v>
      </c>
      <c r="J178" s="97">
        <f>ROUND(K178,3)</f>
        <v>0.504</v>
      </c>
      <c r="K178" s="97">
        <f>I178/I12</f>
        <v>0.50380912423953472</v>
      </c>
      <c r="L178" s="63"/>
      <c r="M178" s="9"/>
      <c r="N178" s="9"/>
    </row>
    <row r="179" spans="1:14" ht="16.2">
      <c r="A179" s="53"/>
      <c r="B179" s="53"/>
      <c r="C179" s="154" t="s">
        <v>140</v>
      </c>
      <c r="D179" s="155"/>
      <c r="E179" s="155"/>
      <c r="F179" s="155"/>
      <c r="G179" s="155"/>
      <c r="H179" s="156"/>
      <c r="I179" s="14">
        <f>J178</f>
        <v>0.504</v>
      </c>
      <c r="J179" s="91"/>
      <c r="K179" s="55"/>
      <c r="L179" s="63"/>
      <c r="M179" s="9"/>
      <c r="N179" s="9"/>
    </row>
    <row r="180" spans="1:14" ht="15.6" customHeight="1">
      <c r="A180" s="171" t="s">
        <v>364</v>
      </c>
      <c r="B180" s="172"/>
      <c r="C180" s="172"/>
      <c r="D180" s="172"/>
      <c r="E180" s="172"/>
      <c r="F180" s="172"/>
      <c r="G180" s="172"/>
      <c r="H180" s="172"/>
      <c r="I180" s="186"/>
      <c r="J180" s="91"/>
      <c r="K180" s="55"/>
      <c r="L180" s="63"/>
      <c r="M180" s="9"/>
      <c r="N180" s="9"/>
    </row>
    <row r="181" spans="1:14" ht="15.6" customHeight="1">
      <c r="A181" s="53"/>
      <c r="B181" s="53"/>
      <c r="C181" s="151" t="s">
        <v>326</v>
      </c>
      <c r="D181" s="152"/>
      <c r="E181" s="152"/>
      <c r="F181" s="152"/>
      <c r="G181" s="152"/>
      <c r="H181" s="153"/>
      <c r="I181" s="100">
        <v>66.84</v>
      </c>
      <c r="J181" s="91"/>
      <c r="K181" s="55"/>
      <c r="L181" s="63"/>
      <c r="M181" s="9"/>
      <c r="N181" s="9"/>
    </row>
    <row r="182" spans="1:14" s="71" customFormat="1" ht="15.6" customHeight="1">
      <c r="A182" s="53"/>
      <c r="B182" s="53"/>
      <c r="C182" s="151" t="s">
        <v>141</v>
      </c>
      <c r="D182" s="152"/>
      <c r="E182" s="152"/>
      <c r="F182" s="152"/>
      <c r="G182" s="152"/>
      <c r="H182" s="153"/>
      <c r="I182" s="100">
        <f>I181*I66</f>
        <v>133.68</v>
      </c>
      <c r="J182" s="91">
        <v>0.2</v>
      </c>
      <c r="K182" s="81"/>
      <c r="L182" s="88"/>
      <c r="M182" s="49"/>
      <c r="N182" s="49"/>
    </row>
    <row r="183" spans="1:14">
      <c r="A183" s="60"/>
      <c r="B183" s="60"/>
      <c r="C183" s="157" t="s">
        <v>346</v>
      </c>
      <c r="D183" s="158"/>
      <c r="E183" s="158"/>
      <c r="F183" s="158" t="s">
        <v>18</v>
      </c>
      <c r="G183" s="158"/>
      <c r="H183" s="159"/>
      <c r="I183" s="72">
        <f>I182*J182</f>
        <v>26.736000000000004</v>
      </c>
      <c r="J183" s="62"/>
      <c r="K183" s="62"/>
      <c r="L183" s="63"/>
      <c r="M183" s="9"/>
      <c r="N183" s="9"/>
    </row>
    <row r="184" spans="1:14">
      <c r="A184" s="53"/>
      <c r="B184" s="53"/>
      <c r="C184" s="151" t="s">
        <v>45</v>
      </c>
      <c r="D184" s="152"/>
      <c r="E184" s="152"/>
      <c r="F184" s="152" t="s">
        <v>18</v>
      </c>
      <c r="G184" s="152"/>
      <c r="H184" s="153"/>
      <c r="I184" s="78">
        <f>SUM(I182:I183)</f>
        <v>160.416</v>
      </c>
      <c r="J184" s="80">
        <v>0.05</v>
      </c>
      <c r="K184" s="62"/>
      <c r="L184" s="63"/>
      <c r="M184" s="9"/>
      <c r="N184" s="9"/>
    </row>
    <row r="185" spans="1:14">
      <c r="A185" s="53"/>
      <c r="B185" s="53"/>
      <c r="C185" s="146" t="s">
        <v>46</v>
      </c>
      <c r="D185" s="147"/>
      <c r="E185" s="148"/>
      <c r="F185" s="149" t="s">
        <v>18</v>
      </c>
      <c r="G185" s="150"/>
      <c r="H185" s="92">
        <v>0.05</v>
      </c>
      <c r="I185" s="78">
        <f>I184*J184</f>
        <v>8.0207999999999995</v>
      </c>
      <c r="J185" s="62"/>
      <c r="K185" s="62"/>
      <c r="L185" s="63"/>
      <c r="M185" s="9"/>
      <c r="N185" s="9"/>
    </row>
    <row r="186" spans="1:14">
      <c r="A186" s="53"/>
      <c r="B186" s="53"/>
      <c r="C186" s="151" t="s">
        <v>47</v>
      </c>
      <c r="D186" s="152"/>
      <c r="E186" s="152"/>
      <c r="F186" s="152" t="s">
        <v>18</v>
      </c>
      <c r="G186" s="152"/>
      <c r="H186" s="153"/>
      <c r="I186" s="78">
        <f>I184+I185</f>
        <v>168.43680000000001</v>
      </c>
      <c r="J186" s="80">
        <v>0.05</v>
      </c>
      <c r="K186" s="80">
        <v>0.95</v>
      </c>
      <c r="L186" s="63"/>
      <c r="M186" s="9"/>
      <c r="N186" s="9"/>
    </row>
    <row r="187" spans="1:14">
      <c r="A187" s="53"/>
      <c r="B187" s="53"/>
      <c r="C187" s="146" t="s">
        <v>48</v>
      </c>
      <c r="D187" s="147"/>
      <c r="E187" s="148"/>
      <c r="F187" s="149" t="s">
        <v>18</v>
      </c>
      <c r="G187" s="150"/>
      <c r="H187" s="92">
        <v>0.05</v>
      </c>
      <c r="I187" s="78">
        <f>I186*J186/K186</f>
        <v>8.8650947368421065</v>
      </c>
      <c r="J187" s="54"/>
      <c r="K187" s="54"/>
      <c r="L187" s="63"/>
      <c r="M187" s="9"/>
      <c r="N187" s="9"/>
    </row>
    <row r="188" spans="1:14" ht="16.2" customHeight="1">
      <c r="A188" s="53"/>
      <c r="B188" s="53"/>
      <c r="C188" s="151" t="s">
        <v>49</v>
      </c>
      <c r="D188" s="152"/>
      <c r="E188" s="152"/>
      <c r="F188" s="152" t="s">
        <v>18</v>
      </c>
      <c r="G188" s="152"/>
      <c r="H188" s="153"/>
      <c r="I188" s="78">
        <f>I186+I187</f>
        <v>177.30189473684212</v>
      </c>
      <c r="J188" s="97">
        <f>ROUND(K188,3)</f>
        <v>3.2000000000000001E-2</v>
      </c>
      <c r="K188" s="97">
        <f>I188/I10</f>
        <v>3.202181266028202E-2</v>
      </c>
      <c r="L188" s="63"/>
      <c r="M188" s="9"/>
      <c r="N188" s="9"/>
    </row>
    <row r="189" spans="1:14" ht="16.2">
      <c r="A189" s="53"/>
      <c r="B189" s="53"/>
      <c r="C189" s="154" t="s">
        <v>140</v>
      </c>
      <c r="D189" s="155"/>
      <c r="E189" s="155"/>
      <c r="F189" s="155" t="s">
        <v>51</v>
      </c>
      <c r="G189" s="155"/>
      <c r="H189" s="156"/>
      <c r="I189" s="14">
        <f>J188</f>
        <v>3.2000000000000001E-2</v>
      </c>
      <c r="J189" s="55"/>
      <c r="K189" s="55"/>
      <c r="L189" s="63"/>
      <c r="M189" s="9"/>
      <c r="N189" s="9"/>
    </row>
    <row r="190" spans="1:14" s="49" customFormat="1" ht="15.6" customHeight="1">
      <c r="A190" s="171" t="s">
        <v>365</v>
      </c>
      <c r="B190" s="172"/>
      <c r="C190" s="172"/>
      <c r="D190" s="172"/>
      <c r="E190" s="172"/>
      <c r="F190" s="172"/>
      <c r="G190" s="172"/>
      <c r="H190" s="172"/>
      <c r="I190" s="186"/>
      <c r="J190" s="48"/>
      <c r="K190" s="48"/>
      <c r="L190" s="88"/>
    </row>
    <row r="191" spans="1:14" s="49" customFormat="1" ht="35.25" customHeight="1">
      <c r="A191" s="58" t="s">
        <v>366</v>
      </c>
      <c r="B191" s="47"/>
      <c r="C191" s="183" t="s">
        <v>101</v>
      </c>
      <c r="D191" s="184"/>
      <c r="E191" s="184"/>
      <c r="F191" s="184"/>
      <c r="G191" s="184"/>
      <c r="H191" s="184"/>
      <c r="I191" s="185"/>
      <c r="J191" s="62">
        <v>1.2</v>
      </c>
      <c r="K191" s="62">
        <v>100</v>
      </c>
      <c r="L191" s="63">
        <v>2</v>
      </c>
      <c r="M191" s="9">
        <v>2003</v>
      </c>
    </row>
    <row r="192" spans="1:14" s="49" customFormat="1" ht="67.2" customHeight="1">
      <c r="A192" s="47"/>
      <c r="B192" s="47" t="s">
        <v>142</v>
      </c>
      <c r="C192" s="151" t="s">
        <v>274</v>
      </c>
      <c r="D192" s="152"/>
      <c r="E192" s="152"/>
      <c r="F192" s="152"/>
      <c r="G192" s="152"/>
      <c r="H192" s="153"/>
      <c r="I192" s="87">
        <f>($I$41*L191)*J191/K191/M191</f>
        <v>6.386420369445831E-3</v>
      </c>
      <c r="J192" s="62">
        <v>1.1000000000000001</v>
      </c>
      <c r="K192" s="62">
        <v>100</v>
      </c>
      <c r="L192" s="63">
        <v>2</v>
      </c>
      <c r="M192" s="9">
        <v>2003</v>
      </c>
    </row>
    <row r="193" spans="1:13" s="49" customFormat="1" ht="55.95" customHeight="1">
      <c r="A193" s="47"/>
      <c r="B193" s="47" t="s">
        <v>143</v>
      </c>
      <c r="C193" s="151" t="s">
        <v>275</v>
      </c>
      <c r="D193" s="152"/>
      <c r="E193" s="152"/>
      <c r="F193" s="152" t="s">
        <v>12</v>
      </c>
      <c r="G193" s="152"/>
      <c r="H193" s="153"/>
      <c r="I193" s="87">
        <f>($I$41*L192)*J192/K192/M192</f>
        <v>5.8542186719920128E-3</v>
      </c>
      <c r="J193" s="81">
        <v>2.23</v>
      </c>
      <c r="K193" s="104"/>
      <c r="L193" s="81">
        <v>2</v>
      </c>
      <c r="M193" s="9">
        <v>2003</v>
      </c>
    </row>
    <row r="194" spans="1:13" s="49" customFormat="1" ht="63" customHeight="1">
      <c r="A194" s="47"/>
      <c r="B194" s="47" t="s">
        <v>144</v>
      </c>
      <c r="C194" s="151" t="s">
        <v>276</v>
      </c>
      <c r="D194" s="152"/>
      <c r="E194" s="152"/>
      <c r="F194" s="152" t="s">
        <v>12</v>
      </c>
      <c r="G194" s="152"/>
      <c r="H194" s="153"/>
      <c r="I194" s="103">
        <f>I62*L193*J193/M193</f>
        <v>2.2266600099850226E-2</v>
      </c>
      <c r="J194" s="81">
        <v>0.83</v>
      </c>
      <c r="K194" s="81"/>
      <c r="L194" s="81">
        <v>3</v>
      </c>
      <c r="M194" s="9">
        <v>2003</v>
      </c>
    </row>
    <row r="195" spans="1:13" s="49" customFormat="1" ht="53.4" customHeight="1">
      <c r="A195" s="47"/>
      <c r="B195" s="47" t="s">
        <v>148</v>
      </c>
      <c r="C195" s="151" t="s">
        <v>277</v>
      </c>
      <c r="D195" s="152"/>
      <c r="E195" s="152"/>
      <c r="F195" s="152" t="s">
        <v>149</v>
      </c>
      <c r="G195" s="152"/>
      <c r="H195" s="153"/>
      <c r="I195" s="105">
        <f>I55*J194/L194/M194</f>
        <v>1.3812614411715758E-3</v>
      </c>
      <c r="J195" s="81">
        <v>0.55000000000000004</v>
      </c>
      <c r="K195" s="81"/>
      <c r="L195" s="81"/>
      <c r="M195" s="9">
        <v>2003</v>
      </c>
    </row>
    <row r="196" spans="1:13" s="49" customFormat="1" ht="15" customHeight="1">
      <c r="A196" s="47"/>
      <c r="B196" s="47" t="s">
        <v>150</v>
      </c>
      <c r="C196" s="151" t="s">
        <v>278</v>
      </c>
      <c r="D196" s="152"/>
      <c r="E196" s="152"/>
      <c r="F196" s="152"/>
      <c r="G196" s="152"/>
      <c r="H196" s="153"/>
      <c r="I196" s="105">
        <f>I58*J195/M195</f>
        <v>1.6475287069395907E-3</v>
      </c>
      <c r="J196" s="81"/>
      <c r="K196" s="81"/>
      <c r="L196" s="81"/>
      <c r="M196" s="9"/>
    </row>
    <row r="197" spans="1:13" s="49" customFormat="1" ht="15" customHeight="1">
      <c r="A197" s="47"/>
      <c r="B197" s="47"/>
      <c r="C197" s="151" t="s">
        <v>102</v>
      </c>
      <c r="D197" s="152"/>
      <c r="E197" s="152"/>
      <c r="F197" s="152" t="s">
        <v>42</v>
      </c>
      <c r="G197" s="152"/>
      <c r="H197" s="153"/>
      <c r="I197" s="103">
        <f>I192+I193+I195</f>
        <v>1.362190048260942E-2</v>
      </c>
      <c r="J197" s="81">
        <v>1450</v>
      </c>
      <c r="K197" s="81">
        <v>1.2</v>
      </c>
      <c r="L197" s="81">
        <v>1.35</v>
      </c>
      <c r="M197" s="50">
        <v>1.2</v>
      </c>
    </row>
    <row r="198" spans="1:13" s="49" customFormat="1" ht="15" customHeight="1">
      <c r="A198" s="47"/>
      <c r="B198" s="47"/>
      <c r="C198" s="151" t="s">
        <v>105</v>
      </c>
      <c r="D198" s="152"/>
      <c r="E198" s="152"/>
      <c r="F198" s="152" t="s">
        <v>18</v>
      </c>
      <c r="G198" s="152"/>
      <c r="H198" s="153"/>
      <c r="I198" s="106">
        <f>I197*J197*K197*L197*M197</f>
        <v>38.397413080379437</v>
      </c>
      <c r="J198" s="48"/>
      <c r="K198" s="48"/>
      <c r="L198" s="88"/>
    </row>
    <row r="199" spans="1:13" s="49" customFormat="1" ht="15" customHeight="1">
      <c r="A199" s="47"/>
      <c r="B199" s="47"/>
      <c r="C199" s="151" t="s">
        <v>103</v>
      </c>
      <c r="D199" s="152"/>
      <c r="E199" s="152"/>
      <c r="F199" s="152" t="s">
        <v>42</v>
      </c>
      <c r="G199" s="152"/>
      <c r="H199" s="153"/>
      <c r="I199" s="87">
        <f>I194</f>
        <v>2.2266600099850226E-2</v>
      </c>
      <c r="J199" s="81">
        <v>1450</v>
      </c>
      <c r="K199" s="81">
        <v>1.2</v>
      </c>
      <c r="L199" s="81">
        <v>1.2</v>
      </c>
      <c r="M199" s="49">
        <v>1.2</v>
      </c>
    </row>
    <row r="200" spans="1:13" s="49" customFormat="1" ht="15" customHeight="1">
      <c r="A200" s="47"/>
      <c r="B200" s="47"/>
      <c r="C200" s="151" t="s">
        <v>106</v>
      </c>
      <c r="D200" s="152"/>
      <c r="E200" s="152"/>
      <c r="F200" s="152" t="s">
        <v>18</v>
      </c>
      <c r="G200" s="152"/>
      <c r="H200" s="153"/>
      <c r="I200" s="78">
        <f>I199*J199*K199*L199*M199</f>
        <v>55.79119321018473</v>
      </c>
      <c r="J200" s="48"/>
      <c r="K200" s="48"/>
      <c r="L200" s="88"/>
    </row>
    <row r="201" spans="1:13" s="49" customFormat="1" ht="15" customHeight="1">
      <c r="A201" s="47"/>
      <c r="B201" s="47"/>
      <c r="C201" s="151" t="s">
        <v>104</v>
      </c>
      <c r="D201" s="152"/>
      <c r="E201" s="152"/>
      <c r="F201" s="152" t="s">
        <v>42</v>
      </c>
      <c r="G201" s="152"/>
      <c r="H201" s="153"/>
      <c r="I201" s="87">
        <f>I196</f>
        <v>1.6475287069395907E-3</v>
      </c>
      <c r="J201" s="81">
        <v>1450</v>
      </c>
      <c r="K201" s="81">
        <v>1.2</v>
      </c>
      <c r="L201" s="81">
        <v>1.08</v>
      </c>
      <c r="M201" s="49">
        <v>1.2</v>
      </c>
    </row>
    <row r="202" spans="1:13" s="49" customFormat="1" ht="15" customHeight="1">
      <c r="A202" s="47"/>
      <c r="B202" s="47"/>
      <c r="C202" s="151" t="s">
        <v>107</v>
      </c>
      <c r="D202" s="152"/>
      <c r="E202" s="152"/>
      <c r="F202" s="152" t="s">
        <v>18</v>
      </c>
      <c r="G202" s="152"/>
      <c r="H202" s="153"/>
      <c r="I202" s="78">
        <f>I201*J201*K201*L201*M201</f>
        <v>3.7152431352970554</v>
      </c>
      <c r="J202" s="48"/>
      <c r="K202" s="48"/>
      <c r="L202" s="88"/>
    </row>
    <row r="203" spans="1:13" s="49" customFormat="1" ht="15" customHeight="1">
      <c r="A203" s="47"/>
      <c r="B203" s="47"/>
      <c r="C203" s="157" t="s">
        <v>85</v>
      </c>
      <c r="D203" s="158"/>
      <c r="E203" s="158"/>
      <c r="F203" s="158" t="s">
        <v>18</v>
      </c>
      <c r="G203" s="158"/>
      <c r="H203" s="159"/>
      <c r="I203" s="72">
        <f>I202+I200+I198</f>
        <v>97.903849425861225</v>
      </c>
      <c r="J203" s="48"/>
      <c r="K203" s="48"/>
      <c r="L203" s="88"/>
    </row>
    <row r="204" spans="1:13" s="49" customFormat="1" ht="15" customHeight="1">
      <c r="A204" s="47"/>
      <c r="B204" s="47"/>
      <c r="C204" s="157" t="s">
        <v>250</v>
      </c>
      <c r="D204" s="158"/>
      <c r="E204" s="158"/>
      <c r="F204" s="158" t="s">
        <v>18</v>
      </c>
      <c r="G204" s="158"/>
      <c r="H204" s="159"/>
      <c r="I204" s="72">
        <f>I203*0.22</f>
        <v>21.538846873689469</v>
      </c>
      <c r="J204" s="51">
        <v>0.57999999999999996</v>
      </c>
      <c r="K204" s="48"/>
      <c r="L204" s="88"/>
    </row>
    <row r="205" spans="1:13" s="49" customFormat="1" ht="15" customHeight="1">
      <c r="A205" s="47"/>
      <c r="B205" s="47"/>
      <c r="C205" s="157" t="s">
        <v>321</v>
      </c>
      <c r="D205" s="158"/>
      <c r="E205" s="158"/>
      <c r="F205" s="158" t="s">
        <v>18</v>
      </c>
      <c r="G205" s="158"/>
      <c r="H205" s="159"/>
      <c r="I205" s="101">
        <f>I203*J204</f>
        <v>56.784232666999507</v>
      </c>
      <c r="J205" s="81">
        <v>182.46</v>
      </c>
      <c r="K205" s="48"/>
      <c r="L205" s="88"/>
    </row>
    <row r="206" spans="1:13" s="49" customFormat="1" ht="15" customHeight="1">
      <c r="A206" s="47"/>
      <c r="B206" s="47"/>
      <c r="C206" s="157" t="s">
        <v>327</v>
      </c>
      <c r="D206" s="158"/>
      <c r="E206" s="210" t="s">
        <v>328</v>
      </c>
      <c r="F206" s="210"/>
      <c r="G206" s="210"/>
      <c r="H206" s="210"/>
      <c r="I206" s="101">
        <f>J205*(I197+I199+I201)</f>
        <v>6.8488239041437851</v>
      </c>
      <c r="J206" s="48"/>
      <c r="K206" s="48"/>
      <c r="L206" s="88"/>
    </row>
    <row r="207" spans="1:13" s="49" customFormat="1" ht="15" customHeight="1">
      <c r="A207" s="47"/>
      <c r="B207" s="47"/>
      <c r="C207" s="157" t="s">
        <v>86</v>
      </c>
      <c r="D207" s="158"/>
      <c r="E207" s="158"/>
      <c r="F207" s="158" t="s">
        <v>18</v>
      </c>
      <c r="G207" s="158"/>
      <c r="H207" s="159"/>
      <c r="I207" s="101">
        <f>I203+I204+I205+I206</f>
        <v>183.07575287069398</v>
      </c>
      <c r="J207" s="51">
        <v>0.27</v>
      </c>
      <c r="K207" s="48"/>
      <c r="L207" s="88"/>
    </row>
    <row r="208" spans="1:13" s="49" customFormat="1" ht="15" customHeight="1">
      <c r="A208" s="47"/>
      <c r="B208" s="47"/>
      <c r="C208" s="157" t="s">
        <v>322</v>
      </c>
      <c r="D208" s="158"/>
      <c r="E208" s="158"/>
      <c r="F208" s="158" t="s">
        <v>18</v>
      </c>
      <c r="G208" s="158"/>
      <c r="H208" s="159"/>
      <c r="I208" s="72">
        <f>I207*J207</f>
        <v>49.430453275087373</v>
      </c>
      <c r="J208" s="48"/>
      <c r="K208" s="48"/>
      <c r="L208" s="88"/>
    </row>
    <row r="209" spans="1:13" s="49" customFormat="1" ht="15" customHeight="1">
      <c r="A209" s="47"/>
      <c r="B209" s="47"/>
      <c r="C209" s="151" t="s">
        <v>45</v>
      </c>
      <c r="D209" s="152"/>
      <c r="E209" s="152"/>
      <c r="F209" s="152" t="s">
        <v>18</v>
      </c>
      <c r="G209" s="152"/>
      <c r="H209" s="153"/>
      <c r="I209" s="78">
        <f>SUM(I207:I208)</f>
        <v>232.50620614578133</v>
      </c>
      <c r="J209" s="51">
        <v>0.05</v>
      </c>
      <c r="K209" s="48"/>
      <c r="L209" s="88"/>
    </row>
    <row r="210" spans="1:13" s="49" customFormat="1" ht="15" customHeight="1">
      <c r="A210" s="47"/>
      <c r="B210" s="47"/>
      <c r="C210" s="146" t="s">
        <v>46</v>
      </c>
      <c r="D210" s="147"/>
      <c r="E210" s="148"/>
      <c r="F210" s="149" t="s">
        <v>18</v>
      </c>
      <c r="G210" s="150"/>
      <c r="H210" s="92">
        <v>0.05</v>
      </c>
      <c r="I210" s="78">
        <f>I208*J209</f>
        <v>2.471522663754369</v>
      </c>
      <c r="J210" s="48"/>
      <c r="K210" s="48"/>
      <c r="L210" s="88"/>
    </row>
    <row r="211" spans="1:13" s="49" customFormat="1" ht="15" customHeight="1">
      <c r="A211" s="47"/>
      <c r="B211" s="47"/>
      <c r="C211" s="151" t="s">
        <v>47</v>
      </c>
      <c r="D211" s="152"/>
      <c r="E211" s="152"/>
      <c r="F211" s="152" t="s">
        <v>18</v>
      </c>
      <c r="G211" s="152"/>
      <c r="H211" s="153"/>
      <c r="I211" s="78">
        <f>I209+I210</f>
        <v>234.97772880953571</v>
      </c>
      <c r="J211" s="51">
        <v>0.05</v>
      </c>
      <c r="K211" s="51">
        <v>0.95</v>
      </c>
      <c r="L211" s="88"/>
    </row>
    <row r="212" spans="1:13" s="49" customFormat="1" ht="15" customHeight="1">
      <c r="A212" s="47"/>
      <c r="B212" s="47"/>
      <c r="C212" s="146" t="s">
        <v>48</v>
      </c>
      <c r="D212" s="147"/>
      <c r="E212" s="148"/>
      <c r="F212" s="149" t="s">
        <v>18</v>
      </c>
      <c r="G212" s="150"/>
      <c r="H212" s="92">
        <v>0.05</v>
      </c>
      <c r="I212" s="78">
        <f>I211*J211/K211</f>
        <v>12.367248884712406</v>
      </c>
      <c r="J212" s="48"/>
      <c r="K212" s="48"/>
      <c r="L212" s="88"/>
    </row>
    <row r="213" spans="1:13" s="49" customFormat="1" ht="17.399999999999999" customHeight="1">
      <c r="A213" s="47"/>
      <c r="B213" s="47"/>
      <c r="C213" s="151" t="s">
        <v>49</v>
      </c>
      <c r="D213" s="152"/>
      <c r="E213" s="152"/>
      <c r="F213" s="152" t="s">
        <v>18</v>
      </c>
      <c r="G213" s="152"/>
      <c r="H213" s="153"/>
      <c r="I213" s="78">
        <f>I211+I212</f>
        <v>247.34497769424812</v>
      </c>
      <c r="J213" s="48"/>
      <c r="K213" s="48"/>
      <c r="L213" s="88"/>
    </row>
    <row r="214" spans="1:13" s="49" customFormat="1" ht="17.399999999999999" customHeight="1">
      <c r="A214" s="47"/>
      <c r="B214" s="47"/>
      <c r="C214" s="154" t="s">
        <v>94</v>
      </c>
      <c r="D214" s="155"/>
      <c r="E214" s="155"/>
      <c r="F214" s="155"/>
      <c r="G214" s="155"/>
      <c r="H214" s="156"/>
      <c r="I214" s="10">
        <f>I213/I9</f>
        <v>4.1900790887218452E-2</v>
      </c>
      <c r="J214" s="48"/>
      <c r="K214" s="48"/>
      <c r="L214" s="88"/>
    </row>
    <row r="215" spans="1:13" s="49" customFormat="1" ht="60" customHeight="1">
      <c r="A215" s="58" t="s">
        <v>367</v>
      </c>
      <c r="B215" s="47"/>
      <c r="C215" s="183" t="s">
        <v>108</v>
      </c>
      <c r="D215" s="184"/>
      <c r="E215" s="184"/>
      <c r="F215" s="184"/>
      <c r="G215" s="184"/>
      <c r="H215" s="184"/>
      <c r="I215" s="185"/>
      <c r="J215" s="62">
        <v>1.2</v>
      </c>
      <c r="K215" s="62">
        <v>100</v>
      </c>
      <c r="L215" s="63">
        <v>2</v>
      </c>
      <c r="M215" s="9">
        <v>2003</v>
      </c>
    </row>
    <row r="216" spans="1:13" s="49" customFormat="1" ht="61.95" customHeight="1">
      <c r="A216" s="47"/>
      <c r="B216" s="47" t="s">
        <v>142</v>
      </c>
      <c r="C216" s="151" t="s">
        <v>279</v>
      </c>
      <c r="D216" s="152"/>
      <c r="E216" s="152"/>
      <c r="F216" s="152" t="s">
        <v>12</v>
      </c>
      <c r="G216" s="152"/>
      <c r="H216" s="153"/>
      <c r="I216" s="87">
        <f>($I$42*L215)*J215/K215/M215</f>
        <v>5.5596605092361456E-3</v>
      </c>
      <c r="J216" s="62">
        <v>1.1000000000000001</v>
      </c>
      <c r="K216" s="62">
        <v>100</v>
      </c>
      <c r="L216" s="63">
        <v>2</v>
      </c>
      <c r="M216" s="9">
        <v>2003</v>
      </c>
    </row>
    <row r="217" spans="1:13" s="49" customFormat="1" ht="47.4" customHeight="1">
      <c r="A217" s="47"/>
      <c r="B217" s="47" t="s">
        <v>143</v>
      </c>
      <c r="C217" s="151" t="s">
        <v>280</v>
      </c>
      <c r="D217" s="152"/>
      <c r="E217" s="152"/>
      <c r="F217" s="152" t="s">
        <v>12</v>
      </c>
      <c r="G217" s="152"/>
      <c r="H217" s="153"/>
      <c r="I217" s="87">
        <f>($I$42*L216)*J216/K216/M216</f>
        <v>5.0963554667998005E-3</v>
      </c>
      <c r="J217" s="81">
        <v>2.23</v>
      </c>
      <c r="K217" s="104"/>
      <c r="L217" s="81">
        <v>2</v>
      </c>
      <c r="M217" s="9">
        <v>2003</v>
      </c>
    </row>
    <row r="218" spans="1:13" s="49" customFormat="1" ht="63" customHeight="1">
      <c r="A218" s="47"/>
      <c r="B218" s="47" t="s">
        <v>144</v>
      </c>
      <c r="C218" s="151" t="s">
        <v>281</v>
      </c>
      <c r="D218" s="152"/>
      <c r="E218" s="152"/>
      <c r="F218" s="152" t="s">
        <v>12</v>
      </c>
      <c r="G218" s="152"/>
      <c r="H218" s="153"/>
      <c r="I218" s="103">
        <f>I63*L217*J217/M217</f>
        <v>2.2266600099850226E-2</v>
      </c>
      <c r="J218" s="81">
        <v>0.83</v>
      </c>
      <c r="K218" s="81"/>
      <c r="L218" s="81">
        <v>3</v>
      </c>
      <c r="M218" s="9">
        <v>2003</v>
      </c>
    </row>
    <row r="219" spans="1:13" s="49" customFormat="1" ht="64.5" customHeight="1">
      <c r="A219" s="47"/>
      <c r="B219" s="47" t="s">
        <v>148</v>
      </c>
      <c r="C219" s="151" t="s">
        <v>282</v>
      </c>
      <c r="D219" s="152"/>
      <c r="E219" s="152"/>
      <c r="F219" s="152" t="s">
        <v>149</v>
      </c>
      <c r="G219" s="152"/>
      <c r="H219" s="153"/>
      <c r="I219" s="105">
        <f>I56*J218/L218/M218</f>
        <v>9.6688300882010316E-4</v>
      </c>
      <c r="J219" s="81">
        <v>0.55000000000000004</v>
      </c>
      <c r="K219" s="81"/>
      <c r="L219" s="81"/>
      <c r="M219" s="9">
        <v>2003</v>
      </c>
    </row>
    <row r="220" spans="1:13" s="49" customFormat="1" ht="15" customHeight="1">
      <c r="A220" s="47"/>
      <c r="B220" s="47" t="s">
        <v>150</v>
      </c>
      <c r="C220" s="151" t="s">
        <v>278</v>
      </c>
      <c r="D220" s="152"/>
      <c r="E220" s="152"/>
      <c r="F220" s="152"/>
      <c r="G220" s="152"/>
      <c r="H220" s="153"/>
      <c r="I220" s="105">
        <f>I59*J219/M219</f>
        <v>1.6475287069395907E-3</v>
      </c>
      <c r="J220" s="81"/>
      <c r="K220" s="81"/>
      <c r="L220" s="81"/>
      <c r="M220" s="9"/>
    </row>
    <row r="221" spans="1:13" s="49" customFormat="1" ht="15" customHeight="1">
      <c r="A221" s="47"/>
      <c r="B221" s="47"/>
      <c r="C221" s="151" t="s">
        <v>102</v>
      </c>
      <c r="D221" s="152"/>
      <c r="E221" s="152"/>
      <c r="F221" s="152" t="s">
        <v>42</v>
      </c>
      <c r="G221" s="152"/>
      <c r="H221" s="153"/>
      <c r="I221" s="107">
        <f>I216+I217+I219</f>
        <v>1.1622898984856049E-2</v>
      </c>
      <c r="J221" s="81">
        <v>1450</v>
      </c>
      <c r="K221" s="81">
        <v>1.2</v>
      </c>
      <c r="L221" s="81">
        <v>1.35</v>
      </c>
      <c r="M221" s="50">
        <v>1.2</v>
      </c>
    </row>
    <row r="222" spans="1:13" s="49" customFormat="1" ht="15" customHeight="1">
      <c r="A222" s="47"/>
      <c r="B222" s="47"/>
      <c r="C222" s="151" t="s">
        <v>105</v>
      </c>
      <c r="D222" s="152"/>
      <c r="E222" s="152"/>
      <c r="F222" s="152" t="s">
        <v>18</v>
      </c>
      <c r="G222" s="152"/>
      <c r="H222" s="153"/>
      <c r="I222" s="106">
        <f>I221*J221*K221*L221*M221</f>
        <v>32.762627658512223</v>
      </c>
      <c r="J222" s="48"/>
      <c r="K222" s="48"/>
      <c r="L222" s="88"/>
    </row>
    <row r="223" spans="1:13" s="49" customFormat="1" ht="15" customHeight="1">
      <c r="A223" s="47"/>
      <c r="B223" s="47"/>
      <c r="C223" s="151" t="s">
        <v>103</v>
      </c>
      <c r="D223" s="152"/>
      <c r="E223" s="152"/>
      <c r="F223" s="152" t="s">
        <v>42</v>
      </c>
      <c r="G223" s="152"/>
      <c r="H223" s="153"/>
      <c r="I223" s="16">
        <f>I218</f>
        <v>2.2266600099850226E-2</v>
      </c>
      <c r="J223" s="81">
        <v>1450</v>
      </c>
      <c r="K223" s="81">
        <v>1.2</v>
      </c>
      <c r="L223" s="81">
        <v>1.2</v>
      </c>
      <c r="M223" s="49">
        <v>1.2</v>
      </c>
    </row>
    <row r="224" spans="1:13" s="49" customFormat="1" ht="15" customHeight="1">
      <c r="A224" s="47"/>
      <c r="B224" s="47"/>
      <c r="C224" s="151" t="s">
        <v>106</v>
      </c>
      <c r="D224" s="152"/>
      <c r="E224" s="152"/>
      <c r="F224" s="152" t="s">
        <v>18</v>
      </c>
      <c r="G224" s="152"/>
      <c r="H224" s="153"/>
      <c r="I224" s="78">
        <f>I223*J223*K223*L223*M223</f>
        <v>55.79119321018473</v>
      </c>
      <c r="J224" s="48"/>
      <c r="K224" s="48"/>
      <c r="L224" s="88"/>
    </row>
    <row r="225" spans="1:13" s="49" customFormat="1" ht="15" customHeight="1">
      <c r="A225" s="47"/>
      <c r="B225" s="47"/>
      <c r="C225" s="151" t="s">
        <v>104</v>
      </c>
      <c r="D225" s="152"/>
      <c r="E225" s="152"/>
      <c r="F225" s="152" t="s">
        <v>42</v>
      </c>
      <c r="G225" s="152"/>
      <c r="H225" s="153"/>
      <c r="I225" s="16">
        <f>I220</f>
        <v>1.6475287069395907E-3</v>
      </c>
      <c r="J225" s="81">
        <v>1450</v>
      </c>
      <c r="K225" s="81">
        <v>1.2</v>
      </c>
      <c r="L225" s="81">
        <v>1.08</v>
      </c>
      <c r="M225" s="49">
        <v>1.2</v>
      </c>
    </row>
    <row r="226" spans="1:13" s="49" customFormat="1" ht="15" customHeight="1">
      <c r="A226" s="47"/>
      <c r="B226" s="47"/>
      <c r="C226" s="151" t="s">
        <v>107</v>
      </c>
      <c r="D226" s="152"/>
      <c r="E226" s="152"/>
      <c r="F226" s="152" t="s">
        <v>18</v>
      </c>
      <c r="G226" s="152"/>
      <c r="H226" s="153"/>
      <c r="I226" s="78">
        <f>I225*J225*K225*L225*M225</f>
        <v>3.7152431352970554</v>
      </c>
      <c r="J226" s="48"/>
      <c r="K226" s="48"/>
      <c r="L226" s="88"/>
    </row>
    <row r="227" spans="1:13" s="49" customFormat="1" ht="15" customHeight="1">
      <c r="A227" s="47"/>
      <c r="B227" s="47"/>
      <c r="C227" s="157" t="s">
        <v>85</v>
      </c>
      <c r="D227" s="158"/>
      <c r="E227" s="158"/>
      <c r="F227" s="158" t="s">
        <v>18</v>
      </c>
      <c r="G227" s="158"/>
      <c r="H227" s="159"/>
      <c r="I227" s="72">
        <f>I226+I224+I222</f>
        <v>92.269064003994004</v>
      </c>
      <c r="J227" s="48"/>
      <c r="K227" s="48"/>
      <c r="L227" s="88"/>
    </row>
    <row r="228" spans="1:13" s="49" customFormat="1" ht="15" customHeight="1">
      <c r="A228" s="47"/>
      <c r="B228" s="47"/>
      <c r="C228" s="157" t="s">
        <v>250</v>
      </c>
      <c r="D228" s="158"/>
      <c r="E228" s="158"/>
      <c r="F228" s="158" t="s">
        <v>18</v>
      </c>
      <c r="G228" s="158"/>
      <c r="H228" s="159"/>
      <c r="I228" s="72">
        <f>I227*0.22</f>
        <v>20.299194080878681</v>
      </c>
      <c r="J228" s="51">
        <v>0.34</v>
      </c>
      <c r="K228" s="48"/>
      <c r="L228" s="88"/>
    </row>
    <row r="229" spans="1:13" s="49" customFormat="1" ht="15" customHeight="1">
      <c r="A229" s="47"/>
      <c r="B229" s="47"/>
      <c r="C229" s="157" t="s">
        <v>350</v>
      </c>
      <c r="D229" s="158"/>
      <c r="E229" s="158"/>
      <c r="F229" s="158" t="s">
        <v>18</v>
      </c>
      <c r="G229" s="158"/>
      <c r="H229" s="159"/>
      <c r="I229" s="101">
        <f>I227*J228</f>
        <v>31.371481761357963</v>
      </c>
      <c r="J229" s="81">
        <v>182.46</v>
      </c>
      <c r="K229" s="48"/>
      <c r="L229" s="88"/>
    </row>
    <row r="230" spans="1:13" s="49" customFormat="1" ht="15" customHeight="1">
      <c r="A230" s="47"/>
      <c r="B230" s="47"/>
      <c r="C230" s="157" t="s">
        <v>327</v>
      </c>
      <c r="D230" s="158"/>
      <c r="E230" s="210" t="s">
        <v>328</v>
      </c>
      <c r="F230" s="210"/>
      <c r="G230" s="210"/>
      <c r="H230" s="210"/>
      <c r="I230" s="101">
        <f>J229*(I221+I223+I225)</f>
        <v>6.4840860908637046</v>
      </c>
      <c r="J230" s="48"/>
      <c r="K230" s="48"/>
      <c r="L230" s="88"/>
    </row>
    <row r="231" spans="1:13" s="49" customFormat="1" ht="15" customHeight="1">
      <c r="A231" s="47"/>
      <c r="B231" s="47"/>
      <c r="C231" s="157" t="s">
        <v>86</v>
      </c>
      <c r="D231" s="158"/>
      <c r="E231" s="158"/>
      <c r="F231" s="158" t="s">
        <v>18</v>
      </c>
      <c r="G231" s="158"/>
      <c r="H231" s="159"/>
      <c r="I231" s="101">
        <f>I227+I228+I229+I230</f>
        <v>150.42382593709436</v>
      </c>
      <c r="J231" s="51">
        <v>0.27</v>
      </c>
      <c r="K231" s="48"/>
      <c r="L231" s="88"/>
    </row>
    <row r="232" spans="1:13" s="49" customFormat="1" ht="15" customHeight="1">
      <c r="A232" s="47"/>
      <c r="B232" s="47"/>
      <c r="C232" s="157" t="s">
        <v>351</v>
      </c>
      <c r="D232" s="158"/>
      <c r="E232" s="158"/>
      <c r="F232" s="158" t="s">
        <v>18</v>
      </c>
      <c r="G232" s="158"/>
      <c r="H232" s="159"/>
      <c r="I232" s="72">
        <f>I231*J231</f>
        <v>40.614433003015478</v>
      </c>
      <c r="J232" s="48"/>
      <c r="K232" s="48"/>
      <c r="L232" s="88"/>
    </row>
    <row r="233" spans="1:13" s="49" customFormat="1" ht="15" customHeight="1">
      <c r="A233" s="47"/>
      <c r="B233" s="47"/>
      <c r="C233" s="157" t="s">
        <v>45</v>
      </c>
      <c r="D233" s="158"/>
      <c r="E233" s="158"/>
      <c r="F233" s="158" t="s">
        <v>18</v>
      </c>
      <c r="G233" s="158"/>
      <c r="H233" s="159"/>
      <c r="I233" s="72">
        <f>SUM(I231:I232)</f>
        <v>191.03825894010984</v>
      </c>
      <c r="J233" s="51">
        <v>0.05</v>
      </c>
      <c r="K233" s="48"/>
      <c r="L233" s="88"/>
    </row>
    <row r="234" spans="1:13" s="49" customFormat="1" ht="15" customHeight="1">
      <c r="A234" s="47"/>
      <c r="B234" s="47"/>
      <c r="C234" s="165" t="s">
        <v>46</v>
      </c>
      <c r="D234" s="166"/>
      <c r="E234" s="167"/>
      <c r="F234" s="162" t="s">
        <v>18</v>
      </c>
      <c r="G234" s="164"/>
      <c r="H234" s="90">
        <v>0.05</v>
      </c>
      <c r="I234" s="72">
        <f>I232*J233</f>
        <v>2.0307216501507739</v>
      </c>
      <c r="J234" s="48"/>
      <c r="K234" s="48"/>
      <c r="L234" s="88"/>
    </row>
    <row r="235" spans="1:13" s="49" customFormat="1" ht="15" customHeight="1">
      <c r="A235" s="47"/>
      <c r="B235" s="47"/>
      <c r="C235" s="157" t="s">
        <v>47</v>
      </c>
      <c r="D235" s="158"/>
      <c r="E235" s="158"/>
      <c r="F235" s="158" t="s">
        <v>18</v>
      </c>
      <c r="G235" s="158"/>
      <c r="H235" s="159"/>
      <c r="I235" s="72">
        <f>I233+I234</f>
        <v>193.06898059026062</v>
      </c>
      <c r="J235" s="51">
        <v>0.05</v>
      </c>
      <c r="K235" s="51">
        <v>0.95</v>
      </c>
      <c r="L235" s="88"/>
    </row>
    <row r="236" spans="1:13" s="49" customFormat="1" ht="15" customHeight="1">
      <c r="A236" s="47"/>
      <c r="B236" s="47"/>
      <c r="C236" s="165" t="s">
        <v>48</v>
      </c>
      <c r="D236" s="166"/>
      <c r="E236" s="167"/>
      <c r="F236" s="162" t="s">
        <v>18</v>
      </c>
      <c r="G236" s="164"/>
      <c r="H236" s="90">
        <v>0.05</v>
      </c>
      <c r="I236" s="72">
        <f>I235*J235/K235</f>
        <v>10.161525294224244</v>
      </c>
      <c r="J236" s="48"/>
      <c r="K236" s="48"/>
      <c r="L236" s="88"/>
    </row>
    <row r="237" spans="1:13" s="49" customFormat="1" ht="17.399999999999999" customHeight="1">
      <c r="A237" s="47"/>
      <c r="B237" s="47"/>
      <c r="C237" s="157" t="s">
        <v>49</v>
      </c>
      <c r="D237" s="158"/>
      <c r="E237" s="158"/>
      <c r="F237" s="158" t="s">
        <v>18</v>
      </c>
      <c r="G237" s="158"/>
      <c r="H237" s="159"/>
      <c r="I237" s="72">
        <f>I235+I236</f>
        <v>203.23050588448487</v>
      </c>
      <c r="J237" s="48"/>
      <c r="K237" s="48"/>
      <c r="L237" s="88"/>
    </row>
    <row r="238" spans="1:13" s="49" customFormat="1" ht="17.399999999999999" customHeight="1">
      <c r="A238" s="47"/>
      <c r="B238" s="47"/>
      <c r="C238" s="243" t="s">
        <v>94</v>
      </c>
      <c r="D238" s="244"/>
      <c r="E238" s="244"/>
      <c r="F238" s="244"/>
      <c r="G238" s="244"/>
      <c r="H238" s="245"/>
      <c r="I238" s="73">
        <f>I237/I9</f>
        <v>3.4427700971942733E-2</v>
      </c>
      <c r="J238" s="48"/>
      <c r="K238" s="48"/>
      <c r="L238" s="88"/>
    </row>
    <row r="239" spans="1:13" s="49" customFormat="1" ht="48.6" customHeight="1">
      <c r="A239" s="58" t="s">
        <v>368</v>
      </c>
      <c r="B239" s="47"/>
      <c r="C239" s="183" t="s">
        <v>109</v>
      </c>
      <c r="D239" s="184"/>
      <c r="E239" s="184"/>
      <c r="F239" s="184"/>
      <c r="G239" s="184"/>
      <c r="H239" s="184"/>
      <c r="I239" s="185"/>
      <c r="J239" s="62">
        <v>2.2000000000000002</v>
      </c>
      <c r="K239" s="62">
        <v>100</v>
      </c>
      <c r="L239" s="63">
        <v>2</v>
      </c>
      <c r="M239" s="9">
        <v>2003</v>
      </c>
    </row>
    <row r="240" spans="1:13" s="49" customFormat="1" ht="48.6" customHeight="1">
      <c r="A240" s="47"/>
      <c r="B240" s="47" t="s">
        <v>159</v>
      </c>
      <c r="C240" s="151" t="s">
        <v>283</v>
      </c>
      <c r="D240" s="152"/>
      <c r="E240" s="152"/>
      <c r="F240" s="152"/>
      <c r="G240" s="152"/>
      <c r="H240" s="153"/>
      <c r="I240" s="87">
        <f>($I$54*L239)*J239/K239/M239</f>
        <v>1.0500249625561659E-2</v>
      </c>
      <c r="J240" s="81">
        <v>1.4</v>
      </c>
      <c r="K240" s="104"/>
      <c r="L240" s="81">
        <v>2</v>
      </c>
      <c r="M240" s="9">
        <v>2003</v>
      </c>
    </row>
    <row r="241" spans="1:13" s="49" customFormat="1" ht="52.95" customHeight="1">
      <c r="A241" s="47"/>
      <c r="B241" s="47" t="s">
        <v>160</v>
      </c>
      <c r="C241" s="151" t="s">
        <v>284</v>
      </c>
      <c r="D241" s="152"/>
      <c r="E241" s="152"/>
      <c r="F241" s="152"/>
      <c r="G241" s="152"/>
      <c r="H241" s="153"/>
      <c r="I241" s="103">
        <f>I64*L240*J240/M240</f>
        <v>1.3979031452820768E-2</v>
      </c>
      <c r="J241" s="81">
        <v>0.8</v>
      </c>
      <c r="K241" s="104"/>
      <c r="L241" s="81">
        <v>3</v>
      </c>
      <c r="M241" s="9">
        <v>2003</v>
      </c>
    </row>
    <row r="242" spans="1:13" s="49" customFormat="1" ht="52.2" customHeight="1">
      <c r="A242" s="47"/>
      <c r="B242" s="47" t="s">
        <v>158</v>
      </c>
      <c r="C242" s="151" t="s">
        <v>285</v>
      </c>
      <c r="D242" s="152"/>
      <c r="E242" s="152"/>
      <c r="F242" s="152"/>
      <c r="G242" s="152"/>
      <c r="H242" s="153"/>
      <c r="I242" s="105">
        <f>I64/L241*J241/M241</f>
        <v>1.3313363288400735E-3</v>
      </c>
      <c r="J242" s="81">
        <v>0.55000000000000004</v>
      </c>
      <c r="K242" s="81"/>
      <c r="L242" s="81"/>
      <c r="M242" s="9">
        <v>2003</v>
      </c>
    </row>
    <row r="243" spans="1:13" s="49" customFormat="1" ht="15" customHeight="1">
      <c r="A243" s="47"/>
      <c r="B243" s="47" t="s">
        <v>150</v>
      </c>
      <c r="C243" s="151" t="s">
        <v>286</v>
      </c>
      <c r="D243" s="152"/>
      <c r="E243" s="152"/>
      <c r="F243" s="152"/>
      <c r="G243" s="152"/>
      <c r="H243" s="153"/>
      <c r="I243" s="105">
        <f>I60*J242/M242</f>
        <v>2.196704942586121E-3</v>
      </c>
      <c r="J243" s="81"/>
      <c r="K243" s="81"/>
      <c r="L243" s="81"/>
      <c r="M243" s="9"/>
    </row>
    <row r="244" spans="1:13" s="49" customFormat="1" ht="15" customHeight="1">
      <c r="A244" s="47"/>
      <c r="B244" s="47"/>
      <c r="C244" s="151" t="s">
        <v>110</v>
      </c>
      <c r="D244" s="152"/>
      <c r="E244" s="152"/>
      <c r="F244" s="152" t="s">
        <v>42</v>
      </c>
      <c r="G244" s="152"/>
      <c r="H244" s="153"/>
      <c r="I244" s="103">
        <f>I240</f>
        <v>1.0500249625561659E-2</v>
      </c>
      <c r="J244" s="81">
        <v>1450</v>
      </c>
      <c r="K244" s="81">
        <v>1.2</v>
      </c>
      <c r="L244" s="81">
        <v>1.35</v>
      </c>
      <c r="M244" s="50">
        <v>1.2</v>
      </c>
    </row>
    <row r="245" spans="1:13" s="49" customFormat="1" ht="15" customHeight="1">
      <c r="A245" s="47"/>
      <c r="B245" s="47"/>
      <c r="C245" s="151" t="s">
        <v>105</v>
      </c>
      <c r="D245" s="152"/>
      <c r="E245" s="152"/>
      <c r="F245" s="152" t="s">
        <v>18</v>
      </c>
      <c r="G245" s="152"/>
      <c r="H245" s="153"/>
      <c r="I245" s="106">
        <f>I244*J244*K244*L244*M244</f>
        <v>29.598103644533204</v>
      </c>
      <c r="J245" s="48"/>
      <c r="K245" s="48"/>
      <c r="L245" s="88"/>
    </row>
    <row r="246" spans="1:13" s="49" customFormat="1" ht="15" customHeight="1">
      <c r="A246" s="47"/>
      <c r="B246" s="47"/>
      <c r="C246" s="151" t="s">
        <v>111</v>
      </c>
      <c r="D246" s="152"/>
      <c r="E246" s="152"/>
      <c r="F246" s="152" t="s">
        <v>42</v>
      </c>
      <c r="G246" s="152"/>
      <c r="H246" s="153"/>
      <c r="I246" s="87">
        <f>I241+I242</f>
        <v>1.5310367781660842E-2</v>
      </c>
      <c r="J246" s="81">
        <v>1450</v>
      </c>
      <c r="K246" s="81">
        <v>1.2</v>
      </c>
      <c r="L246" s="81">
        <v>1.2</v>
      </c>
      <c r="M246" s="49">
        <v>1.2</v>
      </c>
    </row>
    <row r="247" spans="1:13" s="49" customFormat="1" ht="15" customHeight="1">
      <c r="A247" s="47"/>
      <c r="B247" s="47"/>
      <c r="C247" s="151" t="s">
        <v>106</v>
      </c>
      <c r="D247" s="152"/>
      <c r="E247" s="152"/>
      <c r="F247" s="152" t="s">
        <v>18</v>
      </c>
      <c r="G247" s="152"/>
      <c r="H247" s="153"/>
      <c r="I247" s="78">
        <f>I246*J246*K246*L246*M246</f>
        <v>38.361657513729405</v>
      </c>
      <c r="J247" s="48"/>
      <c r="K247" s="48"/>
      <c r="L247" s="88"/>
    </row>
    <row r="248" spans="1:13" s="49" customFormat="1" ht="15" customHeight="1">
      <c r="A248" s="47"/>
      <c r="B248" s="47"/>
      <c r="C248" s="151" t="s">
        <v>112</v>
      </c>
      <c r="D248" s="152"/>
      <c r="E248" s="152"/>
      <c r="F248" s="152" t="s">
        <v>42</v>
      </c>
      <c r="G248" s="152"/>
      <c r="H248" s="153"/>
      <c r="I248" s="87">
        <f>I243</f>
        <v>2.196704942586121E-3</v>
      </c>
      <c r="J248" s="81">
        <v>1450</v>
      </c>
      <c r="K248" s="81">
        <v>1.2</v>
      </c>
      <c r="L248" s="81">
        <v>1.08</v>
      </c>
      <c r="M248" s="49">
        <v>1.2</v>
      </c>
    </row>
    <row r="249" spans="1:13" s="49" customFormat="1" ht="15" customHeight="1">
      <c r="A249" s="47"/>
      <c r="B249" s="47"/>
      <c r="C249" s="151" t="s">
        <v>107</v>
      </c>
      <c r="D249" s="152"/>
      <c r="E249" s="152"/>
      <c r="F249" s="152" t="s">
        <v>18</v>
      </c>
      <c r="G249" s="152"/>
      <c r="H249" s="153"/>
      <c r="I249" s="78">
        <f>I248*J248*K248*L248*M248</f>
        <v>4.9536575137294054</v>
      </c>
      <c r="J249" s="48"/>
      <c r="K249" s="48"/>
      <c r="L249" s="88"/>
    </row>
    <row r="250" spans="1:13" s="49" customFormat="1" ht="15" customHeight="1">
      <c r="A250" s="47"/>
      <c r="B250" s="47"/>
      <c r="C250" s="151" t="s">
        <v>85</v>
      </c>
      <c r="D250" s="152"/>
      <c r="E250" s="152"/>
      <c r="F250" s="152" t="s">
        <v>18</v>
      </c>
      <c r="G250" s="152"/>
      <c r="H250" s="153"/>
      <c r="I250" s="78">
        <f>I249+I247+I245</f>
        <v>72.913418671992019</v>
      </c>
      <c r="J250" s="48"/>
      <c r="K250" s="48"/>
      <c r="L250" s="88"/>
    </row>
    <row r="251" spans="1:13" s="49" customFormat="1" ht="15" customHeight="1">
      <c r="A251" s="47"/>
      <c r="B251" s="47"/>
      <c r="C251" s="157" t="s">
        <v>250</v>
      </c>
      <c r="D251" s="158"/>
      <c r="E251" s="158"/>
      <c r="F251" s="158" t="s">
        <v>18</v>
      </c>
      <c r="G251" s="158"/>
      <c r="H251" s="159"/>
      <c r="I251" s="72">
        <f>I250*0.22</f>
        <v>16.040952107838244</v>
      </c>
      <c r="J251" s="51">
        <v>0.34</v>
      </c>
      <c r="K251" s="48"/>
      <c r="L251" s="88"/>
    </row>
    <row r="252" spans="1:13" s="49" customFormat="1" ht="15" customHeight="1">
      <c r="A252" s="47"/>
      <c r="B252" s="47"/>
      <c r="C252" s="157" t="s">
        <v>352</v>
      </c>
      <c r="D252" s="158"/>
      <c r="E252" s="158"/>
      <c r="F252" s="158" t="s">
        <v>18</v>
      </c>
      <c r="G252" s="158"/>
      <c r="H252" s="159"/>
      <c r="I252" s="101">
        <f>I250*J251</f>
        <v>24.790562348477287</v>
      </c>
      <c r="J252" s="81">
        <v>182.46</v>
      </c>
      <c r="K252" s="48"/>
      <c r="L252" s="88"/>
    </row>
    <row r="253" spans="1:13" s="49" customFormat="1" ht="15" customHeight="1">
      <c r="A253" s="47"/>
      <c r="B253" s="47"/>
      <c r="C253" s="157" t="s">
        <v>251</v>
      </c>
      <c r="D253" s="158"/>
      <c r="E253" s="210" t="s">
        <v>328</v>
      </c>
      <c r="F253" s="210"/>
      <c r="G253" s="210"/>
      <c r="H253" s="210"/>
      <c r="I253" s="101">
        <f>J252*(I244+I246+I248)</f>
        <v>5.1102160359460811</v>
      </c>
      <c r="J253" s="48"/>
      <c r="K253" s="48"/>
      <c r="L253" s="88"/>
    </row>
    <row r="254" spans="1:13" s="49" customFormat="1" ht="15" customHeight="1">
      <c r="A254" s="47"/>
      <c r="B254" s="47"/>
      <c r="C254" s="157" t="s">
        <v>86</v>
      </c>
      <c r="D254" s="158"/>
      <c r="E254" s="158"/>
      <c r="F254" s="158" t="s">
        <v>18</v>
      </c>
      <c r="G254" s="158"/>
      <c r="H254" s="159"/>
      <c r="I254" s="101">
        <f>I250+I251+I252+I253</f>
        <v>118.85514916425365</v>
      </c>
      <c r="J254" s="51">
        <v>0.2</v>
      </c>
      <c r="K254" s="48"/>
      <c r="L254" s="88"/>
    </row>
    <row r="255" spans="1:13" s="49" customFormat="1" ht="17.399999999999999" customHeight="1">
      <c r="A255" s="47"/>
      <c r="B255" s="47"/>
      <c r="C255" s="157" t="s">
        <v>346</v>
      </c>
      <c r="D255" s="158"/>
      <c r="E255" s="158"/>
      <c r="F255" s="158" t="s">
        <v>18</v>
      </c>
      <c r="G255" s="158"/>
      <c r="H255" s="159"/>
      <c r="I255" s="72">
        <f>I254*J254</f>
        <v>23.771029832850729</v>
      </c>
      <c r="J255" s="48"/>
      <c r="K255" s="48"/>
      <c r="L255" s="88"/>
    </row>
    <row r="256" spans="1:13" s="49" customFormat="1" ht="17.399999999999999" customHeight="1">
      <c r="A256" s="47"/>
      <c r="B256" s="47"/>
      <c r="C256" s="157" t="s">
        <v>45</v>
      </c>
      <c r="D256" s="158"/>
      <c r="E256" s="158"/>
      <c r="F256" s="158" t="s">
        <v>18</v>
      </c>
      <c r="G256" s="158"/>
      <c r="H256" s="159"/>
      <c r="I256" s="72">
        <f>SUM(I254:I255)</f>
        <v>142.62617899710438</v>
      </c>
      <c r="J256" s="51">
        <v>0.05</v>
      </c>
      <c r="K256" s="48"/>
      <c r="L256" s="88"/>
    </row>
    <row r="257" spans="1:14" s="49" customFormat="1" ht="17.399999999999999" customHeight="1">
      <c r="A257" s="47"/>
      <c r="B257" s="47"/>
      <c r="C257" s="146" t="s">
        <v>46</v>
      </c>
      <c r="D257" s="147"/>
      <c r="E257" s="148"/>
      <c r="F257" s="149" t="s">
        <v>18</v>
      </c>
      <c r="G257" s="150"/>
      <c r="H257" s="92">
        <v>0.05</v>
      </c>
      <c r="I257" s="78">
        <f>I255*J256</f>
        <v>1.1885514916425366</v>
      </c>
      <c r="J257" s="48"/>
      <c r="K257" s="48"/>
      <c r="L257" s="88"/>
    </row>
    <row r="258" spans="1:14" s="49" customFormat="1" ht="17.399999999999999" customHeight="1">
      <c r="A258" s="47"/>
      <c r="B258" s="47"/>
      <c r="C258" s="151" t="s">
        <v>47</v>
      </c>
      <c r="D258" s="152"/>
      <c r="E258" s="152"/>
      <c r="F258" s="152" t="s">
        <v>18</v>
      </c>
      <c r="G258" s="152"/>
      <c r="H258" s="153"/>
      <c r="I258" s="78">
        <f>I256+I257</f>
        <v>143.8147304887469</v>
      </c>
      <c r="J258" s="51">
        <v>0.05</v>
      </c>
      <c r="K258" s="51">
        <v>0.95</v>
      </c>
      <c r="L258" s="88"/>
    </row>
    <row r="259" spans="1:14" s="49" customFormat="1" ht="17.399999999999999" customHeight="1">
      <c r="A259" s="47"/>
      <c r="B259" s="47"/>
      <c r="C259" s="146" t="s">
        <v>48</v>
      </c>
      <c r="D259" s="147"/>
      <c r="E259" s="148"/>
      <c r="F259" s="149" t="s">
        <v>18</v>
      </c>
      <c r="G259" s="150"/>
      <c r="H259" s="92">
        <v>0.05</v>
      </c>
      <c r="I259" s="78">
        <f>I258*J258/K258</f>
        <v>7.5691963415129955</v>
      </c>
      <c r="J259" s="48"/>
      <c r="K259" s="48"/>
      <c r="L259" s="88"/>
    </row>
    <row r="260" spans="1:14" s="49" customFormat="1" ht="17.399999999999999" customHeight="1">
      <c r="A260" s="47"/>
      <c r="B260" s="47"/>
      <c r="C260" s="151" t="s">
        <v>49</v>
      </c>
      <c r="D260" s="152"/>
      <c r="E260" s="152"/>
      <c r="F260" s="152" t="s">
        <v>18</v>
      </c>
      <c r="G260" s="152"/>
      <c r="H260" s="153"/>
      <c r="I260" s="78">
        <f>I258+I259</f>
        <v>151.3839268302599</v>
      </c>
      <c r="J260" s="48"/>
      <c r="K260" s="48"/>
      <c r="L260" s="88"/>
    </row>
    <row r="261" spans="1:14" s="49" customFormat="1" ht="17.399999999999999" customHeight="1">
      <c r="A261" s="47"/>
      <c r="B261" s="47"/>
      <c r="C261" s="154" t="s">
        <v>94</v>
      </c>
      <c r="D261" s="155"/>
      <c r="E261" s="155"/>
      <c r="F261" s="155"/>
      <c r="G261" s="155"/>
      <c r="H261" s="156"/>
      <c r="I261" s="10">
        <f>I260/I9</f>
        <v>2.5644774844151626E-2</v>
      </c>
      <c r="J261" s="48"/>
      <c r="K261" s="48"/>
      <c r="L261" s="88"/>
    </row>
    <row r="262" spans="1:14" s="9" customFormat="1" ht="57.6" customHeight="1">
      <c r="A262" s="58" t="s">
        <v>369</v>
      </c>
      <c r="B262" s="47"/>
      <c r="C262" s="183" t="s">
        <v>113</v>
      </c>
      <c r="D262" s="184"/>
      <c r="E262" s="184"/>
      <c r="F262" s="184"/>
      <c r="G262" s="184"/>
      <c r="H262" s="184"/>
      <c r="I262" s="185"/>
      <c r="J262" s="62">
        <v>1.2</v>
      </c>
      <c r="K262" s="62">
        <v>100</v>
      </c>
      <c r="L262" s="63">
        <v>2</v>
      </c>
      <c r="M262" s="9">
        <v>2003</v>
      </c>
      <c r="N262" s="68">
        <v>0.1</v>
      </c>
    </row>
    <row r="263" spans="1:14" s="9" customFormat="1" ht="64.95" customHeight="1">
      <c r="A263" s="21"/>
      <c r="B263" s="21" t="s">
        <v>142</v>
      </c>
      <c r="C263" s="151" t="s">
        <v>287</v>
      </c>
      <c r="D263" s="152"/>
      <c r="E263" s="152"/>
      <c r="F263" s="152" t="s">
        <v>12</v>
      </c>
      <c r="G263" s="152"/>
      <c r="H263" s="153"/>
      <c r="I263" s="87">
        <f>$I$43*L262*J262/K262/M262*N262</f>
        <v>1.3527708437343984E-3</v>
      </c>
      <c r="J263" s="62">
        <v>1.1000000000000001</v>
      </c>
      <c r="K263" s="62">
        <v>100</v>
      </c>
      <c r="L263" s="63">
        <v>2</v>
      </c>
      <c r="M263" s="9">
        <v>2003</v>
      </c>
      <c r="N263" s="68">
        <v>0.1</v>
      </c>
    </row>
    <row r="264" spans="1:14" s="9" customFormat="1" ht="67.2" customHeight="1">
      <c r="A264" s="21"/>
      <c r="B264" s="21" t="s">
        <v>143</v>
      </c>
      <c r="C264" s="151" t="s">
        <v>288</v>
      </c>
      <c r="D264" s="152"/>
      <c r="E264" s="152"/>
      <c r="F264" s="152" t="s">
        <v>12</v>
      </c>
      <c r="G264" s="152"/>
      <c r="H264" s="153"/>
      <c r="I264" s="87">
        <f>$I$43*L263*J263/K263/M263*N263</f>
        <v>1.2400399400898654E-3</v>
      </c>
      <c r="J264" s="62">
        <v>8.8000000000000007</v>
      </c>
      <c r="K264" s="62">
        <v>100</v>
      </c>
      <c r="L264" s="63">
        <v>3</v>
      </c>
      <c r="M264" s="9">
        <v>2003</v>
      </c>
    </row>
    <row r="265" spans="1:14" s="9" customFormat="1" ht="19.95" customHeight="1">
      <c r="A265" s="21"/>
      <c r="B265" s="21" t="s">
        <v>161</v>
      </c>
      <c r="C265" s="151" t="s">
        <v>289</v>
      </c>
      <c r="D265" s="152"/>
      <c r="E265" s="152"/>
      <c r="F265" s="152" t="s">
        <v>15</v>
      </c>
      <c r="G265" s="152"/>
      <c r="H265" s="153"/>
      <c r="I265" s="87">
        <f>((I50+I51)*L264)*J264/K264/M264</f>
        <v>3.5586620069895165E-2</v>
      </c>
      <c r="J265" s="62"/>
      <c r="K265" s="62"/>
      <c r="L265" s="63"/>
    </row>
    <row r="266" spans="1:14" s="9" customFormat="1" ht="22.5" customHeight="1">
      <c r="A266" s="21"/>
      <c r="B266" s="21"/>
      <c r="C266" s="168" t="s">
        <v>166</v>
      </c>
      <c r="D266" s="169"/>
      <c r="E266" s="169"/>
      <c r="F266" s="169"/>
      <c r="G266" s="169"/>
      <c r="H266" s="170"/>
      <c r="I266" s="87"/>
      <c r="J266" s="81">
        <v>2.2000000000000002</v>
      </c>
      <c r="K266" s="81">
        <v>1</v>
      </c>
      <c r="L266" s="63">
        <v>100</v>
      </c>
      <c r="M266" s="9">
        <v>2003</v>
      </c>
    </row>
    <row r="267" spans="1:14" s="9" customFormat="1" ht="62.4" customHeight="1">
      <c r="A267" s="21"/>
      <c r="B267" s="21" t="s">
        <v>167</v>
      </c>
      <c r="C267" s="151" t="s">
        <v>290</v>
      </c>
      <c r="D267" s="152"/>
      <c r="E267" s="152"/>
      <c r="F267" s="152"/>
      <c r="G267" s="152"/>
      <c r="H267" s="153"/>
      <c r="I267" s="87">
        <f>I43*J266*K266/L266/M266</f>
        <v>1.2400399400898652E-2</v>
      </c>
      <c r="J267" s="81">
        <v>1.5</v>
      </c>
      <c r="K267" s="81">
        <v>1</v>
      </c>
      <c r="L267" s="63"/>
      <c r="M267" s="9">
        <v>2003</v>
      </c>
    </row>
    <row r="268" spans="1:14" s="9" customFormat="1" ht="18.600000000000001" customHeight="1">
      <c r="A268" s="21"/>
      <c r="B268" s="21" t="s">
        <v>168</v>
      </c>
      <c r="C268" s="151" t="s">
        <v>291</v>
      </c>
      <c r="D268" s="152"/>
      <c r="E268" s="152"/>
      <c r="F268" s="152"/>
      <c r="G268" s="152"/>
      <c r="H268" s="153"/>
      <c r="I268" s="87">
        <f>I53*J267*K267/M267</f>
        <v>7.4887668497254113E-4</v>
      </c>
      <c r="J268" s="62"/>
      <c r="K268" s="62"/>
      <c r="L268" s="63"/>
    </row>
    <row r="269" spans="1:14" s="9" customFormat="1" ht="24" customHeight="1">
      <c r="A269" s="21"/>
      <c r="B269" s="21"/>
      <c r="C269" s="168" t="s">
        <v>169</v>
      </c>
      <c r="D269" s="169"/>
      <c r="E269" s="169"/>
      <c r="F269" s="169"/>
      <c r="G269" s="169"/>
      <c r="H269" s="170"/>
      <c r="I269" s="87"/>
      <c r="J269" s="81">
        <v>8.4</v>
      </c>
      <c r="K269" s="81">
        <v>4</v>
      </c>
      <c r="L269" s="63">
        <v>100</v>
      </c>
      <c r="M269" s="9">
        <v>2003</v>
      </c>
    </row>
    <row r="270" spans="1:14" s="9" customFormat="1" ht="64.2" customHeight="1">
      <c r="A270" s="21"/>
      <c r="B270" s="21" t="s">
        <v>170</v>
      </c>
      <c r="C270" s="151" t="s">
        <v>292</v>
      </c>
      <c r="D270" s="152"/>
      <c r="E270" s="152"/>
      <c r="F270" s="152"/>
      <c r="G270" s="152"/>
      <c r="H270" s="153"/>
      <c r="I270" s="87">
        <f>I43*J269/K269/L269/M269</f>
        <v>1.1836744882675986E-2</v>
      </c>
      <c r="J270" s="81">
        <v>0.83</v>
      </c>
      <c r="K270" s="81"/>
      <c r="L270" s="81">
        <v>3</v>
      </c>
      <c r="M270" s="9">
        <v>2003</v>
      </c>
    </row>
    <row r="271" spans="1:14" s="9" customFormat="1" ht="48" customHeight="1">
      <c r="A271" s="21"/>
      <c r="B271" s="21" t="s">
        <v>148</v>
      </c>
      <c r="C271" s="151" t="s">
        <v>293</v>
      </c>
      <c r="D271" s="152"/>
      <c r="E271" s="152"/>
      <c r="F271" s="152" t="s">
        <v>162</v>
      </c>
      <c r="G271" s="152"/>
      <c r="H271" s="153"/>
      <c r="I271" s="105">
        <f>I57*J270/L270/M270</f>
        <v>1.3812614411715758E-3</v>
      </c>
      <c r="J271" s="81">
        <v>0.55000000000000004</v>
      </c>
      <c r="K271" s="81"/>
      <c r="L271" s="81"/>
      <c r="M271" s="9">
        <v>2003</v>
      </c>
    </row>
    <row r="272" spans="1:14" s="9" customFormat="1" ht="49.2" customHeight="1">
      <c r="A272" s="21"/>
      <c r="B272" s="21" t="s">
        <v>150</v>
      </c>
      <c r="C272" s="151" t="s">
        <v>278</v>
      </c>
      <c r="D272" s="152"/>
      <c r="E272" s="152"/>
      <c r="F272" s="152"/>
      <c r="G272" s="152"/>
      <c r="H272" s="153"/>
      <c r="I272" s="105">
        <f>I61*J271/M271</f>
        <v>1.3729405891163256E-3</v>
      </c>
      <c r="J272" s="81">
        <v>0.6</v>
      </c>
      <c r="K272" s="108">
        <v>0.3</v>
      </c>
      <c r="L272" s="63"/>
      <c r="M272" s="9">
        <v>2003</v>
      </c>
    </row>
    <row r="273" spans="1:14" s="9" customFormat="1" ht="53.4" customHeight="1">
      <c r="A273" s="21"/>
      <c r="B273" s="21" t="s">
        <v>163</v>
      </c>
      <c r="C273" s="151" t="s">
        <v>294</v>
      </c>
      <c r="D273" s="152"/>
      <c r="E273" s="152"/>
      <c r="F273" s="152"/>
      <c r="G273" s="152"/>
      <c r="H273" s="153"/>
      <c r="I273" s="105">
        <f>I65*K272*J272/M272</f>
        <v>1.7973040439340988E-3</v>
      </c>
      <c r="J273" s="81">
        <v>0.4</v>
      </c>
      <c r="K273" s="108">
        <v>0.5</v>
      </c>
      <c r="L273" s="63"/>
      <c r="M273" s="9">
        <v>2003</v>
      </c>
    </row>
    <row r="274" spans="1:14" s="9" customFormat="1" ht="63" customHeight="1">
      <c r="A274" s="21"/>
      <c r="B274" s="21" t="s">
        <v>164</v>
      </c>
      <c r="C274" s="151" t="s">
        <v>295</v>
      </c>
      <c r="D274" s="152"/>
      <c r="E274" s="152"/>
      <c r="F274" s="152"/>
      <c r="G274" s="152"/>
      <c r="H274" s="153"/>
      <c r="I274" s="87">
        <f>I52*K273*J273/M273</f>
        <v>3.3549675486769848E-2</v>
      </c>
      <c r="J274" s="81">
        <v>3.3</v>
      </c>
      <c r="K274" s="81">
        <v>10</v>
      </c>
      <c r="L274" s="109">
        <v>0.05</v>
      </c>
      <c r="M274" s="9">
        <v>2003</v>
      </c>
    </row>
    <row r="275" spans="1:14" s="9" customFormat="1" ht="15" customHeight="1">
      <c r="A275" s="21"/>
      <c r="B275" s="21" t="s">
        <v>165</v>
      </c>
      <c r="C275" s="151" t="s">
        <v>296</v>
      </c>
      <c r="D275" s="152"/>
      <c r="E275" s="152"/>
      <c r="F275" s="152"/>
      <c r="G275" s="152"/>
      <c r="H275" s="153"/>
      <c r="I275" s="87">
        <f>I43*L274*J274/K274/M274</f>
        <v>9.3002995506739888E-3</v>
      </c>
      <c r="J275" s="81"/>
      <c r="K275" s="81"/>
      <c r="L275" s="63"/>
    </row>
    <row r="276" spans="1:14" s="9" customFormat="1" ht="15" customHeight="1">
      <c r="A276" s="21"/>
      <c r="B276" s="21"/>
      <c r="C276" s="151" t="s">
        <v>79</v>
      </c>
      <c r="D276" s="152"/>
      <c r="E276" s="152"/>
      <c r="F276" s="152"/>
      <c r="G276" s="152"/>
      <c r="H276" s="153"/>
      <c r="I276" s="16">
        <f>I263+I264+I265+I271+I267+I268+I270</f>
        <v>6.454671326343818E-2</v>
      </c>
      <c r="J276" s="81"/>
      <c r="K276" s="81"/>
      <c r="L276" s="63"/>
    </row>
    <row r="277" spans="1:14" s="9" customFormat="1" ht="15" customHeight="1">
      <c r="A277" s="21"/>
      <c r="B277" s="21"/>
      <c r="C277" s="151" t="s">
        <v>80</v>
      </c>
      <c r="D277" s="152"/>
      <c r="E277" s="152"/>
      <c r="F277" s="152"/>
      <c r="G277" s="152"/>
      <c r="H277" s="153"/>
      <c r="I277" s="16">
        <f>I273+I274+I275</f>
        <v>4.4647279081377937E-2</v>
      </c>
      <c r="J277" s="81"/>
      <c r="K277" s="81"/>
      <c r="L277" s="63"/>
    </row>
    <row r="278" spans="1:14" s="9" customFormat="1" ht="15" customHeight="1">
      <c r="A278" s="21"/>
      <c r="B278" s="21"/>
      <c r="C278" s="151" t="s">
        <v>81</v>
      </c>
      <c r="D278" s="152"/>
      <c r="E278" s="152"/>
      <c r="F278" s="152"/>
      <c r="G278" s="152"/>
      <c r="H278" s="153"/>
      <c r="I278" s="16">
        <f>I272</f>
        <v>1.3729405891163256E-3</v>
      </c>
      <c r="J278" s="81">
        <v>1450</v>
      </c>
      <c r="K278" s="81">
        <v>1.2</v>
      </c>
      <c r="L278" s="63"/>
      <c r="M278" s="9">
        <v>1.35</v>
      </c>
      <c r="N278" s="9">
        <v>1.2</v>
      </c>
    </row>
    <row r="279" spans="1:14" s="9" customFormat="1" ht="15" customHeight="1">
      <c r="A279" s="21"/>
      <c r="B279" s="21"/>
      <c r="C279" s="151" t="s">
        <v>82</v>
      </c>
      <c r="D279" s="152"/>
      <c r="E279" s="152"/>
      <c r="F279" s="152" t="s">
        <v>18</v>
      </c>
      <c r="G279" s="152"/>
      <c r="H279" s="153"/>
      <c r="I279" s="78">
        <f>J278*K278*M278*N278*I276</f>
        <v>181.94427534697951</v>
      </c>
      <c r="J279" s="81">
        <v>1450</v>
      </c>
      <c r="K279" s="81">
        <v>1.2</v>
      </c>
      <c r="L279" s="63"/>
      <c r="M279" s="9">
        <v>1.2</v>
      </c>
      <c r="N279" s="9">
        <v>1.2</v>
      </c>
    </row>
    <row r="280" spans="1:14" s="9" customFormat="1" ht="15" customHeight="1">
      <c r="A280" s="21"/>
      <c r="B280" s="21"/>
      <c r="C280" s="151" t="s">
        <v>83</v>
      </c>
      <c r="D280" s="152"/>
      <c r="E280" s="152"/>
      <c r="F280" s="152" t="s">
        <v>18</v>
      </c>
      <c r="G280" s="152"/>
      <c r="H280" s="153"/>
      <c r="I280" s="78">
        <f>J279*K279*M279*N279*I277</f>
        <v>111.86822246630055</v>
      </c>
      <c r="J280" s="81">
        <v>1450</v>
      </c>
      <c r="K280" s="81">
        <v>1.2</v>
      </c>
      <c r="L280" s="63"/>
      <c r="M280" s="9">
        <v>1.08</v>
      </c>
      <c r="N280" s="9">
        <v>1.2</v>
      </c>
    </row>
    <row r="281" spans="1:14" s="9" customFormat="1" ht="15" customHeight="1">
      <c r="A281" s="21"/>
      <c r="B281" s="21"/>
      <c r="C281" s="151" t="s">
        <v>84</v>
      </c>
      <c r="D281" s="152"/>
      <c r="E281" s="152"/>
      <c r="F281" s="152" t="s">
        <v>18</v>
      </c>
      <c r="G281" s="152"/>
      <c r="H281" s="153"/>
      <c r="I281" s="78">
        <f>J280*K280*M280*N280*I278</f>
        <v>3.0960359460808791</v>
      </c>
      <c r="J281" s="62"/>
      <c r="K281" s="62"/>
      <c r="L281" s="63"/>
    </row>
    <row r="282" spans="1:14" s="49" customFormat="1" ht="15" customHeight="1">
      <c r="A282" s="21"/>
      <c r="B282" s="21"/>
      <c r="C282" s="151" t="s">
        <v>85</v>
      </c>
      <c r="D282" s="152"/>
      <c r="E282" s="152"/>
      <c r="F282" s="152" t="s">
        <v>18</v>
      </c>
      <c r="G282" s="152"/>
      <c r="H282" s="153"/>
      <c r="I282" s="79">
        <f>SUM(I279:I281)</f>
        <v>296.90853375936092</v>
      </c>
      <c r="J282" s="96">
        <v>0.22</v>
      </c>
      <c r="K282" s="81"/>
      <c r="L282" s="88"/>
    </row>
    <row r="283" spans="1:14" s="49" customFormat="1" ht="15" customHeight="1">
      <c r="A283" s="47"/>
      <c r="B283" s="47"/>
      <c r="C283" s="157" t="s">
        <v>250</v>
      </c>
      <c r="D283" s="158"/>
      <c r="E283" s="158"/>
      <c r="F283" s="158" t="s">
        <v>18</v>
      </c>
      <c r="G283" s="158"/>
      <c r="H283" s="159"/>
      <c r="I283" s="72">
        <f>I282*J282</f>
        <v>65.31987742705941</v>
      </c>
      <c r="J283" s="96">
        <v>0.34</v>
      </c>
      <c r="K283" s="81"/>
      <c r="L283" s="88"/>
    </row>
    <row r="284" spans="1:14" s="49" customFormat="1" ht="15" customHeight="1">
      <c r="A284" s="47"/>
      <c r="B284" s="47"/>
      <c r="C284" s="157" t="s">
        <v>352</v>
      </c>
      <c r="D284" s="158"/>
      <c r="E284" s="158"/>
      <c r="F284" s="158" t="s">
        <v>18</v>
      </c>
      <c r="G284" s="158"/>
      <c r="H284" s="159"/>
      <c r="I284" s="72">
        <f>I282*J283</f>
        <v>100.94890147818272</v>
      </c>
      <c r="J284" s="81">
        <v>182.46</v>
      </c>
      <c r="K284" s="81"/>
      <c r="L284" s="88"/>
    </row>
    <row r="285" spans="1:14" s="49" customFormat="1" ht="15" customHeight="1">
      <c r="A285" s="47"/>
      <c r="B285" s="47"/>
      <c r="C285" s="157" t="s">
        <v>251</v>
      </c>
      <c r="D285" s="158"/>
      <c r="E285" s="210" t="s">
        <v>328</v>
      </c>
      <c r="F285" s="210"/>
      <c r="G285" s="210"/>
      <c r="H285" s="210"/>
      <c r="I285" s="72">
        <f>(I276+I277+I278)*J284</f>
        <v>20.174042583125313</v>
      </c>
      <c r="J285" s="91"/>
      <c r="K285" s="81"/>
      <c r="L285" s="88"/>
    </row>
    <row r="286" spans="1:14" s="49" customFormat="1" ht="15" customHeight="1">
      <c r="A286" s="47"/>
      <c r="B286" s="47"/>
      <c r="C286" s="157" t="s">
        <v>86</v>
      </c>
      <c r="D286" s="158"/>
      <c r="E286" s="158"/>
      <c r="F286" s="158" t="s">
        <v>18</v>
      </c>
      <c r="G286" s="158"/>
      <c r="H286" s="159"/>
      <c r="I286" s="72">
        <f>SUM(I282:I285)</f>
        <v>483.35135524772835</v>
      </c>
      <c r="J286" s="91">
        <v>0.2</v>
      </c>
      <c r="K286" s="81"/>
      <c r="L286" s="88"/>
    </row>
    <row r="287" spans="1:14" s="49" customFormat="1" ht="15" customHeight="1">
      <c r="A287" s="47"/>
      <c r="B287" s="47"/>
      <c r="C287" s="157" t="s">
        <v>348</v>
      </c>
      <c r="D287" s="158"/>
      <c r="E287" s="158"/>
      <c r="F287" s="158" t="s">
        <v>18</v>
      </c>
      <c r="G287" s="158"/>
      <c r="H287" s="159"/>
      <c r="I287" s="72">
        <f>I286*J286</f>
        <v>96.670271049545676</v>
      </c>
      <c r="J287" s="91"/>
      <c r="K287" s="81"/>
      <c r="L287" s="88"/>
    </row>
    <row r="288" spans="1:14" s="49" customFormat="1" ht="15" customHeight="1">
      <c r="A288" s="47"/>
      <c r="B288" s="47"/>
      <c r="C288" s="157" t="s">
        <v>45</v>
      </c>
      <c r="D288" s="158"/>
      <c r="E288" s="158"/>
      <c r="F288" s="158" t="s">
        <v>18</v>
      </c>
      <c r="G288" s="158"/>
      <c r="H288" s="159"/>
      <c r="I288" s="72">
        <f>SUM(I286:I287)</f>
        <v>580.021626297274</v>
      </c>
      <c r="J288" s="91">
        <v>0.05</v>
      </c>
      <c r="K288" s="81"/>
      <c r="L288" s="88"/>
    </row>
    <row r="289" spans="1:12" s="9" customFormat="1" ht="15" customHeight="1">
      <c r="A289" s="47"/>
      <c r="B289" s="47"/>
      <c r="C289" s="165" t="s">
        <v>46</v>
      </c>
      <c r="D289" s="166"/>
      <c r="E289" s="167"/>
      <c r="F289" s="162" t="s">
        <v>18</v>
      </c>
      <c r="G289" s="164"/>
      <c r="H289" s="90">
        <v>0.05</v>
      </c>
      <c r="I289" s="72">
        <f>I287*J288</f>
        <v>4.8335135524772843</v>
      </c>
      <c r="J289" s="80"/>
      <c r="K289" s="62"/>
      <c r="L289" s="63"/>
    </row>
    <row r="290" spans="1:12" s="54" customFormat="1" ht="15" customHeight="1">
      <c r="A290" s="21"/>
      <c r="B290" s="21"/>
      <c r="C290" s="151" t="s">
        <v>47</v>
      </c>
      <c r="D290" s="152"/>
      <c r="E290" s="152"/>
      <c r="F290" s="152" t="s">
        <v>18</v>
      </c>
      <c r="G290" s="152"/>
      <c r="H290" s="153"/>
      <c r="I290" s="78">
        <f>I288+I289</f>
        <v>584.85513984975125</v>
      </c>
      <c r="J290" s="80">
        <v>0.05</v>
      </c>
      <c r="K290" s="80">
        <v>0.95</v>
      </c>
    </row>
    <row r="291" spans="1:12" s="9" customFormat="1" ht="15.6" customHeight="1">
      <c r="A291" s="53"/>
      <c r="B291" s="53"/>
      <c r="C291" s="146" t="s">
        <v>48</v>
      </c>
      <c r="D291" s="147"/>
      <c r="E291" s="148"/>
      <c r="F291" s="149" t="s">
        <v>18</v>
      </c>
      <c r="G291" s="150"/>
      <c r="H291" s="92">
        <v>0.05</v>
      </c>
      <c r="I291" s="78">
        <f>I290*J290/K290</f>
        <v>30.781849465776386</v>
      </c>
      <c r="J291" s="62"/>
      <c r="K291" s="62"/>
      <c r="L291" s="63">
        <v>1</v>
      </c>
    </row>
    <row r="292" spans="1:12" s="9" customFormat="1" ht="18" customHeight="1">
      <c r="A292" s="21"/>
      <c r="B292" s="21"/>
      <c r="C292" s="151" t="s">
        <v>49</v>
      </c>
      <c r="D292" s="152"/>
      <c r="E292" s="152"/>
      <c r="F292" s="152" t="s">
        <v>18</v>
      </c>
      <c r="G292" s="152"/>
      <c r="H292" s="153"/>
      <c r="I292" s="78">
        <f>I290+I291</f>
        <v>615.63698931552767</v>
      </c>
      <c r="J292" s="62"/>
      <c r="K292" s="62"/>
      <c r="L292" s="63"/>
    </row>
    <row r="293" spans="1:12" s="9" customFormat="1" ht="18" customHeight="1">
      <c r="A293" s="21"/>
      <c r="B293" s="21"/>
      <c r="C293" s="154" t="s">
        <v>94</v>
      </c>
      <c r="D293" s="155"/>
      <c r="E293" s="155"/>
      <c r="F293" s="155"/>
      <c r="G293" s="155"/>
      <c r="H293" s="156"/>
      <c r="I293" s="10">
        <f>I292/I9</f>
        <v>0.1042902790758647</v>
      </c>
      <c r="J293" s="62"/>
      <c r="K293" s="62"/>
      <c r="L293" s="63"/>
    </row>
    <row r="294" spans="1:12" s="49" customFormat="1" ht="16.95" customHeight="1">
      <c r="A294" s="21"/>
      <c r="B294" s="21"/>
      <c r="C294" s="183" t="s">
        <v>0</v>
      </c>
      <c r="D294" s="184"/>
      <c r="E294" s="184"/>
      <c r="F294" s="184"/>
      <c r="G294" s="184"/>
      <c r="H294" s="184"/>
      <c r="I294" s="185"/>
      <c r="J294" s="81">
        <v>0.13</v>
      </c>
      <c r="K294" s="81"/>
      <c r="L294" s="88"/>
    </row>
    <row r="295" spans="1:12" s="49" customFormat="1" ht="15" customHeight="1">
      <c r="A295" s="47"/>
      <c r="B295" s="47"/>
      <c r="C295" s="157" t="s">
        <v>329</v>
      </c>
      <c r="D295" s="158"/>
      <c r="E295" s="158"/>
      <c r="F295" s="158" t="s">
        <v>18</v>
      </c>
      <c r="G295" s="158"/>
      <c r="H295" s="159"/>
      <c r="I295" s="72">
        <f>J294*I9</f>
        <v>767.40430000000003</v>
      </c>
      <c r="J295" s="91">
        <v>0.2</v>
      </c>
      <c r="K295" s="81"/>
      <c r="L295" s="88"/>
    </row>
    <row r="296" spans="1:12" s="9" customFormat="1" ht="14.4" customHeight="1">
      <c r="A296" s="47"/>
      <c r="B296" s="47"/>
      <c r="C296" s="157" t="s">
        <v>346</v>
      </c>
      <c r="D296" s="158"/>
      <c r="E296" s="158"/>
      <c r="F296" s="158" t="s">
        <v>18</v>
      </c>
      <c r="G296" s="158"/>
      <c r="H296" s="159"/>
      <c r="I296" s="72">
        <f>I295*J295</f>
        <v>153.48086000000001</v>
      </c>
      <c r="J296" s="62"/>
      <c r="K296" s="62"/>
      <c r="L296" s="63"/>
    </row>
    <row r="297" spans="1:12" s="9" customFormat="1" ht="14.4" customHeight="1">
      <c r="A297" s="21"/>
      <c r="B297" s="21"/>
      <c r="C297" s="151" t="s">
        <v>45</v>
      </c>
      <c r="D297" s="152"/>
      <c r="E297" s="152"/>
      <c r="F297" s="152" t="s">
        <v>18</v>
      </c>
      <c r="G297" s="152"/>
      <c r="H297" s="153"/>
      <c r="I297" s="78">
        <f>SUM(I295:I296)</f>
        <v>920.88516000000004</v>
      </c>
      <c r="J297" s="80">
        <v>0.05</v>
      </c>
      <c r="K297" s="62"/>
      <c r="L297" s="63"/>
    </row>
    <row r="298" spans="1:12" s="9" customFormat="1" ht="14.4" customHeight="1">
      <c r="A298" s="21"/>
      <c r="B298" s="21"/>
      <c r="C298" s="146" t="s">
        <v>46</v>
      </c>
      <c r="D298" s="147"/>
      <c r="E298" s="148"/>
      <c r="F298" s="149" t="s">
        <v>18</v>
      </c>
      <c r="G298" s="150"/>
      <c r="H298" s="92">
        <v>0.05</v>
      </c>
      <c r="I298" s="78">
        <f>I296*J297</f>
        <v>7.6740430000000011</v>
      </c>
      <c r="J298" s="62"/>
      <c r="K298" s="62"/>
      <c r="L298" s="63"/>
    </row>
    <row r="299" spans="1:12" s="9" customFormat="1" ht="14.4" customHeight="1">
      <c r="A299" s="21"/>
      <c r="B299" s="21"/>
      <c r="C299" s="151" t="s">
        <v>47</v>
      </c>
      <c r="D299" s="152"/>
      <c r="E299" s="152"/>
      <c r="F299" s="152" t="s">
        <v>18</v>
      </c>
      <c r="G299" s="152"/>
      <c r="H299" s="153"/>
      <c r="I299" s="78">
        <f>I297+I298</f>
        <v>928.55920300000002</v>
      </c>
      <c r="J299" s="80">
        <v>0.05</v>
      </c>
      <c r="K299" s="80">
        <v>0.95</v>
      </c>
      <c r="L299" s="63"/>
    </row>
    <row r="300" spans="1:12" s="9" customFormat="1" ht="14.4" customHeight="1">
      <c r="A300" s="21"/>
      <c r="B300" s="21"/>
      <c r="C300" s="146" t="s">
        <v>48</v>
      </c>
      <c r="D300" s="147"/>
      <c r="E300" s="148"/>
      <c r="F300" s="149" t="s">
        <v>18</v>
      </c>
      <c r="G300" s="150"/>
      <c r="H300" s="92">
        <v>0.05</v>
      </c>
      <c r="I300" s="78">
        <f>I299*J299/K299</f>
        <v>48.871537000000004</v>
      </c>
      <c r="J300" s="62"/>
      <c r="K300" s="62"/>
      <c r="L300" s="63"/>
    </row>
    <row r="301" spans="1:12" s="9" customFormat="1">
      <c r="A301" s="21"/>
      <c r="B301" s="21"/>
      <c r="C301" s="151" t="s">
        <v>49</v>
      </c>
      <c r="D301" s="152"/>
      <c r="E301" s="152"/>
      <c r="F301" s="152" t="s">
        <v>18</v>
      </c>
      <c r="G301" s="152"/>
      <c r="H301" s="153"/>
      <c r="I301" s="78">
        <f>I299+I300</f>
        <v>977.43074000000001</v>
      </c>
      <c r="J301" s="62"/>
      <c r="K301" s="62"/>
      <c r="L301" s="63"/>
    </row>
    <row r="302" spans="1:12" s="9" customFormat="1" ht="16.2">
      <c r="A302" s="21"/>
      <c r="B302" s="21"/>
      <c r="C302" s="154" t="s">
        <v>94</v>
      </c>
      <c r="D302" s="155"/>
      <c r="E302" s="155"/>
      <c r="F302" s="155"/>
      <c r="G302" s="155"/>
      <c r="H302" s="156"/>
      <c r="I302" s="10">
        <f>I301/I9</f>
        <v>0.16557894736842108</v>
      </c>
      <c r="J302" s="97">
        <f>ROUND(I214,3)+ROUND(I238,3)+ROUND(I261,3)+ROUND(I293,3)+I302</f>
        <v>0.37157894736842112</v>
      </c>
      <c r="K302" s="62"/>
      <c r="L302" s="63"/>
    </row>
    <row r="303" spans="1:12" s="9" customFormat="1" ht="16.2">
      <c r="A303" s="21"/>
      <c r="B303" s="21"/>
      <c r="C303" s="154" t="s">
        <v>230</v>
      </c>
      <c r="D303" s="155"/>
      <c r="E303" s="155"/>
      <c r="F303" s="155"/>
      <c r="G303" s="155"/>
      <c r="H303" s="156"/>
      <c r="I303" s="12">
        <f>J302</f>
        <v>0.37157894736842112</v>
      </c>
      <c r="J303" s="62"/>
      <c r="K303" s="62"/>
      <c r="L303" s="63"/>
    </row>
    <row r="304" spans="1:12" s="9" customFormat="1" ht="15" customHeight="1">
      <c r="A304" s="171" t="s">
        <v>370</v>
      </c>
      <c r="B304" s="172"/>
      <c r="C304" s="172"/>
      <c r="D304" s="172"/>
      <c r="E304" s="172"/>
      <c r="F304" s="172"/>
      <c r="G304" s="172"/>
      <c r="H304" s="172"/>
      <c r="I304" s="186"/>
      <c r="J304" s="62"/>
      <c r="K304" s="62"/>
      <c r="L304" s="63"/>
    </row>
    <row r="305" spans="1:12" s="9" customFormat="1" ht="15" customHeight="1">
      <c r="A305" s="21"/>
      <c r="B305" s="21"/>
      <c r="C305" s="151" t="s">
        <v>297</v>
      </c>
      <c r="D305" s="152"/>
      <c r="E305" s="152"/>
      <c r="F305" s="152" t="s">
        <v>18</v>
      </c>
      <c r="G305" s="152"/>
      <c r="H305" s="153"/>
      <c r="I305" s="110">
        <v>1.29</v>
      </c>
      <c r="J305" s="62">
        <v>1</v>
      </c>
      <c r="K305" s="62">
        <v>12</v>
      </c>
      <c r="L305" s="63"/>
    </row>
    <row r="306" spans="1:12" s="9" customFormat="1" ht="15" customHeight="1">
      <c r="A306" s="21"/>
      <c r="B306" s="21"/>
      <c r="C306" s="151" t="s">
        <v>247</v>
      </c>
      <c r="D306" s="152"/>
      <c r="E306" s="152"/>
      <c r="F306" s="152" t="s">
        <v>18</v>
      </c>
      <c r="G306" s="152"/>
      <c r="H306" s="153"/>
      <c r="I306" s="110">
        <f>I305*J305*I24/12</f>
        <v>0</v>
      </c>
      <c r="J306" s="62"/>
      <c r="K306" s="62"/>
      <c r="L306" s="63"/>
    </row>
    <row r="307" spans="1:12" s="49" customFormat="1" ht="15" customHeight="1">
      <c r="A307" s="21"/>
      <c r="B307" s="21"/>
      <c r="C307" s="151" t="s">
        <v>86</v>
      </c>
      <c r="D307" s="152"/>
      <c r="E307" s="152"/>
      <c r="F307" s="152" t="s">
        <v>18</v>
      </c>
      <c r="G307" s="152"/>
      <c r="H307" s="153"/>
      <c r="I307" s="110">
        <f>SUM(I306)</f>
        <v>0</v>
      </c>
      <c r="J307" s="91">
        <v>0.2</v>
      </c>
      <c r="K307" s="81"/>
      <c r="L307" s="88"/>
    </row>
    <row r="308" spans="1:12" s="9" customFormat="1" ht="15" customHeight="1">
      <c r="A308" s="47"/>
      <c r="B308" s="47"/>
      <c r="C308" s="157" t="s">
        <v>353</v>
      </c>
      <c r="D308" s="158"/>
      <c r="E308" s="158"/>
      <c r="F308" s="158" t="s">
        <v>18</v>
      </c>
      <c r="G308" s="158"/>
      <c r="H308" s="159"/>
      <c r="I308" s="101">
        <f>I307*J307</f>
        <v>0</v>
      </c>
      <c r="J308" s="80"/>
      <c r="K308" s="62"/>
      <c r="L308" s="63"/>
    </row>
    <row r="309" spans="1:12" s="9" customFormat="1" ht="15" customHeight="1">
      <c r="A309" s="21"/>
      <c r="B309" s="21"/>
      <c r="C309" s="151" t="s">
        <v>87</v>
      </c>
      <c r="D309" s="152"/>
      <c r="E309" s="152"/>
      <c r="F309" s="152" t="s">
        <v>18</v>
      </c>
      <c r="G309" s="152"/>
      <c r="H309" s="153"/>
      <c r="I309" s="100">
        <f>SUM(I307:I308)</f>
        <v>0</v>
      </c>
      <c r="J309" s="80">
        <v>0.05</v>
      </c>
      <c r="K309" s="62"/>
      <c r="L309" s="63"/>
    </row>
    <row r="310" spans="1:12" s="9" customFormat="1" ht="15" customHeight="1">
      <c r="A310" s="21"/>
      <c r="B310" s="21"/>
      <c r="C310" s="146" t="s">
        <v>46</v>
      </c>
      <c r="D310" s="147"/>
      <c r="E310" s="148"/>
      <c r="F310" s="149" t="s">
        <v>18</v>
      </c>
      <c r="G310" s="150"/>
      <c r="H310" s="92">
        <v>0.05</v>
      </c>
      <c r="I310" s="78">
        <f>I308*J309</f>
        <v>0</v>
      </c>
      <c r="J310" s="80"/>
      <c r="K310" s="62"/>
      <c r="L310" s="63"/>
    </row>
    <row r="311" spans="1:12" s="9" customFormat="1" ht="15" customHeight="1">
      <c r="A311" s="21"/>
      <c r="B311" s="21"/>
      <c r="C311" s="151" t="s">
        <v>47</v>
      </c>
      <c r="D311" s="152"/>
      <c r="E311" s="152"/>
      <c r="F311" s="152" t="s">
        <v>18</v>
      </c>
      <c r="G311" s="152"/>
      <c r="H311" s="153"/>
      <c r="I311" s="78">
        <f>I309+I310</f>
        <v>0</v>
      </c>
      <c r="J311" s="80">
        <v>0.05</v>
      </c>
      <c r="K311" s="80">
        <v>0.95</v>
      </c>
      <c r="L311" s="63"/>
    </row>
    <row r="312" spans="1:12" s="9" customFormat="1" ht="15" customHeight="1">
      <c r="A312" s="21"/>
      <c r="B312" s="21"/>
      <c r="C312" s="146" t="s">
        <v>48</v>
      </c>
      <c r="D312" s="147"/>
      <c r="E312" s="148"/>
      <c r="F312" s="149" t="s">
        <v>18</v>
      </c>
      <c r="G312" s="150"/>
      <c r="H312" s="92">
        <v>0.05</v>
      </c>
      <c r="I312" s="78">
        <f>I311*J311/K311</f>
        <v>0</v>
      </c>
      <c r="J312" s="80"/>
      <c r="K312" s="80"/>
      <c r="L312" s="63"/>
    </row>
    <row r="313" spans="1:12" s="9" customFormat="1">
      <c r="A313" s="21"/>
      <c r="B313" s="21"/>
      <c r="C313" s="151" t="s">
        <v>49</v>
      </c>
      <c r="D313" s="152"/>
      <c r="E313" s="152"/>
      <c r="F313" s="152" t="s">
        <v>18</v>
      </c>
      <c r="G313" s="152"/>
      <c r="H313" s="153"/>
      <c r="I313" s="78">
        <f>I311+I312</f>
        <v>0</v>
      </c>
      <c r="J313" s="97">
        <f>ROUND(K313,3)</f>
        <v>0</v>
      </c>
      <c r="K313" s="97">
        <f>I313/I9</f>
        <v>0</v>
      </c>
      <c r="L313" s="63"/>
    </row>
    <row r="314" spans="1:12" s="9" customFormat="1" ht="16.2">
      <c r="A314" s="21"/>
      <c r="B314" s="21"/>
      <c r="C314" s="154" t="s">
        <v>94</v>
      </c>
      <c r="D314" s="155"/>
      <c r="E314" s="155"/>
      <c r="F314" s="155"/>
      <c r="G314" s="155"/>
      <c r="H314" s="156"/>
      <c r="I314" s="10">
        <f>J313</f>
        <v>0</v>
      </c>
      <c r="J314" s="62"/>
      <c r="K314" s="62"/>
      <c r="L314" s="63"/>
    </row>
    <row r="315" spans="1:12" s="9" customFormat="1" ht="15" customHeight="1">
      <c r="A315" s="171" t="s">
        <v>371</v>
      </c>
      <c r="B315" s="172"/>
      <c r="C315" s="172"/>
      <c r="D315" s="172"/>
      <c r="E315" s="172"/>
      <c r="F315" s="172"/>
      <c r="G315" s="172"/>
      <c r="H315" s="172"/>
      <c r="I315" s="186"/>
      <c r="J315" s="62"/>
      <c r="K315" s="62"/>
      <c r="L315" s="63"/>
    </row>
    <row r="316" spans="1:12" s="9" customFormat="1" ht="15" customHeight="1">
      <c r="A316" s="21"/>
      <c r="B316" s="21"/>
      <c r="C316" s="151" t="s">
        <v>297</v>
      </c>
      <c r="D316" s="152"/>
      <c r="E316" s="152"/>
      <c r="F316" s="152" t="s">
        <v>18</v>
      </c>
      <c r="G316" s="152"/>
      <c r="H316" s="153"/>
      <c r="I316" s="110">
        <v>1.48</v>
      </c>
      <c r="J316" s="62">
        <v>1</v>
      </c>
      <c r="K316" s="62">
        <v>12</v>
      </c>
      <c r="L316" s="63"/>
    </row>
    <row r="317" spans="1:12" s="9" customFormat="1" ht="15" customHeight="1">
      <c r="A317" s="21"/>
      <c r="B317" s="21"/>
      <c r="C317" s="151" t="s">
        <v>248</v>
      </c>
      <c r="D317" s="152"/>
      <c r="E317" s="152"/>
      <c r="F317" s="152" t="s">
        <v>18</v>
      </c>
      <c r="G317" s="152"/>
      <c r="H317" s="153"/>
      <c r="I317" s="110">
        <f>I316*J316*I24/12</f>
        <v>0</v>
      </c>
      <c r="J317" s="62"/>
      <c r="K317" s="62"/>
      <c r="L317" s="63"/>
    </row>
    <row r="318" spans="1:12" s="49" customFormat="1" ht="15" customHeight="1">
      <c r="A318" s="21"/>
      <c r="B318" s="21"/>
      <c r="C318" s="151" t="s">
        <v>86</v>
      </c>
      <c r="D318" s="152"/>
      <c r="E318" s="152"/>
      <c r="F318" s="152" t="s">
        <v>18</v>
      </c>
      <c r="G318" s="152"/>
      <c r="H318" s="153"/>
      <c r="I318" s="110">
        <f>SUM(I317)</f>
        <v>0</v>
      </c>
      <c r="J318" s="51">
        <v>0.2</v>
      </c>
      <c r="K318" s="48"/>
      <c r="L318" s="88"/>
    </row>
    <row r="319" spans="1:12" s="9" customFormat="1" ht="15" customHeight="1">
      <c r="A319" s="47"/>
      <c r="B319" s="47"/>
      <c r="C319" s="157" t="s">
        <v>354</v>
      </c>
      <c r="D319" s="158"/>
      <c r="E319" s="158"/>
      <c r="F319" s="158" t="s">
        <v>18</v>
      </c>
      <c r="G319" s="158"/>
      <c r="H319" s="159"/>
      <c r="I319" s="101">
        <f>I318*J318</f>
        <v>0</v>
      </c>
      <c r="J319" s="62"/>
      <c r="K319" s="62"/>
      <c r="L319" s="63"/>
    </row>
    <row r="320" spans="1:12" s="9" customFormat="1" ht="15" customHeight="1">
      <c r="A320" s="21"/>
      <c r="B320" s="21"/>
      <c r="C320" s="151" t="s">
        <v>87</v>
      </c>
      <c r="D320" s="152"/>
      <c r="E320" s="152"/>
      <c r="F320" s="152" t="s">
        <v>18</v>
      </c>
      <c r="G320" s="152"/>
      <c r="H320" s="153"/>
      <c r="I320" s="100">
        <f>SUM(I318:I319)</f>
        <v>0</v>
      </c>
      <c r="J320" s="80">
        <v>0.05</v>
      </c>
      <c r="K320" s="62"/>
      <c r="L320" s="63"/>
    </row>
    <row r="321" spans="1:14" s="9" customFormat="1" ht="15" customHeight="1">
      <c r="A321" s="21"/>
      <c r="B321" s="21"/>
      <c r="C321" s="146" t="s">
        <v>46</v>
      </c>
      <c r="D321" s="147"/>
      <c r="E321" s="148"/>
      <c r="F321" s="149" t="s">
        <v>18</v>
      </c>
      <c r="G321" s="150"/>
      <c r="H321" s="92">
        <v>0.05</v>
      </c>
      <c r="I321" s="78">
        <f>I319*J320</f>
        <v>0</v>
      </c>
      <c r="J321" s="62"/>
      <c r="K321" s="62"/>
      <c r="L321" s="63"/>
    </row>
    <row r="322" spans="1:14" s="9" customFormat="1" ht="15" customHeight="1">
      <c r="A322" s="21"/>
      <c r="B322" s="21"/>
      <c r="C322" s="151" t="s">
        <v>47</v>
      </c>
      <c r="D322" s="152"/>
      <c r="E322" s="152"/>
      <c r="F322" s="152" t="s">
        <v>18</v>
      </c>
      <c r="G322" s="152"/>
      <c r="H322" s="153"/>
      <c r="I322" s="78">
        <f>I320+I321</f>
        <v>0</v>
      </c>
      <c r="J322" s="80">
        <v>0.05</v>
      </c>
      <c r="K322" s="80">
        <v>0.95</v>
      </c>
      <c r="L322" s="63"/>
    </row>
    <row r="323" spans="1:14" s="9" customFormat="1" ht="15" customHeight="1">
      <c r="A323" s="21"/>
      <c r="B323" s="21"/>
      <c r="C323" s="146" t="s">
        <v>48</v>
      </c>
      <c r="D323" s="147"/>
      <c r="E323" s="148"/>
      <c r="F323" s="149" t="s">
        <v>18</v>
      </c>
      <c r="G323" s="150"/>
      <c r="H323" s="92">
        <v>0.05</v>
      </c>
      <c r="I323" s="78">
        <f>I322*J322/K322</f>
        <v>0</v>
      </c>
      <c r="J323" s="95"/>
      <c r="K323" s="62"/>
      <c r="L323" s="63"/>
    </row>
    <row r="324" spans="1:14" s="9" customFormat="1" ht="15.75" customHeight="1">
      <c r="A324" s="21"/>
      <c r="B324" s="21"/>
      <c r="C324" s="151" t="s">
        <v>49</v>
      </c>
      <c r="D324" s="152"/>
      <c r="E324" s="152"/>
      <c r="F324" s="152" t="s">
        <v>18</v>
      </c>
      <c r="G324" s="152"/>
      <c r="H324" s="153"/>
      <c r="I324" s="78">
        <f>I322+I323</f>
        <v>0</v>
      </c>
      <c r="J324" s="97">
        <f>ROUND(K324,3)</f>
        <v>0</v>
      </c>
      <c r="K324" s="97">
        <f>I324/I9</f>
        <v>0</v>
      </c>
      <c r="L324" s="63"/>
    </row>
    <row r="325" spans="1:14" s="9" customFormat="1" ht="15.75" customHeight="1">
      <c r="A325" s="21"/>
      <c r="B325" s="21"/>
      <c r="C325" s="154" t="s">
        <v>94</v>
      </c>
      <c r="D325" s="155"/>
      <c r="E325" s="155"/>
      <c r="F325" s="155"/>
      <c r="G325" s="155"/>
      <c r="H325" s="156"/>
      <c r="I325" s="10">
        <f>J324</f>
        <v>0</v>
      </c>
      <c r="J325" s="81"/>
      <c r="K325" s="62"/>
      <c r="L325" s="63"/>
    </row>
    <row r="326" spans="1:14" s="9" customFormat="1" ht="56.4" customHeight="1">
      <c r="A326" s="200" t="s">
        <v>372</v>
      </c>
      <c r="B326" s="201"/>
      <c r="C326" s="201"/>
      <c r="D326" s="201"/>
      <c r="E326" s="201"/>
      <c r="F326" s="201"/>
      <c r="G326" s="201"/>
      <c r="H326" s="201"/>
      <c r="I326" s="202"/>
      <c r="J326" s="81">
        <v>1.8</v>
      </c>
      <c r="K326" s="62">
        <v>10</v>
      </c>
      <c r="L326" s="63">
        <v>2003</v>
      </c>
      <c r="M326" s="56">
        <v>1</v>
      </c>
      <c r="N326" s="52">
        <v>0.5</v>
      </c>
    </row>
    <row r="327" spans="1:14" s="9" customFormat="1" ht="51" customHeight="1">
      <c r="A327" s="21"/>
      <c r="B327" s="21" t="s">
        <v>171</v>
      </c>
      <c r="C327" s="151" t="s">
        <v>298</v>
      </c>
      <c r="D327" s="152"/>
      <c r="E327" s="152"/>
      <c r="F327" s="152" t="s">
        <v>70</v>
      </c>
      <c r="G327" s="152"/>
      <c r="H327" s="153"/>
      <c r="I327" s="13">
        <f>I40*J326*M326/K326/L326*N326</f>
        <v>1.9770344483275089E-2</v>
      </c>
      <c r="J327" s="81">
        <v>1450</v>
      </c>
      <c r="K327" s="81">
        <v>1.2</v>
      </c>
      <c r="L327" s="63"/>
      <c r="M327" s="9">
        <v>1.2</v>
      </c>
      <c r="N327" s="9">
        <v>1.2</v>
      </c>
    </row>
    <row r="328" spans="1:14" s="9" customFormat="1" ht="15.75" customHeight="1">
      <c r="A328" s="21"/>
      <c r="B328" s="21"/>
      <c r="C328" s="151" t="s">
        <v>1</v>
      </c>
      <c r="D328" s="152"/>
      <c r="E328" s="152"/>
      <c r="F328" s="152" t="s">
        <v>18</v>
      </c>
      <c r="G328" s="152"/>
      <c r="H328" s="153"/>
      <c r="I328" s="17">
        <f>J327*K327*M327*N327*I327</f>
        <v>49.536575137294058</v>
      </c>
      <c r="J328" s="95">
        <v>0.22</v>
      </c>
      <c r="K328" s="81"/>
      <c r="L328" s="63"/>
    </row>
    <row r="329" spans="1:14" s="49" customFormat="1" ht="15.75" customHeight="1">
      <c r="A329" s="21"/>
      <c r="B329" s="21"/>
      <c r="C329" s="151" t="s">
        <v>250</v>
      </c>
      <c r="D329" s="152"/>
      <c r="E329" s="152"/>
      <c r="F329" s="152" t="s">
        <v>18</v>
      </c>
      <c r="G329" s="152"/>
      <c r="H329" s="153"/>
      <c r="I329" s="78">
        <f>I328*J328</f>
        <v>10.898046530204693</v>
      </c>
      <c r="J329" s="96">
        <v>0.34</v>
      </c>
      <c r="K329" s="81"/>
      <c r="L329" s="88"/>
    </row>
    <row r="330" spans="1:14" s="49" customFormat="1" ht="15.75" customHeight="1">
      <c r="A330" s="47"/>
      <c r="B330" s="47"/>
      <c r="C330" s="157" t="s">
        <v>352</v>
      </c>
      <c r="D330" s="158"/>
      <c r="E330" s="158"/>
      <c r="F330" s="158" t="s">
        <v>18</v>
      </c>
      <c r="G330" s="158"/>
      <c r="H330" s="159"/>
      <c r="I330" s="72">
        <f>I328*J329</f>
        <v>16.84243554667998</v>
      </c>
      <c r="J330" s="102">
        <v>74.78</v>
      </c>
      <c r="K330" s="81"/>
      <c r="L330" s="88"/>
    </row>
    <row r="331" spans="1:14" s="49" customFormat="1" ht="15.75" customHeight="1">
      <c r="A331" s="47"/>
      <c r="B331" s="47"/>
      <c r="C331" s="157" t="s">
        <v>330</v>
      </c>
      <c r="D331" s="158"/>
      <c r="E331" s="158"/>
      <c r="F331" s="158" t="s">
        <v>18</v>
      </c>
      <c r="G331" s="158"/>
      <c r="H331" s="159"/>
      <c r="I331" s="72">
        <f>I327*J330</f>
        <v>1.4784263604593111</v>
      </c>
      <c r="J331" s="102"/>
      <c r="K331" s="81"/>
      <c r="L331" s="88"/>
    </row>
    <row r="332" spans="1:14" s="49" customFormat="1" ht="15.75" customHeight="1">
      <c r="A332" s="47"/>
      <c r="B332" s="47"/>
      <c r="C332" s="157" t="s">
        <v>267</v>
      </c>
      <c r="D332" s="158"/>
      <c r="E332" s="158"/>
      <c r="F332" s="158" t="s">
        <v>18</v>
      </c>
      <c r="G332" s="158"/>
      <c r="H332" s="159"/>
      <c r="I332" s="72">
        <f>SUM(I328:I331)</f>
        <v>78.755483574638049</v>
      </c>
      <c r="J332" s="91">
        <v>0.2</v>
      </c>
      <c r="K332" s="81"/>
      <c r="L332" s="88"/>
    </row>
    <row r="333" spans="1:14" s="49" customFormat="1">
      <c r="A333" s="47"/>
      <c r="B333" s="47"/>
      <c r="C333" s="157" t="s">
        <v>354</v>
      </c>
      <c r="D333" s="158"/>
      <c r="E333" s="158"/>
      <c r="F333" s="158" t="s">
        <v>18</v>
      </c>
      <c r="G333" s="158"/>
      <c r="H333" s="159"/>
      <c r="I333" s="72">
        <f>I332*J332</f>
        <v>15.751096714927611</v>
      </c>
      <c r="J333" s="81"/>
      <c r="K333" s="81"/>
      <c r="L333" s="88"/>
    </row>
    <row r="334" spans="1:14" s="9" customFormat="1">
      <c r="A334" s="47"/>
      <c r="B334" s="47"/>
      <c r="C334" s="157" t="s">
        <v>45</v>
      </c>
      <c r="D334" s="158"/>
      <c r="E334" s="158"/>
      <c r="F334" s="158" t="s">
        <v>18</v>
      </c>
      <c r="G334" s="158"/>
      <c r="H334" s="159"/>
      <c r="I334" s="72">
        <f>SUM(I332:I333)</f>
        <v>94.506580289565662</v>
      </c>
      <c r="J334" s="80">
        <v>0.05</v>
      </c>
      <c r="K334" s="62"/>
      <c r="L334" s="63"/>
    </row>
    <row r="335" spans="1:14" s="9" customFormat="1">
      <c r="A335" s="21"/>
      <c r="B335" s="21"/>
      <c r="C335" s="146" t="s">
        <v>46</v>
      </c>
      <c r="D335" s="147"/>
      <c r="E335" s="148"/>
      <c r="F335" s="149" t="s">
        <v>18</v>
      </c>
      <c r="G335" s="150"/>
      <c r="H335" s="92">
        <v>0.05</v>
      </c>
      <c r="I335" s="78">
        <f>I334*J334</f>
        <v>4.7253290144782829</v>
      </c>
      <c r="J335" s="62"/>
      <c r="K335" s="62"/>
      <c r="L335" s="63"/>
    </row>
    <row r="336" spans="1:14" s="54" customFormat="1">
      <c r="A336" s="21"/>
      <c r="B336" s="21"/>
      <c r="C336" s="151" t="s">
        <v>47</v>
      </c>
      <c r="D336" s="152"/>
      <c r="E336" s="152"/>
      <c r="F336" s="152" t="s">
        <v>18</v>
      </c>
      <c r="G336" s="152"/>
      <c r="H336" s="153"/>
      <c r="I336" s="78">
        <f>I334+I335</f>
        <v>99.231909304043938</v>
      </c>
      <c r="J336" s="80">
        <v>0.05</v>
      </c>
      <c r="K336" s="80">
        <v>0.95</v>
      </c>
    </row>
    <row r="337" spans="1:14" s="57" customFormat="1">
      <c r="A337" s="53"/>
      <c r="B337" s="53"/>
      <c r="C337" s="146" t="s">
        <v>48</v>
      </c>
      <c r="D337" s="147"/>
      <c r="E337" s="148"/>
      <c r="F337" s="149" t="s">
        <v>18</v>
      </c>
      <c r="G337" s="150"/>
      <c r="H337" s="92">
        <v>0.05</v>
      </c>
      <c r="I337" s="78">
        <f>I336*J336/K336</f>
        <v>5.2227320686338921</v>
      </c>
      <c r="J337" s="62"/>
      <c r="K337" s="62"/>
      <c r="L337" s="54"/>
    </row>
    <row r="338" spans="1:14" s="9" customFormat="1">
      <c r="A338" s="53"/>
      <c r="B338" s="53"/>
      <c r="C338" s="151" t="s">
        <v>49</v>
      </c>
      <c r="D338" s="152"/>
      <c r="E338" s="152"/>
      <c r="F338" s="152" t="s">
        <v>18</v>
      </c>
      <c r="G338" s="152"/>
      <c r="H338" s="153"/>
      <c r="I338" s="78">
        <f>I336+I337</f>
        <v>104.45464137267783</v>
      </c>
      <c r="J338" s="97">
        <f>ROUND(K338,3)</f>
        <v>1.9E-2</v>
      </c>
      <c r="K338" s="97">
        <f>I338/I10</f>
        <v>1.8865150665746386E-2</v>
      </c>
      <c r="L338" s="63"/>
    </row>
    <row r="339" spans="1:14" s="9" customFormat="1" ht="36.6" customHeight="1">
      <c r="A339" s="21"/>
      <c r="B339" s="21"/>
      <c r="C339" s="189" t="s">
        <v>94</v>
      </c>
      <c r="D339" s="190"/>
      <c r="E339" s="190"/>
      <c r="F339" s="190"/>
      <c r="G339" s="190"/>
      <c r="H339" s="191"/>
      <c r="I339" s="10">
        <f>J338</f>
        <v>1.9E-2</v>
      </c>
      <c r="J339" s="55"/>
      <c r="K339" s="55"/>
      <c r="L339" s="63"/>
    </row>
    <row r="340" spans="1:14" s="9" customFormat="1" ht="51" customHeight="1">
      <c r="A340" s="200" t="s">
        <v>373</v>
      </c>
      <c r="B340" s="201"/>
      <c r="C340" s="201"/>
      <c r="D340" s="201"/>
      <c r="E340" s="201"/>
      <c r="F340" s="201"/>
      <c r="G340" s="201"/>
      <c r="H340" s="201"/>
      <c r="I340" s="202"/>
      <c r="J340" s="62">
        <v>2</v>
      </c>
      <c r="K340" s="62">
        <v>0.13</v>
      </c>
      <c r="L340" s="63"/>
      <c r="M340" s="9">
        <v>2003</v>
      </c>
    </row>
    <row r="341" spans="1:14" s="9" customFormat="1" ht="46.2" customHeight="1">
      <c r="A341" s="21"/>
      <c r="B341" s="21" t="s">
        <v>172</v>
      </c>
      <c r="C341" s="151" t="s">
        <v>299</v>
      </c>
      <c r="D341" s="152"/>
      <c r="E341" s="152"/>
      <c r="F341" s="152" t="s">
        <v>12</v>
      </c>
      <c r="G341" s="152"/>
      <c r="H341" s="153"/>
      <c r="I341" s="87">
        <f>I34*J340*K340/M340</f>
        <v>1.2980529206190715E-3</v>
      </c>
      <c r="J341" s="62">
        <v>0.3</v>
      </c>
      <c r="K341" s="62">
        <v>2</v>
      </c>
      <c r="L341" s="63"/>
      <c r="M341" s="9">
        <v>2003</v>
      </c>
    </row>
    <row r="342" spans="1:14" s="9" customFormat="1" ht="46.2" customHeight="1">
      <c r="A342" s="21"/>
      <c r="B342" s="21" t="s">
        <v>173</v>
      </c>
      <c r="C342" s="151" t="s">
        <v>300</v>
      </c>
      <c r="D342" s="152"/>
      <c r="E342" s="152"/>
      <c r="F342" s="152" t="s">
        <v>12</v>
      </c>
      <c r="G342" s="152"/>
      <c r="H342" s="153"/>
      <c r="I342" s="87">
        <f>I35*J341*K341/M341</f>
        <v>2.9955067398901644E-4</v>
      </c>
      <c r="J342" s="62">
        <v>0.2</v>
      </c>
      <c r="K342" s="62">
        <v>1</v>
      </c>
      <c r="L342" s="63"/>
      <c r="M342" s="9">
        <v>2003</v>
      </c>
    </row>
    <row r="343" spans="1:14" s="9" customFormat="1" ht="44.4" customHeight="1">
      <c r="A343" s="21"/>
      <c r="B343" s="21" t="s">
        <v>174</v>
      </c>
      <c r="C343" s="151" t="s">
        <v>301</v>
      </c>
      <c r="D343" s="152"/>
      <c r="E343" s="152"/>
      <c r="F343" s="152"/>
      <c r="G343" s="152"/>
      <c r="H343" s="153"/>
      <c r="I343" s="87">
        <f>(I27+I31)*J342/K342/M342</f>
        <v>7.9880179730404399E-3</v>
      </c>
      <c r="J343" s="81">
        <v>0.1</v>
      </c>
      <c r="K343" s="62"/>
      <c r="L343" s="63"/>
      <c r="M343" s="9">
        <v>2003</v>
      </c>
    </row>
    <row r="344" spans="1:14" s="9" customFormat="1" ht="54.6" customHeight="1">
      <c r="A344" s="21"/>
      <c r="B344" s="21" t="s">
        <v>175</v>
      </c>
      <c r="C344" s="151" t="s">
        <v>302</v>
      </c>
      <c r="D344" s="152"/>
      <c r="E344" s="152"/>
      <c r="F344" s="152"/>
      <c r="G344" s="152"/>
      <c r="H344" s="153"/>
      <c r="I344" s="87">
        <f>I26*J343/M343</f>
        <v>1.597603594608088E-3</v>
      </c>
      <c r="J344" s="81">
        <v>2.6</v>
      </c>
      <c r="K344" s="81">
        <v>10</v>
      </c>
      <c r="L344" s="63">
        <v>1</v>
      </c>
      <c r="M344" s="9">
        <v>2003</v>
      </c>
    </row>
    <row r="345" spans="1:14" s="9" customFormat="1" ht="42" customHeight="1">
      <c r="A345" s="21"/>
      <c r="B345" s="21" t="s">
        <v>176</v>
      </c>
      <c r="C345" s="151" t="s">
        <v>303</v>
      </c>
      <c r="D345" s="152"/>
      <c r="E345" s="152"/>
      <c r="F345" s="152" t="s">
        <v>16</v>
      </c>
      <c r="G345" s="152"/>
      <c r="H345" s="153"/>
      <c r="I345" s="87">
        <f>I28*J344/K344/M344</f>
        <v>2.0768846729905142E-3</v>
      </c>
      <c r="J345" s="81">
        <v>0.55000000000000004</v>
      </c>
      <c r="K345" s="81">
        <v>1</v>
      </c>
      <c r="L345" s="63"/>
      <c r="M345" s="9">
        <v>2003</v>
      </c>
    </row>
    <row r="346" spans="1:14" s="9" customFormat="1" ht="43.5" customHeight="1">
      <c r="A346" s="21"/>
      <c r="B346" s="21" t="s">
        <v>177</v>
      </c>
      <c r="C346" s="151" t="s">
        <v>304</v>
      </c>
      <c r="D346" s="152"/>
      <c r="E346" s="152"/>
      <c r="F346" s="152" t="s">
        <v>16</v>
      </c>
      <c r="G346" s="152"/>
      <c r="H346" s="153"/>
      <c r="I346" s="87">
        <f>I29*J345/M345</f>
        <v>5.4917623564653024E-4</v>
      </c>
      <c r="J346" s="81">
        <v>0.75</v>
      </c>
      <c r="K346" s="81">
        <v>10</v>
      </c>
      <c r="L346" s="63">
        <v>1</v>
      </c>
      <c r="M346" s="9">
        <v>2003</v>
      </c>
    </row>
    <row r="347" spans="1:14" s="9" customFormat="1" ht="42.6" customHeight="1">
      <c r="A347" s="21"/>
      <c r="B347" s="21" t="s">
        <v>178</v>
      </c>
      <c r="C347" s="151" t="s">
        <v>305</v>
      </c>
      <c r="D347" s="152"/>
      <c r="E347" s="152"/>
      <c r="F347" s="152" t="s">
        <v>16</v>
      </c>
      <c r="G347" s="152"/>
      <c r="H347" s="153"/>
      <c r="I347" s="87">
        <f>I32*J346/M346</f>
        <v>7.4887668497254113E-4</v>
      </c>
      <c r="J347" s="81">
        <v>10.6</v>
      </c>
      <c r="K347" s="81">
        <v>10</v>
      </c>
      <c r="L347" s="63">
        <v>1</v>
      </c>
      <c r="M347" s="9">
        <v>2003</v>
      </c>
    </row>
    <row r="348" spans="1:14" s="9" customFormat="1" ht="37.200000000000003" customHeight="1">
      <c r="A348" s="21"/>
      <c r="B348" s="21" t="s">
        <v>179</v>
      </c>
      <c r="C348" s="151" t="s">
        <v>306</v>
      </c>
      <c r="D348" s="152"/>
      <c r="E348" s="152"/>
      <c r="F348" s="152" t="s">
        <v>16</v>
      </c>
      <c r="G348" s="152"/>
      <c r="H348" s="153"/>
      <c r="I348" s="87">
        <f>I30*J347/K347/M347</f>
        <v>1.0584123814278582E-3</v>
      </c>
      <c r="J348" s="81">
        <v>5.6</v>
      </c>
      <c r="K348" s="81">
        <v>10</v>
      </c>
      <c r="L348" s="63"/>
      <c r="M348" s="9">
        <v>2003</v>
      </c>
    </row>
    <row r="349" spans="1:14" s="9" customFormat="1" ht="15" customHeight="1">
      <c r="A349" s="21"/>
      <c r="B349" s="21" t="s">
        <v>180</v>
      </c>
      <c r="C349" s="151" t="s">
        <v>307</v>
      </c>
      <c r="D349" s="152"/>
      <c r="E349" s="152"/>
      <c r="F349" s="152" t="s">
        <v>16</v>
      </c>
      <c r="G349" s="152"/>
      <c r="H349" s="153"/>
      <c r="I349" s="87">
        <f>I33*J348/K348/M348</f>
        <v>3.0753869196205688E-3</v>
      </c>
      <c r="J349" s="81"/>
      <c r="K349" s="81"/>
      <c r="L349" s="63"/>
    </row>
    <row r="350" spans="1:14" s="9" customFormat="1" ht="15" customHeight="1">
      <c r="A350" s="21"/>
      <c r="B350" s="21"/>
      <c r="C350" s="151" t="s">
        <v>88</v>
      </c>
      <c r="D350" s="152"/>
      <c r="E350" s="152"/>
      <c r="F350" s="152"/>
      <c r="G350" s="152"/>
      <c r="H350" s="153"/>
      <c r="I350" s="87">
        <f>I341+I344</f>
        <v>2.8956565152271595E-3</v>
      </c>
      <c r="J350" s="81"/>
      <c r="K350" s="81"/>
      <c r="L350" s="63"/>
    </row>
    <row r="351" spans="1:14" s="9" customFormat="1" ht="15" customHeight="1">
      <c r="A351" s="21"/>
      <c r="B351" s="21"/>
      <c r="C351" s="151" t="s">
        <v>89</v>
      </c>
      <c r="D351" s="152"/>
      <c r="E351" s="152"/>
      <c r="F351" s="152"/>
      <c r="G351" s="152"/>
      <c r="H351" s="153"/>
      <c r="I351" s="87">
        <f>I342+I343+I346+I347+I348+I349</f>
        <v>1.3719420868696954E-2</v>
      </c>
      <c r="J351" s="81"/>
      <c r="K351" s="81"/>
      <c r="L351" s="63"/>
    </row>
    <row r="352" spans="1:14" s="9" customFormat="1" ht="15" customHeight="1">
      <c r="A352" s="21"/>
      <c r="B352" s="21"/>
      <c r="C352" s="151" t="s">
        <v>90</v>
      </c>
      <c r="D352" s="152"/>
      <c r="E352" s="152"/>
      <c r="F352" s="152"/>
      <c r="G352" s="152"/>
      <c r="H352" s="153"/>
      <c r="I352" s="87">
        <f>I345</f>
        <v>2.0768846729905142E-3</v>
      </c>
      <c r="J352" s="81">
        <v>1450</v>
      </c>
      <c r="K352" s="81">
        <v>1.2</v>
      </c>
      <c r="L352" s="63"/>
      <c r="M352" s="9">
        <v>1.35</v>
      </c>
      <c r="N352" s="9">
        <v>1.2</v>
      </c>
    </row>
    <row r="353" spans="1:14" s="9" customFormat="1" ht="15" customHeight="1">
      <c r="A353" s="21"/>
      <c r="B353" s="21"/>
      <c r="C353" s="151" t="s">
        <v>91</v>
      </c>
      <c r="D353" s="152"/>
      <c r="E353" s="152"/>
      <c r="F353" s="152" t="s">
        <v>18</v>
      </c>
      <c r="G353" s="152"/>
      <c r="H353" s="153"/>
      <c r="I353" s="78">
        <f>I350*J352*K352*M352*N352</f>
        <v>8.1622765851223171</v>
      </c>
      <c r="J353" s="81">
        <v>1450</v>
      </c>
      <c r="K353" s="81">
        <v>1.2</v>
      </c>
      <c r="L353" s="63"/>
      <c r="M353" s="9">
        <v>1.2</v>
      </c>
      <c r="N353" s="9">
        <v>1.2</v>
      </c>
    </row>
    <row r="354" spans="1:14" s="9" customFormat="1" ht="15" customHeight="1">
      <c r="A354" s="21"/>
      <c r="B354" s="21"/>
      <c r="C354" s="151" t="s">
        <v>92</v>
      </c>
      <c r="D354" s="152"/>
      <c r="E354" s="152"/>
      <c r="F354" s="152" t="s">
        <v>18</v>
      </c>
      <c r="G354" s="152"/>
      <c r="H354" s="153"/>
      <c r="I354" s="78">
        <f>I351*J353*K353*M353*N353</f>
        <v>34.375380928607079</v>
      </c>
      <c r="J354" s="81">
        <v>1450</v>
      </c>
      <c r="K354" s="81">
        <v>1.2</v>
      </c>
      <c r="L354" s="63"/>
      <c r="M354" s="9">
        <v>1.08</v>
      </c>
      <c r="N354" s="9">
        <v>1.2</v>
      </c>
    </row>
    <row r="355" spans="1:14" s="9" customFormat="1" ht="15" customHeight="1">
      <c r="A355" s="21"/>
      <c r="B355" s="21"/>
      <c r="C355" s="151" t="s">
        <v>93</v>
      </c>
      <c r="D355" s="152"/>
      <c r="E355" s="152"/>
      <c r="F355" s="152" t="s">
        <v>18</v>
      </c>
      <c r="G355" s="152"/>
      <c r="H355" s="153"/>
      <c r="I355" s="78">
        <f>I352*J354*K354*M354*N354</f>
        <v>4.6834580129805286</v>
      </c>
      <c r="J355" s="81"/>
      <c r="K355" s="81"/>
      <c r="L355" s="63"/>
    </row>
    <row r="356" spans="1:14" s="49" customFormat="1" ht="15" customHeight="1">
      <c r="A356" s="21"/>
      <c r="B356" s="21"/>
      <c r="C356" s="151" t="s">
        <v>85</v>
      </c>
      <c r="D356" s="152"/>
      <c r="E356" s="152"/>
      <c r="F356" s="152" t="s">
        <v>18</v>
      </c>
      <c r="G356" s="152"/>
      <c r="H356" s="153"/>
      <c r="I356" s="78">
        <f>SUM(I353:I355)</f>
        <v>47.22111552670993</v>
      </c>
      <c r="J356" s="96">
        <v>0.22</v>
      </c>
      <c r="K356" s="81"/>
      <c r="L356" s="88"/>
    </row>
    <row r="357" spans="1:14" s="49" customFormat="1" ht="15" customHeight="1">
      <c r="A357" s="47"/>
      <c r="B357" s="47"/>
      <c r="C357" s="157" t="s">
        <v>250</v>
      </c>
      <c r="D357" s="158"/>
      <c r="E357" s="158"/>
      <c r="F357" s="158" t="s">
        <v>18</v>
      </c>
      <c r="G357" s="158"/>
      <c r="H357" s="159"/>
      <c r="I357" s="72">
        <f>I356*J356</f>
        <v>10.388645415876185</v>
      </c>
      <c r="J357" s="91">
        <v>0.34</v>
      </c>
      <c r="K357" s="81"/>
      <c r="L357" s="88"/>
    </row>
    <row r="358" spans="1:14" s="49" customFormat="1" ht="15" customHeight="1">
      <c r="A358" s="47"/>
      <c r="B358" s="47"/>
      <c r="C358" s="157" t="s">
        <v>347</v>
      </c>
      <c r="D358" s="158"/>
      <c r="E358" s="158"/>
      <c r="F358" s="158" t="s">
        <v>42</v>
      </c>
      <c r="G358" s="158"/>
      <c r="H358" s="159"/>
      <c r="I358" s="111">
        <f>I356*J357</f>
        <v>16.055179279081376</v>
      </c>
      <c r="J358" s="91"/>
      <c r="K358" s="81"/>
      <c r="L358" s="88"/>
    </row>
    <row r="359" spans="1:14" s="49" customFormat="1" ht="15" customHeight="1">
      <c r="A359" s="47"/>
      <c r="B359" s="47"/>
      <c r="C359" s="157" t="s">
        <v>308</v>
      </c>
      <c r="D359" s="158"/>
      <c r="E359" s="158"/>
      <c r="F359" s="158" t="s">
        <v>14</v>
      </c>
      <c r="G359" s="158"/>
      <c r="H359" s="159"/>
      <c r="I359" s="67">
        <f>I26</f>
        <v>32</v>
      </c>
      <c r="J359" s="81">
        <v>5.49</v>
      </c>
      <c r="K359" s="81">
        <v>12</v>
      </c>
      <c r="L359" s="88"/>
    </row>
    <row r="360" spans="1:14" s="49" customFormat="1" ht="15" customHeight="1">
      <c r="A360" s="47"/>
      <c r="B360" s="47"/>
      <c r="C360" s="157" t="s">
        <v>227</v>
      </c>
      <c r="D360" s="158"/>
      <c r="E360" s="158"/>
      <c r="F360" s="158" t="s">
        <v>18</v>
      </c>
      <c r="G360" s="158"/>
      <c r="H360" s="159"/>
      <c r="I360" s="72">
        <f>I359*J359/K359</f>
        <v>14.64</v>
      </c>
      <c r="J360" s="81"/>
      <c r="K360" s="81"/>
      <c r="L360" s="88"/>
    </row>
    <row r="361" spans="1:14" s="49" customFormat="1" ht="15" customHeight="1">
      <c r="A361" s="47"/>
      <c r="B361" s="47"/>
      <c r="C361" s="157" t="s">
        <v>309</v>
      </c>
      <c r="D361" s="158"/>
      <c r="E361" s="158"/>
      <c r="F361" s="158" t="s">
        <v>53</v>
      </c>
      <c r="G361" s="158"/>
      <c r="H361" s="159"/>
      <c r="I361" s="72">
        <f>I362+I363</f>
        <v>81.599999999999994</v>
      </c>
      <c r="J361" s="81">
        <v>1.02</v>
      </c>
      <c r="K361" s="81">
        <v>1</v>
      </c>
      <c r="L361" s="88"/>
    </row>
    <row r="362" spans="1:14" s="49" customFormat="1" ht="15" customHeight="1">
      <c r="A362" s="47"/>
      <c r="B362" s="47"/>
      <c r="C362" s="157" t="s">
        <v>228</v>
      </c>
      <c r="D362" s="158"/>
      <c r="E362" s="158"/>
      <c r="F362" s="158" t="s">
        <v>53</v>
      </c>
      <c r="G362" s="158"/>
      <c r="H362" s="159"/>
      <c r="I362" s="72">
        <f>I27*J361*K361</f>
        <v>40.799999999999997</v>
      </c>
      <c r="J362" s="81">
        <v>1.02</v>
      </c>
      <c r="K362" s="81">
        <v>1</v>
      </c>
      <c r="L362" s="88"/>
    </row>
    <row r="363" spans="1:14" s="49" customFormat="1" ht="15" customHeight="1">
      <c r="A363" s="47"/>
      <c r="B363" s="47"/>
      <c r="C363" s="157" t="s">
        <v>229</v>
      </c>
      <c r="D363" s="158"/>
      <c r="E363" s="158"/>
      <c r="F363" s="158" t="s">
        <v>53</v>
      </c>
      <c r="G363" s="158"/>
      <c r="H363" s="159"/>
      <c r="I363" s="72">
        <f>I31*J362*K362</f>
        <v>40.799999999999997</v>
      </c>
      <c r="J363" s="81">
        <v>1.6</v>
      </c>
      <c r="K363" s="81">
        <v>12</v>
      </c>
      <c r="L363" s="88">
        <v>2.4</v>
      </c>
    </row>
    <row r="364" spans="1:14" s="49" customFormat="1" ht="15" customHeight="1">
      <c r="A364" s="47"/>
      <c r="B364" s="47"/>
      <c r="C364" s="157" t="s">
        <v>99</v>
      </c>
      <c r="D364" s="158"/>
      <c r="E364" s="158"/>
      <c r="F364" s="158" t="s">
        <v>18</v>
      </c>
      <c r="G364" s="158"/>
      <c r="H364" s="159"/>
      <c r="I364" s="72">
        <f>(I362*J363+I363*L363)/K363</f>
        <v>13.6</v>
      </c>
      <c r="J364" s="81"/>
      <c r="K364" s="81"/>
      <c r="L364" s="88"/>
    </row>
    <row r="365" spans="1:14" s="49" customFormat="1" ht="15" customHeight="1">
      <c r="A365" s="47"/>
      <c r="B365" s="47"/>
      <c r="C365" s="157" t="s">
        <v>310</v>
      </c>
      <c r="D365" s="158"/>
      <c r="E365" s="158"/>
      <c r="F365" s="158" t="s">
        <v>55</v>
      </c>
      <c r="G365" s="158"/>
      <c r="H365" s="159"/>
      <c r="I365" s="67">
        <f>I28</f>
        <v>16</v>
      </c>
      <c r="J365" s="81">
        <v>11.05</v>
      </c>
      <c r="K365" s="81">
        <v>12</v>
      </c>
      <c r="L365" s="88"/>
    </row>
    <row r="366" spans="1:14" s="49" customFormat="1" ht="15" customHeight="1">
      <c r="A366" s="47"/>
      <c r="B366" s="47"/>
      <c r="C366" s="157" t="s">
        <v>54</v>
      </c>
      <c r="D366" s="158"/>
      <c r="E366" s="158"/>
      <c r="F366" s="158" t="s">
        <v>18</v>
      </c>
      <c r="G366" s="158"/>
      <c r="H366" s="159"/>
      <c r="I366" s="72">
        <f>I365*J365/K365</f>
        <v>14.733333333333334</v>
      </c>
      <c r="J366" s="81">
        <v>5.0000000000000001E-3</v>
      </c>
      <c r="K366" s="81">
        <v>2</v>
      </c>
      <c r="L366" s="88"/>
    </row>
    <row r="367" spans="1:14" s="49" customFormat="1" ht="15" customHeight="1">
      <c r="A367" s="47"/>
      <c r="B367" s="47"/>
      <c r="C367" s="157" t="s">
        <v>56</v>
      </c>
      <c r="D367" s="158"/>
      <c r="E367" s="158"/>
      <c r="F367" s="158" t="s">
        <v>55</v>
      </c>
      <c r="G367" s="158"/>
      <c r="H367" s="159"/>
      <c r="I367" s="72">
        <f>I28*J366*K366</f>
        <v>0.16</v>
      </c>
      <c r="J367" s="81">
        <v>2.86</v>
      </c>
      <c r="K367" s="81">
        <v>12</v>
      </c>
      <c r="L367" s="88"/>
    </row>
    <row r="368" spans="1:14" s="49" customFormat="1" ht="15" customHeight="1">
      <c r="A368" s="47"/>
      <c r="B368" s="47"/>
      <c r="C368" s="157" t="s">
        <v>57</v>
      </c>
      <c r="D368" s="158"/>
      <c r="E368" s="158"/>
      <c r="F368" s="158" t="s">
        <v>18</v>
      </c>
      <c r="G368" s="158"/>
      <c r="H368" s="159"/>
      <c r="I368" s="72">
        <f>I367*J367/K367</f>
        <v>3.8133333333333332E-2</v>
      </c>
      <c r="J368" s="81"/>
      <c r="K368" s="81"/>
      <c r="L368" s="88"/>
    </row>
    <row r="369" spans="1:13" s="49" customFormat="1" ht="15" customHeight="1">
      <c r="A369" s="47"/>
      <c r="B369" s="47"/>
      <c r="C369" s="157" t="s">
        <v>311</v>
      </c>
      <c r="D369" s="158"/>
      <c r="E369" s="158"/>
      <c r="F369" s="158" t="s">
        <v>14</v>
      </c>
      <c r="G369" s="158"/>
      <c r="H369" s="159"/>
      <c r="I369" s="67">
        <f>I29</f>
        <v>2</v>
      </c>
      <c r="J369" s="81">
        <v>24.7</v>
      </c>
      <c r="K369" s="81">
        <v>12</v>
      </c>
      <c r="L369" s="88"/>
    </row>
    <row r="370" spans="1:13" s="49" customFormat="1" ht="15" customHeight="1">
      <c r="A370" s="47"/>
      <c r="B370" s="47"/>
      <c r="C370" s="157" t="s">
        <v>58</v>
      </c>
      <c r="D370" s="158"/>
      <c r="E370" s="158"/>
      <c r="F370" s="158" t="s">
        <v>18</v>
      </c>
      <c r="G370" s="158"/>
      <c r="H370" s="159"/>
      <c r="I370" s="72">
        <f>I369*J369/K369</f>
        <v>4.1166666666666663</v>
      </c>
      <c r="J370" s="81">
        <v>5.0000000000000001E-3</v>
      </c>
      <c r="K370" s="81">
        <v>1</v>
      </c>
      <c r="L370" s="88"/>
    </row>
    <row r="371" spans="1:13" s="49" customFormat="1" ht="15" customHeight="1">
      <c r="A371" s="47"/>
      <c r="B371" s="47"/>
      <c r="C371" s="157" t="s">
        <v>59</v>
      </c>
      <c r="D371" s="158"/>
      <c r="E371" s="158"/>
      <c r="F371" s="158" t="s">
        <v>16</v>
      </c>
      <c r="G371" s="158"/>
      <c r="H371" s="159"/>
      <c r="I371" s="72">
        <f>I29*J370*K370</f>
        <v>0.01</v>
      </c>
      <c r="J371" s="81">
        <v>2.86</v>
      </c>
      <c r="K371" s="81">
        <v>12</v>
      </c>
      <c r="L371" s="88"/>
    </row>
    <row r="372" spans="1:13" s="49" customFormat="1" ht="15" customHeight="1">
      <c r="A372" s="47"/>
      <c r="B372" s="47"/>
      <c r="C372" s="157" t="s">
        <v>62</v>
      </c>
      <c r="D372" s="158"/>
      <c r="E372" s="158"/>
      <c r="F372" s="158" t="s">
        <v>18</v>
      </c>
      <c r="G372" s="158"/>
      <c r="H372" s="159"/>
      <c r="I372" s="111">
        <f>I371*J371/K371</f>
        <v>2.3833333333333332E-3</v>
      </c>
      <c r="J372" s="81"/>
      <c r="K372" s="81"/>
      <c r="L372" s="88"/>
    </row>
    <row r="373" spans="1:13" s="49" customFormat="1" ht="15" customHeight="1">
      <c r="A373" s="47"/>
      <c r="B373" s="47"/>
      <c r="C373" s="157" t="s">
        <v>312</v>
      </c>
      <c r="D373" s="158"/>
      <c r="E373" s="158"/>
      <c r="F373" s="158" t="s">
        <v>14</v>
      </c>
      <c r="G373" s="158"/>
      <c r="H373" s="159"/>
      <c r="I373" s="67">
        <f>I32</f>
        <v>2</v>
      </c>
      <c r="J373" s="81">
        <v>22</v>
      </c>
      <c r="K373" s="81">
        <v>12</v>
      </c>
      <c r="L373" s="88">
        <v>1</v>
      </c>
    </row>
    <row r="374" spans="1:13" s="49" customFormat="1" ht="15" customHeight="1">
      <c r="A374" s="47"/>
      <c r="B374" s="47"/>
      <c r="C374" s="157" t="s">
        <v>60</v>
      </c>
      <c r="D374" s="158"/>
      <c r="E374" s="158"/>
      <c r="F374" s="158" t="s">
        <v>18</v>
      </c>
      <c r="G374" s="158"/>
      <c r="H374" s="159"/>
      <c r="I374" s="72">
        <f>I373*J373/K373</f>
        <v>3.6666666666666665</v>
      </c>
      <c r="J374" s="81">
        <v>6.0000000000000001E-3</v>
      </c>
      <c r="K374" s="81">
        <v>1</v>
      </c>
      <c r="L374" s="88"/>
    </row>
    <row r="375" spans="1:13" s="49" customFormat="1" ht="15" customHeight="1">
      <c r="A375" s="47"/>
      <c r="B375" s="47"/>
      <c r="C375" s="157" t="s">
        <v>61</v>
      </c>
      <c r="D375" s="158"/>
      <c r="E375" s="158"/>
      <c r="F375" s="158" t="s">
        <v>16</v>
      </c>
      <c r="G375" s="158"/>
      <c r="H375" s="159"/>
      <c r="I375" s="72">
        <f>I32*J374*K374</f>
        <v>1.2E-2</v>
      </c>
      <c r="J375" s="81">
        <v>2.86</v>
      </c>
      <c r="K375" s="81">
        <v>12</v>
      </c>
      <c r="L375" s="88"/>
    </row>
    <row r="376" spans="1:13" s="49" customFormat="1" ht="15" customHeight="1">
      <c r="A376" s="47"/>
      <c r="B376" s="47"/>
      <c r="C376" s="157" t="s">
        <v>63</v>
      </c>
      <c r="D376" s="158"/>
      <c r="E376" s="158"/>
      <c r="F376" s="158" t="s">
        <v>18</v>
      </c>
      <c r="G376" s="158"/>
      <c r="H376" s="159"/>
      <c r="I376" s="72">
        <f>I375*J375/K375</f>
        <v>2.8599999999999997E-3</v>
      </c>
      <c r="J376" s="81"/>
      <c r="K376" s="81"/>
      <c r="L376" s="88"/>
    </row>
    <row r="377" spans="1:13" s="49" customFormat="1" ht="15" customHeight="1">
      <c r="A377" s="47"/>
      <c r="B377" s="47"/>
      <c r="C377" s="157" t="s">
        <v>313</v>
      </c>
      <c r="D377" s="158"/>
      <c r="E377" s="158"/>
      <c r="F377" s="158" t="s">
        <v>16</v>
      </c>
      <c r="G377" s="158"/>
      <c r="H377" s="159"/>
      <c r="I377" s="67">
        <f>I30</f>
        <v>2</v>
      </c>
      <c r="J377" s="81">
        <v>34.07</v>
      </c>
      <c r="K377" s="81">
        <v>12</v>
      </c>
      <c r="L377" s="88"/>
    </row>
    <row r="378" spans="1:13" s="49" customFormat="1" ht="15" customHeight="1">
      <c r="A378" s="47"/>
      <c r="B378" s="47"/>
      <c r="C378" s="157" t="s">
        <v>64</v>
      </c>
      <c r="D378" s="158"/>
      <c r="E378" s="158"/>
      <c r="F378" s="158" t="s">
        <v>18</v>
      </c>
      <c r="G378" s="158"/>
      <c r="H378" s="159"/>
      <c r="I378" s="72">
        <f>I377*J377/K377</f>
        <v>5.6783333333333337</v>
      </c>
      <c r="J378" s="81">
        <v>5.0000000000000001E-3</v>
      </c>
      <c r="K378" s="81">
        <v>1</v>
      </c>
      <c r="L378" s="88">
        <v>1.35</v>
      </c>
      <c r="M378" s="49">
        <v>1.2</v>
      </c>
    </row>
    <row r="379" spans="1:13" s="49" customFormat="1" ht="15" customHeight="1">
      <c r="A379" s="47"/>
      <c r="B379" s="47"/>
      <c r="C379" s="157" t="s">
        <v>66</v>
      </c>
      <c r="D379" s="158"/>
      <c r="E379" s="158"/>
      <c r="F379" s="158" t="s">
        <v>16</v>
      </c>
      <c r="G379" s="158"/>
      <c r="H379" s="159"/>
      <c r="I379" s="72">
        <f>I30*J378*K378</f>
        <v>0.01</v>
      </c>
      <c r="J379" s="81">
        <v>2.86</v>
      </c>
      <c r="K379" s="81">
        <v>12</v>
      </c>
      <c r="L379" s="88"/>
    </row>
    <row r="380" spans="1:13" s="49" customFormat="1" ht="15" customHeight="1">
      <c r="A380" s="47"/>
      <c r="B380" s="47"/>
      <c r="C380" s="157" t="s">
        <v>65</v>
      </c>
      <c r="D380" s="158"/>
      <c r="E380" s="158"/>
      <c r="F380" s="158" t="s">
        <v>18</v>
      </c>
      <c r="G380" s="158"/>
      <c r="H380" s="159"/>
      <c r="I380" s="111">
        <f>I379*J379/K379</f>
        <v>2.3833333333333332E-3</v>
      </c>
      <c r="J380" s="81"/>
      <c r="K380" s="81"/>
      <c r="L380" s="88"/>
    </row>
    <row r="381" spans="1:13" s="49" customFormat="1" ht="15" customHeight="1">
      <c r="A381" s="47"/>
      <c r="B381" s="47"/>
      <c r="C381" s="157" t="s">
        <v>67</v>
      </c>
      <c r="D381" s="158"/>
      <c r="E381" s="158"/>
      <c r="F381" s="158" t="s">
        <v>18</v>
      </c>
      <c r="G381" s="158"/>
      <c r="H381" s="159"/>
      <c r="I381" s="72">
        <f>I357+I358+I364+I366+I368+I370+I372+I374+I376+I378+I380+I360</f>
        <v>82.924584694957559</v>
      </c>
      <c r="J381" s="81">
        <v>110.53</v>
      </c>
      <c r="K381" s="81"/>
      <c r="L381" s="88"/>
    </row>
    <row r="382" spans="1:13" s="49" customFormat="1" ht="15" customHeight="1">
      <c r="A382" s="47"/>
      <c r="B382" s="47"/>
      <c r="C382" s="157" t="s">
        <v>333</v>
      </c>
      <c r="D382" s="158"/>
      <c r="E382" s="158"/>
      <c r="F382" s="158" t="s">
        <v>18</v>
      </c>
      <c r="G382" s="158"/>
      <c r="H382" s="159"/>
      <c r="I382" s="72">
        <f>(I350+I351+I352)*J381</f>
        <v>2.0660225661507741</v>
      </c>
      <c r="J382" s="81"/>
      <c r="K382" s="81"/>
      <c r="L382" s="88"/>
    </row>
    <row r="383" spans="1:13" s="49" customFormat="1" ht="15" customHeight="1">
      <c r="A383" s="47"/>
      <c r="B383" s="47"/>
      <c r="C383" s="157" t="s">
        <v>267</v>
      </c>
      <c r="D383" s="158"/>
      <c r="E383" s="158"/>
      <c r="F383" s="158" t="s">
        <v>18</v>
      </c>
      <c r="G383" s="158"/>
      <c r="H383" s="159"/>
      <c r="I383" s="72">
        <f>I356+I357+I358+I381+I382</f>
        <v>158.65554748277583</v>
      </c>
      <c r="J383" s="91">
        <v>0.2</v>
      </c>
      <c r="K383" s="81"/>
      <c r="L383" s="88"/>
    </row>
    <row r="384" spans="1:13" s="49" customFormat="1" ht="15" customHeight="1">
      <c r="A384" s="47"/>
      <c r="B384" s="47"/>
      <c r="C384" s="157" t="s">
        <v>355</v>
      </c>
      <c r="D384" s="158"/>
      <c r="E384" s="158"/>
      <c r="F384" s="158" t="s">
        <v>18</v>
      </c>
      <c r="G384" s="158"/>
      <c r="H384" s="159"/>
      <c r="I384" s="72">
        <f>I383*J383</f>
        <v>31.731109496555167</v>
      </c>
      <c r="J384" s="81"/>
      <c r="K384" s="81"/>
      <c r="L384" s="88"/>
    </row>
    <row r="385" spans="1:14" s="49" customFormat="1" ht="15" customHeight="1">
      <c r="A385" s="47"/>
      <c r="B385" s="47"/>
      <c r="C385" s="157" t="s">
        <v>45</v>
      </c>
      <c r="D385" s="158"/>
      <c r="E385" s="158"/>
      <c r="F385" s="158" t="s">
        <v>18</v>
      </c>
      <c r="G385" s="158"/>
      <c r="H385" s="159"/>
      <c r="I385" s="72">
        <f>SUM(I383:I384)</f>
        <v>190.38665697933101</v>
      </c>
      <c r="J385" s="91">
        <v>0.05</v>
      </c>
      <c r="K385" s="81"/>
      <c r="L385" s="88"/>
    </row>
    <row r="386" spans="1:14" s="49" customFormat="1" ht="15" customHeight="1">
      <c r="A386" s="47"/>
      <c r="B386" s="47"/>
      <c r="C386" s="165" t="s">
        <v>46</v>
      </c>
      <c r="D386" s="166"/>
      <c r="E386" s="167"/>
      <c r="F386" s="162" t="s">
        <v>18</v>
      </c>
      <c r="G386" s="164"/>
      <c r="H386" s="90">
        <v>0.05</v>
      </c>
      <c r="I386" s="72">
        <f>I385*J385</f>
        <v>9.5193328489665507</v>
      </c>
      <c r="J386" s="81"/>
      <c r="K386" s="81"/>
      <c r="L386" s="88"/>
    </row>
    <row r="387" spans="1:14" s="74" customFormat="1" ht="15" customHeight="1">
      <c r="A387" s="47"/>
      <c r="B387" s="47"/>
      <c r="C387" s="157" t="s">
        <v>47</v>
      </c>
      <c r="D387" s="158"/>
      <c r="E387" s="158"/>
      <c r="F387" s="158" t="s">
        <v>18</v>
      </c>
      <c r="G387" s="158"/>
      <c r="H387" s="159"/>
      <c r="I387" s="72">
        <f>I385+I386</f>
        <v>199.90598982829755</v>
      </c>
      <c r="J387" s="91">
        <v>0.05</v>
      </c>
      <c r="K387" s="91">
        <v>0.95</v>
      </c>
      <c r="L387" s="61"/>
    </row>
    <row r="388" spans="1:14" s="49" customFormat="1">
      <c r="A388" s="60"/>
      <c r="B388" s="60"/>
      <c r="C388" s="165" t="s">
        <v>48</v>
      </c>
      <c r="D388" s="166"/>
      <c r="E388" s="167"/>
      <c r="F388" s="162" t="s">
        <v>18</v>
      </c>
      <c r="G388" s="164"/>
      <c r="H388" s="90">
        <v>0.05</v>
      </c>
      <c r="I388" s="72">
        <f>I387*J387/K387</f>
        <v>10.521367885699872</v>
      </c>
      <c r="J388" s="81"/>
      <c r="K388" s="81"/>
      <c r="L388" s="88"/>
    </row>
    <row r="389" spans="1:14" s="9" customFormat="1" ht="15.75" customHeight="1">
      <c r="A389" s="47"/>
      <c r="B389" s="47"/>
      <c r="C389" s="157" t="s">
        <v>49</v>
      </c>
      <c r="D389" s="158"/>
      <c r="E389" s="158"/>
      <c r="F389" s="158" t="s">
        <v>18</v>
      </c>
      <c r="G389" s="158"/>
      <c r="H389" s="159"/>
      <c r="I389" s="72">
        <f>I387+I388</f>
        <v>210.42735771399742</v>
      </c>
      <c r="J389" s="127"/>
      <c r="K389" s="127"/>
    </row>
    <row r="390" spans="1:14" s="9" customFormat="1" ht="18.75" customHeight="1">
      <c r="A390" s="21"/>
      <c r="B390" s="135"/>
      <c r="C390" s="154" t="s">
        <v>94</v>
      </c>
      <c r="D390" s="155"/>
      <c r="E390" s="155"/>
      <c r="F390" s="155"/>
      <c r="G390" s="155"/>
      <c r="H390" s="156"/>
      <c r="I390" s="10">
        <f>J390</f>
        <v>3.5999999999999997E-2</v>
      </c>
      <c r="J390" s="131">
        <f>ROUND(K390,3)</f>
        <v>3.5999999999999997E-2</v>
      </c>
      <c r="K390" s="131">
        <f>I389/I9</f>
        <v>3.564686372335895E-2</v>
      </c>
    </row>
    <row r="391" spans="1:14" s="9" customFormat="1" ht="15.75" customHeight="1">
      <c r="A391" s="58" t="s">
        <v>338</v>
      </c>
      <c r="B391" s="183" t="s">
        <v>339</v>
      </c>
      <c r="C391" s="184"/>
      <c r="D391" s="184"/>
      <c r="E391" s="184"/>
      <c r="F391" s="184"/>
      <c r="G391" s="184"/>
      <c r="H391" s="185"/>
      <c r="I391" s="126"/>
      <c r="J391" s="127"/>
      <c r="K391" s="127"/>
    </row>
    <row r="392" spans="1:14" s="9" customFormat="1" ht="15.75" customHeight="1">
      <c r="A392" s="128"/>
      <c r="B392" s="21"/>
      <c r="C392" s="213" t="s">
        <v>340</v>
      </c>
      <c r="D392" s="214"/>
      <c r="E392" s="214"/>
      <c r="F392" s="214"/>
      <c r="G392" s="214"/>
      <c r="H392" s="215"/>
      <c r="I392" s="126">
        <v>22.36</v>
      </c>
      <c r="J392" s="127"/>
      <c r="K392" s="127"/>
    </row>
    <row r="393" spans="1:14" s="9" customFormat="1" ht="21" customHeight="1">
      <c r="A393" s="128"/>
      <c r="B393" s="21"/>
      <c r="C393" s="213" t="s">
        <v>341</v>
      </c>
      <c r="D393" s="214"/>
      <c r="E393" s="214"/>
      <c r="F393" s="214"/>
      <c r="G393" s="214"/>
      <c r="H393" s="215"/>
      <c r="I393" s="126">
        <f>I392*I67*J393</f>
        <v>4203.68</v>
      </c>
      <c r="J393" s="127">
        <v>2</v>
      </c>
      <c r="K393" s="127"/>
    </row>
    <row r="394" spans="1:14" s="9" customFormat="1" ht="20.25" customHeight="1">
      <c r="A394" s="128"/>
      <c r="B394" s="21"/>
      <c r="C394" s="251" t="s">
        <v>342</v>
      </c>
      <c r="D394" s="214"/>
      <c r="E394" s="214"/>
      <c r="F394" s="214" t="s">
        <v>18</v>
      </c>
      <c r="G394" s="214"/>
      <c r="H394" s="215"/>
      <c r="I394" s="126">
        <f>I393/12</f>
        <v>350.30666666666667</v>
      </c>
      <c r="J394" s="129"/>
      <c r="K394" s="127"/>
      <c r="M394" s="9">
        <v>2003</v>
      </c>
      <c r="N394" s="52">
        <v>0.5</v>
      </c>
    </row>
    <row r="395" spans="1:14" s="9" customFormat="1" ht="20.25" customHeight="1">
      <c r="A395" s="128"/>
      <c r="B395" s="21"/>
      <c r="C395" s="213" t="s">
        <v>356</v>
      </c>
      <c r="D395" s="214"/>
      <c r="E395" s="214"/>
      <c r="F395" s="214" t="s">
        <v>18</v>
      </c>
      <c r="G395" s="214"/>
      <c r="H395" s="215"/>
      <c r="I395" s="126">
        <f>I394*J395</f>
        <v>70.061333333333337</v>
      </c>
      <c r="J395" s="129">
        <v>0.2</v>
      </c>
      <c r="K395" s="127"/>
      <c r="M395" s="9">
        <v>2003</v>
      </c>
      <c r="N395" s="52">
        <v>0.5</v>
      </c>
    </row>
    <row r="396" spans="1:14" s="9" customFormat="1" ht="17.25" customHeight="1">
      <c r="A396" s="128"/>
      <c r="B396" s="21"/>
      <c r="C396" s="213" t="s">
        <v>45</v>
      </c>
      <c r="D396" s="214"/>
      <c r="E396" s="214"/>
      <c r="F396" s="214" t="s">
        <v>18</v>
      </c>
      <c r="G396" s="214"/>
      <c r="H396" s="215"/>
      <c r="I396" s="126">
        <f>I394+I395</f>
        <v>420.36799999999999</v>
      </c>
      <c r="J396" s="129">
        <v>0.05</v>
      </c>
      <c r="K396" s="127"/>
      <c r="M396" s="59">
        <v>2003</v>
      </c>
      <c r="N396" s="52">
        <v>0.5</v>
      </c>
    </row>
    <row r="397" spans="1:14" s="9" customFormat="1" ht="15.75" customHeight="1">
      <c r="A397" s="128"/>
      <c r="B397" s="21"/>
      <c r="C397" s="246" t="s">
        <v>46</v>
      </c>
      <c r="D397" s="247"/>
      <c r="E397" s="248"/>
      <c r="F397" s="249" t="s">
        <v>18</v>
      </c>
      <c r="G397" s="250"/>
      <c r="H397" s="130">
        <v>0.05</v>
      </c>
      <c r="I397" s="126">
        <f>I396*J396</f>
        <v>21.0184</v>
      </c>
      <c r="J397" s="127"/>
      <c r="K397" s="129"/>
    </row>
    <row r="398" spans="1:14" s="9" customFormat="1" ht="15.6" customHeight="1">
      <c r="A398" s="128"/>
      <c r="B398" s="21"/>
      <c r="C398" s="213" t="s">
        <v>47</v>
      </c>
      <c r="D398" s="214"/>
      <c r="E398" s="214"/>
      <c r="F398" s="214" t="s">
        <v>18</v>
      </c>
      <c r="G398" s="214"/>
      <c r="H398" s="215"/>
      <c r="I398" s="126">
        <f>I396+I397</f>
        <v>441.38639999999998</v>
      </c>
      <c r="J398" s="129">
        <v>0.05</v>
      </c>
      <c r="K398" s="129">
        <v>0.95</v>
      </c>
    </row>
    <row r="399" spans="1:14" s="49" customFormat="1">
      <c r="A399" s="128"/>
      <c r="B399" s="21"/>
      <c r="C399" s="246" t="s">
        <v>48</v>
      </c>
      <c r="D399" s="247"/>
      <c r="E399" s="248"/>
      <c r="F399" s="249" t="s">
        <v>18</v>
      </c>
      <c r="G399" s="250"/>
      <c r="H399" s="130">
        <v>0.05</v>
      </c>
      <c r="I399" s="126">
        <f>I398*J398/K398</f>
        <v>23.230863157894738</v>
      </c>
      <c r="J399" s="127"/>
      <c r="K399" s="131">
        <f>I400/I9</f>
        <v>7.8707200637950975E-2</v>
      </c>
      <c r="L399" s="9"/>
    </row>
    <row r="400" spans="1:14" s="49" customFormat="1" ht="15.75" customHeight="1">
      <c r="A400" s="128"/>
      <c r="B400" s="21"/>
      <c r="C400" s="213" t="s">
        <v>49</v>
      </c>
      <c r="D400" s="214"/>
      <c r="E400" s="214"/>
      <c r="F400" s="214" t="s">
        <v>18</v>
      </c>
      <c r="G400" s="214"/>
      <c r="H400" s="215"/>
      <c r="I400" s="126">
        <f>I398+I399</f>
        <v>464.61726315789474</v>
      </c>
      <c r="J400" s="131">
        <f>ROUND(K399,3)</f>
        <v>7.9000000000000001E-2</v>
      </c>
      <c r="K400" s="127"/>
      <c r="L400" s="9"/>
    </row>
    <row r="401" spans="1:13" s="49" customFormat="1" ht="16.2">
      <c r="A401" s="128"/>
      <c r="B401" s="21"/>
      <c r="C401" s="154" t="s">
        <v>94</v>
      </c>
      <c r="D401" s="155"/>
      <c r="E401" s="155"/>
      <c r="F401" s="155"/>
      <c r="G401" s="155"/>
      <c r="H401" s="156"/>
      <c r="I401" s="10">
        <f>J400</f>
        <v>7.9000000000000001E-2</v>
      </c>
      <c r="J401" s="127"/>
      <c r="K401" s="97">
        <f>I400/I9</f>
        <v>7.8707200637950975E-2</v>
      </c>
      <c r="L401" s="63"/>
      <c r="M401" s="49">
        <v>32</v>
      </c>
    </row>
    <row r="402" spans="1:13" s="49" customFormat="1" ht="16.2">
      <c r="A402" s="128"/>
      <c r="B402" s="21"/>
      <c r="C402" s="189" t="s">
        <v>50</v>
      </c>
      <c r="D402" s="190"/>
      <c r="E402" s="190"/>
      <c r="F402" s="190"/>
      <c r="G402" s="190"/>
      <c r="H402" s="191"/>
      <c r="I402" s="16"/>
      <c r="J402" s="97">
        <f>ROUND(K401,3)</f>
        <v>7.9000000000000001E-2</v>
      </c>
      <c r="K402" s="62"/>
      <c r="L402" s="63"/>
    </row>
    <row r="403" spans="1:13" s="49" customFormat="1" ht="16.2">
      <c r="A403" s="21"/>
      <c r="B403" s="21"/>
      <c r="C403" s="154" t="s">
        <v>94</v>
      </c>
      <c r="D403" s="155"/>
      <c r="E403" s="155"/>
      <c r="F403" s="155"/>
      <c r="G403" s="155"/>
      <c r="H403" s="156"/>
      <c r="I403" s="10">
        <f>J402+I390</f>
        <v>0.11499999999999999</v>
      </c>
      <c r="J403" s="62"/>
      <c r="K403" s="62"/>
      <c r="L403" s="63"/>
    </row>
    <row r="404" spans="1:13" s="49" customFormat="1" ht="16.2">
      <c r="A404" s="200" t="s">
        <v>374</v>
      </c>
      <c r="B404" s="201"/>
      <c r="C404" s="201"/>
      <c r="D404" s="201"/>
      <c r="E404" s="201"/>
      <c r="F404" s="201"/>
      <c r="G404" s="201"/>
      <c r="H404" s="201"/>
      <c r="I404" s="202"/>
      <c r="J404" s="62"/>
      <c r="K404" s="62"/>
      <c r="L404" s="63"/>
    </row>
    <row r="405" spans="1:13" s="49" customFormat="1">
      <c r="A405" s="21"/>
      <c r="B405" s="21"/>
      <c r="C405" s="151" t="s">
        <v>184</v>
      </c>
      <c r="D405" s="152"/>
      <c r="E405" s="152"/>
      <c r="F405" s="152"/>
      <c r="G405" s="152"/>
      <c r="H405" s="153"/>
      <c r="I405" s="78">
        <f>I9*I406</f>
        <v>2125.1196</v>
      </c>
      <c r="J405" s="112">
        <f>2-I455-I446-I437-I426-I403-I339-I325-I314-I303-I189-I179-I169-I134-I153</f>
        <v>0.36042105263157886</v>
      </c>
      <c r="K405" s="62"/>
      <c r="L405" s="63"/>
    </row>
    <row r="406" spans="1:13" s="49" customFormat="1" ht="16.2">
      <c r="A406" s="21"/>
      <c r="B406" s="21"/>
      <c r="C406" s="189" t="s">
        <v>50</v>
      </c>
      <c r="D406" s="190"/>
      <c r="E406" s="190"/>
      <c r="F406" s="190"/>
      <c r="G406" s="190"/>
      <c r="H406" s="191"/>
      <c r="I406" s="10">
        <v>0.36</v>
      </c>
      <c r="J406" s="62"/>
      <c r="K406" s="62">
        <v>100</v>
      </c>
      <c r="L406" s="113">
        <v>12</v>
      </c>
    </row>
    <row r="407" spans="1:13" s="9" customFormat="1" ht="43.5" customHeight="1">
      <c r="A407" s="200" t="s">
        <v>375</v>
      </c>
      <c r="B407" s="201"/>
      <c r="C407" s="201"/>
      <c r="D407" s="201"/>
      <c r="E407" s="201"/>
      <c r="F407" s="201"/>
      <c r="G407" s="201"/>
      <c r="H407" s="201"/>
      <c r="I407" s="202"/>
      <c r="J407" s="62">
        <v>0.22</v>
      </c>
      <c r="K407" s="62">
        <v>10</v>
      </c>
      <c r="L407" s="113">
        <v>4</v>
      </c>
    </row>
    <row r="408" spans="1:13" s="9" customFormat="1" ht="68.25" customHeight="1">
      <c r="A408" s="21"/>
      <c r="B408" s="58" t="s">
        <v>185</v>
      </c>
      <c r="C408" s="151" t="s">
        <v>314</v>
      </c>
      <c r="D408" s="152"/>
      <c r="E408" s="152"/>
      <c r="F408" s="152"/>
      <c r="G408" s="152"/>
      <c r="H408" s="153"/>
      <c r="I408" s="87">
        <f>I17*N394*J407/K406*L406/M394</f>
        <v>9.5161258112830757E-3</v>
      </c>
      <c r="J408" s="62">
        <v>0.32</v>
      </c>
      <c r="K408" s="115">
        <v>100</v>
      </c>
      <c r="L408" s="113">
        <v>12</v>
      </c>
    </row>
    <row r="409" spans="1:13" s="9" customFormat="1" ht="50.25" customHeight="1">
      <c r="A409" s="21"/>
      <c r="B409" s="58" t="s">
        <v>186</v>
      </c>
      <c r="C409" s="151" t="s">
        <v>315</v>
      </c>
      <c r="D409" s="152"/>
      <c r="E409" s="152"/>
      <c r="F409" s="152"/>
      <c r="G409" s="152"/>
      <c r="H409" s="153"/>
      <c r="I409" s="87">
        <f>I17*N395*J408/K407*L407/M395</f>
        <v>4.6138791812281574E-2</v>
      </c>
      <c r="J409" s="115">
        <v>0.24</v>
      </c>
      <c r="K409" s="62"/>
      <c r="L409" s="63"/>
    </row>
    <row r="410" spans="1:13" s="9" customFormat="1" ht="29.25" customHeight="1">
      <c r="A410" s="21"/>
      <c r="B410" s="58" t="s">
        <v>187</v>
      </c>
      <c r="C410" s="151" t="s">
        <v>316</v>
      </c>
      <c r="D410" s="152"/>
      <c r="E410" s="152"/>
      <c r="F410" s="152"/>
      <c r="G410" s="152"/>
      <c r="H410" s="153"/>
      <c r="I410" s="114">
        <f>I17*N396*J409/K408*L408/M396</f>
        <v>1.0381228157763355E-2</v>
      </c>
      <c r="J410" s="62"/>
      <c r="K410" s="81">
        <v>1.2</v>
      </c>
      <c r="L410" s="63">
        <v>1.2</v>
      </c>
    </row>
    <row r="411" spans="1:13" s="9" customFormat="1">
      <c r="A411" s="21"/>
      <c r="B411" s="21"/>
      <c r="C411" s="151" t="s">
        <v>114</v>
      </c>
      <c r="D411" s="152"/>
      <c r="E411" s="152"/>
      <c r="F411" s="152"/>
      <c r="G411" s="152"/>
      <c r="H411" s="153"/>
      <c r="I411" s="87">
        <f>SUM(I408:I410)</f>
        <v>6.6036145781328007E-2</v>
      </c>
      <c r="J411" s="81">
        <v>1450</v>
      </c>
      <c r="K411" s="81"/>
      <c r="L411" s="88"/>
    </row>
    <row r="412" spans="1:13" s="9" customFormat="1">
      <c r="A412" s="21"/>
      <c r="B412" s="21"/>
      <c r="C412" s="151" t="s">
        <v>75</v>
      </c>
      <c r="D412" s="152"/>
      <c r="E412" s="152"/>
      <c r="F412" s="152"/>
      <c r="G412" s="152"/>
      <c r="H412" s="153"/>
      <c r="I412" s="78">
        <f>J411*K410*L410*I411</f>
        <v>137.88347239141288</v>
      </c>
      <c r="J412" s="96">
        <v>0.22</v>
      </c>
      <c r="K412" s="81"/>
      <c r="L412" s="88"/>
      <c r="M412" s="54"/>
    </row>
    <row r="413" spans="1:13" s="9" customFormat="1">
      <c r="A413" s="47"/>
      <c r="B413" s="47"/>
      <c r="C413" s="123" t="s">
        <v>250</v>
      </c>
      <c r="D413" s="124"/>
      <c r="E413" s="124"/>
      <c r="F413" s="124" t="s">
        <v>18</v>
      </c>
      <c r="G413" s="124"/>
      <c r="H413" s="125"/>
      <c r="I413" s="72">
        <f>I412*J412</f>
        <v>30.334363926110832</v>
      </c>
      <c r="J413" s="96">
        <v>0.34</v>
      </c>
      <c r="K413" s="81"/>
      <c r="L413" s="88">
        <v>100</v>
      </c>
      <c r="M413" s="54"/>
    </row>
    <row r="414" spans="1:13" s="9" customFormat="1">
      <c r="A414" s="47"/>
      <c r="B414" s="47"/>
      <c r="C414" s="157" t="s">
        <v>357</v>
      </c>
      <c r="D414" s="158"/>
      <c r="E414" s="158"/>
      <c r="F414" s="158"/>
      <c r="G414" s="158"/>
      <c r="H414" s="159"/>
      <c r="I414" s="72">
        <f>I412*J413</f>
        <v>46.880380613080384</v>
      </c>
      <c r="J414" s="81">
        <v>1.7000000000000001E-2</v>
      </c>
      <c r="K414" s="81">
        <v>12</v>
      </c>
      <c r="L414" s="88"/>
      <c r="M414" s="54"/>
    </row>
    <row r="415" spans="1:13" s="9" customFormat="1">
      <c r="A415" s="47"/>
      <c r="B415" s="47" t="s">
        <v>187</v>
      </c>
      <c r="C415" s="157" t="s">
        <v>188</v>
      </c>
      <c r="D415" s="158"/>
      <c r="E415" s="158"/>
      <c r="F415" s="158" t="s">
        <v>41</v>
      </c>
      <c r="G415" s="158"/>
      <c r="H415" s="159"/>
      <c r="I415" s="72">
        <f>I17*N396*J414*M401/L413</f>
        <v>3.9276800000000005</v>
      </c>
      <c r="J415" s="81">
        <v>1500</v>
      </c>
      <c r="K415" s="81" t="s">
        <v>115</v>
      </c>
      <c r="L415" s="88"/>
      <c r="M415" s="54"/>
    </row>
    <row r="416" spans="1:13" s="9" customFormat="1">
      <c r="A416" s="47"/>
      <c r="B416" s="47"/>
      <c r="C416" s="157" t="s">
        <v>189</v>
      </c>
      <c r="D416" s="158"/>
      <c r="E416" s="158"/>
      <c r="F416" s="158" t="s">
        <v>41</v>
      </c>
      <c r="G416" s="158"/>
      <c r="H416" s="159"/>
      <c r="I416" s="116">
        <f>I415*J415/K414</f>
        <v>490.96000000000004</v>
      </c>
      <c r="J416" s="81">
        <v>0.15</v>
      </c>
      <c r="K416" s="81"/>
      <c r="L416" s="88"/>
      <c r="M416" s="54"/>
    </row>
    <row r="417" spans="1:13" s="49" customFormat="1">
      <c r="A417" s="47"/>
      <c r="B417" s="47"/>
      <c r="C417" s="157" t="s">
        <v>43</v>
      </c>
      <c r="D417" s="158"/>
      <c r="E417" s="158"/>
      <c r="F417" s="158" t="s">
        <v>18</v>
      </c>
      <c r="G417" s="158"/>
      <c r="H417" s="159"/>
      <c r="I417" s="72">
        <f>I416*J416</f>
        <v>73.644000000000005</v>
      </c>
      <c r="J417" s="81">
        <v>212.92</v>
      </c>
      <c r="K417" s="81"/>
      <c r="L417" s="88"/>
      <c r="M417" s="61"/>
    </row>
    <row r="418" spans="1:13" s="9" customFormat="1">
      <c r="A418" s="47"/>
      <c r="B418" s="47"/>
      <c r="C418" s="160" t="s">
        <v>331</v>
      </c>
      <c r="D418" s="161"/>
      <c r="E418" s="162">
        <v>212.92</v>
      </c>
      <c r="F418" s="163"/>
      <c r="G418" s="163"/>
      <c r="H418" s="164"/>
      <c r="I418" s="72">
        <f>I411*J417</f>
        <v>14.060416159760358</v>
      </c>
      <c r="J418" s="81"/>
      <c r="K418" s="81"/>
      <c r="L418" s="88"/>
      <c r="M418" s="54"/>
    </row>
    <row r="419" spans="1:13" s="9" customFormat="1">
      <c r="A419" s="47"/>
      <c r="B419" s="47"/>
      <c r="C419" s="157" t="s">
        <v>317</v>
      </c>
      <c r="D419" s="158"/>
      <c r="E419" s="158"/>
      <c r="F419" s="158" t="s">
        <v>18</v>
      </c>
      <c r="G419" s="158"/>
      <c r="H419" s="159"/>
      <c r="I419" s="101">
        <f>I412+I413+I414+I417+I418</f>
        <v>302.8026330903644</v>
      </c>
      <c r="J419" s="91">
        <v>0.2</v>
      </c>
      <c r="K419" s="62"/>
      <c r="L419" s="63"/>
      <c r="M419" s="54"/>
    </row>
    <row r="420" spans="1:13" s="9" customFormat="1">
      <c r="A420" s="47"/>
      <c r="B420" s="47"/>
      <c r="C420" s="157" t="s">
        <v>355</v>
      </c>
      <c r="D420" s="158"/>
      <c r="E420" s="158"/>
      <c r="F420" s="158" t="s">
        <v>18</v>
      </c>
      <c r="G420" s="158"/>
      <c r="H420" s="159"/>
      <c r="I420" s="72">
        <f>I419*J419</f>
        <v>60.560526618072885</v>
      </c>
      <c r="J420" s="62"/>
      <c r="K420" s="62"/>
      <c r="L420" s="63"/>
      <c r="M420" s="54"/>
    </row>
    <row r="421" spans="1:13" s="9" customFormat="1">
      <c r="A421" s="21"/>
      <c r="B421" s="21"/>
      <c r="C421" s="151" t="s">
        <v>45</v>
      </c>
      <c r="D421" s="152"/>
      <c r="E421" s="152"/>
      <c r="F421" s="152" t="s">
        <v>18</v>
      </c>
      <c r="G421" s="152"/>
      <c r="H421" s="153"/>
      <c r="I421" s="78">
        <f>SUM(I419:I420)</f>
        <v>363.36315970843725</v>
      </c>
      <c r="J421" s="80">
        <v>0.05</v>
      </c>
      <c r="K421" s="62"/>
      <c r="L421" s="63"/>
      <c r="M421" s="54"/>
    </row>
    <row r="422" spans="1:13" s="9" customFormat="1">
      <c r="A422" s="21"/>
      <c r="B422" s="21"/>
      <c r="C422" s="146" t="s">
        <v>46</v>
      </c>
      <c r="D422" s="147"/>
      <c r="E422" s="148"/>
      <c r="F422" s="149" t="s">
        <v>18</v>
      </c>
      <c r="G422" s="150"/>
      <c r="H422" s="92">
        <v>0.05</v>
      </c>
      <c r="I422" s="78">
        <f>I421*J421</f>
        <v>18.168157985421864</v>
      </c>
      <c r="J422" s="62"/>
      <c r="K422" s="80">
        <v>0.95</v>
      </c>
      <c r="L422" s="54"/>
      <c r="M422" s="54"/>
    </row>
    <row r="423" spans="1:13" s="9" customFormat="1">
      <c r="A423" s="21"/>
      <c r="B423" s="21"/>
      <c r="C423" s="151" t="s">
        <v>47</v>
      </c>
      <c r="D423" s="152"/>
      <c r="E423" s="152"/>
      <c r="F423" s="152" t="s">
        <v>18</v>
      </c>
      <c r="G423" s="152"/>
      <c r="H423" s="153"/>
      <c r="I423" s="78">
        <f>I421+I422</f>
        <v>381.53131769385914</v>
      </c>
      <c r="J423" s="80">
        <v>0.05</v>
      </c>
      <c r="K423" s="62"/>
      <c r="L423" s="54"/>
      <c r="M423" s="54"/>
    </row>
    <row r="424" spans="1:13" s="9" customFormat="1">
      <c r="A424" s="21"/>
      <c r="B424" s="21"/>
      <c r="C424" s="146" t="s">
        <v>48</v>
      </c>
      <c r="D424" s="147"/>
      <c r="E424" s="148"/>
      <c r="F424" s="149" t="s">
        <v>18</v>
      </c>
      <c r="G424" s="150"/>
      <c r="H424" s="92">
        <v>0.05</v>
      </c>
      <c r="I424" s="78">
        <f>I423*J423/K422</f>
        <v>20.08059566809785</v>
      </c>
      <c r="J424" s="62"/>
      <c r="K424" s="97">
        <f>I425/I9</f>
        <v>6.8033953858552015E-2</v>
      </c>
      <c r="L424" s="63"/>
    </row>
    <row r="425" spans="1:13" s="9" customFormat="1" ht="34.200000000000003" customHeight="1">
      <c r="A425" s="21"/>
      <c r="B425" s="21"/>
      <c r="C425" s="151" t="s">
        <v>49</v>
      </c>
      <c r="D425" s="152"/>
      <c r="E425" s="152"/>
      <c r="F425" s="152" t="s">
        <v>18</v>
      </c>
      <c r="G425" s="152"/>
      <c r="H425" s="153"/>
      <c r="I425" s="78">
        <f>I423+I424</f>
        <v>401.61191336195697</v>
      </c>
      <c r="J425" s="97">
        <f>ROUND(K424,3)</f>
        <v>6.8000000000000005E-2</v>
      </c>
      <c r="K425" s="62"/>
      <c r="L425" s="63"/>
    </row>
    <row r="426" spans="1:13" s="9" customFormat="1" ht="16.2">
      <c r="A426" s="21"/>
      <c r="B426" s="21"/>
      <c r="C426" s="154" t="s">
        <v>94</v>
      </c>
      <c r="D426" s="155"/>
      <c r="E426" s="155"/>
      <c r="F426" s="155"/>
      <c r="G426" s="155"/>
      <c r="H426" s="156"/>
      <c r="I426" s="10">
        <f>J425</f>
        <v>6.8000000000000005E-2</v>
      </c>
      <c r="J426" s="62"/>
      <c r="K426" s="62"/>
      <c r="L426" s="63"/>
    </row>
    <row r="427" spans="1:13" s="9" customFormat="1" ht="16.2">
      <c r="A427" s="171" t="s">
        <v>376</v>
      </c>
      <c r="B427" s="172"/>
      <c r="C427" s="172"/>
      <c r="D427" s="172"/>
      <c r="E427" s="172"/>
      <c r="F427" s="172"/>
      <c r="G427" s="172"/>
      <c r="H427" s="172"/>
      <c r="I427" s="186"/>
      <c r="J427" s="62"/>
      <c r="K427" s="62"/>
      <c r="L427" s="63"/>
    </row>
    <row r="428" spans="1:13" s="49" customFormat="1">
      <c r="A428" s="21"/>
      <c r="B428" s="21"/>
      <c r="C428" s="180" t="s">
        <v>234</v>
      </c>
      <c r="D428" s="181"/>
      <c r="E428" s="181"/>
      <c r="F428" s="181"/>
      <c r="G428" s="181"/>
      <c r="H428" s="182"/>
      <c r="I428" s="117">
        <v>1</v>
      </c>
      <c r="J428" s="62">
        <v>150</v>
      </c>
      <c r="K428" s="62"/>
      <c r="L428" s="63"/>
    </row>
    <row r="429" spans="1:13" s="9" customFormat="1">
      <c r="A429" s="21"/>
      <c r="B429" s="21"/>
      <c r="C429" s="151" t="s">
        <v>332</v>
      </c>
      <c r="D429" s="152"/>
      <c r="E429" s="152"/>
      <c r="F429" s="152" t="s">
        <v>18</v>
      </c>
      <c r="G429" s="152"/>
      <c r="H429" s="153"/>
      <c r="I429" s="78">
        <f>J428/60</f>
        <v>2.5</v>
      </c>
      <c r="J429" s="62"/>
      <c r="K429" s="81"/>
      <c r="L429" s="88"/>
    </row>
    <row r="430" spans="1:13" s="54" customFormat="1">
      <c r="A430" s="21"/>
      <c r="B430" s="21"/>
      <c r="C430" s="151" t="s">
        <v>235</v>
      </c>
      <c r="D430" s="152"/>
      <c r="E430" s="152"/>
      <c r="F430" s="152" t="s">
        <v>18</v>
      </c>
      <c r="G430" s="152"/>
      <c r="H430" s="153"/>
      <c r="I430" s="78">
        <f>I428*I429</f>
        <v>2.5</v>
      </c>
      <c r="J430" s="91">
        <v>0.2</v>
      </c>
      <c r="K430" s="62"/>
      <c r="L430" s="63"/>
    </row>
    <row r="431" spans="1:13" s="54" customFormat="1">
      <c r="A431" s="47"/>
      <c r="B431" s="47"/>
      <c r="C431" s="157" t="s">
        <v>354</v>
      </c>
      <c r="D431" s="158"/>
      <c r="E431" s="158"/>
      <c r="F431" s="158" t="s">
        <v>18</v>
      </c>
      <c r="G431" s="158"/>
      <c r="H431" s="159"/>
      <c r="I431" s="72">
        <f>I430*J430</f>
        <v>0.5</v>
      </c>
      <c r="J431" s="62"/>
      <c r="K431" s="62"/>
      <c r="L431" s="63"/>
    </row>
    <row r="432" spans="1:13" s="9" customFormat="1">
      <c r="A432" s="21"/>
      <c r="B432" s="21"/>
      <c r="C432" s="151" t="s">
        <v>45</v>
      </c>
      <c r="D432" s="152"/>
      <c r="E432" s="152"/>
      <c r="F432" s="152" t="s">
        <v>18</v>
      </c>
      <c r="G432" s="152"/>
      <c r="H432" s="153"/>
      <c r="I432" s="78">
        <f>I430+I431</f>
        <v>3</v>
      </c>
      <c r="J432" s="80">
        <v>0.05</v>
      </c>
      <c r="K432" s="62"/>
      <c r="L432" s="63"/>
    </row>
    <row r="433" spans="1:17" s="9" customFormat="1">
      <c r="A433" s="21"/>
      <c r="B433" s="21"/>
      <c r="C433" s="146" t="s">
        <v>46</v>
      </c>
      <c r="D433" s="147"/>
      <c r="E433" s="148"/>
      <c r="F433" s="149" t="s">
        <v>18</v>
      </c>
      <c r="G433" s="150"/>
      <c r="H433" s="92">
        <v>0.05</v>
      </c>
      <c r="I433" s="78">
        <f>I432*J432</f>
        <v>0.15000000000000002</v>
      </c>
      <c r="J433" s="62"/>
      <c r="K433" s="80">
        <v>0.95</v>
      </c>
      <c r="L433" s="63"/>
    </row>
    <row r="434" spans="1:17" s="9" customFormat="1" ht="20.399999999999999" customHeight="1">
      <c r="A434" s="21"/>
      <c r="B434" s="21"/>
      <c r="C434" s="151" t="s">
        <v>47</v>
      </c>
      <c r="D434" s="152"/>
      <c r="E434" s="152"/>
      <c r="F434" s="152" t="s">
        <v>18</v>
      </c>
      <c r="G434" s="152"/>
      <c r="H434" s="153"/>
      <c r="I434" s="78">
        <f>I432+I433</f>
        <v>3.15</v>
      </c>
      <c r="J434" s="80">
        <v>0.05</v>
      </c>
      <c r="K434" s="62"/>
      <c r="L434" s="63"/>
    </row>
    <row r="435" spans="1:17" s="9" customFormat="1" ht="15.6" customHeight="1">
      <c r="A435" s="53"/>
      <c r="B435" s="53"/>
      <c r="C435" s="147" t="s">
        <v>48</v>
      </c>
      <c r="D435" s="148"/>
      <c r="E435" s="92">
        <v>0.05</v>
      </c>
      <c r="F435" s="149" t="s">
        <v>18</v>
      </c>
      <c r="G435" s="150"/>
      <c r="H435" s="89"/>
      <c r="I435" s="78">
        <f>I434*J434/K433</f>
        <v>0.16578947368421054</v>
      </c>
      <c r="J435" s="62"/>
      <c r="K435" s="62"/>
      <c r="L435" s="63"/>
    </row>
    <row r="436" spans="1:17" s="9" customFormat="1" ht="15.6" customHeight="1">
      <c r="A436" s="53"/>
      <c r="B436" s="53"/>
      <c r="C436" s="151" t="s">
        <v>49</v>
      </c>
      <c r="D436" s="152"/>
      <c r="E436" s="152"/>
      <c r="F436" s="152" t="s">
        <v>18</v>
      </c>
      <c r="G436" s="152"/>
      <c r="H436" s="153"/>
      <c r="I436" s="78">
        <f>SUM(I434:I435)</f>
        <v>3.3157894736842106</v>
      </c>
      <c r="J436" s="62"/>
      <c r="K436" s="55"/>
      <c r="L436" s="63"/>
    </row>
    <row r="437" spans="1:17" s="49" customFormat="1" ht="15.6" customHeight="1">
      <c r="A437" s="21"/>
      <c r="B437" s="21"/>
      <c r="C437" s="154" t="s">
        <v>50</v>
      </c>
      <c r="D437" s="155"/>
      <c r="E437" s="155"/>
      <c r="F437" s="155" t="s">
        <v>51</v>
      </c>
      <c r="G437" s="155"/>
      <c r="H437" s="156"/>
      <c r="I437" s="10">
        <v>0</v>
      </c>
      <c r="J437" s="55"/>
      <c r="K437" s="62"/>
      <c r="L437" s="63"/>
    </row>
    <row r="438" spans="1:17" s="9" customFormat="1" ht="16.2">
      <c r="A438" s="171" t="s">
        <v>377</v>
      </c>
      <c r="B438" s="172"/>
      <c r="C438" s="172"/>
      <c r="D438" s="172"/>
      <c r="E438" s="172"/>
      <c r="F438" s="172"/>
      <c r="G438" s="172"/>
      <c r="H438" s="172"/>
      <c r="I438" s="186"/>
      <c r="J438" s="62"/>
      <c r="K438" s="62"/>
      <c r="L438" s="63"/>
    </row>
    <row r="439" spans="1:17" s="9" customFormat="1">
      <c r="A439" s="21"/>
      <c r="B439" s="21"/>
      <c r="C439" s="180" t="s">
        <v>231</v>
      </c>
      <c r="D439" s="181"/>
      <c r="E439" s="181"/>
      <c r="F439" s="181"/>
      <c r="G439" s="181"/>
      <c r="H439" s="182"/>
      <c r="I439" s="79">
        <f>I68</f>
        <v>100</v>
      </c>
      <c r="J439" s="62"/>
      <c r="K439" s="62"/>
      <c r="L439" s="63"/>
    </row>
    <row r="440" spans="1:17" s="9" customFormat="1">
      <c r="A440" s="21"/>
      <c r="B440" s="21"/>
      <c r="C440" s="151" t="s">
        <v>233</v>
      </c>
      <c r="D440" s="152"/>
      <c r="E440" s="152"/>
      <c r="F440" s="152" t="s">
        <v>18</v>
      </c>
      <c r="G440" s="152"/>
      <c r="H440" s="153"/>
      <c r="I440" s="87">
        <v>1.1399999999999999</v>
      </c>
      <c r="J440" s="62"/>
      <c r="K440" s="81"/>
      <c r="L440" s="88"/>
    </row>
    <row r="441" spans="1:17" s="9" customFormat="1" ht="16.2" customHeight="1">
      <c r="A441" s="21"/>
      <c r="B441" s="21"/>
      <c r="C441" s="151" t="s">
        <v>68</v>
      </c>
      <c r="D441" s="152"/>
      <c r="E441" s="152"/>
      <c r="F441" s="152" t="s">
        <v>18</v>
      </c>
      <c r="G441" s="152"/>
      <c r="H441" s="153"/>
      <c r="I441" s="78">
        <f>I439*I440</f>
        <v>113.99999999999999</v>
      </c>
      <c r="J441" s="91">
        <v>0.2</v>
      </c>
      <c r="K441" s="62"/>
      <c r="L441" s="63"/>
    </row>
    <row r="442" spans="1:17" s="8" customFormat="1">
      <c r="A442" s="47"/>
      <c r="B442" s="47"/>
      <c r="C442" s="157" t="s">
        <v>354</v>
      </c>
      <c r="D442" s="158"/>
      <c r="E442" s="158"/>
      <c r="F442" s="158" t="s">
        <v>18</v>
      </c>
      <c r="G442" s="158"/>
      <c r="H442" s="159"/>
      <c r="I442" s="72">
        <f>I441*J441</f>
        <v>22.799999999999997</v>
      </c>
      <c r="J442" s="62"/>
      <c r="K442" s="80">
        <v>0.95</v>
      </c>
      <c r="L442" s="54"/>
      <c r="M442" s="63"/>
      <c r="N442" s="63"/>
    </row>
    <row r="443" spans="1:17" s="8" customFormat="1">
      <c r="A443" s="21"/>
      <c r="B443" s="21"/>
      <c r="C443" s="151" t="s">
        <v>45</v>
      </c>
      <c r="D443" s="152"/>
      <c r="E443" s="152"/>
      <c r="F443" s="152" t="s">
        <v>18</v>
      </c>
      <c r="G443" s="152"/>
      <c r="H443" s="153"/>
      <c r="I443" s="78">
        <f>I441+I442</f>
        <v>136.79999999999998</v>
      </c>
      <c r="J443" s="80">
        <v>0.05</v>
      </c>
      <c r="K443" s="62"/>
      <c r="L443" s="54"/>
    </row>
    <row r="444" spans="1:17" s="8" customFormat="1">
      <c r="A444" s="53"/>
      <c r="B444" s="53"/>
      <c r="C444" s="147" t="s">
        <v>48</v>
      </c>
      <c r="D444" s="148"/>
      <c r="E444" s="92">
        <v>0.05</v>
      </c>
      <c r="F444" s="149" t="s">
        <v>18</v>
      </c>
      <c r="G444" s="150"/>
      <c r="H444" s="89"/>
      <c r="I444" s="78">
        <f>I443*J443/K442</f>
        <v>7.2</v>
      </c>
      <c r="J444" s="62"/>
      <c r="K444" s="97">
        <f>I445/I10</f>
        <v>2.6007285652105593E-2</v>
      </c>
      <c r="L444" s="63"/>
    </row>
    <row r="445" spans="1:17" s="8" customFormat="1">
      <c r="A445" s="53"/>
      <c r="B445" s="53"/>
      <c r="C445" s="151" t="s">
        <v>49</v>
      </c>
      <c r="D445" s="152"/>
      <c r="E445" s="152"/>
      <c r="F445" s="152" t="s">
        <v>18</v>
      </c>
      <c r="G445" s="152"/>
      <c r="H445" s="153"/>
      <c r="I445" s="78">
        <f>SUM(I443:I444)</f>
        <v>143.99999999999997</v>
      </c>
      <c r="J445" s="97">
        <f>ROUND(K444,3)</f>
        <v>2.5999999999999999E-2</v>
      </c>
      <c r="K445" s="55"/>
      <c r="L445" s="63"/>
    </row>
    <row r="446" spans="1:17" s="8" customFormat="1" ht="16.2">
      <c r="A446" s="21"/>
      <c r="B446" s="21"/>
      <c r="C446" s="154" t="s">
        <v>50</v>
      </c>
      <c r="D446" s="155"/>
      <c r="E446" s="155"/>
      <c r="F446" s="155" t="s">
        <v>51</v>
      </c>
      <c r="G446" s="155"/>
      <c r="H446" s="156"/>
      <c r="I446" s="10">
        <f>J445</f>
        <v>2.5999999999999999E-2</v>
      </c>
      <c r="J446" s="55"/>
      <c r="K446" s="63"/>
      <c r="L446" s="63"/>
    </row>
    <row r="447" spans="1:17" s="8" customFormat="1" ht="16.2">
      <c r="A447" s="171" t="s">
        <v>378</v>
      </c>
      <c r="B447" s="172"/>
      <c r="C447" s="172"/>
      <c r="D447" s="172"/>
      <c r="E447" s="172"/>
      <c r="F447" s="172"/>
      <c r="G447" s="172"/>
      <c r="H447" s="172"/>
      <c r="I447" s="186"/>
      <c r="J447" s="63"/>
      <c r="K447" s="63"/>
      <c r="L447" s="63"/>
      <c r="M447"/>
      <c r="N447"/>
      <c r="O447"/>
      <c r="P447"/>
      <c r="Q447"/>
    </row>
    <row r="448" spans="1:17">
      <c r="A448" s="21"/>
      <c r="B448" s="21"/>
      <c r="C448" s="180" t="s">
        <v>191</v>
      </c>
      <c r="D448" s="181"/>
      <c r="E448" s="181"/>
      <c r="F448" s="181"/>
      <c r="G448" s="181"/>
      <c r="H448" s="182"/>
      <c r="I448" s="78">
        <f>I69</f>
        <v>600</v>
      </c>
      <c r="J448" s="63"/>
      <c r="K448" s="63"/>
      <c r="L448" s="63"/>
    </row>
    <row r="449" spans="1:12">
      <c r="A449" s="21"/>
      <c r="B449" s="21"/>
      <c r="C449" s="180" t="s">
        <v>190</v>
      </c>
      <c r="D449" s="181"/>
      <c r="E449" s="181"/>
      <c r="F449" s="181"/>
      <c r="G449" s="181"/>
      <c r="H449" s="182"/>
      <c r="I449" s="87">
        <v>1.1399999999999999</v>
      </c>
      <c r="J449" s="63"/>
      <c r="K449" s="88"/>
      <c r="L449" s="88"/>
    </row>
    <row r="450" spans="1:12">
      <c r="A450" s="21"/>
      <c r="B450" s="21"/>
      <c r="C450" s="180" t="s">
        <v>193</v>
      </c>
      <c r="D450" s="181"/>
      <c r="E450" s="181"/>
      <c r="F450" s="181"/>
      <c r="G450" s="181"/>
      <c r="H450" s="182"/>
      <c r="I450" s="78">
        <f>I448*I449</f>
        <v>683.99999999999989</v>
      </c>
      <c r="J450" s="91">
        <v>0.2</v>
      </c>
      <c r="K450" s="63"/>
      <c r="L450" s="63"/>
    </row>
    <row r="451" spans="1:12">
      <c r="A451" s="47"/>
      <c r="B451" s="47"/>
      <c r="C451" s="157" t="s">
        <v>354</v>
      </c>
      <c r="D451" s="158"/>
      <c r="E451" s="158"/>
      <c r="F451" s="158" t="s">
        <v>18</v>
      </c>
      <c r="G451" s="158"/>
      <c r="H451" s="159"/>
      <c r="I451" s="72">
        <f>I450*J450</f>
        <v>136.79999999999998</v>
      </c>
      <c r="J451" s="62"/>
      <c r="K451" s="80">
        <v>0.95</v>
      </c>
      <c r="L451" s="63"/>
    </row>
    <row r="452" spans="1:12">
      <c r="A452" s="21"/>
      <c r="B452" s="21"/>
      <c r="C452" s="180" t="s">
        <v>45</v>
      </c>
      <c r="D452" s="181"/>
      <c r="E452" s="181"/>
      <c r="F452" s="181" t="s">
        <v>18</v>
      </c>
      <c r="G452" s="181"/>
      <c r="H452" s="182"/>
      <c r="I452" s="78">
        <f>I450+I451</f>
        <v>820.79999999999984</v>
      </c>
      <c r="J452" s="80">
        <v>0.05</v>
      </c>
      <c r="K452" s="203"/>
      <c r="L452" s="203"/>
    </row>
    <row r="453" spans="1:12">
      <c r="A453" s="21"/>
      <c r="B453" s="21"/>
      <c r="C453" s="147" t="s">
        <v>48</v>
      </c>
      <c r="D453" s="148"/>
      <c r="E453" s="92">
        <v>0.05</v>
      </c>
      <c r="F453" s="118"/>
      <c r="G453" s="119"/>
      <c r="H453" s="120"/>
      <c r="I453" s="78">
        <f>I450*J452/K451</f>
        <v>36</v>
      </c>
      <c r="J453" s="63"/>
      <c r="K453" s="97">
        <f>I454/I10</f>
        <v>0.13003642826052797</v>
      </c>
      <c r="L453" s="63"/>
    </row>
    <row r="454" spans="1:12">
      <c r="A454" s="21"/>
      <c r="B454" s="21"/>
      <c r="C454" s="180" t="s">
        <v>49</v>
      </c>
      <c r="D454" s="181"/>
      <c r="E454" s="181"/>
      <c r="F454" s="181"/>
      <c r="G454" s="181"/>
      <c r="H454" s="182"/>
      <c r="I454" s="78">
        <f>I450+I453</f>
        <v>719.99999999999989</v>
      </c>
      <c r="J454" s="97">
        <f>ROUND(K453,3)</f>
        <v>0.13</v>
      </c>
      <c r="K454" s="62"/>
      <c r="L454" s="63"/>
    </row>
    <row r="455" spans="1:12" ht="16.2">
      <c r="A455" s="21"/>
      <c r="B455" s="21"/>
      <c r="C455" s="154" t="s">
        <v>50</v>
      </c>
      <c r="D455" s="155"/>
      <c r="E455" s="155"/>
      <c r="F455" s="155"/>
      <c r="G455" s="155" t="s">
        <v>51</v>
      </c>
      <c r="H455" s="156"/>
      <c r="I455" s="10">
        <f>J454</f>
        <v>0.13</v>
      </c>
      <c r="J455" s="62"/>
      <c r="K455" s="7"/>
      <c r="L455" s="8"/>
    </row>
    <row r="456" spans="1:12" ht="17.399999999999999">
      <c r="A456" s="21"/>
      <c r="B456" s="21"/>
      <c r="C456" s="211" t="s">
        <v>69</v>
      </c>
      <c r="D456" s="211"/>
      <c r="E456" s="211"/>
      <c r="F456" s="212"/>
      <c r="G456" s="119" t="s">
        <v>51</v>
      </c>
      <c r="H456" s="120"/>
      <c r="I456" s="64">
        <f>I134+I169+I179+I189+I303+I314+I325+I339+I403+I406+I426+I446+I455+I437+I153</f>
        <v>1.9995789473684211</v>
      </c>
      <c r="J456" s="7"/>
      <c r="K456" s="7"/>
      <c r="L456" s="8"/>
    </row>
    <row r="457" spans="1:12">
      <c r="A457" s="24"/>
      <c r="B457" s="24"/>
      <c r="C457" s="4"/>
      <c r="D457" s="4"/>
      <c r="E457" s="4"/>
      <c r="F457" s="29"/>
      <c r="G457" s="121"/>
      <c r="H457" s="122"/>
      <c r="I457" s="5"/>
      <c r="J457" s="7"/>
      <c r="K457" s="7"/>
      <c r="L457" s="8"/>
    </row>
    <row r="458" spans="1:12">
      <c r="A458" s="24"/>
      <c r="B458" s="24"/>
      <c r="C458" s="4"/>
      <c r="D458" s="4"/>
      <c r="E458" s="4"/>
      <c r="F458" s="29"/>
      <c r="G458" s="121"/>
      <c r="H458" s="122"/>
      <c r="I458" s="5"/>
      <c r="J458" s="7"/>
      <c r="K458" s="7"/>
      <c r="L458" s="8"/>
    </row>
    <row r="459" spans="1:12">
      <c r="A459" s="24"/>
      <c r="B459" s="24"/>
      <c r="C459" s="4"/>
      <c r="D459" s="4"/>
      <c r="E459" s="4"/>
      <c r="F459" s="29"/>
      <c r="G459" s="121"/>
      <c r="H459" s="122"/>
      <c r="I459" s="5"/>
      <c r="J459" s="7"/>
      <c r="K459" s="7"/>
      <c r="L459" s="8"/>
    </row>
    <row r="460" spans="1:12">
      <c r="A460" s="24"/>
      <c r="B460" s="24"/>
      <c r="C460" s="4"/>
      <c r="D460" s="4"/>
      <c r="E460" s="4"/>
      <c r="F460" s="29"/>
      <c r="G460" s="121"/>
      <c r="H460" s="122"/>
      <c r="I460" s="5"/>
      <c r="J460" s="7"/>
      <c r="K460" s="7"/>
    </row>
    <row r="461" spans="1:12">
      <c r="A461" s="24"/>
      <c r="B461" s="24"/>
      <c r="C461" s="4" t="s">
        <v>336</v>
      </c>
      <c r="D461" s="4"/>
      <c r="E461" s="4"/>
      <c r="F461" s="29"/>
      <c r="G461" s="8"/>
      <c r="H461" s="35"/>
      <c r="I461" s="33" t="s">
        <v>249</v>
      </c>
      <c r="J461" s="7"/>
      <c r="K461" s="7"/>
    </row>
    <row r="462" spans="1:12">
      <c r="A462" s="25"/>
      <c r="B462" s="24"/>
      <c r="C462" s="4"/>
      <c r="D462" s="4"/>
      <c r="E462" s="4"/>
      <c r="F462" s="29"/>
      <c r="G462" s="32"/>
      <c r="H462" s="28"/>
      <c r="I462" s="11"/>
      <c r="J462" s="7"/>
    </row>
    <row r="463" spans="1:12">
      <c r="A463" s="25"/>
      <c r="B463" s="24"/>
      <c r="C463" s="4"/>
      <c r="D463" s="4"/>
      <c r="E463" s="4"/>
      <c r="F463" s="29"/>
      <c r="I463" s="33"/>
    </row>
  </sheetData>
  <mergeCells count="508">
    <mergeCell ref="C79:H79"/>
    <mergeCell ref="C55:F55"/>
    <mergeCell ref="C58:F58"/>
    <mergeCell ref="C59:F59"/>
    <mergeCell ref="C60:F60"/>
    <mergeCell ref="A71:I71"/>
    <mergeCell ref="C61:F61"/>
    <mergeCell ref="C68:F68"/>
    <mergeCell ref="C65:F65"/>
    <mergeCell ref="C57:F57"/>
    <mergeCell ref="C64:F64"/>
    <mergeCell ref="C67:F67"/>
    <mergeCell ref="F424:G424"/>
    <mergeCell ref="F422:G422"/>
    <mergeCell ref="C422:E422"/>
    <mergeCell ref="C423:H423"/>
    <mergeCell ref="C424:E424"/>
    <mergeCell ref="C390:H390"/>
    <mergeCell ref="C400:H400"/>
    <mergeCell ref="C402:H402"/>
    <mergeCell ref="F87:G87"/>
    <mergeCell ref="C88:H88"/>
    <mergeCell ref="C171:H171"/>
    <mergeCell ref="C172:H172"/>
    <mergeCell ref="C177:E177"/>
    <mergeCell ref="C176:H176"/>
    <mergeCell ref="B391:H391"/>
    <mergeCell ref="C392:H392"/>
    <mergeCell ref="C395:H395"/>
    <mergeCell ref="C397:E397"/>
    <mergeCell ref="F397:G397"/>
    <mergeCell ref="C393:H393"/>
    <mergeCell ref="C394:H394"/>
    <mergeCell ref="C396:H396"/>
    <mergeCell ref="C93:H93"/>
    <mergeCell ref="C409:H409"/>
    <mergeCell ref="C379:H379"/>
    <mergeCell ref="E418:H418"/>
    <mergeCell ref="C418:D418"/>
    <mergeCell ref="C412:H412"/>
    <mergeCell ref="C401:H401"/>
    <mergeCell ref="C388:E388"/>
    <mergeCell ref="C421:H421"/>
    <mergeCell ref="C419:H419"/>
    <mergeCell ref="C417:H417"/>
    <mergeCell ref="C385:H385"/>
    <mergeCell ref="C382:H382"/>
    <mergeCell ref="C383:H383"/>
    <mergeCell ref="C389:H389"/>
    <mergeCell ref="C406:H406"/>
    <mergeCell ref="C414:H414"/>
    <mergeCell ref="F388:G388"/>
    <mergeCell ref="F386:G386"/>
    <mergeCell ref="C415:H415"/>
    <mergeCell ref="C410:H410"/>
    <mergeCell ref="C411:H411"/>
    <mergeCell ref="C399:E399"/>
    <mergeCell ref="F399:G399"/>
    <mergeCell ref="C403:H403"/>
    <mergeCell ref="C300:E300"/>
    <mergeCell ref="C288:H288"/>
    <mergeCell ref="F289:G289"/>
    <mergeCell ref="F291:G291"/>
    <mergeCell ref="C292:H292"/>
    <mergeCell ref="C290:H290"/>
    <mergeCell ref="C291:E291"/>
    <mergeCell ref="C378:H378"/>
    <mergeCell ref="C371:H371"/>
    <mergeCell ref="C375:H375"/>
    <mergeCell ref="C376:H376"/>
    <mergeCell ref="C253:D253"/>
    <mergeCell ref="C268:H268"/>
    <mergeCell ref="C252:H252"/>
    <mergeCell ref="C266:H266"/>
    <mergeCell ref="C286:H286"/>
    <mergeCell ref="C276:H276"/>
    <mergeCell ref="C277:H277"/>
    <mergeCell ref="C278:H278"/>
    <mergeCell ref="C279:H279"/>
    <mergeCell ref="C282:H282"/>
    <mergeCell ref="C216:H216"/>
    <mergeCell ref="C221:H221"/>
    <mergeCell ref="C208:H208"/>
    <mergeCell ref="C247:H247"/>
    <mergeCell ref="C244:H244"/>
    <mergeCell ref="C215:I215"/>
    <mergeCell ref="C230:D230"/>
    <mergeCell ref="E230:H230"/>
    <mergeCell ref="C251:H251"/>
    <mergeCell ref="C249:H249"/>
    <mergeCell ref="C232:H232"/>
    <mergeCell ref="C233:H233"/>
    <mergeCell ref="C235:H235"/>
    <mergeCell ref="C225:H225"/>
    <mergeCell ref="C226:H226"/>
    <mergeCell ref="C229:H229"/>
    <mergeCell ref="F234:G234"/>
    <mergeCell ref="C241:H241"/>
    <mergeCell ref="C245:H245"/>
    <mergeCell ref="C246:H246"/>
    <mergeCell ref="C191:I191"/>
    <mergeCell ref="C205:H205"/>
    <mergeCell ref="C212:E212"/>
    <mergeCell ref="C213:H213"/>
    <mergeCell ref="F212:G212"/>
    <mergeCell ref="C234:E234"/>
    <mergeCell ref="C227:H227"/>
    <mergeCell ref="C228:H228"/>
    <mergeCell ref="C231:H231"/>
    <mergeCell ref="F210:G210"/>
    <mergeCell ref="C199:H199"/>
    <mergeCell ref="C206:D206"/>
    <mergeCell ref="E206:H206"/>
    <mergeCell ref="C201:H201"/>
    <mergeCell ref="C204:H204"/>
    <mergeCell ref="C224:H224"/>
    <mergeCell ref="C207:H207"/>
    <mergeCell ref="C364:H364"/>
    <mergeCell ref="C365:H365"/>
    <mergeCell ref="C360:H360"/>
    <mergeCell ref="C336:H336"/>
    <mergeCell ref="F257:G257"/>
    <mergeCell ref="C256:H256"/>
    <mergeCell ref="C287:H287"/>
    <mergeCell ref="C263:H263"/>
    <mergeCell ref="C280:H280"/>
    <mergeCell ref="C281:H281"/>
    <mergeCell ref="C285:D285"/>
    <mergeCell ref="C302:H302"/>
    <mergeCell ref="C308:H308"/>
    <mergeCell ref="C309:H309"/>
    <mergeCell ref="C313:H313"/>
    <mergeCell ref="C293:H293"/>
    <mergeCell ref="C306:H306"/>
    <mergeCell ref="C307:H307"/>
    <mergeCell ref="C297:H297"/>
    <mergeCell ref="F312:G312"/>
    <mergeCell ref="C296:H296"/>
    <mergeCell ref="C299:H299"/>
    <mergeCell ref="C301:H301"/>
    <mergeCell ref="C298:E298"/>
    <mergeCell ref="C42:F42"/>
    <mergeCell ref="C22:F22"/>
    <mergeCell ref="C21:F21"/>
    <mergeCell ref="C20:F20"/>
    <mergeCell ref="C39:F39"/>
    <mergeCell ref="C38:F38"/>
    <mergeCell ref="C29:F29"/>
    <mergeCell ref="C28:F28"/>
    <mergeCell ref="C40:F40"/>
    <mergeCell ref="C41:F41"/>
    <mergeCell ref="C1:I1"/>
    <mergeCell ref="C4:I4"/>
    <mergeCell ref="C8:F8"/>
    <mergeCell ref="C7:F7"/>
    <mergeCell ref="C6:F6"/>
    <mergeCell ref="C30:F30"/>
    <mergeCell ref="C11:F11"/>
    <mergeCell ref="C19:F19"/>
    <mergeCell ref="C18:F18"/>
    <mergeCell ref="C27:F27"/>
    <mergeCell ref="C25:F25"/>
    <mergeCell ref="C26:F26"/>
    <mergeCell ref="C2:I2"/>
    <mergeCell ref="C3:I3"/>
    <mergeCell ref="C9:F9"/>
    <mergeCell ref="C10:F10"/>
    <mergeCell ref="C33:F33"/>
    <mergeCell ref="C32:F32"/>
    <mergeCell ref="C31:F31"/>
    <mergeCell ref="C12:F12"/>
    <mergeCell ref="C24:F24"/>
    <mergeCell ref="C17:F17"/>
    <mergeCell ref="C16:F16"/>
    <mergeCell ref="C23:F23"/>
    <mergeCell ref="C35:F35"/>
    <mergeCell ref="C85:H85"/>
    <mergeCell ref="C211:H211"/>
    <mergeCell ref="C103:H103"/>
    <mergeCell ref="C86:H86"/>
    <mergeCell ref="C91:H91"/>
    <mergeCell ref="F167:G167"/>
    <mergeCell ref="C203:H203"/>
    <mergeCell ref="C66:F66"/>
    <mergeCell ref="C70:I70"/>
    <mergeCell ref="C62:F62"/>
    <mergeCell ref="C63:F63"/>
    <mergeCell ref="C56:F56"/>
    <mergeCell ref="C37:F37"/>
    <mergeCell ref="C34:F34"/>
    <mergeCell ref="C36:F36"/>
    <mergeCell ref="C44:F44"/>
    <mergeCell ref="C48:E48"/>
    <mergeCell ref="C47:E47"/>
    <mergeCell ref="C46:E46"/>
    <mergeCell ref="C43:F43"/>
    <mergeCell ref="C45:F45"/>
    <mergeCell ref="C426:H426"/>
    <mergeCell ref="F435:G435"/>
    <mergeCell ref="C209:H209"/>
    <mergeCell ref="C210:E210"/>
    <mergeCell ref="C456:F456"/>
    <mergeCell ref="C453:D453"/>
    <mergeCell ref="C386:E386"/>
    <mergeCell ref="C387:H387"/>
    <mergeCell ref="C381:H381"/>
    <mergeCell ref="C398:H398"/>
    <mergeCell ref="C425:H425"/>
    <mergeCell ref="C374:H374"/>
    <mergeCell ref="C236:E236"/>
    <mergeCell ref="C237:H237"/>
    <mergeCell ref="C238:H238"/>
    <mergeCell ref="C243:H243"/>
    <mergeCell ref="C262:I262"/>
    <mergeCell ref="C255:H255"/>
    <mergeCell ref="F259:G259"/>
    <mergeCell ref="C261:H261"/>
    <mergeCell ref="C258:H258"/>
    <mergeCell ref="C242:H242"/>
    <mergeCell ref="C254:H254"/>
    <mergeCell ref="C248:H248"/>
    <mergeCell ref="C194:H194"/>
    <mergeCell ref="F187:G187"/>
    <mergeCell ref="C182:H182"/>
    <mergeCell ref="C271:H271"/>
    <mergeCell ref="C218:H218"/>
    <mergeCell ref="C260:H260"/>
    <mergeCell ref="C257:E257"/>
    <mergeCell ref="C259:E259"/>
    <mergeCell ref="F335:G335"/>
    <mergeCell ref="C264:H264"/>
    <mergeCell ref="C335:E335"/>
    <mergeCell ref="E285:H285"/>
    <mergeCell ref="C289:E289"/>
    <mergeCell ref="C284:H284"/>
    <mergeCell ref="F310:G310"/>
    <mergeCell ref="C305:H305"/>
    <mergeCell ref="C265:H265"/>
    <mergeCell ref="C295:H295"/>
    <mergeCell ref="F321:G321"/>
    <mergeCell ref="C272:H272"/>
    <mergeCell ref="C273:H273"/>
    <mergeCell ref="C269:H269"/>
    <mergeCell ref="C274:H274"/>
    <mergeCell ref="C270:H270"/>
    <mergeCell ref="C111:G111"/>
    <mergeCell ref="F102:G102"/>
    <mergeCell ref="C99:H99"/>
    <mergeCell ref="F100:G100"/>
    <mergeCell ref="F101:G101"/>
    <mergeCell ref="F108:G108"/>
    <mergeCell ref="F125:G125"/>
    <mergeCell ref="C188:H188"/>
    <mergeCell ref="C156:H156"/>
    <mergeCell ref="F177:G177"/>
    <mergeCell ref="C167:E167"/>
    <mergeCell ref="C183:H183"/>
    <mergeCell ref="C155:I155"/>
    <mergeCell ref="C178:H178"/>
    <mergeCell ref="C181:H181"/>
    <mergeCell ref="A180:I180"/>
    <mergeCell ref="C158:H158"/>
    <mergeCell ref="B155:B156"/>
    <mergeCell ref="C185:E185"/>
    <mergeCell ref="C186:H186"/>
    <mergeCell ref="C187:E187"/>
    <mergeCell ref="C179:H179"/>
    <mergeCell ref="A154:I154"/>
    <mergeCell ref="C160:D160"/>
    <mergeCell ref="K452:L452"/>
    <mergeCell ref="A404:I404"/>
    <mergeCell ref="C318:H318"/>
    <mergeCell ref="C319:H319"/>
    <mergeCell ref="C320:H320"/>
    <mergeCell ref="C327:H327"/>
    <mergeCell ref="C329:H329"/>
    <mergeCell ref="C346:H346"/>
    <mergeCell ref="C345:H345"/>
    <mergeCell ref="F337:G337"/>
    <mergeCell ref="C330:H330"/>
    <mergeCell ref="C331:H331"/>
    <mergeCell ref="C328:H328"/>
    <mergeCell ref="C334:H334"/>
    <mergeCell ref="C333:H333"/>
    <mergeCell ref="C356:H356"/>
    <mergeCell ref="C337:E337"/>
    <mergeCell ref="C338:H338"/>
    <mergeCell ref="F323:G323"/>
    <mergeCell ref="C350:H350"/>
    <mergeCell ref="C341:H341"/>
    <mergeCell ref="C325:H325"/>
    <mergeCell ref="C323:E323"/>
    <mergeCell ref="C324:H324"/>
    <mergeCell ref="C49:F49"/>
    <mergeCell ref="C52:F52"/>
    <mergeCell ref="C102:E102"/>
    <mergeCell ref="F89:G89"/>
    <mergeCell ref="C101:E101"/>
    <mergeCell ref="C89:E89"/>
    <mergeCell ref="C75:H75"/>
    <mergeCell ref="C76:H76"/>
    <mergeCell ref="C69:F69"/>
    <mergeCell ref="C51:E51"/>
    <mergeCell ref="C83:D83"/>
    <mergeCell ref="C74:H74"/>
    <mergeCell ref="C82:H82"/>
    <mergeCell ref="E83:H83"/>
    <mergeCell ref="C54:F54"/>
    <mergeCell ref="C73:I73"/>
    <mergeCell ref="C84:H84"/>
    <mergeCell ref="C92:G92"/>
    <mergeCell ref="C80:H80"/>
    <mergeCell ref="C81:H81"/>
    <mergeCell ref="C90:H90"/>
    <mergeCell ref="C72:G72"/>
    <mergeCell ref="C77:H77"/>
    <mergeCell ref="C78:H78"/>
    <mergeCell ref="C109:H109"/>
    <mergeCell ref="C110:H110"/>
    <mergeCell ref="F106:G106"/>
    <mergeCell ref="C112:H112"/>
    <mergeCell ref="C113:H113"/>
    <mergeCell ref="C114:H114"/>
    <mergeCell ref="C50:E50"/>
    <mergeCell ref="C53:F53"/>
    <mergeCell ref="A438:I438"/>
    <mergeCell ref="C94:H94"/>
    <mergeCell ref="C95:H95"/>
    <mergeCell ref="C96:H96"/>
    <mergeCell ref="C97:H97"/>
    <mergeCell ref="C98:H98"/>
    <mergeCell ref="C104:H104"/>
    <mergeCell ref="C100:E100"/>
    <mergeCell ref="C87:E87"/>
    <mergeCell ref="C348:H348"/>
    <mergeCell ref="A407:I407"/>
    <mergeCell ref="C405:H405"/>
    <mergeCell ref="C354:H354"/>
    <mergeCell ref="C357:H357"/>
    <mergeCell ref="C358:H358"/>
    <mergeCell ref="C349:H349"/>
    <mergeCell ref="C159:H159"/>
    <mergeCell ref="C124:H124"/>
    <mergeCell ref="C125:E125"/>
    <mergeCell ref="C126:H126"/>
    <mergeCell ref="F134:G134"/>
    <mergeCell ref="C137:H137"/>
    <mergeCell ref="C138:H138"/>
    <mergeCell ref="C132:H132"/>
    <mergeCell ref="F129:G129"/>
    <mergeCell ref="C147:H147"/>
    <mergeCell ref="C133:H133"/>
    <mergeCell ref="C157:H157"/>
    <mergeCell ref="C128:H128"/>
    <mergeCell ref="C130:H130"/>
    <mergeCell ref="F131:G131"/>
    <mergeCell ref="A134:E134"/>
    <mergeCell ref="C129:E129"/>
    <mergeCell ref="C127:H127"/>
    <mergeCell ref="C131:E131"/>
    <mergeCell ref="F165:G165"/>
    <mergeCell ref="C222:H222"/>
    <mergeCell ref="C342:H342"/>
    <mergeCell ref="C166:H166"/>
    <mergeCell ref="C219:H219"/>
    <mergeCell ref="E160:H160"/>
    <mergeCell ref="F175:G175"/>
    <mergeCell ref="F300:G300"/>
    <mergeCell ref="C168:H168"/>
    <mergeCell ref="C169:H169"/>
    <mergeCell ref="C175:E175"/>
    <mergeCell ref="C173:H173"/>
    <mergeCell ref="C164:H164"/>
    <mergeCell ref="C332:H332"/>
    <mergeCell ref="C165:E165"/>
    <mergeCell ref="C163:H163"/>
    <mergeCell ref="C161:H161"/>
    <mergeCell ref="C162:H162"/>
    <mergeCell ref="C192:H192"/>
    <mergeCell ref="C193:H193"/>
    <mergeCell ref="C189:H189"/>
    <mergeCell ref="C217:H217"/>
    <mergeCell ref="C267:H267"/>
    <mergeCell ref="A304:I304"/>
    <mergeCell ref="A170:I170"/>
    <mergeCell ref="C174:H174"/>
    <mergeCell ref="C223:H223"/>
    <mergeCell ref="C184:H184"/>
    <mergeCell ref="C433:E433"/>
    <mergeCell ref="F433:G433"/>
    <mergeCell ref="A190:I190"/>
    <mergeCell ref="C214:H214"/>
    <mergeCell ref="C344:H344"/>
    <mergeCell ref="C347:H347"/>
    <mergeCell ref="C353:H353"/>
    <mergeCell ref="C351:H351"/>
    <mergeCell ref="C352:H352"/>
    <mergeCell ref="C195:H195"/>
    <mergeCell ref="C198:H198"/>
    <mergeCell ref="C200:H200"/>
    <mergeCell ref="F298:G298"/>
    <mergeCell ref="E253:H253"/>
    <mergeCell ref="C220:H220"/>
    <mergeCell ref="C239:I239"/>
    <mergeCell ref="C202:H202"/>
    <mergeCell ref="C196:H196"/>
    <mergeCell ref="C197:H197"/>
    <mergeCell ref="F185:G185"/>
    <mergeCell ref="C455:H455"/>
    <mergeCell ref="A427:I427"/>
    <mergeCell ref="C428:H428"/>
    <mergeCell ref="C429:H429"/>
    <mergeCell ref="C430:H430"/>
    <mergeCell ref="C445:H445"/>
    <mergeCell ref="C431:H431"/>
    <mergeCell ref="C434:H434"/>
    <mergeCell ref="A447:I447"/>
    <mergeCell ref="C444:D444"/>
    <mergeCell ref="C440:H440"/>
    <mergeCell ref="C435:D435"/>
    <mergeCell ref="C449:H449"/>
    <mergeCell ref="C450:H450"/>
    <mergeCell ref="C446:H446"/>
    <mergeCell ref="C437:H437"/>
    <mergeCell ref="F444:G444"/>
    <mergeCell ref="F236:G236"/>
    <mergeCell ref="C240:H240"/>
    <mergeCell ref="C452:H452"/>
    <mergeCell ref="C443:H443"/>
    <mergeCell ref="C416:H416"/>
    <mergeCell ref="C442:H442"/>
    <mergeCell ref="C448:H448"/>
    <mergeCell ref="C303:H303"/>
    <mergeCell ref="C294:I294"/>
    <mergeCell ref="C432:H432"/>
    <mergeCell ref="C250:H250"/>
    <mergeCell ref="C275:H275"/>
    <mergeCell ref="C283:H283"/>
    <mergeCell ref="C310:E310"/>
    <mergeCell ref="C311:H311"/>
    <mergeCell ref="C312:E312"/>
    <mergeCell ref="A315:I315"/>
    <mergeCell ref="C363:H363"/>
    <mergeCell ref="A326:I326"/>
    <mergeCell ref="C321:E321"/>
    <mergeCell ref="C314:H314"/>
    <mergeCell ref="C322:H322"/>
    <mergeCell ref="C359:H359"/>
    <mergeCell ref="C361:H361"/>
    <mergeCell ref="C454:H454"/>
    <mergeCell ref="C343:H343"/>
    <mergeCell ref="C317:H317"/>
    <mergeCell ref="C316:H316"/>
    <mergeCell ref="C439:H439"/>
    <mergeCell ref="C441:H441"/>
    <mergeCell ref="C436:H436"/>
    <mergeCell ref="C355:H355"/>
    <mergeCell ref="C408:H408"/>
    <mergeCell ref="C451:H451"/>
    <mergeCell ref="C339:H339"/>
    <mergeCell ref="A340:I340"/>
    <mergeCell ref="C362:H362"/>
    <mergeCell ref="C373:H373"/>
    <mergeCell ref="C366:H366"/>
    <mergeCell ref="C367:H367"/>
    <mergeCell ref="C370:H370"/>
    <mergeCell ref="C372:H372"/>
    <mergeCell ref="C369:H369"/>
    <mergeCell ref="C368:H368"/>
    <mergeCell ref="C377:H377"/>
    <mergeCell ref="C380:H380"/>
    <mergeCell ref="C384:H384"/>
    <mergeCell ref="C420:H420"/>
    <mergeCell ref="C139:H139"/>
    <mergeCell ref="A135:C135"/>
    <mergeCell ref="C140:H140"/>
    <mergeCell ref="C141:H141"/>
    <mergeCell ref="C142:H142"/>
    <mergeCell ref="C143:H143"/>
    <mergeCell ref="C145:H145"/>
    <mergeCell ref="C13:E13"/>
    <mergeCell ref="C14:E14"/>
    <mergeCell ref="C15:E15"/>
    <mergeCell ref="C136:H136"/>
    <mergeCell ref="C122:H122"/>
    <mergeCell ref="C123:H123"/>
    <mergeCell ref="C115:H115"/>
    <mergeCell ref="C116:H116"/>
    <mergeCell ref="C117:H117"/>
    <mergeCell ref="C118:H118"/>
    <mergeCell ref="C119:H119"/>
    <mergeCell ref="C121:H121"/>
    <mergeCell ref="C120:H120"/>
    <mergeCell ref="C105:H105"/>
    <mergeCell ref="C106:E106"/>
    <mergeCell ref="C108:E108"/>
    <mergeCell ref="C107:H107"/>
    <mergeCell ref="C151:E151"/>
    <mergeCell ref="F151:G151"/>
    <mergeCell ref="C152:H152"/>
    <mergeCell ref="C153:H153"/>
    <mergeCell ref="C148:H148"/>
    <mergeCell ref="C144:D144"/>
    <mergeCell ref="E144:H144"/>
    <mergeCell ref="C149:E149"/>
    <mergeCell ref="F149:G149"/>
    <mergeCell ref="C150:H150"/>
    <mergeCell ref="C146:H146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2016-08-17T08:41:21Z</cp:lastPrinted>
  <dcterms:created xsi:type="dcterms:W3CDTF">2015-07-15T06:34:41Z</dcterms:created>
  <dcterms:modified xsi:type="dcterms:W3CDTF">2016-08-18T15:43:24Z</dcterms:modified>
</cp:coreProperties>
</file>