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B32" i="2"/>
  <c r="I172" i="1"/>
  <c r="I170"/>
  <c r="K98"/>
  <c r="K97"/>
  <c r="I98"/>
  <c r="I97"/>
  <c r="K23"/>
  <c r="I339"/>
  <c r="I73"/>
  <c r="C23" i="2"/>
  <c r="I379" i="1"/>
  <c r="I380"/>
  <c r="I381" s="1"/>
  <c r="I159"/>
  <c r="I149"/>
  <c r="I240"/>
  <c r="I241"/>
  <c r="I412"/>
  <c r="I414" s="1"/>
  <c r="I372"/>
  <c r="I325"/>
  <c r="I320"/>
  <c r="I319"/>
  <c r="I318"/>
  <c r="I294"/>
  <c r="I283"/>
  <c r="I284" s="1"/>
  <c r="I245"/>
  <c r="I220"/>
  <c r="I217"/>
  <c r="I197"/>
  <c r="I196"/>
  <c r="I195"/>
  <c r="I194"/>
  <c r="I193"/>
  <c r="I171"/>
  <c r="I173"/>
  <c r="I178" s="1"/>
  <c r="I133"/>
  <c r="I134"/>
  <c r="I114"/>
  <c r="I108"/>
  <c r="I89"/>
  <c r="I374"/>
  <c r="I373"/>
  <c r="I247"/>
  <c r="I304"/>
  <c r="I308" s="1"/>
  <c r="I13"/>
  <c r="D14" i="2"/>
  <c r="I90" i="1"/>
  <c r="I91" s="1"/>
  <c r="I250"/>
  <c r="I219"/>
  <c r="I393"/>
  <c r="I394"/>
  <c r="J37"/>
  <c r="J31"/>
  <c r="I352"/>
  <c r="I354"/>
  <c r="I355" s="1"/>
  <c r="I350"/>
  <c r="I351" s="1"/>
  <c r="I346"/>
  <c r="I347" s="1"/>
  <c r="I342"/>
  <c r="I343"/>
  <c r="I344"/>
  <c r="I345"/>
  <c r="I340"/>
  <c r="B10" i="2"/>
  <c r="B9"/>
  <c r="J23" i="1"/>
  <c r="I326"/>
  <c r="I324"/>
  <c r="I323"/>
  <c r="I322"/>
  <c r="I329" s="1"/>
  <c r="I251"/>
  <c r="I249"/>
  <c r="I255" s="1"/>
  <c r="I248"/>
  <c r="I242"/>
  <c r="I202"/>
  <c r="I203"/>
  <c r="I218"/>
  <c r="I200"/>
  <c r="I201" s="1"/>
  <c r="I221"/>
  <c r="I176"/>
  <c r="I160"/>
  <c r="I161" s="1"/>
  <c r="I150"/>
  <c r="I151" s="1"/>
  <c r="I119"/>
  <c r="I115"/>
  <c r="I116"/>
  <c r="I295"/>
  <c r="I296"/>
  <c r="I9"/>
  <c r="I369"/>
  <c r="I252"/>
  <c r="I225"/>
  <c r="I226" s="1"/>
  <c r="I227" s="1"/>
  <c r="I169"/>
  <c r="I109"/>
  <c r="I72"/>
  <c r="I71"/>
  <c r="I70"/>
  <c r="I403"/>
  <c r="I405"/>
  <c r="I406" s="1"/>
  <c r="I407" s="1"/>
  <c r="I348"/>
  <c r="I349" s="1"/>
  <c r="I356"/>
  <c r="I357" s="1"/>
  <c r="I353"/>
  <c r="I223"/>
  <c r="I224"/>
  <c r="I338"/>
  <c r="I244"/>
  <c r="I253"/>
  <c r="I110"/>
  <c r="I111"/>
  <c r="H23" i="2"/>
  <c r="I341" i="1"/>
  <c r="I177"/>
  <c r="I222"/>
  <c r="I230"/>
  <c r="I254"/>
  <c r="I257" s="1"/>
  <c r="I375"/>
  <c r="I376" s="1"/>
  <c r="I328"/>
  <c r="I331" s="1"/>
  <c r="I198"/>
  <c r="I199" s="1"/>
  <c r="I174"/>
  <c r="I298"/>
  <c r="I297"/>
  <c r="I299"/>
  <c r="I395"/>
  <c r="I396"/>
  <c r="C16" i="2"/>
  <c r="H16"/>
  <c r="I74" i="1"/>
  <c r="I75"/>
  <c r="I76" s="1"/>
  <c r="I256"/>
  <c r="I175"/>
  <c r="I135"/>
  <c r="I136" s="1"/>
  <c r="I139" s="1"/>
  <c r="I137"/>
  <c r="I112"/>
  <c r="I113" s="1"/>
  <c r="I121"/>
  <c r="I79"/>
  <c r="I382"/>
  <c r="C11" i="2"/>
  <c r="I272" i="1"/>
  <c r="I274" s="1"/>
  <c r="I321"/>
  <c r="I327"/>
  <c r="I336"/>
  <c r="I337"/>
  <c r="I138"/>
  <c r="I120"/>
  <c r="I273"/>
  <c r="I275" s="1"/>
  <c r="I330"/>
  <c r="I397"/>
  <c r="I398"/>
  <c r="I300"/>
  <c r="I301"/>
  <c r="K302" s="1"/>
  <c r="J302" s="1"/>
  <c r="I302" s="1"/>
  <c r="C20" i="2" s="1"/>
  <c r="H20" s="1"/>
  <c r="I399" i="1"/>
  <c r="I400" s="1"/>
  <c r="I401" s="1"/>
  <c r="C25" i="2" s="1"/>
  <c r="H25" s="1"/>
  <c r="I140" i="1" l="1"/>
  <c r="I141" s="1"/>
  <c r="I409"/>
  <c r="K410" s="1"/>
  <c r="J410" s="1"/>
  <c r="I410" s="1"/>
  <c r="C26" i="2" s="1"/>
  <c r="H26" s="1"/>
  <c r="I408" i="1"/>
  <c r="I152"/>
  <c r="I153" s="1"/>
  <c r="I262"/>
  <c r="I258"/>
  <c r="I332"/>
  <c r="I359"/>
  <c r="I96"/>
  <c r="I92"/>
  <c r="I93" s="1"/>
  <c r="I179"/>
  <c r="I180" s="1"/>
  <c r="I183"/>
  <c r="I286"/>
  <c r="I288" s="1"/>
  <c r="I285"/>
  <c r="I287" s="1"/>
  <c r="I259"/>
  <c r="I204"/>
  <c r="I77"/>
  <c r="I80" s="1"/>
  <c r="I78"/>
  <c r="I378"/>
  <c r="I383"/>
  <c r="I377"/>
  <c r="I229"/>
  <c r="I228"/>
  <c r="I231" s="1"/>
  <c r="I162"/>
  <c r="I163"/>
  <c r="I415"/>
  <c r="I416" s="1"/>
  <c r="I417"/>
  <c r="I418" s="1"/>
  <c r="K419" s="1"/>
  <c r="J419" s="1"/>
  <c r="I419" s="1"/>
  <c r="I333"/>
  <c r="I276"/>
  <c r="I122"/>
  <c r="I207"/>
  <c r="I305"/>
  <c r="C27" i="2" l="1"/>
  <c r="H27" s="1"/>
  <c r="I232" i="1"/>
  <c r="I234" s="1"/>
  <c r="I81"/>
  <c r="I82"/>
  <c r="I142"/>
  <c r="I143"/>
  <c r="I154"/>
  <c r="I155"/>
  <c r="K156" s="1"/>
  <c r="J156" s="1"/>
  <c r="I277"/>
  <c r="I278" s="1"/>
  <c r="I279" s="1"/>
  <c r="I384"/>
  <c r="I385" s="1"/>
  <c r="I261"/>
  <c r="I260"/>
  <c r="I263" s="1"/>
  <c r="I290"/>
  <c r="K291" s="1"/>
  <c r="J291" s="1"/>
  <c r="I291" s="1"/>
  <c r="C19" i="2" s="1"/>
  <c r="H19" s="1"/>
  <c r="I289" i="1"/>
  <c r="I182"/>
  <c r="I181"/>
  <c r="I184" s="1"/>
  <c r="I164"/>
  <c r="I165" s="1"/>
  <c r="K166" s="1"/>
  <c r="J166" s="1"/>
  <c r="I166" s="1"/>
  <c r="C17" i="2" s="1"/>
  <c r="H17" s="1"/>
  <c r="I307" i="1"/>
  <c r="I306"/>
  <c r="I309" s="1"/>
  <c r="I123"/>
  <c r="I124" s="1"/>
  <c r="I334"/>
  <c r="I335"/>
  <c r="I206"/>
  <c r="I205"/>
  <c r="I208" s="1"/>
  <c r="I95"/>
  <c r="I94"/>
  <c r="I99" s="1"/>
  <c r="I310" l="1"/>
  <c r="I311" s="1"/>
  <c r="I100"/>
  <c r="I101" s="1"/>
  <c r="I209"/>
  <c r="I211" s="1"/>
  <c r="I125"/>
  <c r="I126" s="1"/>
  <c r="I185"/>
  <c r="I187" s="1"/>
  <c r="I264"/>
  <c r="I266" s="1"/>
  <c r="I386"/>
  <c r="I387" s="1"/>
  <c r="I233"/>
  <c r="I235" s="1"/>
  <c r="I144"/>
  <c r="I145" s="1"/>
  <c r="K146" s="1"/>
  <c r="J146" s="1"/>
  <c r="I146" s="1"/>
  <c r="C15" i="2" s="1"/>
  <c r="H15" s="1"/>
  <c r="I83" i="1"/>
  <c r="I84"/>
  <c r="I358"/>
  <c r="I360" s="1"/>
  <c r="I388" l="1"/>
  <c r="I389" s="1"/>
  <c r="K390" s="1"/>
  <c r="J390" s="1"/>
  <c r="I390" s="1"/>
  <c r="I312"/>
  <c r="I313" s="1"/>
  <c r="I362"/>
  <c r="I361"/>
  <c r="I127"/>
  <c r="I128" s="1"/>
  <c r="I129" s="1"/>
  <c r="I102"/>
  <c r="I103" s="1"/>
  <c r="I85"/>
  <c r="I86" s="1"/>
  <c r="I87" s="1"/>
  <c r="I236"/>
  <c r="I237" s="1"/>
  <c r="I238" s="1"/>
  <c r="I265"/>
  <c r="I267" s="1"/>
  <c r="I186"/>
  <c r="I188" s="1"/>
  <c r="I210"/>
  <c r="I212" s="1"/>
  <c r="C24" i="2" l="1"/>
  <c r="H24" s="1"/>
  <c r="I104" i="1"/>
  <c r="I105"/>
  <c r="I106" s="1"/>
  <c r="J130" s="1"/>
  <c r="I130" s="1"/>
  <c r="I314"/>
  <c r="I315"/>
  <c r="K316" s="1"/>
  <c r="J316" s="1"/>
  <c r="I316" s="1"/>
  <c r="C21" i="2" s="1"/>
  <c r="H21" s="1"/>
  <c r="I268" i="1"/>
  <c r="I269" s="1"/>
  <c r="I270" s="1"/>
  <c r="I363"/>
  <c r="I364"/>
  <c r="I213"/>
  <c r="I214" s="1"/>
  <c r="I215" s="1"/>
  <c r="I189"/>
  <c r="I190"/>
  <c r="I191" s="1"/>
  <c r="C14" i="2" l="1"/>
  <c r="I365" i="1"/>
  <c r="I366"/>
  <c r="K367" s="1"/>
  <c r="J367" s="1"/>
  <c r="I367" s="1"/>
  <c r="J280"/>
  <c r="I280" s="1"/>
  <c r="C18" i="2" s="1"/>
  <c r="H18" s="1"/>
  <c r="I420" i="1" l="1"/>
  <c r="C22" i="2"/>
  <c r="H22" s="1"/>
  <c r="J370" i="1"/>
  <c r="H14" i="2"/>
  <c r="H28" s="1"/>
  <c r="C28"/>
</calcChain>
</file>

<file path=xl/sharedStrings.xml><?xml version="1.0" encoding="utf-8"?>
<sst xmlns="http://schemas.openxmlformats.org/spreadsheetml/2006/main" count="914" uniqueCount="375">
  <si>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</si>
  <si>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</si>
  <si>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</si>
  <si>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</si>
  <si>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</si>
  <si>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</si>
  <si>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</si>
  <si>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</si>
  <si>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</si>
  <si>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</si>
  <si>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</si>
  <si>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</si>
  <si>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</si>
  <si>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</si>
  <si>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</si>
  <si>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</si>
  <si>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</si>
  <si>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</si>
  <si>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</si>
  <si>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</si>
  <si>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</si>
  <si>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</si>
  <si>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</si>
  <si>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</si>
  <si>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</si>
  <si>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</si>
  <si>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</si>
  <si>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</si>
  <si>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</si>
  <si>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</si>
  <si>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</si>
  <si>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</si>
  <si>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</si>
  <si>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</si>
  <si>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</si>
  <si>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</si>
  <si>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</si>
  <si>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</si>
  <si>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</si>
  <si>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</si>
  <si>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</si>
  <si>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</si>
  <si>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</si>
  <si>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</si>
  <si>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</si>
  <si>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</si>
  <si>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</si>
  <si>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</si>
  <si>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</si>
  <si>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</si>
  <si>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</si>
  <si>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</si>
  <si>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</si>
  <si>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</si>
  <si>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</si>
  <si>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</si>
  <si>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</si>
  <si>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</si>
  <si>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</si>
  <si>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</si>
  <si>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</si>
  <si>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</si>
  <si>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</si>
  <si>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</si>
  <si>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</si>
  <si>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</si>
  <si>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</si>
  <si>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</si>
  <si>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</si>
  <si>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</si>
  <si>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</si>
  <si>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</si>
  <si>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</si>
  <si>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</si>
  <si>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</si>
  <si>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</si>
  <si>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</si>
  <si>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</si>
  <si>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</si>
  <si>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</si>
  <si>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</si>
  <si>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</si>
  <si>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</si>
  <si>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</si>
  <si>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</si>
  <si>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</si>
  <si>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</si>
  <si>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</si>
  <si>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</si>
  <si>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</si>
  <si>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</si>
  <si>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</si>
  <si>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</si>
  <si>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</si>
  <si>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</si>
  <si>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</si>
  <si>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</si>
  <si>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</si>
  <si>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</si>
  <si>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</si>
  <si>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</si>
  <si>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</si>
  <si>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</si>
  <si>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</si>
  <si>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</si>
  <si>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</si>
  <si>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</si>
  <si>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</si>
  <si>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</si>
  <si>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</si>
  <si>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</si>
  <si>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</si>
  <si>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</si>
  <si>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</si>
  <si>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</si>
  <si>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</si>
  <si>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</si>
  <si>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</si>
  <si>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</si>
  <si>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</si>
  <si>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</si>
  <si>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</si>
  <si>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</si>
  <si>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</si>
  <si>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</si>
  <si>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</si>
  <si>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</si>
  <si>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</si>
  <si>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</si>
  <si>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</si>
  <si>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</si>
  <si>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</si>
  <si>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</si>
  <si>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</si>
  <si>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</si>
  <si>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</si>
  <si>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</si>
  <si>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</si>
  <si>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</si>
  <si>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</si>
  <si>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</si>
  <si>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</si>
  <si>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</si>
  <si>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</si>
  <si>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</si>
  <si>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</si>
  <si>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</si>
  <si>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</si>
  <si>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</si>
  <si>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</si>
  <si>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</si>
  <si>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</si>
  <si>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</si>
  <si>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</si>
  <si>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</si>
  <si>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</si>
  <si>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</si>
  <si>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</si>
  <si>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</si>
  <si>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</si>
  <si>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</si>
  <si>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</si>
  <si>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</si>
  <si>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</si>
  <si>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</si>
  <si>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</si>
  <si>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</si>
  <si>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</si>
  <si>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</si>
  <si>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</si>
  <si>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</si>
  <si>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</si>
  <si>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</si>
  <si>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</si>
  <si>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</si>
  <si>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</si>
  <si>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</si>
  <si>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</si>
  <si>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</si>
  <si>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</si>
  <si>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</si>
  <si>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</si>
  <si>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</si>
  <si>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</si>
  <si>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</si>
  <si>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</si>
  <si>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</si>
  <si>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</si>
  <si>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</si>
  <si>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</si>
  <si>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</si>
  <si>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</si>
  <si>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</si>
  <si>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</si>
  <si>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</si>
  <si>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</si>
  <si>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</si>
  <si>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</si>
  <si>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</si>
  <si>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</si>
  <si>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</si>
  <si>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</si>
  <si>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</si>
  <si>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</si>
  <si>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</si>
  <si>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</si>
  <si>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</si>
  <si>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</si>
  <si>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</si>
  <si>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</si>
  <si>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</si>
  <si>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</si>
  <si>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</si>
  <si>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</si>
  <si>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</si>
  <si>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</si>
  <si>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</si>
  <si>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</si>
  <si>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</si>
  <si>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</si>
  <si>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</si>
  <si>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</si>
  <si>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</si>
  <si>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</si>
  <si>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</si>
  <si>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</si>
  <si>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</si>
  <si>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</si>
  <si>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</si>
  <si>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</si>
  <si>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</si>
  <si>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</si>
  <si>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</si>
  <si>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</si>
  <si>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</si>
  <si>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</si>
  <si>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</si>
  <si>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</si>
  <si>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</si>
  <si>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</si>
  <si>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2 рази на рік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</si>
  <si>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</si>
  <si>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</si>
  <si>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</si>
  <si>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</si>
  <si>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</si>
  <si>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</si>
  <si>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</si>
  <si>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</si>
  <si>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</si>
  <si>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</si>
  <si>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</si>
  <si>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</si>
  <si>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</si>
  <si>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</si>
  <si>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</si>
  <si>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</si>
  <si>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</si>
  <si>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</si>
  <si>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</si>
  <si>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1 раз на 5 років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</si>
  <si>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</si>
  <si>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</si>
  <si>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</si>
  <si>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</si>
  <si>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</si>
  <si>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</si>
  <si>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</si>
  <si>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</si>
  <si>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</si>
  <si>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</si>
  <si>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</si>
  <si>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</si>
  <si>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</si>
  <si>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</si>
  <si>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</si>
  <si>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</si>
  <si>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</si>
  <si>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</si>
  <si>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</si>
  <si>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</si>
  <si>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</si>
  <si>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</si>
  <si>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</si>
  <si>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</si>
  <si>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</si>
  <si>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</si>
  <si>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</si>
  <si>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</si>
  <si>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</si>
  <si>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</si>
  <si>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</si>
  <si>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</si>
  <si>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</si>
  <si>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</si>
  <si>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</si>
  <si>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</si>
  <si>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</si>
  <si>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</si>
  <si>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</si>
  <si>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</si>
  <si>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</si>
  <si>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</si>
  <si>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</si>
  <si>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</si>
  <si>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</si>
  <si>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</si>
  <si>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</si>
  <si>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</si>
  <si>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</si>
  <si>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</si>
  <si>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</si>
  <si>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</si>
  <si>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</si>
  <si>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</si>
  <si>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</si>
  <si>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</si>
  <si>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</si>
  <si>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</si>
  <si>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метрів,1 раз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</si>
  <si>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</si>
  <si>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</si>
  <si>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</si>
  <si>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</si>
  <si>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</si>
  <si>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</si>
  <si>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</si>
  <si>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</si>
  <si>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</si>
  <si>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</si>
  <si>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</si>
  <si>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</si>
  <si>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</si>
  <si>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</si>
  <si>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</si>
  <si>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</si>
  <si>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</si>
  <si>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</si>
  <si>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</si>
  <si>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</si>
  <si>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</si>
  <si>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</si>
  <si>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</si>
  <si>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</si>
  <si>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</si>
  <si>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</si>
  <si>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</si>
  <si>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</si>
  <si>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</si>
  <si>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</si>
  <si>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</si>
  <si>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</si>
  <si>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t>спецодяг, інструменти, інвентар електромонтера, 110,53грн./1люд/міс. (додаток 1)</t>
  </si>
  <si>
    <t>Автомат 16-25А</t>
  </si>
  <si>
    <r>
      <t>категорія будинку: 5</t>
    </r>
    <r>
      <rPr>
        <b/>
        <i/>
        <sz val="12"/>
        <rFont val="Times New Roman"/>
        <family val="1"/>
        <charset val="204"/>
      </rPr>
      <t>-ти поверховий</t>
    </r>
  </si>
  <si>
    <t>за адресою: Котляревського,2/8</t>
  </si>
  <si>
    <t>Площа прибудинкової тер-рії, в т.ч.:акт обстеження прибудинкової території</t>
  </si>
  <si>
    <t>Директор ТОВ "КОМЕНЕРГО СУМИ"</t>
  </si>
  <si>
    <t>ТОВ "КОМЕНЕРГО СУМИ"</t>
  </si>
  <si>
    <t>Загальна кількість люд./год. в  рік при періодичності прибирання  3 рази в на тиждень</t>
  </si>
  <si>
    <t>3 дні на тиждень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</si>
  <si>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</si>
  <si>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</si>
  <si>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</si>
  <si>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</si>
  <si>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</si>
  <si>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</si>
  <si>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</si>
  <si>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</si>
  <si>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</si>
  <si>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</si>
  <si>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</si>
  <si>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</si>
  <si>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t>зменшення</t>
  </si>
  <si>
    <t xml:space="preserve">              Додаток  № 5                                        до рішення виконавчого комітету   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</si>
</sst>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FF000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0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6" fillId="0" borderId="0" xfId="0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2" fillId="0" borderId="11" xfId="36" applyFont="1" applyBorder="1" applyAlignment="1">
      <alignment horizontal="left" vertical="center" wrapText="1"/>
    </xf>
    <xf numFmtId="0" fontId="32" fillId="0" borderId="10" xfId="36" applyFont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5" t="s">
        <v>374</v>
      </c>
      <c r="D1" s="125"/>
      <c r="E1" s="125"/>
    </row>
    <row r="4" spans="1:8">
      <c r="B4" s="126" t="s">
        <v>237</v>
      </c>
      <c r="C4" s="126"/>
      <c r="D4" s="126"/>
      <c r="E4" s="126"/>
    </row>
    <row r="5" spans="1:8">
      <c r="B5" s="125" t="s">
        <v>238</v>
      </c>
      <c r="C5" s="125"/>
      <c r="D5" s="125"/>
      <c r="E5" s="125"/>
    </row>
    <row r="6" spans="1:8">
      <c r="B6" s="125" t="s">
        <v>358</v>
      </c>
      <c r="C6" s="125"/>
      <c r="D6" s="125"/>
      <c r="E6" s="125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5-ти поверховий</v>
      </c>
    </row>
    <row r="10" spans="1:8">
      <c r="B10" s="6" t="str">
        <f>Розрахунок!C4</f>
        <v>за адресою: Котляревського,2/8</v>
      </c>
    </row>
    <row r="11" spans="1:8">
      <c r="B11" s="6" t="s">
        <v>263</v>
      </c>
      <c r="C11" s="66">
        <f>Розрахунок!I9</f>
        <v>4438.3599999999997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0.45100000000000001</v>
      </c>
      <c r="D14" s="38" t="str">
        <f>Розрахунок!N70</f>
        <v>3 дні на тиждень</v>
      </c>
      <c r="E14" s="38" t="s">
        <v>219</v>
      </c>
      <c r="H14" s="69">
        <f>ROUND(C14,3)</f>
        <v>0.45100000000000001</v>
      </c>
    </row>
    <row r="15" spans="1:8" ht="25.2" customHeight="1">
      <c r="A15" s="22">
        <v>2</v>
      </c>
      <c r="B15" s="36" t="s">
        <v>220</v>
      </c>
      <c r="C15" s="42">
        <f>Розрахунок!I146</f>
        <v>6.0000000000000001E-3</v>
      </c>
      <c r="D15" s="38" t="s">
        <v>240</v>
      </c>
      <c r="E15" s="38" t="s">
        <v>219</v>
      </c>
      <c r="H15" s="69">
        <f t="shared" ref="H15:H27" si="0">ROUND(C15,3)</f>
        <v>6.0000000000000001E-3</v>
      </c>
    </row>
    <row r="16" spans="1:8" ht="25.2" customHeight="1">
      <c r="A16" s="22">
        <v>3</v>
      </c>
      <c r="B16" s="36" t="s">
        <v>221</v>
      </c>
      <c r="C16" s="42">
        <f>Розрахунок!I156</f>
        <v>0</v>
      </c>
      <c r="D16" s="38"/>
      <c r="E16" s="38"/>
      <c r="H16" s="69">
        <f t="shared" si="0"/>
        <v>0</v>
      </c>
    </row>
    <row r="17" spans="1:8" ht="25.2" customHeight="1">
      <c r="A17" s="22">
        <v>4</v>
      </c>
      <c r="B17" s="36" t="s">
        <v>222</v>
      </c>
      <c r="C17" s="42">
        <f>Розрахунок!I166</f>
        <v>0</v>
      </c>
      <c r="D17" s="38"/>
      <c r="E17" s="38"/>
      <c r="H17" s="69">
        <f t="shared" si="0"/>
        <v>0</v>
      </c>
    </row>
    <row r="18" spans="1:8" ht="25.2" customHeight="1">
      <c r="A18" s="22">
        <v>5</v>
      </c>
      <c r="B18" s="36" t="s">
        <v>223</v>
      </c>
      <c r="C18" s="42">
        <f>Розрахунок!I280</f>
        <v>0.45557894736842108</v>
      </c>
      <c r="D18" s="38" t="s">
        <v>239</v>
      </c>
      <c r="E18" s="38" t="s">
        <v>219</v>
      </c>
      <c r="H18" s="69">
        <f t="shared" si="0"/>
        <v>0.45600000000000002</v>
      </c>
    </row>
    <row r="19" spans="1:8" ht="25.2" customHeight="1">
      <c r="A19" s="22">
        <v>6</v>
      </c>
      <c r="B19" s="36" t="s">
        <v>224</v>
      </c>
      <c r="C19" s="42">
        <f>Розрахунок!I291</f>
        <v>3.4000000000000002E-2</v>
      </c>
      <c r="D19" s="38" t="s">
        <v>240</v>
      </c>
      <c r="E19" s="38" t="s">
        <v>219</v>
      </c>
      <c r="H19" s="69">
        <f t="shared" si="0"/>
        <v>3.4000000000000002E-2</v>
      </c>
    </row>
    <row r="20" spans="1:8" ht="25.2" customHeight="1">
      <c r="A20" s="22">
        <v>7</v>
      </c>
      <c r="B20" s="36" t="s">
        <v>225</v>
      </c>
      <c r="C20" s="42">
        <f>Розрахунок!I302</f>
        <v>3.9E-2</v>
      </c>
      <c r="D20" s="38" t="s">
        <v>240</v>
      </c>
      <c r="E20" s="38" t="s">
        <v>219</v>
      </c>
      <c r="H20" s="69">
        <f t="shared" si="0"/>
        <v>3.9E-2</v>
      </c>
    </row>
    <row r="21" spans="1:8" ht="25.2" customHeight="1">
      <c r="A21" s="22">
        <v>8</v>
      </c>
      <c r="B21" s="36" t="s">
        <v>229</v>
      </c>
      <c r="C21" s="42">
        <f>Розрахунок!I316</f>
        <v>1.9E-2</v>
      </c>
      <c r="D21" s="38" t="s">
        <v>241</v>
      </c>
      <c r="E21" s="38" t="s">
        <v>219</v>
      </c>
      <c r="H21" s="69">
        <f t="shared" si="0"/>
        <v>1.9E-2</v>
      </c>
    </row>
    <row r="22" spans="1:8" ht="73.2" customHeight="1">
      <c r="A22" s="22">
        <v>9</v>
      </c>
      <c r="B22" s="37" t="s">
        <v>230</v>
      </c>
      <c r="C22" s="42">
        <f>Розрахунок!I367</f>
        <v>7.2999999999999995E-2</v>
      </c>
      <c r="D22" s="38" t="s">
        <v>241</v>
      </c>
      <c r="E22" s="38" t="s">
        <v>219</v>
      </c>
      <c r="H22" s="69">
        <f t="shared" si="0"/>
        <v>7.2999999999999995E-2</v>
      </c>
    </row>
    <row r="23" spans="1:8" ht="106.95" customHeight="1">
      <c r="A23" s="22">
        <v>10</v>
      </c>
      <c r="B23" s="37" t="s">
        <v>231</v>
      </c>
      <c r="C23" s="42">
        <f>Розрахунок!I370</f>
        <v>0.67200000000000004</v>
      </c>
      <c r="D23" s="38" t="s">
        <v>241</v>
      </c>
      <c r="E23" s="38" t="s">
        <v>219</v>
      </c>
      <c r="H23" s="69">
        <f t="shared" si="0"/>
        <v>0.67200000000000004</v>
      </c>
    </row>
    <row r="24" spans="1:8" ht="43.95" customHeight="1">
      <c r="A24" s="22">
        <v>11</v>
      </c>
      <c r="B24" s="37" t="s">
        <v>232</v>
      </c>
      <c r="C24" s="42">
        <f>Розрахунок!I390</f>
        <v>3.5000000000000003E-2</v>
      </c>
      <c r="D24" s="38" t="s">
        <v>242</v>
      </c>
      <c r="E24" s="38" t="s">
        <v>219</v>
      </c>
      <c r="H24" s="69">
        <f t="shared" si="0"/>
        <v>3.5000000000000003E-2</v>
      </c>
    </row>
    <row r="25" spans="1:8" ht="43.95" customHeight="1">
      <c r="A25" s="22">
        <v>12</v>
      </c>
      <c r="B25" s="37" t="s">
        <v>259</v>
      </c>
      <c r="C25" s="42">
        <f>Розрахунок!I401</f>
        <v>7.4707537777111608E-4</v>
      </c>
      <c r="D25" s="38" t="s">
        <v>260</v>
      </c>
      <c r="E25" s="38" t="s">
        <v>219</v>
      </c>
      <c r="H25" s="69">
        <f t="shared" si="0"/>
        <v>1E-3</v>
      </c>
    </row>
    <row r="26" spans="1:8" ht="25.2" customHeight="1">
      <c r="A26" s="22">
        <v>13</v>
      </c>
      <c r="B26" s="37" t="s">
        <v>233</v>
      </c>
      <c r="C26" s="42">
        <f>Розрахунок!I410</f>
        <v>0.14299999999999999</v>
      </c>
      <c r="D26" s="38" t="s">
        <v>239</v>
      </c>
      <c r="E26" s="38" t="s">
        <v>219</v>
      </c>
      <c r="H26" s="69">
        <f t="shared" si="0"/>
        <v>0.14299999999999999</v>
      </c>
    </row>
    <row r="27" spans="1:8" ht="25.2" customHeight="1">
      <c r="A27" s="22">
        <v>14</v>
      </c>
      <c r="B27" s="37" t="s">
        <v>234</v>
      </c>
      <c r="C27" s="42">
        <f>Розрахунок!I419</f>
        <v>0</v>
      </c>
      <c r="D27" s="38"/>
      <c r="E27" s="38"/>
      <c r="H27" s="69">
        <f t="shared" si="0"/>
        <v>0</v>
      </c>
    </row>
    <row r="28" spans="1:8" s="8" customFormat="1" ht="25.2" customHeight="1">
      <c r="A28" s="43"/>
      <c r="B28" s="44" t="s">
        <v>236</v>
      </c>
      <c r="C28" s="45">
        <f>SUM(C14:C27)+0.001</f>
        <v>1.9293260227461921</v>
      </c>
      <c r="D28" s="39"/>
      <c r="E28" s="39"/>
      <c r="H28" s="70">
        <f>SUM(H14:H27)</f>
        <v>1.9289999999999998</v>
      </c>
    </row>
    <row r="32" spans="1:8" s="8" customFormat="1">
      <c r="B32" s="8" t="str">
        <f>Розрахунок!C425</f>
        <v>Директор ТОВ "КОМЕНЕРГО СУМИ"</v>
      </c>
      <c r="C32" s="8" t="s">
        <v>235</v>
      </c>
      <c r="D32" s="124" t="s">
        <v>269</v>
      </c>
      <c r="E32" s="124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B398" zoomScale="81" zoomScaleNormal="81" zoomScaleSheetLayoutView="55" workbookViewId="0">
      <selection activeCell="I421" sqref="I421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200" t="s">
        <v>25</v>
      </c>
      <c r="D1" s="200"/>
      <c r="E1" s="200"/>
      <c r="F1" s="200"/>
      <c r="G1" s="200"/>
      <c r="H1" s="200"/>
      <c r="I1" s="200"/>
    </row>
    <row r="2" spans="1:14">
      <c r="C2" s="200" t="s">
        <v>271</v>
      </c>
      <c r="D2" s="200"/>
      <c r="E2" s="200"/>
      <c r="F2" s="200"/>
      <c r="G2" s="200"/>
      <c r="H2" s="200"/>
      <c r="I2" s="200"/>
    </row>
    <row r="3" spans="1:14" ht="16.2">
      <c r="C3" s="200" t="s">
        <v>354</v>
      </c>
      <c r="D3" s="200"/>
      <c r="E3" s="200"/>
      <c r="F3" s="200"/>
      <c r="G3" s="200"/>
      <c r="H3" s="200"/>
      <c r="I3" s="200"/>
    </row>
    <row r="4" spans="1:14">
      <c r="C4" s="200" t="s">
        <v>355</v>
      </c>
      <c r="D4" s="200"/>
      <c r="E4" s="200"/>
      <c r="F4" s="200"/>
      <c r="G4" s="200"/>
      <c r="H4" s="200"/>
      <c r="I4" s="200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208" t="s">
        <v>4</v>
      </c>
      <c r="D6" s="209"/>
      <c r="E6" s="209"/>
      <c r="F6" s="209"/>
      <c r="G6" s="76" t="s">
        <v>14</v>
      </c>
      <c r="H6" s="77" t="s">
        <v>14</v>
      </c>
      <c r="I6" s="18">
        <v>5</v>
      </c>
      <c r="J6" s="62"/>
      <c r="K6" s="62"/>
      <c r="L6" s="63"/>
      <c r="M6" s="9"/>
      <c r="N6" s="9"/>
    </row>
    <row r="7" spans="1:14" ht="19.95" customHeight="1">
      <c r="A7" s="21"/>
      <c r="B7" s="21"/>
      <c r="C7" s="208" t="s">
        <v>7</v>
      </c>
      <c r="D7" s="209"/>
      <c r="E7" s="209"/>
      <c r="F7" s="209"/>
      <c r="G7" s="76" t="s">
        <v>14</v>
      </c>
      <c r="H7" s="77" t="s">
        <v>14</v>
      </c>
      <c r="I7" s="18">
        <v>6</v>
      </c>
      <c r="J7" s="62"/>
      <c r="K7" s="62"/>
      <c r="L7" s="63"/>
      <c r="M7" s="9"/>
      <c r="N7" s="9"/>
    </row>
    <row r="8" spans="1:14" ht="16.2">
      <c r="A8" s="21"/>
      <c r="B8" s="21"/>
      <c r="C8" s="208" t="s">
        <v>30</v>
      </c>
      <c r="D8" s="209"/>
      <c r="E8" s="209"/>
      <c r="F8" s="209"/>
      <c r="G8" s="76" t="s">
        <v>14</v>
      </c>
      <c r="H8" s="77" t="s">
        <v>14</v>
      </c>
      <c r="I8" s="18">
        <v>90</v>
      </c>
      <c r="J8" s="62"/>
      <c r="K8" s="62"/>
      <c r="L8" s="63"/>
      <c r="M8" s="9"/>
      <c r="N8" s="9"/>
    </row>
    <row r="9" spans="1:14" ht="18">
      <c r="A9" s="21"/>
      <c r="B9" s="21"/>
      <c r="C9" s="201" t="s">
        <v>31</v>
      </c>
      <c r="D9" s="202"/>
      <c r="E9" s="202"/>
      <c r="F9" s="202"/>
      <c r="G9" s="76" t="s">
        <v>280</v>
      </c>
      <c r="H9" s="77" t="s">
        <v>28</v>
      </c>
      <c r="I9" s="78">
        <f>I10+I11</f>
        <v>4438.3599999999997</v>
      </c>
      <c r="J9" s="62"/>
      <c r="K9" s="62"/>
      <c r="L9" s="63"/>
      <c r="M9" s="9"/>
      <c r="N9" s="9"/>
    </row>
    <row r="10" spans="1:14" ht="18">
      <c r="A10" s="21"/>
      <c r="B10" s="21"/>
      <c r="C10" s="193" t="s">
        <v>29</v>
      </c>
      <c r="D10" s="194"/>
      <c r="E10" s="194"/>
      <c r="F10" s="194"/>
      <c r="G10" s="76" t="s">
        <v>280</v>
      </c>
      <c r="H10" s="77" t="s">
        <v>28</v>
      </c>
      <c r="I10" s="78">
        <v>4438.3599999999997</v>
      </c>
      <c r="J10" s="62"/>
      <c r="K10" s="62"/>
      <c r="L10" s="63"/>
      <c r="M10" s="9"/>
      <c r="N10" s="9"/>
    </row>
    <row r="11" spans="1:14" ht="18">
      <c r="A11" s="21"/>
      <c r="B11" s="21"/>
      <c r="C11" s="210" t="s">
        <v>71</v>
      </c>
      <c r="D11" s="210"/>
      <c r="E11" s="210"/>
      <c r="F11" s="208"/>
      <c r="G11" s="76" t="s">
        <v>280</v>
      </c>
      <c r="H11" s="77" t="s">
        <v>28</v>
      </c>
      <c r="I11" s="78">
        <v>0</v>
      </c>
      <c r="J11" s="62"/>
      <c r="K11" s="62"/>
      <c r="L11" s="63"/>
      <c r="M11" s="9"/>
      <c r="N11" s="9"/>
    </row>
    <row r="12" spans="1:14" ht="18">
      <c r="A12" s="21"/>
      <c r="B12" s="21"/>
      <c r="C12" s="193" t="s">
        <v>206</v>
      </c>
      <c r="D12" s="194"/>
      <c r="E12" s="194"/>
      <c r="F12" s="194"/>
      <c r="G12" s="76" t="s">
        <v>280</v>
      </c>
      <c r="H12" s="77" t="s">
        <v>28</v>
      </c>
      <c r="I12" s="78"/>
      <c r="J12" s="62"/>
      <c r="K12" s="62"/>
      <c r="L12" s="63"/>
      <c r="M12" s="9"/>
      <c r="N12" s="9"/>
    </row>
    <row r="13" spans="1:14" ht="18">
      <c r="A13" s="21"/>
      <c r="B13" s="21"/>
      <c r="C13" s="193" t="s">
        <v>356</v>
      </c>
      <c r="D13" s="194"/>
      <c r="E13" s="194"/>
      <c r="F13" s="194"/>
      <c r="G13" s="76" t="s">
        <v>280</v>
      </c>
      <c r="H13" s="77" t="s">
        <v>28</v>
      </c>
      <c r="I13" s="79">
        <f>I14+I15+I16</f>
        <v>4307</v>
      </c>
      <c r="J13" s="62"/>
      <c r="K13" s="62"/>
      <c r="L13" s="63"/>
      <c r="M13" s="9"/>
      <c r="N13" s="9"/>
    </row>
    <row r="14" spans="1:14" ht="18">
      <c r="A14" s="21"/>
      <c r="B14" s="21"/>
      <c r="C14" s="197" t="s">
        <v>72</v>
      </c>
      <c r="D14" s="198"/>
      <c r="E14" s="198"/>
      <c r="F14" s="198"/>
      <c r="G14" s="76" t="s">
        <v>280</v>
      </c>
      <c r="H14" s="77" t="s">
        <v>28</v>
      </c>
      <c r="I14" s="79">
        <v>1224</v>
      </c>
      <c r="J14" s="80"/>
      <c r="K14" s="62"/>
      <c r="L14" s="63"/>
      <c r="M14" s="9"/>
      <c r="N14" s="9"/>
    </row>
    <row r="15" spans="1:14" ht="18">
      <c r="A15" s="21"/>
      <c r="B15" s="21"/>
      <c r="C15" s="197" t="s">
        <v>266</v>
      </c>
      <c r="D15" s="198"/>
      <c r="E15" s="198"/>
      <c r="F15" s="198"/>
      <c r="G15" s="76" t="s">
        <v>280</v>
      </c>
      <c r="H15" s="77" t="s">
        <v>28</v>
      </c>
      <c r="I15" s="79">
        <v>390</v>
      </c>
      <c r="J15" s="80"/>
      <c r="K15" s="62"/>
      <c r="L15" s="63"/>
      <c r="M15" s="9"/>
      <c r="N15" s="9"/>
    </row>
    <row r="16" spans="1:14" ht="18">
      <c r="A16" s="21"/>
      <c r="B16" s="21"/>
      <c r="C16" s="197" t="s">
        <v>265</v>
      </c>
      <c r="D16" s="198"/>
      <c r="E16" s="198"/>
      <c r="F16" s="198"/>
      <c r="G16" s="76" t="s">
        <v>280</v>
      </c>
      <c r="H16" s="77" t="s">
        <v>28</v>
      </c>
      <c r="I16" s="79">
        <v>2693</v>
      </c>
      <c r="J16" s="80"/>
      <c r="K16" s="62"/>
      <c r="L16" s="63"/>
      <c r="M16" s="9"/>
      <c r="N16" s="9"/>
    </row>
    <row r="17" spans="1:14" ht="18">
      <c r="A17" s="21"/>
      <c r="B17" s="21"/>
      <c r="C17" s="197" t="s">
        <v>32</v>
      </c>
      <c r="D17" s="198"/>
      <c r="E17" s="198"/>
      <c r="F17" s="198"/>
      <c r="G17" s="76" t="s">
        <v>280</v>
      </c>
      <c r="H17" s="77" t="s">
        <v>28</v>
      </c>
      <c r="I17" s="79">
        <v>36</v>
      </c>
      <c r="J17" s="80"/>
      <c r="K17" s="81"/>
      <c r="L17" s="63"/>
      <c r="M17" s="9"/>
      <c r="N17" s="9"/>
    </row>
    <row r="18" spans="1:14" ht="18">
      <c r="A18" s="21"/>
      <c r="B18" s="21"/>
      <c r="C18" s="193" t="s">
        <v>33</v>
      </c>
      <c r="D18" s="194"/>
      <c r="E18" s="194"/>
      <c r="F18" s="194"/>
      <c r="G18" s="76" t="s">
        <v>280</v>
      </c>
      <c r="H18" s="77" t="s">
        <v>28</v>
      </c>
      <c r="I18" s="78">
        <v>1220</v>
      </c>
      <c r="J18" s="62"/>
      <c r="K18" s="62"/>
      <c r="L18" s="63"/>
      <c r="M18" s="9"/>
      <c r="N18" s="9"/>
    </row>
    <row r="19" spans="1:14" ht="18">
      <c r="A19" s="21"/>
      <c r="B19" s="21"/>
      <c r="C19" s="193" t="s">
        <v>34</v>
      </c>
      <c r="D19" s="194"/>
      <c r="E19" s="194"/>
      <c r="F19" s="194"/>
      <c r="G19" s="76" t="s">
        <v>280</v>
      </c>
      <c r="H19" s="77" t="s">
        <v>28</v>
      </c>
      <c r="I19" s="78">
        <v>1256</v>
      </c>
      <c r="J19" s="62"/>
      <c r="K19" s="62"/>
      <c r="L19" s="63"/>
      <c r="M19" s="9"/>
      <c r="N19" s="9"/>
    </row>
    <row r="20" spans="1:14" ht="16.2">
      <c r="A20" s="21"/>
      <c r="B20" s="21"/>
      <c r="C20" s="196" t="s">
        <v>5</v>
      </c>
      <c r="D20" s="199"/>
      <c r="E20" s="199"/>
      <c r="F20" s="199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195" t="s">
        <v>73</v>
      </c>
      <c r="D21" s="195"/>
      <c r="E21" s="195"/>
      <c r="F21" s="196"/>
      <c r="G21" s="76" t="s">
        <v>280</v>
      </c>
      <c r="H21" s="77" t="s">
        <v>28</v>
      </c>
      <c r="I21" s="78">
        <v>1103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211" t="s">
        <v>52</v>
      </c>
      <c r="D22" s="212"/>
      <c r="E22" s="212"/>
      <c r="F22" s="212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2" t="s">
        <v>99</v>
      </c>
      <c r="D23" s="189"/>
      <c r="E23" s="189"/>
      <c r="F23" s="189"/>
      <c r="G23" s="76" t="s">
        <v>14</v>
      </c>
      <c r="H23" s="77" t="s">
        <v>14</v>
      </c>
      <c r="I23" s="67">
        <v>60</v>
      </c>
      <c r="J23" s="62">
        <f>2*I7*I6</f>
        <v>60</v>
      </c>
      <c r="K23" s="62">
        <f>I7*2</f>
        <v>12</v>
      </c>
      <c r="L23" s="63"/>
      <c r="M23" s="9"/>
      <c r="N23" s="9"/>
    </row>
    <row r="24" spans="1:14" ht="16.2">
      <c r="A24" s="21"/>
      <c r="B24" s="21"/>
      <c r="C24" s="172" t="s">
        <v>35</v>
      </c>
      <c r="D24" s="189"/>
      <c r="E24" s="189"/>
      <c r="F24" s="189"/>
      <c r="G24" s="76" t="s">
        <v>21</v>
      </c>
      <c r="H24" s="77" t="s">
        <v>21</v>
      </c>
      <c r="I24" s="18">
        <v>25</v>
      </c>
      <c r="J24" s="62"/>
      <c r="K24" s="62"/>
      <c r="L24" s="63"/>
      <c r="M24" s="9"/>
      <c r="N24" s="9"/>
    </row>
    <row r="25" spans="1:14" ht="16.2">
      <c r="A25" s="21"/>
      <c r="B25" s="21"/>
      <c r="C25" s="172" t="s">
        <v>36</v>
      </c>
      <c r="D25" s="189"/>
      <c r="E25" s="189"/>
      <c r="F25" s="189"/>
      <c r="G25" s="76" t="s">
        <v>14</v>
      </c>
      <c r="H25" s="77" t="s">
        <v>14</v>
      </c>
      <c r="I25" s="18">
        <v>15</v>
      </c>
      <c r="J25" s="62"/>
      <c r="K25" s="62"/>
      <c r="L25" s="63"/>
      <c r="M25" s="9"/>
      <c r="N25" s="9"/>
    </row>
    <row r="26" spans="1:14" ht="16.2">
      <c r="A26" s="21"/>
      <c r="B26" s="21"/>
      <c r="C26" s="172" t="s">
        <v>37</v>
      </c>
      <c r="D26" s="189"/>
      <c r="E26" s="189"/>
      <c r="F26" s="189"/>
      <c r="G26" s="76" t="s">
        <v>14</v>
      </c>
      <c r="H26" s="77" t="s">
        <v>14</v>
      </c>
      <c r="I26" s="18">
        <v>6</v>
      </c>
      <c r="J26" s="62"/>
      <c r="K26" s="62"/>
      <c r="L26" s="63"/>
      <c r="M26" s="9"/>
      <c r="N26" s="9"/>
    </row>
    <row r="27" spans="1:14" ht="16.2">
      <c r="A27" s="21"/>
      <c r="B27" s="21"/>
      <c r="C27" s="172" t="s">
        <v>353</v>
      </c>
      <c r="D27" s="189"/>
      <c r="E27" s="189"/>
      <c r="F27" s="189"/>
      <c r="G27" s="76" t="s">
        <v>14</v>
      </c>
      <c r="H27" s="77" t="s">
        <v>14</v>
      </c>
      <c r="I27" s="18">
        <v>4</v>
      </c>
      <c r="J27" s="62"/>
      <c r="K27" s="62"/>
      <c r="L27" s="63"/>
      <c r="M27" s="9"/>
      <c r="N27" s="9"/>
    </row>
    <row r="28" spans="1:14" ht="16.2">
      <c r="A28" s="21"/>
      <c r="B28" s="21"/>
      <c r="C28" s="172" t="s">
        <v>38</v>
      </c>
      <c r="D28" s="189"/>
      <c r="E28" s="189"/>
      <c r="F28" s="189"/>
      <c r="G28" s="76" t="s">
        <v>21</v>
      </c>
      <c r="H28" s="77" t="s">
        <v>21</v>
      </c>
      <c r="I28" s="18">
        <v>25</v>
      </c>
      <c r="J28" s="62"/>
      <c r="K28" s="62"/>
      <c r="L28" s="63"/>
      <c r="M28" s="9"/>
      <c r="N28" s="9"/>
    </row>
    <row r="29" spans="1:14" ht="16.2">
      <c r="A29" s="21"/>
      <c r="B29" s="21"/>
      <c r="C29" s="172" t="s">
        <v>19</v>
      </c>
      <c r="D29" s="189"/>
      <c r="E29" s="189"/>
      <c r="F29" s="189"/>
      <c r="G29" s="76" t="s">
        <v>14</v>
      </c>
      <c r="H29" s="77" t="s">
        <v>14</v>
      </c>
      <c r="I29" s="18">
        <v>6</v>
      </c>
      <c r="J29" s="62"/>
      <c r="K29" s="62"/>
      <c r="L29" s="63"/>
      <c r="M29" s="9"/>
      <c r="N29" s="9"/>
    </row>
    <row r="30" spans="1:14" ht="16.2">
      <c r="A30" s="21"/>
      <c r="B30" s="21"/>
      <c r="C30" s="192" t="s">
        <v>193</v>
      </c>
      <c r="D30" s="203"/>
      <c r="E30" s="203"/>
      <c r="F30" s="203"/>
      <c r="G30" s="76" t="s">
        <v>14</v>
      </c>
      <c r="H30" s="77" t="s">
        <v>14</v>
      </c>
      <c r="I30" s="18">
        <v>31</v>
      </c>
      <c r="J30" s="62"/>
      <c r="K30" s="62"/>
      <c r="L30" s="63"/>
      <c r="M30" s="9"/>
      <c r="N30" s="9"/>
    </row>
    <row r="31" spans="1:14" ht="16.2">
      <c r="A31" s="21"/>
      <c r="B31" s="21"/>
      <c r="C31" s="190" t="s">
        <v>191</v>
      </c>
      <c r="D31" s="191"/>
      <c r="E31" s="191"/>
      <c r="F31" s="192"/>
      <c r="G31" s="76" t="s">
        <v>14</v>
      </c>
      <c r="H31" s="77" t="s">
        <v>14</v>
      </c>
      <c r="I31" s="18">
        <v>30</v>
      </c>
      <c r="J31" s="62">
        <f>I6*I7</f>
        <v>30</v>
      </c>
      <c r="K31" s="62"/>
      <c r="L31" s="63"/>
      <c r="M31" s="9"/>
      <c r="N31" s="9"/>
    </row>
    <row r="32" spans="1:14" ht="16.2">
      <c r="A32" s="21"/>
      <c r="B32" s="21"/>
      <c r="C32" s="172" t="s">
        <v>248</v>
      </c>
      <c r="D32" s="189"/>
      <c r="E32" s="189"/>
      <c r="F32" s="189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2" t="s">
        <v>261</v>
      </c>
      <c r="D33" s="189"/>
      <c r="E33" s="189"/>
      <c r="F33" s="189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2" t="s">
        <v>192</v>
      </c>
      <c r="D34" s="189"/>
      <c r="E34" s="189"/>
      <c r="F34" s="189"/>
      <c r="G34" s="76" t="s">
        <v>14</v>
      </c>
      <c r="H34" s="77" t="s">
        <v>14</v>
      </c>
      <c r="I34" s="18">
        <v>6</v>
      </c>
      <c r="J34" s="62"/>
      <c r="K34" s="62"/>
      <c r="L34" s="63"/>
      <c r="M34" s="9"/>
      <c r="N34" s="9"/>
    </row>
    <row r="35" spans="1:14" ht="16.2">
      <c r="A35" s="21"/>
      <c r="B35" s="21"/>
      <c r="C35" s="172" t="s">
        <v>207</v>
      </c>
      <c r="D35" s="189"/>
      <c r="E35" s="189"/>
      <c r="F35" s="189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215" t="s">
        <v>6</v>
      </c>
      <c r="D36" s="216"/>
      <c r="E36" s="216"/>
      <c r="F36" s="216"/>
      <c r="G36" s="76" t="s">
        <v>14</v>
      </c>
      <c r="H36" s="77" t="s">
        <v>14</v>
      </c>
      <c r="I36" s="67">
        <v>180</v>
      </c>
      <c r="J36" s="62"/>
      <c r="K36" s="62"/>
      <c r="L36" s="63"/>
      <c r="M36" s="9"/>
      <c r="N36" s="9"/>
    </row>
    <row r="37" spans="1:14" ht="16.2">
      <c r="A37" s="21"/>
      <c r="B37" s="21"/>
      <c r="C37" s="215" t="s">
        <v>20</v>
      </c>
      <c r="D37" s="216"/>
      <c r="E37" s="216"/>
      <c r="F37" s="216"/>
      <c r="G37" s="76" t="s">
        <v>21</v>
      </c>
      <c r="H37" s="77" t="s">
        <v>21</v>
      </c>
      <c r="I37" s="72">
        <v>720</v>
      </c>
      <c r="J37" s="62">
        <f>I36*3</f>
        <v>540</v>
      </c>
      <c r="K37" s="62"/>
      <c r="L37" s="63"/>
      <c r="M37" s="9"/>
      <c r="N37" s="9"/>
    </row>
    <row r="38" spans="1:14" ht="15.6" customHeight="1">
      <c r="A38" s="21"/>
      <c r="B38" s="21"/>
      <c r="C38" s="173" t="s">
        <v>22</v>
      </c>
      <c r="D38" s="174"/>
      <c r="E38" s="174"/>
      <c r="F38" s="174"/>
      <c r="G38" s="82" t="s">
        <v>11</v>
      </c>
      <c r="H38" s="83" t="s">
        <v>11</v>
      </c>
      <c r="I38" s="18">
        <v>403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3" t="s">
        <v>9</v>
      </c>
      <c r="D39" s="174"/>
      <c r="E39" s="174"/>
      <c r="F39" s="174"/>
      <c r="G39" s="82" t="s">
        <v>11</v>
      </c>
      <c r="H39" s="83" t="s">
        <v>11</v>
      </c>
      <c r="I39" s="18">
        <v>403</v>
      </c>
      <c r="J39" s="62"/>
      <c r="K39" s="62"/>
      <c r="L39" s="63"/>
      <c r="M39" s="9"/>
      <c r="N39" s="9"/>
    </row>
    <row r="40" spans="1:14" ht="15.6" customHeight="1">
      <c r="A40" s="21"/>
      <c r="B40" s="21"/>
      <c r="C40" s="173" t="s">
        <v>10</v>
      </c>
      <c r="D40" s="174"/>
      <c r="E40" s="174"/>
      <c r="F40" s="174"/>
      <c r="G40" s="82" t="s">
        <v>11</v>
      </c>
      <c r="H40" s="83" t="s">
        <v>11</v>
      </c>
      <c r="I40" s="18">
        <v>1384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69" t="s">
        <v>13</v>
      </c>
      <c r="D41" s="170"/>
      <c r="E41" s="170"/>
      <c r="F41" s="170"/>
      <c r="G41" s="84" t="s">
        <v>14</v>
      </c>
      <c r="H41" s="85" t="s">
        <v>14</v>
      </c>
      <c r="I41" s="18">
        <v>1</v>
      </c>
      <c r="J41" s="62"/>
      <c r="K41" s="62"/>
      <c r="L41" s="63"/>
      <c r="M41" s="9"/>
      <c r="N41" s="9"/>
    </row>
    <row r="42" spans="1:14" ht="15.6" customHeight="1">
      <c r="A42" s="21"/>
      <c r="B42" s="21"/>
      <c r="C42" s="213" t="s">
        <v>23</v>
      </c>
      <c r="D42" s="214"/>
      <c r="E42" s="214"/>
      <c r="F42" s="214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67" t="s">
        <v>208</v>
      </c>
      <c r="D43" s="168"/>
      <c r="E43" s="168"/>
      <c r="F43" s="86" t="s">
        <v>26</v>
      </c>
      <c r="G43" s="84" t="s">
        <v>14</v>
      </c>
      <c r="H43" s="85" t="s">
        <v>14</v>
      </c>
      <c r="I43" s="18">
        <v>90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67" t="s">
        <v>262</v>
      </c>
      <c r="D44" s="168"/>
      <c r="E44" s="168"/>
      <c r="F44" s="86" t="s">
        <v>101</v>
      </c>
      <c r="G44" s="84" t="s">
        <v>14</v>
      </c>
      <c r="H44" s="85" t="s">
        <v>14</v>
      </c>
      <c r="I44" s="18">
        <v>18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67" t="s">
        <v>209</v>
      </c>
      <c r="D45" s="168"/>
      <c r="E45" s="168"/>
      <c r="F45" s="86" t="s">
        <v>27</v>
      </c>
      <c r="G45" s="84" t="s">
        <v>14</v>
      </c>
      <c r="H45" s="85" t="s">
        <v>14</v>
      </c>
      <c r="I45" s="18">
        <v>3</v>
      </c>
      <c r="J45" s="62"/>
      <c r="K45" s="62"/>
      <c r="L45" s="63"/>
      <c r="M45" s="9"/>
      <c r="N45" s="9"/>
    </row>
    <row r="46" spans="1:14" ht="15.6" customHeight="1">
      <c r="A46" s="21"/>
      <c r="B46" s="21"/>
      <c r="C46" s="169" t="s">
        <v>24</v>
      </c>
      <c r="D46" s="170"/>
      <c r="E46" s="170"/>
      <c r="F46" s="170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67" t="s">
        <v>210</v>
      </c>
      <c r="D47" s="168"/>
      <c r="E47" s="168"/>
      <c r="F47" s="86" t="s">
        <v>2</v>
      </c>
      <c r="G47" s="84" t="s">
        <v>14</v>
      </c>
      <c r="H47" s="85" t="s">
        <v>14</v>
      </c>
      <c r="I47" s="18">
        <v>58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67" t="s">
        <v>209</v>
      </c>
      <c r="D48" s="168"/>
      <c r="E48" s="168"/>
      <c r="F48" s="86" t="s">
        <v>3</v>
      </c>
      <c r="G48" s="84" t="s">
        <v>14</v>
      </c>
      <c r="H48" s="85" t="s">
        <v>14</v>
      </c>
      <c r="I48" s="18">
        <v>7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67" t="s">
        <v>17</v>
      </c>
      <c r="D49" s="168"/>
      <c r="E49" s="168"/>
      <c r="F49" s="168"/>
      <c r="G49" s="84" t="s">
        <v>14</v>
      </c>
      <c r="H49" s="85" t="s">
        <v>14</v>
      </c>
      <c r="I49" s="18">
        <v>310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67" t="s">
        <v>212</v>
      </c>
      <c r="D50" s="168"/>
      <c r="E50" s="168"/>
      <c r="F50" s="168"/>
      <c r="G50" s="84" t="s">
        <v>14</v>
      </c>
      <c r="H50" s="85" t="s">
        <v>14</v>
      </c>
      <c r="I50" s="67">
        <v>1</v>
      </c>
      <c r="J50" s="62"/>
      <c r="K50" s="62"/>
      <c r="L50" s="63"/>
      <c r="M50" s="9"/>
      <c r="N50" s="9"/>
    </row>
    <row r="51" spans="1:14" ht="15.6" customHeight="1">
      <c r="A51" s="21"/>
      <c r="B51" s="21"/>
      <c r="C51" s="173" t="s">
        <v>211</v>
      </c>
      <c r="D51" s="174"/>
      <c r="E51" s="174"/>
      <c r="F51" s="174"/>
      <c r="G51" s="82" t="s">
        <v>11</v>
      </c>
      <c r="H51" s="83" t="s">
        <v>11</v>
      </c>
      <c r="I51" s="67">
        <v>480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67" t="s">
        <v>164</v>
      </c>
      <c r="D52" s="168"/>
      <c r="E52" s="168"/>
      <c r="F52" s="168"/>
      <c r="G52" s="82" t="s">
        <v>14</v>
      </c>
      <c r="H52" s="83" t="s">
        <v>14</v>
      </c>
      <c r="I52" s="18">
        <v>19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67" t="s">
        <v>165</v>
      </c>
      <c r="D53" s="168"/>
      <c r="E53" s="168"/>
      <c r="F53" s="168"/>
      <c r="G53" s="82" t="s">
        <v>14</v>
      </c>
      <c r="H53" s="83" t="s">
        <v>14</v>
      </c>
      <c r="I53" s="18">
        <v>19</v>
      </c>
      <c r="J53" s="62"/>
      <c r="K53" s="62"/>
      <c r="L53" s="63"/>
      <c r="M53" s="9"/>
      <c r="N53" s="9"/>
    </row>
    <row r="54" spans="1:14" ht="15.6" customHeight="1">
      <c r="A54" s="21"/>
      <c r="B54" s="21"/>
      <c r="C54" s="167" t="s">
        <v>166</v>
      </c>
      <c r="D54" s="168"/>
      <c r="E54" s="168"/>
      <c r="F54" s="168"/>
      <c r="G54" s="82" t="s">
        <v>14</v>
      </c>
      <c r="H54" s="83" t="s">
        <v>14</v>
      </c>
      <c r="I54" s="18">
        <v>18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67" t="s">
        <v>161</v>
      </c>
      <c r="D55" s="168"/>
      <c r="E55" s="168"/>
      <c r="F55" s="168"/>
      <c r="G55" s="82" t="s">
        <v>14</v>
      </c>
      <c r="H55" s="83" t="s">
        <v>14</v>
      </c>
      <c r="I55" s="18">
        <v>12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67" t="s">
        <v>160</v>
      </c>
      <c r="D56" s="168"/>
      <c r="E56" s="168"/>
      <c r="F56" s="168"/>
      <c r="G56" s="82" t="s">
        <v>14</v>
      </c>
      <c r="H56" s="83" t="s">
        <v>14</v>
      </c>
      <c r="I56" s="18">
        <v>8</v>
      </c>
      <c r="J56" s="62"/>
      <c r="K56" s="62"/>
      <c r="L56" s="63"/>
      <c r="M56" s="9"/>
      <c r="N56" s="9"/>
    </row>
    <row r="57" spans="1:14" ht="15.6" customHeight="1">
      <c r="A57" s="21"/>
      <c r="B57" s="21"/>
      <c r="C57" s="167" t="s">
        <v>162</v>
      </c>
      <c r="D57" s="168"/>
      <c r="E57" s="168"/>
      <c r="F57" s="168"/>
      <c r="G57" s="82" t="s">
        <v>14</v>
      </c>
      <c r="H57" s="83" t="s">
        <v>14</v>
      </c>
      <c r="I57" s="18">
        <v>16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67" t="s">
        <v>163</v>
      </c>
      <c r="D58" s="168"/>
      <c r="E58" s="168"/>
      <c r="F58" s="168"/>
      <c r="G58" s="82" t="s">
        <v>14</v>
      </c>
      <c r="H58" s="83" t="s">
        <v>14</v>
      </c>
      <c r="I58" s="18">
        <v>14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67" t="s">
        <v>154</v>
      </c>
      <c r="D59" s="168"/>
      <c r="E59" s="168"/>
      <c r="F59" s="168"/>
      <c r="G59" s="82" t="s">
        <v>14</v>
      </c>
      <c r="H59" s="83" t="s">
        <v>14</v>
      </c>
      <c r="I59" s="18">
        <v>18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67" t="s">
        <v>279</v>
      </c>
      <c r="D60" s="168"/>
      <c r="E60" s="168"/>
      <c r="F60" s="168"/>
      <c r="G60" s="82" t="s">
        <v>14</v>
      </c>
      <c r="H60" s="83" t="s">
        <v>14</v>
      </c>
      <c r="I60" s="18">
        <v>18</v>
      </c>
      <c r="J60" s="62"/>
      <c r="K60" s="62"/>
      <c r="L60" s="63"/>
      <c r="M60" s="9"/>
      <c r="N60" s="9"/>
    </row>
    <row r="61" spans="1:14" ht="15.6" customHeight="1">
      <c r="A61" s="21"/>
      <c r="B61" s="21"/>
      <c r="C61" s="167" t="s">
        <v>155</v>
      </c>
      <c r="D61" s="168"/>
      <c r="E61" s="168"/>
      <c r="F61" s="168"/>
      <c r="G61" s="82" t="s">
        <v>14</v>
      </c>
      <c r="H61" s="83" t="s">
        <v>14</v>
      </c>
      <c r="I61" s="18">
        <v>18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67" t="s">
        <v>156</v>
      </c>
      <c r="D62" s="168"/>
      <c r="E62" s="168"/>
      <c r="F62" s="168"/>
      <c r="G62" s="82" t="s">
        <v>14</v>
      </c>
      <c r="H62" s="83" t="s">
        <v>14</v>
      </c>
      <c r="I62" s="18">
        <v>60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204" t="s">
        <v>204</v>
      </c>
      <c r="D63" s="205"/>
      <c r="E63" s="205"/>
      <c r="F63" s="205"/>
      <c r="G63" s="82" t="s">
        <v>14</v>
      </c>
      <c r="H63" s="83" t="s">
        <v>14</v>
      </c>
      <c r="I63" s="77"/>
      <c r="J63" s="62"/>
      <c r="K63" s="62"/>
      <c r="L63" s="63"/>
      <c r="M63" s="9"/>
      <c r="N63" s="9"/>
    </row>
    <row r="64" spans="1:14" ht="32.4" customHeight="1">
      <c r="A64" s="21"/>
      <c r="B64" s="21"/>
      <c r="C64" s="171" t="s">
        <v>256</v>
      </c>
      <c r="D64" s="171"/>
      <c r="E64" s="171"/>
      <c r="F64" s="172"/>
      <c r="G64" s="76"/>
      <c r="H64" s="77" t="s">
        <v>255</v>
      </c>
      <c r="I64" s="72">
        <v>440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71" t="s">
        <v>257</v>
      </c>
      <c r="D65" s="171"/>
      <c r="E65" s="171"/>
      <c r="F65" s="172"/>
      <c r="G65" s="76"/>
      <c r="H65" s="77" t="s">
        <v>255</v>
      </c>
      <c r="I65" s="72"/>
      <c r="J65" s="62"/>
      <c r="K65" s="62"/>
      <c r="L65" s="63"/>
      <c r="M65" s="9"/>
      <c r="N65" s="9"/>
    </row>
    <row r="66" spans="1:14">
      <c r="A66" s="21"/>
      <c r="B66" s="21"/>
      <c r="C66" s="206" t="s">
        <v>39</v>
      </c>
      <c r="D66" s="207"/>
      <c r="E66" s="207"/>
      <c r="F66" s="207"/>
      <c r="G66" s="207"/>
      <c r="H66" s="207"/>
      <c r="I66" s="207"/>
      <c r="J66" s="62"/>
      <c r="K66" s="62"/>
      <c r="L66" s="63"/>
      <c r="M66" s="9"/>
      <c r="N66" s="9"/>
    </row>
    <row r="67" spans="1:14" ht="16.2">
      <c r="A67" s="144" t="s">
        <v>40</v>
      </c>
      <c r="B67" s="145"/>
      <c r="C67" s="145"/>
      <c r="D67" s="145"/>
      <c r="E67" s="145"/>
      <c r="F67" s="145"/>
      <c r="G67" s="145"/>
      <c r="H67" s="145"/>
      <c r="I67" s="146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81" t="s">
        <v>126</v>
      </c>
      <c r="D68" s="182"/>
      <c r="E68" s="182"/>
      <c r="F68" s="182"/>
      <c r="G68" s="182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75" t="s">
        <v>264</v>
      </c>
      <c r="D69" s="175"/>
      <c r="E69" s="175"/>
      <c r="F69" s="175"/>
      <c r="G69" s="175"/>
      <c r="H69" s="175"/>
      <c r="I69" s="176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30" t="s">
        <v>281</v>
      </c>
      <c r="D70" s="131"/>
      <c r="E70" s="131"/>
      <c r="F70" s="131"/>
      <c r="G70" s="131"/>
      <c r="H70" s="132"/>
      <c r="I70" s="78">
        <f>I14*J70*M70/K70</f>
        <v>293.76</v>
      </c>
      <c r="J70" s="62">
        <v>0.25</v>
      </c>
      <c r="K70" s="62">
        <v>100</v>
      </c>
      <c r="L70" s="63"/>
      <c r="M70" s="65">
        <v>96</v>
      </c>
      <c r="N70" s="9" t="s">
        <v>360</v>
      </c>
    </row>
    <row r="71" spans="1:14" ht="16.95" customHeight="1">
      <c r="A71" s="21"/>
      <c r="B71" s="21" t="s">
        <v>120</v>
      </c>
      <c r="C71" s="130" t="s">
        <v>282</v>
      </c>
      <c r="D71" s="131"/>
      <c r="E71" s="131"/>
      <c r="F71" s="131" t="s">
        <v>74</v>
      </c>
      <c r="G71" s="131"/>
      <c r="H71" s="132"/>
      <c r="I71" s="78">
        <f>I15*J71*M71/K71</f>
        <v>123.55200000000001</v>
      </c>
      <c r="J71" s="62">
        <v>0.33</v>
      </c>
      <c r="K71" s="62">
        <v>100</v>
      </c>
      <c r="L71" s="63"/>
      <c r="M71" s="65">
        <v>96</v>
      </c>
      <c r="N71" s="9"/>
    </row>
    <row r="72" spans="1:14" ht="16.95" customHeight="1">
      <c r="A72" s="21"/>
      <c r="B72" s="21" t="s">
        <v>121</v>
      </c>
      <c r="C72" s="130" t="s">
        <v>122</v>
      </c>
      <c r="D72" s="131"/>
      <c r="E72" s="131"/>
      <c r="F72" s="131" t="s">
        <v>74</v>
      </c>
      <c r="G72" s="131"/>
      <c r="H72" s="132"/>
      <c r="I72" s="78">
        <f>I16*J72*M72/K72</f>
        <v>336.08639999999997</v>
      </c>
      <c r="J72" s="62">
        <v>0.13</v>
      </c>
      <c r="K72" s="62">
        <v>100</v>
      </c>
      <c r="L72" s="63"/>
      <c r="M72" s="65">
        <v>96</v>
      </c>
      <c r="N72" s="9"/>
    </row>
    <row r="73" spans="1:14" ht="16.95" customHeight="1">
      <c r="A73" s="21"/>
      <c r="B73" s="21" t="s">
        <v>123</v>
      </c>
      <c r="C73" s="130" t="s">
        <v>276</v>
      </c>
      <c r="D73" s="131"/>
      <c r="E73" s="131"/>
      <c r="F73" s="131" t="s">
        <v>74</v>
      </c>
      <c r="G73" s="131"/>
      <c r="H73" s="132"/>
      <c r="I73" s="78">
        <f>J73*0.36*M73</f>
        <v>13.1328</v>
      </c>
      <c r="J73" s="81">
        <v>0.38</v>
      </c>
      <c r="K73" s="81">
        <v>2</v>
      </c>
      <c r="L73" s="63"/>
      <c r="M73" s="65">
        <v>96</v>
      </c>
      <c r="N73" s="9"/>
    </row>
    <row r="74" spans="1:14" ht="16.95" customHeight="1">
      <c r="A74" s="21"/>
      <c r="B74" s="21"/>
      <c r="C74" s="130" t="s">
        <v>359</v>
      </c>
      <c r="D74" s="131"/>
      <c r="E74" s="131"/>
      <c r="F74" s="131" t="s">
        <v>70</v>
      </c>
      <c r="G74" s="131"/>
      <c r="H74" s="132"/>
      <c r="I74" s="78">
        <f>I70+I71+I72+I73</f>
        <v>766.53120000000001</v>
      </c>
      <c r="J74" s="62">
        <v>2003</v>
      </c>
      <c r="K74" s="62"/>
      <c r="L74" s="63"/>
      <c r="M74" s="65" t="s">
        <v>258</v>
      </c>
      <c r="N74" s="9"/>
    </row>
    <row r="75" spans="1:14" ht="16.95" customHeight="1">
      <c r="A75" s="21"/>
      <c r="B75" s="21"/>
      <c r="C75" s="130" t="s">
        <v>273</v>
      </c>
      <c r="D75" s="131"/>
      <c r="E75" s="131"/>
      <c r="F75" s="131" t="s">
        <v>42</v>
      </c>
      <c r="G75" s="131"/>
      <c r="H75" s="132"/>
      <c r="I75" s="87">
        <f>I74/J74</f>
        <v>0.382691562656016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30" t="s">
        <v>75</v>
      </c>
      <c r="D76" s="131"/>
      <c r="E76" s="131"/>
      <c r="F76" s="131" t="s">
        <v>18</v>
      </c>
      <c r="G76" s="131"/>
      <c r="H76" s="132"/>
      <c r="I76" s="78">
        <f>I75*J76*K76*L76</f>
        <v>799.05998282576138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30" t="s">
        <v>270</v>
      </c>
      <c r="D77" s="131"/>
      <c r="E77" s="131"/>
      <c r="F77" s="131" t="s">
        <v>18</v>
      </c>
      <c r="G77" s="131"/>
      <c r="H77" s="132"/>
      <c r="I77" s="78">
        <f>I76*0.22</f>
        <v>175.7931962216675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35" t="s">
        <v>363</v>
      </c>
      <c r="D78" s="136"/>
      <c r="E78" s="136"/>
      <c r="F78" s="136" t="s">
        <v>18</v>
      </c>
      <c r="G78" s="136"/>
      <c r="H78" s="137"/>
      <c r="I78" s="72">
        <f>I76*J78</f>
        <v>271.68039416075891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3" t="s">
        <v>339</v>
      </c>
      <c r="D79" s="155"/>
      <c r="E79" s="133" t="s">
        <v>340</v>
      </c>
      <c r="F79" s="152"/>
      <c r="G79" s="152"/>
      <c r="H79" s="134"/>
      <c r="I79" s="72">
        <f>I75*J79</f>
        <v>81.482687520718926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3" t="s">
        <v>283</v>
      </c>
      <c r="D80" s="154"/>
      <c r="E80" s="154"/>
      <c r="F80" s="154"/>
      <c r="G80" s="154"/>
      <c r="H80" s="155"/>
      <c r="I80" s="72">
        <f>SUM(I76:I79)</f>
        <v>1328.0162607289067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3" t="s">
        <v>364</v>
      </c>
      <c r="D81" s="154"/>
      <c r="E81" s="154"/>
      <c r="F81" s="154"/>
      <c r="G81" s="154"/>
      <c r="H81" s="155"/>
      <c r="I81" s="72">
        <f>I80*J81</f>
        <v>265.60325214578137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3" t="s">
        <v>45</v>
      </c>
      <c r="D82" s="154"/>
      <c r="E82" s="154"/>
      <c r="F82" s="154"/>
      <c r="G82" s="154"/>
      <c r="H82" s="155"/>
      <c r="I82" s="72">
        <f>I80+I81</f>
        <v>1593.6195128746881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64" t="s">
        <v>46</v>
      </c>
      <c r="D83" s="165"/>
      <c r="E83" s="166"/>
      <c r="F83" s="133" t="s">
        <v>18</v>
      </c>
      <c r="G83" s="134"/>
      <c r="H83" s="90">
        <v>0.05</v>
      </c>
      <c r="I83" s="72">
        <f>I82*J83</f>
        <v>79.680975643734413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58" t="s">
        <v>47</v>
      </c>
      <c r="D84" s="159"/>
      <c r="E84" s="159"/>
      <c r="F84" s="159" t="s">
        <v>18</v>
      </c>
      <c r="G84" s="159"/>
      <c r="H84" s="160"/>
      <c r="I84" s="78">
        <f>I82+I83</f>
        <v>1673.3004885184225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9" t="s">
        <v>48</v>
      </c>
      <c r="D85" s="147"/>
      <c r="E85" s="148"/>
      <c r="F85" s="150" t="s">
        <v>18</v>
      </c>
      <c r="G85" s="151"/>
      <c r="H85" s="92">
        <v>0.05</v>
      </c>
      <c r="I85" s="78">
        <f>I84*J85/K85</f>
        <v>88.068446764127515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58" t="s">
        <v>49</v>
      </c>
      <c r="D86" s="159"/>
      <c r="E86" s="159"/>
      <c r="F86" s="159" t="s">
        <v>18</v>
      </c>
      <c r="G86" s="159"/>
      <c r="H86" s="160"/>
      <c r="I86" s="78">
        <f>I84+I85</f>
        <v>1761.36893528255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38" t="s">
        <v>95</v>
      </c>
      <c r="D87" s="139"/>
      <c r="E87" s="139"/>
      <c r="F87" s="139"/>
      <c r="G87" s="139"/>
      <c r="H87" s="140"/>
      <c r="I87" s="14">
        <f>I86/I9</f>
        <v>0.3968512998680932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81" t="s">
        <v>128</v>
      </c>
      <c r="D88" s="182"/>
      <c r="E88" s="182"/>
      <c r="F88" s="182"/>
      <c r="G88" s="182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30" t="s">
        <v>284</v>
      </c>
      <c r="D89" s="131"/>
      <c r="E89" s="131"/>
      <c r="F89" s="131"/>
      <c r="G89" s="131"/>
      <c r="H89" s="132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30" t="s">
        <v>341</v>
      </c>
      <c r="D90" s="131"/>
      <c r="E90" s="131"/>
      <c r="F90" s="131" t="s">
        <v>285</v>
      </c>
      <c r="G90" s="131"/>
      <c r="H90" s="132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30" t="s">
        <v>286</v>
      </c>
      <c r="D91" s="131"/>
      <c r="E91" s="131"/>
      <c r="F91" s="131" t="s">
        <v>42</v>
      </c>
      <c r="G91" s="131"/>
      <c r="H91" s="132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30" t="s">
        <v>75</v>
      </c>
      <c r="D92" s="131"/>
      <c r="E92" s="131"/>
      <c r="F92" s="131" t="s">
        <v>18</v>
      </c>
      <c r="G92" s="131"/>
      <c r="H92" s="132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30" t="s">
        <v>44</v>
      </c>
      <c r="D93" s="131"/>
      <c r="E93" s="131"/>
      <c r="F93" s="131" t="s">
        <v>18</v>
      </c>
      <c r="G93" s="131"/>
      <c r="H93" s="132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35" t="s">
        <v>270</v>
      </c>
      <c r="D94" s="136"/>
      <c r="E94" s="136"/>
      <c r="F94" s="136" t="s">
        <v>18</v>
      </c>
      <c r="G94" s="136"/>
      <c r="H94" s="137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35" t="s">
        <v>361</v>
      </c>
      <c r="D95" s="136"/>
      <c r="E95" s="136"/>
      <c r="F95" s="136" t="s">
        <v>18</v>
      </c>
      <c r="G95" s="136"/>
      <c r="H95" s="137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3" t="s">
        <v>287</v>
      </c>
      <c r="D96" s="154"/>
      <c r="E96" s="155"/>
      <c r="F96" s="133" t="s">
        <v>18</v>
      </c>
      <c r="G96" s="134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3" t="s">
        <v>277</v>
      </c>
      <c r="D97" s="154"/>
      <c r="E97" s="155"/>
      <c r="F97" s="133" t="s">
        <v>18</v>
      </c>
      <c r="G97" s="134"/>
      <c r="H97" s="93" t="s">
        <v>274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3" t="s">
        <v>278</v>
      </c>
      <c r="D98" s="154"/>
      <c r="E98" s="155"/>
      <c r="F98" s="133" t="s">
        <v>18</v>
      </c>
      <c r="G98" s="134"/>
      <c r="H98" s="93" t="s">
        <v>275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35" t="s">
        <v>288</v>
      </c>
      <c r="D99" s="136"/>
      <c r="E99" s="136"/>
      <c r="F99" s="136" t="s">
        <v>18</v>
      </c>
      <c r="G99" s="136"/>
      <c r="H99" s="137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35" t="s">
        <v>365</v>
      </c>
      <c r="D100" s="136"/>
      <c r="E100" s="136"/>
      <c r="F100" s="136" t="s">
        <v>18</v>
      </c>
      <c r="G100" s="136"/>
      <c r="H100" s="137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30" t="s">
        <v>45</v>
      </c>
      <c r="D101" s="131"/>
      <c r="E101" s="131"/>
      <c r="F101" s="131" t="s">
        <v>18</v>
      </c>
      <c r="G101" s="131"/>
      <c r="H101" s="132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58" t="s">
        <v>46</v>
      </c>
      <c r="D102" s="159"/>
      <c r="E102" s="160"/>
      <c r="F102" s="150" t="s">
        <v>18</v>
      </c>
      <c r="G102" s="151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30" t="s">
        <v>47</v>
      </c>
      <c r="D103" s="131"/>
      <c r="E103" s="131"/>
      <c r="F103" s="131" t="s">
        <v>18</v>
      </c>
      <c r="G103" s="131"/>
      <c r="H103" s="132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58" t="s">
        <v>48</v>
      </c>
      <c r="D104" s="159"/>
      <c r="E104" s="160"/>
      <c r="F104" s="150" t="s">
        <v>18</v>
      </c>
      <c r="G104" s="151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30" t="s">
        <v>49</v>
      </c>
      <c r="D105" s="131"/>
      <c r="E105" s="131"/>
      <c r="F105" s="131" t="s">
        <v>18</v>
      </c>
      <c r="G105" s="131"/>
      <c r="H105" s="132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38" t="s">
        <v>95</v>
      </c>
      <c r="D106" s="139"/>
      <c r="E106" s="139"/>
      <c r="F106" s="139" t="s">
        <v>51</v>
      </c>
      <c r="G106" s="139"/>
      <c r="H106" s="140"/>
      <c r="I106" s="14">
        <f>I105/I9</f>
        <v>1.7246757704641846E-2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81" t="s">
        <v>132</v>
      </c>
      <c r="D107" s="182"/>
      <c r="E107" s="182"/>
      <c r="F107" s="182"/>
      <c r="G107" s="182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58" t="s">
        <v>289</v>
      </c>
      <c r="D108" s="159"/>
      <c r="E108" s="159"/>
      <c r="F108" s="159"/>
      <c r="G108" s="159"/>
      <c r="H108" s="160"/>
      <c r="I108" s="78">
        <f>J108*I16/K108</f>
        <v>7.5404000000000009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58" t="s">
        <v>290</v>
      </c>
      <c r="D109" s="159"/>
      <c r="E109" s="159"/>
      <c r="F109" s="159" t="s">
        <v>70</v>
      </c>
      <c r="G109" s="159"/>
      <c r="H109" s="160"/>
      <c r="I109" s="78">
        <f>J109*I16/K109</f>
        <v>2.9623000000000004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58" t="s">
        <v>133</v>
      </c>
      <c r="D110" s="159"/>
      <c r="E110" s="159"/>
      <c r="F110" s="159" t="s">
        <v>70</v>
      </c>
      <c r="G110" s="159"/>
      <c r="H110" s="160"/>
      <c r="I110" s="16">
        <f>(I108+I109)*J110</f>
        <v>31.508100000000002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30" t="s">
        <v>291</v>
      </c>
      <c r="D111" s="131"/>
      <c r="E111" s="131"/>
      <c r="F111" s="131" t="s">
        <v>42</v>
      </c>
      <c r="G111" s="131"/>
      <c r="H111" s="132"/>
      <c r="I111" s="16">
        <f>I110/J111</f>
        <v>1.5730454318522217E-2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58" t="s">
        <v>96</v>
      </c>
      <c r="D112" s="159"/>
      <c r="E112" s="159"/>
      <c r="F112" s="159" t="s">
        <v>18</v>
      </c>
      <c r="G112" s="159"/>
      <c r="H112" s="160"/>
      <c r="I112" s="78">
        <f>J112*K112*L112*I111</f>
        <v>32.845188617074392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30" t="s">
        <v>270</v>
      </c>
      <c r="D113" s="131"/>
      <c r="E113" s="131"/>
      <c r="F113" s="131" t="s">
        <v>18</v>
      </c>
      <c r="G113" s="131"/>
      <c r="H113" s="132"/>
      <c r="I113" s="78">
        <f>I112*J113</f>
        <v>7.2259414957563664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58" t="s">
        <v>134</v>
      </c>
      <c r="D114" s="159"/>
      <c r="E114" s="159"/>
      <c r="F114" s="159"/>
      <c r="G114" s="159"/>
      <c r="H114" s="160"/>
      <c r="I114" s="78">
        <f>0.26*I16/100</f>
        <v>7.0018000000000002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58" t="s">
        <v>135</v>
      </c>
      <c r="D115" s="159"/>
      <c r="E115" s="159"/>
      <c r="F115" s="159"/>
      <c r="G115" s="159"/>
      <c r="H115" s="160"/>
      <c r="I115" s="78">
        <f>I114*3</f>
        <v>21.005400000000002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58" t="s">
        <v>136</v>
      </c>
      <c r="D116" s="159"/>
      <c r="E116" s="159"/>
      <c r="F116" s="159"/>
      <c r="G116" s="159"/>
      <c r="H116" s="160"/>
      <c r="I116" s="78">
        <f>I115/12</f>
        <v>1.7504500000000001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3" t="s">
        <v>97</v>
      </c>
      <c r="D117" s="154"/>
      <c r="E117" s="154"/>
      <c r="F117" s="154"/>
      <c r="G117" s="154"/>
      <c r="H117" s="155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3" t="s">
        <v>342</v>
      </c>
      <c r="D118" s="154"/>
      <c r="E118" s="154"/>
      <c r="F118" s="154" t="s">
        <v>18</v>
      </c>
      <c r="G118" s="154"/>
      <c r="H118" s="155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3" t="s">
        <v>137</v>
      </c>
      <c r="D119" s="154"/>
      <c r="E119" s="154"/>
      <c r="F119" s="154" t="s">
        <v>18</v>
      </c>
      <c r="G119" s="154"/>
      <c r="H119" s="155"/>
      <c r="I119" s="72">
        <f>I118*I16/100*3/12</f>
        <v>67.998249999999999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3" t="s">
        <v>361</v>
      </c>
      <c r="D120" s="154"/>
      <c r="E120" s="154"/>
      <c r="F120" s="154" t="s">
        <v>18</v>
      </c>
      <c r="G120" s="154"/>
      <c r="H120" s="155"/>
      <c r="I120" s="72">
        <f>I112*J120</f>
        <v>11.167364129805295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3" t="s">
        <v>98</v>
      </c>
      <c r="D121" s="154"/>
      <c r="E121" s="155"/>
      <c r="F121" s="133" t="s">
        <v>18</v>
      </c>
      <c r="G121" s="134"/>
      <c r="H121" s="93">
        <v>212.92</v>
      </c>
      <c r="I121" s="72">
        <f>J121*I111</f>
        <v>3.3493283334997503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3" t="s">
        <v>283</v>
      </c>
      <c r="D122" s="154"/>
      <c r="E122" s="154"/>
      <c r="F122" s="154" t="s">
        <v>18</v>
      </c>
      <c r="G122" s="154"/>
      <c r="H122" s="155"/>
      <c r="I122" s="72">
        <f>SUM(I119:I121)+I112+I113</f>
        <v>122.58607257613579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3" t="s">
        <v>365</v>
      </c>
      <c r="D123" s="154"/>
      <c r="E123" s="154"/>
      <c r="F123" s="154" t="s">
        <v>18</v>
      </c>
      <c r="G123" s="154"/>
      <c r="H123" s="155"/>
      <c r="I123" s="72">
        <f>I122*J123</f>
        <v>24.51721451522716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3" t="s">
        <v>45</v>
      </c>
      <c r="D124" s="154"/>
      <c r="E124" s="154"/>
      <c r="F124" s="154" t="s">
        <v>18</v>
      </c>
      <c r="G124" s="154"/>
      <c r="H124" s="155"/>
      <c r="I124" s="72">
        <f>SUM(I122:I123)</f>
        <v>147.10328709136294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64" t="s">
        <v>46</v>
      </c>
      <c r="D125" s="165"/>
      <c r="E125" s="166"/>
      <c r="F125" s="133" t="s">
        <v>18</v>
      </c>
      <c r="G125" s="134"/>
      <c r="H125" s="90">
        <v>0.05</v>
      </c>
      <c r="I125" s="72">
        <f>I124*J125</f>
        <v>7.3551643545681475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58" t="s">
        <v>47</v>
      </c>
      <c r="D126" s="159"/>
      <c r="E126" s="159"/>
      <c r="F126" s="159" t="s">
        <v>18</v>
      </c>
      <c r="G126" s="159"/>
      <c r="H126" s="160"/>
      <c r="I126" s="78">
        <f>I124+I125</f>
        <v>154.4584514459311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9" t="s">
        <v>48</v>
      </c>
      <c r="D127" s="147"/>
      <c r="E127" s="148"/>
      <c r="F127" s="150" t="s">
        <v>18</v>
      </c>
      <c r="G127" s="151"/>
      <c r="H127" s="92">
        <v>0.05</v>
      </c>
      <c r="I127" s="78">
        <f>I126*J127/K127</f>
        <v>8.1293921813647962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58" t="s">
        <v>49</v>
      </c>
      <c r="D128" s="159"/>
      <c r="E128" s="159"/>
      <c r="F128" s="159" t="s">
        <v>18</v>
      </c>
      <c r="G128" s="159"/>
      <c r="H128" s="160"/>
      <c r="I128" s="78">
        <f>I126+I127</f>
        <v>162.58784362729591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38" t="s">
        <v>95</v>
      </c>
      <c r="D129" s="139"/>
      <c r="E129" s="139"/>
      <c r="F129" s="139"/>
      <c r="G129" s="139"/>
      <c r="H129" s="140"/>
      <c r="I129" s="14">
        <f>I128/I9</f>
        <v>3.6632414591717642E-2</v>
      </c>
      <c r="J129" s="62"/>
      <c r="K129" s="62"/>
      <c r="L129" s="63"/>
      <c r="M129" s="54"/>
      <c r="N129" s="54"/>
    </row>
    <row r="130" spans="1:14" s="6" customFormat="1" ht="16.2">
      <c r="A130" s="161" t="s">
        <v>138</v>
      </c>
      <c r="B130" s="162"/>
      <c r="C130" s="162"/>
      <c r="D130" s="162"/>
      <c r="E130" s="163"/>
      <c r="F130" s="156" t="s">
        <v>51</v>
      </c>
      <c r="G130" s="157"/>
      <c r="H130" s="27"/>
      <c r="I130" s="16">
        <f>J130</f>
        <v>0.45100000000000001</v>
      </c>
      <c r="J130" s="97">
        <f>ROUND(I87,3)+ROUND(I106,3)+ROUND(I129,3)</f>
        <v>0.45100000000000001</v>
      </c>
      <c r="K130" s="62"/>
      <c r="L130" s="63"/>
      <c r="M130" s="54"/>
      <c r="N130" s="54"/>
    </row>
    <row r="131" spans="1:14" s="6" customFormat="1" ht="16.2">
      <c r="A131" s="144" t="s">
        <v>76</v>
      </c>
      <c r="B131" s="145"/>
      <c r="C131" s="145"/>
      <c r="D131" s="145"/>
      <c r="E131" s="145"/>
      <c r="F131" s="145"/>
      <c r="G131" s="145"/>
      <c r="H131" s="145"/>
      <c r="I131" s="146"/>
      <c r="J131" s="55"/>
      <c r="K131" s="55"/>
      <c r="L131" s="54"/>
      <c r="M131" s="54"/>
      <c r="N131" s="54"/>
    </row>
    <row r="132" spans="1:14" s="6" customFormat="1" ht="14.4" customHeight="1">
      <c r="A132" s="53"/>
      <c r="B132" s="184" t="s">
        <v>139</v>
      </c>
      <c r="C132" s="183" t="s">
        <v>77</v>
      </c>
      <c r="D132" s="175"/>
      <c r="E132" s="175"/>
      <c r="F132" s="175"/>
      <c r="G132" s="175"/>
      <c r="H132" s="175"/>
      <c r="I132" s="176"/>
      <c r="J132" s="55"/>
      <c r="K132" s="55"/>
      <c r="L132" s="54"/>
      <c r="M132" s="54"/>
      <c r="N132" s="54"/>
    </row>
    <row r="133" spans="1:14" s="6" customFormat="1" ht="69" customHeight="1">
      <c r="A133" s="53"/>
      <c r="B133" s="185"/>
      <c r="C133" s="130" t="s">
        <v>292</v>
      </c>
      <c r="D133" s="131"/>
      <c r="E133" s="131"/>
      <c r="F133" s="131"/>
      <c r="G133" s="131"/>
      <c r="H133" s="132"/>
      <c r="I133" s="98">
        <f>I21*K133*J133/100</f>
        <v>11.250599999999999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30" t="s">
        <v>293</v>
      </c>
      <c r="D134" s="131"/>
      <c r="E134" s="131"/>
      <c r="F134" s="131" t="s">
        <v>42</v>
      </c>
      <c r="G134" s="131"/>
      <c r="H134" s="132"/>
      <c r="I134" s="99">
        <f>I133/J134</f>
        <v>5.6168746879680471E-3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30" t="s">
        <v>140</v>
      </c>
      <c r="D135" s="131"/>
      <c r="E135" s="131"/>
      <c r="F135" s="131" t="s">
        <v>18</v>
      </c>
      <c r="G135" s="131"/>
      <c r="H135" s="132"/>
      <c r="I135" s="100">
        <f>(J135*K135*L135)*I134</f>
        <v>11.728034348477282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35" t="s">
        <v>270</v>
      </c>
      <c r="D136" s="136"/>
      <c r="E136" s="136"/>
      <c r="F136" s="136" t="s">
        <v>18</v>
      </c>
      <c r="G136" s="136"/>
      <c r="H136" s="137"/>
      <c r="I136" s="101">
        <f>I135*J136</f>
        <v>2.580167556665002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3" t="s">
        <v>294</v>
      </c>
      <c r="D137" s="155"/>
      <c r="E137" s="133" t="s">
        <v>343</v>
      </c>
      <c r="F137" s="152"/>
      <c r="G137" s="152"/>
      <c r="H137" s="134"/>
      <c r="I137" s="101">
        <f>I134*J137</f>
        <v>1.1959449585621564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35" t="s">
        <v>361</v>
      </c>
      <c r="D138" s="136"/>
      <c r="E138" s="136"/>
      <c r="F138" s="136" t="s">
        <v>18</v>
      </c>
      <c r="G138" s="136"/>
      <c r="H138" s="137"/>
      <c r="I138" s="101">
        <f>I135*J138</f>
        <v>3.9875316784822763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35" t="s">
        <v>288</v>
      </c>
      <c r="D139" s="136"/>
      <c r="E139" s="136"/>
      <c r="F139" s="136" t="s">
        <v>18</v>
      </c>
      <c r="G139" s="136"/>
      <c r="H139" s="137"/>
      <c r="I139" s="72">
        <f>SUM(I135:I138)</f>
        <v>19.491678542186715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35" t="s">
        <v>362</v>
      </c>
      <c r="D140" s="136"/>
      <c r="E140" s="136"/>
      <c r="F140" s="136" t="s">
        <v>78</v>
      </c>
      <c r="G140" s="136"/>
      <c r="H140" s="137"/>
      <c r="I140" s="101">
        <f>I139*J140</f>
        <v>3.8983357084373433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35" t="s">
        <v>79</v>
      </c>
      <c r="D141" s="136"/>
      <c r="E141" s="136"/>
      <c r="F141" s="136" t="s">
        <v>78</v>
      </c>
      <c r="G141" s="136"/>
      <c r="H141" s="137"/>
      <c r="I141" s="101">
        <f>SUM(I139:I140)</f>
        <v>23.390014250624059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64" t="s">
        <v>46</v>
      </c>
      <c r="D142" s="165"/>
      <c r="E142" s="166"/>
      <c r="F142" s="133" t="s">
        <v>18</v>
      </c>
      <c r="G142" s="134"/>
      <c r="H142" s="90">
        <v>0.05</v>
      </c>
      <c r="I142" s="101">
        <f>I141*J142</f>
        <v>1.1695007125312029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35" t="s">
        <v>47</v>
      </c>
      <c r="D143" s="136"/>
      <c r="E143" s="136"/>
      <c r="F143" s="136" t="s">
        <v>18</v>
      </c>
      <c r="G143" s="136"/>
      <c r="H143" s="137"/>
      <c r="I143" s="72">
        <f>I141+I142</f>
        <v>24.559514963155262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9" t="s">
        <v>48</v>
      </c>
      <c r="D144" s="147"/>
      <c r="E144" s="148"/>
      <c r="F144" s="150" t="s">
        <v>18</v>
      </c>
      <c r="G144" s="151"/>
      <c r="H144" s="92">
        <v>0.05</v>
      </c>
      <c r="I144" s="78">
        <f>I143*J144/K144</f>
        <v>1.2926060506923822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30" t="s">
        <v>49</v>
      </c>
      <c r="D145" s="131"/>
      <c r="E145" s="131"/>
      <c r="F145" s="131" t="s">
        <v>18</v>
      </c>
      <c r="G145" s="131"/>
      <c r="H145" s="132"/>
      <c r="I145" s="78">
        <f>I143+I144</f>
        <v>25.852121013847643</v>
      </c>
      <c r="J145" s="62"/>
      <c r="K145" s="62"/>
      <c r="L145" s="54"/>
      <c r="M145" s="54"/>
      <c r="N145" s="54"/>
    </row>
    <row r="146" spans="1:14" ht="16.2">
      <c r="A146" s="21"/>
      <c r="B146" s="21"/>
      <c r="C146" s="138" t="s">
        <v>50</v>
      </c>
      <c r="D146" s="139"/>
      <c r="E146" s="139"/>
      <c r="F146" s="139" t="s">
        <v>51</v>
      </c>
      <c r="G146" s="139"/>
      <c r="H146" s="140"/>
      <c r="I146" s="10">
        <f>J146</f>
        <v>6.0000000000000001E-3</v>
      </c>
      <c r="J146" s="97">
        <f>ROUND(K146,3)</f>
        <v>6.0000000000000001E-3</v>
      </c>
      <c r="K146" s="97">
        <f>I145/I9</f>
        <v>5.8247012441189194E-3</v>
      </c>
      <c r="L146" s="63"/>
      <c r="M146" s="9"/>
      <c r="N146" s="9"/>
    </row>
    <row r="147" spans="1:14" ht="16.2">
      <c r="A147" s="144" t="s">
        <v>141</v>
      </c>
      <c r="B147" s="145"/>
      <c r="C147" s="145"/>
      <c r="D147" s="145"/>
      <c r="E147" s="145"/>
      <c r="F147" s="145"/>
      <c r="G147" s="145"/>
      <c r="H147" s="145"/>
      <c r="I147" s="146"/>
      <c r="J147" s="91"/>
      <c r="K147" s="55"/>
      <c r="L147" s="63"/>
      <c r="M147" s="9"/>
      <c r="N147" s="9"/>
    </row>
    <row r="148" spans="1:14">
      <c r="A148" s="53"/>
      <c r="B148" s="53"/>
      <c r="C148" s="130" t="s">
        <v>344</v>
      </c>
      <c r="D148" s="131"/>
      <c r="E148" s="131"/>
      <c r="F148" s="131"/>
      <c r="G148" s="131"/>
      <c r="H148" s="132"/>
      <c r="I148" s="100">
        <v>0</v>
      </c>
      <c r="J148" s="91"/>
      <c r="K148" s="55"/>
      <c r="L148" s="63"/>
      <c r="M148" s="9"/>
      <c r="N148" s="9"/>
    </row>
    <row r="149" spans="1:14">
      <c r="A149" s="53"/>
      <c r="B149" s="53"/>
      <c r="C149" s="130" t="s">
        <v>142</v>
      </c>
      <c r="D149" s="131"/>
      <c r="E149" s="131"/>
      <c r="F149" s="131"/>
      <c r="G149" s="131"/>
      <c r="H149" s="132"/>
      <c r="I149" s="100">
        <f>I148*I63</f>
        <v>0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35" t="s">
        <v>364</v>
      </c>
      <c r="D150" s="136"/>
      <c r="E150" s="136"/>
      <c r="F150" s="136" t="s">
        <v>18</v>
      </c>
      <c r="G150" s="136"/>
      <c r="H150" s="137"/>
      <c r="I150" s="72">
        <f>I149*J150</f>
        <v>0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30" t="s">
        <v>45</v>
      </c>
      <c r="D151" s="131"/>
      <c r="E151" s="131"/>
      <c r="F151" s="131" t="s">
        <v>18</v>
      </c>
      <c r="G151" s="131"/>
      <c r="H151" s="132"/>
      <c r="I151" s="78">
        <f>SUM(I149:I150)</f>
        <v>0</v>
      </c>
      <c r="J151" s="62"/>
      <c r="K151" s="62"/>
      <c r="L151" s="63"/>
      <c r="M151" s="9"/>
      <c r="N151" s="9"/>
    </row>
    <row r="152" spans="1:14">
      <c r="A152" s="53"/>
      <c r="B152" s="53"/>
      <c r="C152" s="149" t="s">
        <v>46</v>
      </c>
      <c r="D152" s="147"/>
      <c r="E152" s="148"/>
      <c r="F152" s="150" t="s">
        <v>18</v>
      </c>
      <c r="G152" s="151"/>
      <c r="H152" s="92">
        <v>0.05</v>
      </c>
      <c r="I152" s="78">
        <f>I151*J152</f>
        <v>0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30" t="s">
        <v>47</v>
      </c>
      <c r="D153" s="131"/>
      <c r="E153" s="131"/>
      <c r="F153" s="131" t="s">
        <v>18</v>
      </c>
      <c r="G153" s="131"/>
      <c r="H153" s="132"/>
      <c r="I153" s="78">
        <f>I151+I152</f>
        <v>0</v>
      </c>
      <c r="J153" s="62"/>
      <c r="K153" s="62"/>
      <c r="L153" s="63"/>
      <c r="M153" s="9"/>
      <c r="N153" s="9"/>
    </row>
    <row r="154" spans="1:14">
      <c r="A154" s="53"/>
      <c r="B154" s="53"/>
      <c r="C154" s="149" t="s">
        <v>48</v>
      </c>
      <c r="D154" s="147"/>
      <c r="E154" s="148"/>
      <c r="F154" s="150" t="s">
        <v>18</v>
      </c>
      <c r="G154" s="151"/>
      <c r="H154" s="92">
        <v>0.05</v>
      </c>
      <c r="I154" s="78">
        <f>I153*J154/K154</f>
        <v>0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30" t="s">
        <v>49</v>
      </c>
      <c r="D155" s="131"/>
      <c r="E155" s="131"/>
      <c r="F155" s="131" t="s">
        <v>18</v>
      </c>
      <c r="G155" s="131"/>
      <c r="H155" s="132"/>
      <c r="I155" s="78">
        <f>I153+I154</f>
        <v>0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38" t="s">
        <v>143</v>
      </c>
      <c r="D156" s="139"/>
      <c r="E156" s="139"/>
      <c r="F156" s="139"/>
      <c r="G156" s="139"/>
      <c r="H156" s="140"/>
      <c r="I156" s="14">
        <v>0</v>
      </c>
      <c r="J156" s="97" t="e">
        <f>ROUND(K156,3)</f>
        <v>#DIV/0!</v>
      </c>
      <c r="K156" s="97" t="e">
        <f>I155/I12</f>
        <v>#DIV/0!</v>
      </c>
      <c r="L156" s="63"/>
      <c r="M156" s="9"/>
      <c r="N156" s="9"/>
    </row>
    <row r="157" spans="1:14" ht="16.2">
      <c r="A157" s="144" t="s">
        <v>144</v>
      </c>
      <c r="B157" s="145"/>
      <c r="C157" s="145"/>
      <c r="D157" s="145"/>
      <c r="E157" s="145"/>
      <c r="F157" s="145"/>
      <c r="G157" s="145"/>
      <c r="H157" s="145"/>
      <c r="I157" s="146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30" t="s">
        <v>345</v>
      </c>
      <c r="D158" s="131"/>
      <c r="E158" s="131"/>
      <c r="F158" s="131"/>
      <c r="G158" s="131"/>
      <c r="H158" s="132"/>
      <c r="I158" s="100"/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30" t="s">
        <v>145</v>
      </c>
      <c r="D159" s="131"/>
      <c r="E159" s="131"/>
      <c r="F159" s="131"/>
      <c r="G159" s="131"/>
      <c r="H159" s="132"/>
      <c r="I159" s="100">
        <f>I158*I10</f>
        <v>0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35" t="s">
        <v>364</v>
      </c>
      <c r="D160" s="136"/>
      <c r="E160" s="136"/>
      <c r="F160" s="136" t="s">
        <v>18</v>
      </c>
      <c r="G160" s="136"/>
      <c r="H160" s="137"/>
      <c r="I160" s="72">
        <f>I159*J160</f>
        <v>0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30" t="s">
        <v>45</v>
      </c>
      <c r="D161" s="131"/>
      <c r="E161" s="131"/>
      <c r="F161" s="131" t="s">
        <v>18</v>
      </c>
      <c r="G161" s="131"/>
      <c r="H161" s="132"/>
      <c r="I161" s="78">
        <f>SUM(I159:I160)</f>
        <v>0</v>
      </c>
      <c r="J161" s="62"/>
      <c r="K161" s="62"/>
      <c r="L161" s="63"/>
      <c r="M161" s="9"/>
      <c r="N161" s="9"/>
    </row>
    <row r="162" spans="1:14">
      <c r="A162" s="53"/>
      <c r="B162" s="53"/>
      <c r="C162" s="149" t="s">
        <v>46</v>
      </c>
      <c r="D162" s="147"/>
      <c r="E162" s="148"/>
      <c r="F162" s="150" t="s">
        <v>18</v>
      </c>
      <c r="G162" s="151"/>
      <c r="H162" s="92">
        <v>0.05</v>
      </c>
      <c r="I162" s="78">
        <f>I161*J162</f>
        <v>0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30" t="s">
        <v>47</v>
      </c>
      <c r="D163" s="131"/>
      <c r="E163" s="131"/>
      <c r="F163" s="131" t="s">
        <v>18</v>
      </c>
      <c r="G163" s="131"/>
      <c r="H163" s="132"/>
      <c r="I163" s="78">
        <f>I161+I162</f>
        <v>0</v>
      </c>
      <c r="J163" s="62"/>
      <c r="K163" s="62"/>
      <c r="L163" s="63"/>
      <c r="M163" s="9"/>
      <c r="N163" s="9"/>
    </row>
    <row r="164" spans="1:14">
      <c r="A164" s="53"/>
      <c r="B164" s="53"/>
      <c r="C164" s="149" t="s">
        <v>48</v>
      </c>
      <c r="D164" s="147"/>
      <c r="E164" s="148"/>
      <c r="F164" s="150" t="s">
        <v>18</v>
      </c>
      <c r="G164" s="151"/>
      <c r="H164" s="92">
        <v>0.05</v>
      </c>
      <c r="I164" s="78">
        <f>I163*J164/K164</f>
        <v>0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30" t="s">
        <v>49</v>
      </c>
      <c r="D165" s="131"/>
      <c r="E165" s="131"/>
      <c r="F165" s="131" t="s">
        <v>18</v>
      </c>
      <c r="G165" s="131"/>
      <c r="H165" s="132"/>
      <c r="I165" s="78">
        <f>I163+I164</f>
        <v>0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38" t="s">
        <v>143</v>
      </c>
      <c r="D166" s="139"/>
      <c r="E166" s="139"/>
      <c r="F166" s="139" t="s">
        <v>51</v>
      </c>
      <c r="G166" s="139"/>
      <c r="H166" s="140"/>
      <c r="I166" s="14">
        <f>J166</f>
        <v>0</v>
      </c>
      <c r="J166" s="97">
        <f>ROUND(K166,3)</f>
        <v>0</v>
      </c>
      <c r="K166" s="97">
        <f>I165/I10</f>
        <v>0</v>
      </c>
      <c r="L166" s="63"/>
      <c r="M166" s="9"/>
      <c r="N166" s="9"/>
    </row>
    <row r="167" spans="1:14" ht="16.2">
      <c r="A167" s="144" t="s">
        <v>146</v>
      </c>
      <c r="B167" s="145"/>
      <c r="C167" s="145"/>
      <c r="D167" s="145"/>
      <c r="E167" s="145"/>
      <c r="F167" s="145"/>
      <c r="G167" s="145"/>
      <c r="H167" s="145"/>
      <c r="I167" s="146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41" t="s">
        <v>102</v>
      </c>
      <c r="D168" s="142"/>
      <c r="E168" s="142"/>
      <c r="F168" s="142"/>
      <c r="G168" s="142"/>
      <c r="H168" s="142"/>
      <c r="I168" s="143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30" t="s">
        <v>295</v>
      </c>
      <c r="D169" s="131"/>
      <c r="E169" s="131"/>
      <c r="F169" s="131"/>
      <c r="G169" s="131"/>
      <c r="H169" s="132"/>
      <c r="I169" s="87">
        <f>($I$38*L169)*J169/K169/M169</f>
        <v>4.8287568647029447E-3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30" t="s">
        <v>296</v>
      </c>
      <c r="D170" s="131"/>
      <c r="E170" s="131"/>
      <c r="F170" s="131" t="s">
        <v>12</v>
      </c>
      <c r="G170" s="131"/>
      <c r="H170" s="132"/>
      <c r="I170" s="87">
        <f>($I$38*L170)*J170/K170/M170</f>
        <v>4.4263604593110335E-3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30" t="s">
        <v>297</v>
      </c>
      <c r="D171" s="131"/>
      <c r="E171" s="131"/>
      <c r="F171" s="131" t="s">
        <v>12</v>
      </c>
      <c r="G171" s="131"/>
      <c r="H171" s="132"/>
      <c r="I171" s="103">
        <f>I59*L171*J171/M171</f>
        <v>4.0079880179730402E-2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30" t="s">
        <v>298</v>
      </c>
      <c r="D172" s="131"/>
      <c r="E172" s="131"/>
      <c r="F172" s="131" t="s">
        <v>158</v>
      </c>
      <c r="G172" s="131"/>
      <c r="H172" s="132"/>
      <c r="I172" s="105">
        <f>I52*J172/L172/M172</f>
        <v>2.6243967382259944E-3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30" t="s">
        <v>299</v>
      </c>
      <c r="D173" s="131"/>
      <c r="E173" s="131"/>
      <c r="F173" s="131"/>
      <c r="G173" s="131"/>
      <c r="H173" s="132"/>
      <c r="I173" s="105">
        <f>I55*J173/M173</f>
        <v>3.2950574138791815E-3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30" t="s">
        <v>103</v>
      </c>
      <c r="D174" s="131"/>
      <c r="E174" s="131"/>
      <c r="F174" s="131" t="s">
        <v>42</v>
      </c>
      <c r="G174" s="131"/>
      <c r="H174" s="132"/>
      <c r="I174" s="103">
        <f>I169+I170+I172</f>
        <v>1.1879514062239974E-2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30" t="s">
        <v>106</v>
      </c>
      <c r="D175" s="131"/>
      <c r="E175" s="131"/>
      <c r="F175" s="131" t="s">
        <v>18</v>
      </c>
      <c r="G175" s="131"/>
      <c r="H175" s="132"/>
      <c r="I175" s="106">
        <f>I174*J175*K175*L175*M175</f>
        <v>33.485974238642036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30" t="s">
        <v>104</v>
      </c>
      <c r="D176" s="131"/>
      <c r="E176" s="131"/>
      <c r="F176" s="131" t="s">
        <v>42</v>
      </c>
      <c r="G176" s="131"/>
      <c r="H176" s="132"/>
      <c r="I176" s="87">
        <f>I171</f>
        <v>4.0079880179730402E-2</v>
      </c>
      <c r="J176" s="48"/>
      <c r="K176" s="48"/>
      <c r="L176" s="88"/>
    </row>
    <row r="177" spans="1:13" s="49" customFormat="1" ht="15" customHeight="1">
      <c r="A177" s="47"/>
      <c r="B177" s="47"/>
      <c r="C177" s="130" t="s">
        <v>107</v>
      </c>
      <c r="D177" s="131"/>
      <c r="E177" s="131"/>
      <c r="F177" s="131" t="s">
        <v>18</v>
      </c>
      <c r="G177" s="131"/>
      <c r="H177" s="132"/>
      <c r="I177" s="78">
        <f>I176*J177*K177*L177*M177</f>
        <v>100.42414777833248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30" t="s">
        <v>105</v>
      </c>
      <c r="D178" s="131"/>
      <c r="E178" s="131"/>
      <c r="F178" s="131" t="s">
        <v>42</v>
      </c>
      <c r="G178" s="131"/>
      <c r="H178" s="132"/>
      <c r="I178" s="87">
        <f>I173</f>
        <v>3.2950574138791815E-3</v>
      </c>
      <c r="J178" s="48"/>
      <c r="K178" s="48"/>
      <c r="L178" s="88"/>
    </row>
    <row r="179" spans="1:13" s="49" customFormat="1" ht="15" customHeight="1">
      <c r="A179" s="47"/>
      <c r="B179" s="47"/>
      <c r="C179" s="130" t="s">
        <v>108</v>
      </c>
      <c r="D179" s="131"/>
      <c r="E179" s="131"/>
      <c r="F179" s="131" t="s">
        <v>18</v>
      </c>
      <c r="G179" s="131"/>
      <c r="H179" s="132"/>
      <c r="I179" s="78">
        <f>I178*J179*K179*L179*M179</f>
        <v>7.4304862705941108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35" t="s">
        <v>86</v>
      </c>
      <c r="D180" s="136"/>
      <c r="E180" s="136"/>
      <c r="F180" s="136" t="s">
        <v>18</v>
      </c>
      <c r="G180" s="136"/>
      <c r="H180" s="137"/>
      <c r="I180" s="72">
        <f>I179+I177+I175</f>
        <v>141.34060828756864</v>
      </c>
      <c r="J180" s="48"/>
      <c r="K180" s="48"/>
      <c r="L180" s="88"/>
    </row>
    <row r="181" spans="1:13" s="49" customFormat="1" ht="15" customHeight="1">
      <c r="A181" s="47"/>
      <c r="B181" s="47"/>
      <c r="C181" s="135" t="s">
        <v>270</v>
      </c>
      <c r="D181" s="136"/>
      <c r="E181" s="136"/>
      <c r="F181" s="136" t="s">
        <v>18</v>
      </c>
      <c r="G181" s="136"/>
      <c r="H181" s="137"/>
      <c r="I181" s="72">
        <f>I180*0.22</f>
        <v>31.094933823265102</v>
      </c>
      <c r="J181" s="48"/>
      <c r="K181" s="48"/>
      <c r="L181" s="88"/>
    </row>
    <row r="182" spans="1:13" s="49" customFormat="1" ht="15" customHeight="1">
      <c r="A182" s="47"/>
      <c r="B182" s="47"/>
      <c r="C182" s="135" t="s">
        <v>366</v>
      </c>
      <c r="D182" s="136"/>
      <c r="E182" s="136"/>
      <c r="F182" s="136" t="s">
        <v>18</v>
      </c>
      <c r="G182" s="136"/>
      <c r="H182" s="137"/>
      <c r="I182" s="101">
        <f>I180*J182</f>
        <v>48.055806817773345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35" t="s">
        <v>346</v>
      </c>
      <c r="D183" s="136"/>
      <c r="E183" s="186" t="s">
        <v>347</v>
      </c>
      <c r="F183" s="186"/>
      <c r="G183" s="186"/>
      <c r="H183" s="186"/>
      <c r="I183" s="101">
        <f>J183*(I174+I176+I178)</f>
        <v>10.081727249126311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35" t="s">
        <v>87</v>
      </c>
      <c r="D184" s="136"/>
      <c r="E184" s="136"/>
      <c r="F184" s="136" t="s">
        <v>18</v>
      </c>
      <c r="G184" s="136"/>
      <c r="H184" s="137"/>
      <c r="I184" s="101">
        <f>I180+I181+I182+I183</f>
        <v>230.57307617773341</v>
      </c>
      <c r="J184" s="48"/>
      <c r="K184" s="48"/>
      <c r="L184" s="88"/>
    </row>
    <row r="185" spans="1:13" s="49" customFormat="1" ht="15" customHeight="1">
      <c r="A185" s="47"/>
      <c r="B185" s="47"/>
      <c r="C185" s="135" t="s">
        <v>365</v>
      </c>
      <c r="D185" s="136"/>
      <c r="E185" s="136"/>
      <c r="F185" s="136" t="s">
        <v>18</v>
      </c>
      <c r="G185" s="136"/>
      <c r="H185" s="137"/>
      <c r="I185" s="72">
        <f>I184*J185</f>
        <v>62.254730567988027</v>
      </c>
      <c r="J185" s="51">
        <v>0.27</v>
      </c>
      <c r="K185" s="48"/>
      <c r="L185" s="88"/>
    </row>
    <row r="186" spans="1:13" s="49" customFormat="1" ht="15" customHeight="1">
      <c r="A186" s="47"/>
      <c r="B186" s="47"/>
      <c r="C186" s="130" t="s">
        <v>45</v>
      </c>
      <c r="D186" s="131"/>
      <c r="E186" s="131"/>
      <c r="F186" s="131" t="s">
        <v>18</v>
      </c>
      <c r="G186" s="131"/>
      <c r="H186" s="132"/>
      <c r="I186" s="78">
        <f>SUM(I184:I185)</f>
        <v>292.82780674572143</v>
      </c>
      <c r="J186" s="48"/>
      <c r="K186" s="48"/>
      <c r="L186" s="88"/>
    </row>
    <row r="187" spans="1:13" s="49" customFormat="1" ht="15" customHeight="1">
      <c r="A187" s="47"/>
      <c r="B187" s="47"/>
      <c r="C187" s="149" t="s">
        <v>46</v>
      </c>
      <c r="D187" s="147"/>
      <c r="E187" s="148"/>
      <c r="F187" s="150" t="s">
        <v>18</v>
      </c>
      <c r="G187" s="151"/>
      <c r="H187" s="92">
        <v>0.05</v>
      </c>
      <c r="I187" s="78">
        <f>I185*J187</f>
        <v>3.1127365283994015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30" t="s">
        <v>47</v>
      </c>
      <c r="D188" s="131"/>
      <c r="E188" s="131"/>
      <c r="F188" s="131" t="s">
        <v>18</v>
      </c>
      <c r="G188" s="131"/>
      <c r="H188" s="132"/>
      <c r="I188" s="78">
        <f>I186+I187</f>
        <v>295.94054327412084</v>
      </c>
      <c r="J188" s="48"/>
      <c r="K188" s="48"/>
      <c r="L188" s="88"/>
    </row>
    <row r="189" spans="1:13" s="49" customFormat="1" ht="15" customHeight="1">
      <c r="A189" s="47"/>
      <c r="B189" s="47"/>
      <c r="C189" s="149" t="s">
        <v>48</v>
      </c>
      <c r="D189" s="147"/>
      <c r="E189" s="148"/>
      <c r="F189" s="150" t="s">
        <v>18</v>
      </c>
      <c r="G189" s="151"/>
      <c r="H189" s="92">
        <v>0.05</v>
      </c>
      <c r="I189" s="78">
        <f>I188*J189/K189</f>
        <v>15.575818067058993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30" t="s">
        <v>49</v>
      </c>
      <c r="D190" s="131"/>
      <c r="E190" s="131"/>
      <c r="F190" s="131" t="s">
        <v>18</v>
      </c>
      <c r="G190" s="131"/>
      <c r="H190" s="132"/>
      <c r="I190" s="78">
        <f>I188+I189</f>
        <v>311.51636134117985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38" t="s">
        <v>95</v>
      </c>
      <c r="D191" s="139"/>
      <c r="E191" s="139"/>
      <c r="F191" s="139"/>
      <c r="G191" s="139"/>
      <c r="H191" s="140"/>
      <c r="I191" s="10">
        <f>I190/I9</f>
        <v>7.0187267671207351E-2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41" t="s">
        <v>109</v>
      </c>
      <c r="D192" s="142"/>
      <c r="E192" s="142"/>
      <c r="F192" s="142"/>
      <c r="G192" s="142"/>
      <c r="H192" s="142"/>
      <c r="I192" s="143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30" t="s">
        <v>300</v>
      </c>
      <c r="D193" s="131"/>
      <c r="E193" s="131"/>
      <c r="F193" s="131" t="s">
        <v>12</v>
      </c>
      <c r="G193" s="131"/>
      <c r="H193" s="132"/>
      <c r="I193" s="87">
        <f>($I$39*L193)*J193/K193/M193</f>
        <v>4.8287568647029447E-3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30" t="s">
        <v>301</v>
      </c>
      <c r="D194" s="131"/>
      <c r="E194" s="131"/>
      <c r="F194" s="131" t="s">
        <v>12</v>
      </c>
      <c r="G194" s="131"/>
      <c r="H194" s="132"/>
      <c r="I194" s="87">
        <f>($I$39*L194)*J194/K194/M194</f>
        <v>4.4263604593110335E-3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30" t="s">
        <v>302</v>
      </c>
      <c r="D195" s="131"/>
      <c r="E195" s="131"/>
      <c r="F195" s="131" t="s">
        <v>12</v>
      </c>
      <c r="G195" s="131"/>
      <c r="H195" s="132"/>
      <c r="I195" s="103">
        <f>I60*L195*J195/M195</f>
        <v>4.0079880179730402E-2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30" t="s">
        <v>303</v>
      </c>
      <c r="D196" s="131"/>
      <c r="E196" s="131"/>
      <c r="F196" s="131" t="s">
        <v>158</v>
      </c>
      <c r="G196" s="131"/>
      <c r="H196" s="132"/>
      <c r="I196" s="105">
        <f>I53*J196/L196/M196</f>
        <v>2.6243967382259944E-3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30" t="s">
        <v>299</v>
      </c>
      <c r="D197" s="131"/>
      <c r="E197" s="131"/>
      <c r="F197" s="131"/>
      <c r="G197" s="131"/>
      <c r="H197" s="132"/>
      <c r="I197" s="105">
        <f>I56*J197/M197</f>
        <v>2.196704942586121E-3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30" t="s">
        <v>103</v>
      </c>
      <c r="D198" s="131"/>
      <c r="E198" s="131"/>
      <c r="F198" s="131" t="s">
        <v>42</v>
      </c>
      <c r="G198" s="131"/>
      <c r="H198" s="132"/>
      <c r="I198" s="107">
        <f>I193+I194+I196</f>
        <v>1.1879514062239974E-2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30" t="s">
        <v>106</v>
      </c>
      <c r="D199" s="131"/>
      <c r="E199" s="131"/>
      <c r="F199" s="131" t="s">
        <v>18</v>
      </c>
      <c r="G199" s="131"/>
      <c r="H199" s="132"/>
      <c r="I199" s="106">
        <f>I198*J199*K199*L199*M199</f>
        <v>33.485974238642036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30" t="s">
        <v>104</v>
      </c>
      <c r="D200" s="131"/>
      <c r="E200" s="131"/>
      <c r="F200" s="131" t="s">
        <v>42</v>
      </c>
      <c r="G200" s="131"/>
      <c r="H200" s="132"/>
      <c r="I200" s="16">
        <f>I195</f>
        <v>4.0079880179730402E-2</v>
      </c>
      <c r="J200" s="48"/>
      <c r="K200" s="48"/>
      <c r="L200" s="88"/>
    </row>
    <row r="201" spans="1:13" s="49" customFormat="1" ht="15" customHeight="1">
      <c r="A201" s="47"/>
      <c r="B201" s="47"/>
      <c r="C201" s="130" t="s">
        <v>107</v>
      </c>
      <c r="D201" s="131"/>
      <c r="E201" s="131"/>
      <c r="F201" s="131" t="s">
        <v>18</v>
      </c>
      <c r="G201" s="131"/>
      <c r="H201" s="132"/>
      <c r="I201" s="78">
        <f>I200*J201*K201*L201*M201</f>
        <v>100.42414777833248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30" t="s">
        <v>105</v>
      </c>
      <c r="D202" s="131"/>
      <c r="E202" s="131"/>
      <c r="F202" s="131" t="s">
        <v>42</v>
      </c>
      <c r="G202" s="131"/>
      <c r="H202" s="132"/>
      <c r="I202" s="16">
        <f>I197</f>
        <v>2.196704942586121E-3</v>
      </c>
      <c r="J202" s="48"/>
      <c r="K202" s="48"/>
      <c r="L202" s="88"/>
    </row>
    <row r="203" spans="1:13" s="49" customFormat="1" ht="15" customHeight="1">
      <c r="A203" s="47"/>
      <c r="B203" s="47"/>
      <c r="C203" s="130" t="s">
        <v>108</v>
      </c>
      <c r="D203" s="131"/>
      <c r="E203" s="131"/>
      <c r="F203" s="131" t="s">
        <v>18</v>
      </c>
      <c r="G203" s="131"/>
      <c r="H203" s="132"/>
      <c r="I203" s="78">
        <f>I202*J203*K203*L203*M203</f>
        <v>4.9536575137294054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35" t="s">
        <v>86</v>
      </c>
      <c r="D204" s="136"/>
      <c r="E204" s="136"/>
      <c r="F204" s="136" t="s">
        <v>18</v>
      </c>
      <c r="G204" s="136"/>
      <c r="H204" s="137"/>
      <c r="I204" s="72">
        <f>I203+I201+I199</f>
        <v>138.86377953070394</v>
      </c>
      <c r="J204" s="48"/>
      <c r="K204" s="48"/>
      <c r="L204" s="88"/>
    </row>
    <row r="205" spans="1:13" s="49" customFormat="1" ht="15" customHeight="1">
      <c r="A205" s="47"/>
      <c r="B205" s="47"/>
      <c r="C205" s="135" t="s">
        <v>270</v>
      </c>
      <c r="D205" s="136"/>
      <c r="E205" s="136"/>
      <c r="F205" s="136" t="s">
        <v>18</v>
      </c>
      <c r="G205" s="136"/>
      <c r="H205" s="137"/>
      <c r="I205" s="72">
        <f>I204*0.22</f>
        <v>30.550031496754865</v>
      </c>
      <c r="J205" s="48"/>
      <c r="K205" s="48"/>
      <c r="L205" s="88"/>
    </row>
    <row r="206" spans="1:13" s="49" customFormat="1" ht="15" customHeight="1">
      <c r="A206" s="47"/>
      <c r="B206" s="47"/>
      <c r="C206" s="135" t="s">
        <v>367</v>
      </c>
      <c r="D206" s="136"/>
      <c r="E206" s="136"/>
      <c r="F206" s="136" t="s">
        <v>18</v>
      </c>
      <c r="G206" s="136"/>
      <c r="H206" s="137"/>
      <c r="I206" s="101">
        <f>I204*J206</f>
        <v>47.213685040439344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35" t="s">
        <v>346</v>
      </c>
      <c r="D207" s="136"/>
      <c r="E207" s="186" t="s">
        <v>347</v>
      </c>
      <c r="F207" s="186"/>
      <c r="G207" s="186"/>
      <c r="H207" s="186"/>
      <c r="I207" s="101">
        <f>J207*(I198+I200+I202)</f>
        <v>9.8813218572141803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35" t="s">
        <v>87</v>
      </c>
      <c r="D208" s="136"/>
      <c r="E208" s="136"/>
      <c r="F208" s="136" t="s">
        <v>18</v>
      </c>
      <c r="G208" s="136"/>
      <c r="H208" s="137"/>
      <c r="I208" s="101">
        <f>I204+I205+I206+I207</f>
        <v>226.50881792511231</v>
      </c>
      <c r="J208" s="48"/>
      <c r="K208" s="48"/>
      <c r="L208" s="88"/>
    </row>
    <row r="209" spans="1:13" s="49" customFormat="1" ht="15" customHeight="1">
      <c r="A209" s="47"/>
      <c r="B209" s="47"/>
      <c r="C209" s="135" t="s">
        <v>368</v>
      </c>
      <c r="D209" s="136"/>
      <c r="E209" s="136"/>
      <c r="F209" s="136" t="s">
        <v>18</v>
      </c>
      <c r="G209" s="136"/>
      <c r="H209" s="137"/>
      <c r="I209" s="72">
        <f>I208*J209</f>
        <v>45.301763585022464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35" t="s">
        <v>45</v>
      </c>
      <c r="D210" s="136"/>
      <c r="E210" s="136"/>
      <c r="F210" s="136" t="s">
        <v>18</v>
      </c>
      <c r="G210" s="136"/>
      <c r="H210" s="137"/>
      <c r="I210" s="72">
        <f>SUM(I208:I209)</f>
        <v>271.8105815101348</v>
      </c>
      <c r="J210" s="48"/>
      <c r="K210" s="48"/>
      <c r="L210" s="88"/>
    </row>
    <row r="211" spans="1:13" s="49" customFormat="1" ht="15" customHeight="1">
      <c r="A211" s="47"/>
      <c r="B211" s="47"/>
      <c r="C211" s="164" t="s">
        <v>46</v>
      </c>
      <c r="D211" s="165"/>
      <c r="E211" s="166"/>
      <c r="F211" s="133" t="s">
        <v>18</v>
      </c>
      <c r="G211" s="134"/>
      <c r="H211" s="90">
        <v>0.05</v>
      </c>
      <c r="I211" s="72">
        <f>I209*J211</f>
        <v>2.2650881792511233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35" t="s">
        <v>47</v>
      </c>
      <c r="D212" s="136"/>
      <c r="E212" s="136"/>
      <c r="F212" s="136" t="s">
        <v>18</v>
      </c>
      <c r="G212" s="136"/>
      <c r="H212" s="137"/>
      <c r="I212" s="72">
        <f>I210+I211</f>
        <v>274.0756696893859</v>
      </c>
      <c r="J212" s="48"/>
      <c r="K212" s="48"/>
      <c r="L212" s="88"/>
    </row>
    <row r="213" spans="1:13" s="49" customFormat="1" ht="15" customHeight="1">
      <c r="A213" s="47"/>
      <c r="B213" s="47"/>
      <c r="C213" s="164" t="s">
        <v>48</v>
      </c>
      <c r="D213" s="165"/>
      <c r="E213" s="166"/>
      <c r="F213" s="133" t="s">
        <v>18</v>
      </c>
      <c r="G213" s="134"/>
      <c r="H213" s="90">
        <v>0.05</v>
      </c>
      <c r="I213" s="72">
        <f>I212*J213/K213</f>
        <v>14.425035246809786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35" t="s">
        <v>49</v>
      </c>
      <c r="D214" s="136"/>
      <c r="E214" s="136"/>
      <c r="F214" s="136" t="s">
        <v>18</v>
      </c>
      <c r="G214" s="136"/>
      <c r="H214" s="137"/>
      <c r="I214" s="72">
        <f>I212+I213</f>
        <v>288.50070493619569</v>
      </c>
      <c r="J214" s="48"/>
      <c r="K214" s="48"/>
      <c r="L214" s="88"/>
    </row>
    <row r="215" spans="1:13" s="49" customFormat="1" ht="17.399999999999999" customHeight="1">
      <c r="A215" s="47"/>
      <c r="B215" s="47"/>
      <c r="C215" s="217" t="s">
        <v>95</v>
      </c>
      <c r="D215" s="218"/>
      <c r="E215" s="218"/>
      <c r="F215" s="218"/>
      <c r="G215" s="218"/>
      <c r="H215" s="219"/>
      <c r="I215" s="73">
        <f>I214/I9</f>
        <v>6.5001645863831614E-2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41" t="s">
        <v>110</v>
      </c>
      <c r="D216" s="142"/>
      <c r="E216" s="142"/>
      <c r="F216" s="142"/>
      <c r="G216" s="142"/>
      <c r="H216" s="142"/>
      <c r="I216" s="143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30" t="s">
        <v>304</v>
      </c>
      <c r="D217" s="131"/>
      <c r="E217" s="131"/>
      <c r="F217" s="131"/>
      <c r="G217" s="131"/>
      <c r="H217" s="132"/>
      <c r="I217" s="87">
        <f>($I$51*L217)*J217/K217/M217</f>
        <v>1.054418372441338E-2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30" t="s">
        <v>305</v>
      </c>
      <c r="D218" s="131"/>
      <c r="E218" s="131"/>
      <c r="F218" s="131"/>
      <c r="G218" s="131"/>
      <c r="H218" s="132"/>
      <c r="I218" s="103">
        <f>I61*L218*J218/M218</f>
        <v>2.5162256615077382E-2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30" t="s">
        <v>306</v>
      </c>
      <c r="D219" s="131"/>
      <c r="E219" s="131"/>
      <c r="F219" s="131"/>
      <c r="G219" s="131"/>
      <c r="H219" s="132"/>
      <c r="I219" s="105">
        <f>I61/L219*J219/M219</f>
        <v>2.396405391912132E-3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30" t="s">
        <v>307</v>
      </c>
      <c r="D220" s="131"/>
      <c r="E220" s="131"/>
      <c r="F220" s="131"/>
      <c r="G220" s="131"/>
      <c r="H220" s="132"/>
      <c r="I220" s="105">
        <f>I57*J220/M220</f>
        <v>4.393409885172242E-3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30" t="s">
        <v>111</v>
      </c>
      <c r="D221" s="131"/>
      <c r="E221" s="131"/>
      <c r="F221" s="131" t="s">
        <v>42</v>
      </c>
      <c r="G221" s="131"/>
      <c r="H221" s="132"/>
      <c r="I221" s="103">
        <f>I217</f>
        <v>1.054418372441338E-2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30" t="s">
        <v>106</v>
      </c>
      <c r="D222" s="131"/>
      <c r="E222" s="131"/>
      <c r="F222" s="131" t="s">
        <v>18</v>
      </c>
      <c r="G222" s="131"/>
      <c r="H222" s="132"/>
      <c r="I222" s="106">
        <f>I221*J222*K222*L222*M222</f>
        <v>29.721945082376433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30" t="s">
        <v>112</v>
      </c>
      <c r="D223" s="131"/>
      <c r="E223" s="131"/>
      <c r="F223" s="131" t="s">
        <v>42</v>
      </c>
      <c r="G223" s="131"/>
      <c r="H223" s="132"/>
      <c r="I223" s="87">
        <f>I218+I219</f>
        <v>2.7558662006989514E-2</v>
      </c>
      <c r="J223" s="48"/>
      <c r="K223" s="48"/>
      <c r="L223" s="88"/>
    </row>
    <row r="224" spans="1:13" s="49" customFormat="1" ht="15" customHeight="1">
      <c r="A224" s="47"/>
      <c r="B224" s="47"/>
      <c r="C224" s="130" t="s">
        <v>107</v>
      </c>
      <c r="D224" s="131"/>
      <c r="E224" s="131"/>
      <c r="F224" s="131" t="s">
        <v>18</v>
      </c>
      <c r="G224" s="131"/>
      <c r="H224" s="132"/>
      <c r="I224" s="78">
        <f>I223*J224*K224*L224*M224</f>
        <v>69.050983524712919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30" t="s">
        <v>113</v>
      </c>
      <c r="D225" s="131"/>
      <c r="E225" s="131"/>
      <c r="F225" s="131" t="s">
        <v>42</v>
      </c>
      <c r="G225" s="131"/>
      <c r="H225" s="132"/>
      <c r="I225" s="87">
        <f>I220</f>
        <v>4.393409885172242E-3</v>
      </c>
      <c r="J225" s="48"/>
      <c r="K225" s="48"/>
      <c r="L225" s="88"/>
    </row>
    <row r="226" spans="1:14" s="49" customFormat="1" ht="15" customHeight="1">
      <c r="A226" s="47"/>
      <c r="B226" s="47"/>
      <c r="C226" s="130" t="s">
        <v>108</v>
      </c>
      <c r="D226" s="131"/>
      <c r="E226" s="131"/>
      <c r="F226" s="131" t="s">
        <v>18</v>
      </c>
      <c r="G226" s="131"/>
      <c r="H226" s="132"/>
      <c r="I226" s="78">
        <f>I225*J226*K226*L226*M226</f>
        <v>9.9073150274588109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30" t="s">
        <v>86</v>
      </c>
      <c r="D227" s="131"/>
      <c r="E227" s="131"/>
      <c r="F227" s="131" t="s">
        <v>18</v>
      </c>
      <c r="G227" s="131"/>
      <c r="H227" s="132"/>
      <c r="I227" s="78">
        <f>I226+I224+I222</f>
        <v>108.68024363454816</v>
      </c>
      <c r="J227" s="48"/>
      <c r="K227" s="48"/>
      <c r="L227" s="88"/>
    </row>
    <row r="228" spans="1:14" s="49" customFormat="1" ht="15" customHeight="1">
      <c r="A228" s="47"/>
      <c r="B228" s="47"/>
      <c r="C228" s="135" t="s">
        <v>270</v>
      </c>
      <c r="D228" s="136"/>
      <c r="E228" s="136"/>
      <c r="F228" s="136" t="s">
        <v>18</v>
      </c>
      <c r="G228" s="136"/>
      <c r="H228" s="137"/>
      <c r="I228" s="72">
        <f>I227*0.22</f>
        <v>23.909653599600595</v>
      </c>
      <c r="J228" s="48"/>
      <c r="K228" s="48"/>
      <c r="L228" s="88"/>
    </row>
    <row r="229" spans="1:14" s="49" customFormat="1" ht="15" customHeight="1">
      <c r="A229" s="47"/>
      <c r="B229" s="47"/>
      <c r="C229" s="135" t="s">
        <v>366</v>
      </c>
      <c r="D229" s="136"/>
      <c r="E229" s="136"/>
      <c r="F229" s="136" t="s">
        <v>18</v>
      </c>
      <c r="G229" s="136"/>
      <c r="H229" s="137"/>
      <c r="I229" s="101">
        <f>I227*J229</f>
        <v>36.951282835746376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35" t="s">
        <v>272</v>
      </c>
      <c r="D230" s="136"/>
      <c r="E230" s="186" t="s">
        <v>347</v>
      </c>
      <c r="F230" s="186"/>
      <c r="G230" s="186"/>
      <c r="H230" s="186"/>
      <c r="I230" s="101">
        <f>J230*(I221+I223+I225)</f>
        <v>7.7538667998002992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35" t="s">
        <v>87</v>
      </c>
      <c r="D231" s="136"/>
      <c r="E231" s="136"/>
      <c r="F231" s="136" t="s">
        <v>18</v>
      </c>
      <c r="G231" s="136"/>
      <c r="H231" s="137"/>
      <c r="I231" s="101">
        <f>I227+I228+I229+I230</f>
        <v>177.29504686969545</v>
      </c>
      <c r="J231" s="48"/>
      <c r="K231" s="48"/>
      <c r="L231" s="88"/>
    </row>
    <row r="232" spans="1:14" s="49" customFormat="1" ht="15" customHeight="1">
      <c r="A232" s="47"/>
      <c r="B232" s="47"/>
      <c r="C232" s="135" t="s">
        <v>364</v>
      </c>
      <c r="D232" s="136"/>
      <c r="E232" s="136"/>
      <c r="F232" s="136" t="s">
        <v>18</v>
      </c>
      <c r="G232" s="136"/>
      <c r="H232" s="137"/>
      <c r="I232" s="72">
        <f>I231*J232</f>
        <v>35.459009373939089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35" t="s">
        <v>45</v>
      </c>
      <c r="D233" s="136"/>
      <c r="E233" s="136"/>
      <c r="F233" s="136" t="s">
        <v>18</v>
      </c>
      <c r="G233" s="136"/>
      <c r="H233" s="137"/>
      <c r="I233" s="72">
        <f>SUM(I231:I232)</f>
        <v>212.75405624363455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9" t="s">
        <v>46</v>
      </c>
      <c r="D234" s="147"/>
      <c r="E234" s="148"/>
      <c r="F234" s="150" t="s">
        <v>18</v>
      </c>
      <c r="G234" s="151"/>
      <c r="H234" s="92">
        <v>0.05</v>
      </c>
      <c r="I234" s="78">
        <f>I232*J234</f>
        <v>1.7729504686969546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30" t="s">
        <v>47</v>
      </c>
      <c r="D235" s="131"/>
      <c r="E235" s="131"/>
      <c r="F235" s="131" t="s">
        <v>18</v>
      </c>
      <c r="G235" s="131"/>
      <c r="H235" s="132"/>
      <c r="I235" s="78">
        <f>I233+I234</f>
        <v>214.52700671233151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9" t="s">
        <v>48</v>
      </c>
      <c r="D236" s="147"/>
      <c r="E236" s="148"/>
      <c r="F236" s="150" t="s">
        <v>18</v>
      </c>
      <c r="G236" s="151"/>
      <c r="H236" s="92">
        <v>0.05</v>
      </c>
      <c r="I236" s="78">
        <f>I235*J236/K236</f>
        <v>11.290895090122712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30" t="s">
        <v>49</v>
      </c>
      <c r="D237" s="131"/>
      <c r="E237" s="131"/>
      <c r="F237" s="131" t="s">
        <v>18</v>
      </c>
      <c r="G237" s="131"/>
      <c r="H237" s="132"/>
      <c r="I237" s="78">
        <f>I235+I236</f>
        <v>225.81790180245423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38" t="s">
        <v>95</v>
      </c>
      <c r="D238" s="139"/>
      <c r="E238" s="139"/>
      <c r="F238" s="139"/>
      <c r="G238" s="139"/>
      <c r="H238" s="140"/>
      <c r="I238" s="10">
        <f>I237/I9</f>
        <v>5.0878680819594228E-2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41" t="s">
        <v>114</v>
      </c>
      <c r="D239" s="142"/>
      <c r="E239" s="142"/>
      <c r="F239" s="142"/>
      <c r="G239" s="142"/>
      <c r="H239" s="142"/>
      <c r="I239" s="143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30" t="s">
        <v>308</v>
      </c>
      <c r="D240" s="131"/>
      <c r="E240" s="131"/>
      <c r="F240" s="131" t="s">
        <v>12</v>
      </c>
      <c r="G240" s="131"/>
      <c r="H240" s="132"/>
      <c r="I240" s="87">
        <f>$I$40*L240*J240/K240/M240*N240</f>
        <v>1.6583125312031955E-3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30" t="s">
        <v>309</v>
      </c>
      <c r="D241" s="131"/>
      <c r="E241" s="131"/>
      <c r="F241" s="131" t="s">
        <v>12</v>
      </c>
      <c r="G241" s="131"/>
      <c r="H241" s="132"/>
      <c r="I241" s="87">
        <f>$I$40*L241*J241/K241/M241*N241</f>
        <v>1.5201198202695956E-3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30" t="s">
        <v>310</v>
      </c>
      <c r="D242" s="131"/>
      <c r="E242" s="131"/>
      <c r="F242" s="131" t="s">
        <v>15</v>
      </c>
      <c r="G242" s="131"/>
      <c r="H242" s="132"/>
      <c r="I242" s="87">
        <f>((I47+I48)*L242)*J242/K242/M242</f>
        <v>8.5671492760858725E-3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83" t="s">
        <v>175</v>
      </c>
      <c r="D243" s="175"/>
      <c r="E243" s="175"/>
      <c r="F243" s="175"/>
      <c r="G243" s="175"/>
      <c r="H243" s="176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30" t="s">
        <v>311</v>
      </c>
      <c r="D244" s="131"/>
      <c r="E244" s="131"/>
      <c r="F244" s="131"/>
      <c r="G244" s="131"/>
      <c r="H244" s="132"/>
      <c r="I244" s="87">
        <f>I40*J244*K244/L244/M244</f>
        <v>1.5201198202695956E-2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30" t="s">
        <v>312</v>
      </c>
      <c r="D245" s="131"/>
      <c r="E245" s="131"/>
      <c r="F245" s="131"/>
      <c r="G245" s="131"/>
      <c r="H245" s="132"/>
      <c r="I245" s="87">
        <f>I50*J245*K245/M245</f>
        <v>7.4887668497254113E-4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83" t="s">
        <v>178</v>
      </c>
      <c r="D246" s="175"/>
      <c r="E246" s="175"/>
      <c r="F246" s="175"/>
      <c r="G246" s="175"/>
      <c r="H246" s="176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30" t="s">
        <v>313</v>
      </c>
      <c r="D247" s="131"/>
      <c r="E247" s="131"/>
      <c r="F247" s="131"/>
      <c r="G247" s="131"/>
      <c r="H247" s="132"/>
      <c r="I247" s="87">
        <f>I40*J247/K247/L247/M247</f>
        <v>1.4510234648027958E-2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30" t="s">
        <v>314</v>
      </c>
      <c r="D248" s="131"/>
      <c r="E248" s="131"/>
      <c r="F248" s="131" t="s">
        <v>171</v>
      </c>
      <c r="G248" s="131"/>
      <c r="H248" s="132"/>
      <c r="I248" s="105">
        <f>I54*J248/L248/M248</f>
        <v>2.4862705941088364E-3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30" t="s">
        <v>299</v>
      </c>
      <c r="D249" s="131"/>
      <c r="E249" s="131"/>
      <c r="F249" s="131"/>
      <c r="G249" s="131"/>
      <c r="H249" s="132"/>
      <c r="I249" s="105">
        <f>I58*J249/M249</f>
        <v>3.8442336495257121E-3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30" t="s">
        <v>315</v>
      </c>
      <c r="D250" s="131"/>
      <c r="E250" s="131"/>
      <c r="F250" s="131"/>
      <c r="G250" s="131"/>
      <c r="H250" s="132"/>
      <c r="I250" s="105">
        <f>I62*K250*J250/M250</f>
        <v>5.3919121318022961E-3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30" t="s">
        <v>316</v>
      </c>
      <c r="D251" s="131"/>
      <c r="E251" s="131"/>
      <c r="F251" s="131"/>
      <c r="G251" s="131"/>
      <c r="H251" s="132"/>
      <c r="I251" s="87">
        <f>I49*K251*J251/M251</f>
        <v>1.8572141787319023E-2</v>
      </c>
      <c r="J251" s="81">
        <v>0.4</v>
      </c>
      <c r="K251" s="108">
        <v>0.3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30" t="s">
        <v>317</v>
      </c>
      <c r="D252" s="131"/>
      <c r="E252" s="131"/>
      <c r="F252" s="131"/>
      <c r="G252" s="131"/>
      <c r="H252" s="132"/>
      <c r="I252" s="87">
        <f>I40*L252*J252/K252/M252</f>
        <v>1.1400898652021966E-2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30" t="s">
        <v>80</v>
      </c>
      <c r="D253" s="131"/>
      <c r="E253" s="131"/>
      <c r="F253" s="131"/>
      <c r="G253" s="131"/>
      <c r="H253" s="132"/>
      <c r="I253" s="16">
        <f>I240+I241+I242+I248+I244+I245+I247</f>
        <v>4.4692161757363957E-2</v>
      </c>
      <c r="J253" s="81"/>
      <c r="K253" s="81"/>
      <c r="L253" s="63"/>
    </row>
    <row r="254" spans="1:14" s="9" customFormat="1" ht="15" customHeight="1">
      <c r="A254" s="21"/>
      <c r="B254" s="21"/>
      <c r="C254" s="130" t="s">
        <v>81</v>
      </c>
      <c r="D254" s="131"/>
      <c r="E254" s="131"/>
      <c r="F254" s="131"/>
      <c r="G254" s="131"/>
      <c r="H254" s="132"/>
      <c r="I254" s="16">
        <f>I250+I251+I252</f>
        <v>3.5364952571143284E-2</v>
      </c>
      <c r="J254" s="81"/>
      <c r="K254" s="81"/>
      <c r="L254" s="63"/>
    </row>
    <row r="255" spans="1:14" s="9" customFormat="1" ht="15" customHeight="1">
      <c r="A255" s="21"/>
      <c r="B255" s="21"/>
      <c r="C255" s="130" t="s">
        <v>82</v>
      </c>
      <c r="D255" s="131"/>
      <c r="E255" s="131"/>
      <c r="F255" s="131"/>
      <c r="G255" s="131"/>
      <c r="H255" s="132"/>
      <c r="I255" s="16">
        <f>I249</f>
        <v>3.8442336495257121E-3</v>
      </c>
      <c r="J255" s="81"/>
      <c r="K255" s="81"/>
      <c r="L255" s="63"/>
    </row>
    <row r="256" spans="1:14" s="9" customFormat="1" ht="15" customHeight="1">
      <c r="A256" s="21"/>
      <c r="B256" s="21"/>
      <c r="C256" s="130" t="s">
        <v>83</v>
      </c>
      <c r="D256" s="131"/>
      <c r="E256" s="131"/>
      <c r="F256" s="131" t="s">
        <v>18</v>
      </c>
      <c r="G256" s="131"/>
      <c r="H256" s="132"/>
      <c r="I256" s="78">
        <f>J256*K256*M256*N256*I253</f>
        <v>125.97826556165751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30" t="s">
        <v>84</v>
      </c>
      <c r="D257" s="131"/>
      <c r="E257" s="131"/>
      <c r="F257" s="131" t="s">
        <v>18</v>
      </c>
      <c r="G257" s="131"/>
      <c r="H257" s="132"/>
      <c r="I257" s="78">
        <f>J257*K257*M257*N257*I254</f>
        <v>88.610425162256604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30" t="s">
        <v>85</v>
      </c>
      <c r="D258" s="131"/>
      <c r="E258" s="131"/>
      <c r="F258" s="131" t="s">
        <v>18</v>
      </c>
      <c r="G258" s="131"/>
      <c r="H258" s="132"/>
      <c r="I258" s="78">
        <f>J258*K258*M258*N258*I255</f>
        <v>8.6689006490264617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30" t="s">
        <v>86</v>
      </c>
      <c r="D259" s="131"/>
      <c r="E259" s="131"/>
      <c r="F259" s="131" t="s">
        <v>18</v>
      </c>
      <c r="G259" s="131"/>
      <c r="H259" s="132"/>
      <c r="I259" s="79">
        <f>SUM(I256:I258)</f>
        <v>223.25759137294057</v>
      </c>
      <c r="J259" s="62"/>
      <c r="K259" s="62"/>
      <c r="L259" s="63"/>
    </row>
    <row r="260" spans="1:14" s="49" customFormat="1" ht="15" customHeight="1">
      <c r="A260" s="47"/>
      <c r="B260" s="47"/>
      <c r="C260" s="135" t="s">
        <v>270</v>
      </c>
      <c r="D260" s="136"/>
      <c r="E260" s="136"/>
      <c r="F260" s="136" t="s">
        <v>18</v>
      </c>
      <c r="G260" s="136"/>
      <c r="H260" s="137"/>
      <c r="I260" s="72">
        <f>I259*J260</f>
        <v>49.116670102046925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35" t="s">
        <v>366</v>
      </c>
      <c r="D261" s="136"/>
      <c r="E261" s="136"/>
      <c r="F261" s="136" t="s">
        <v>18</v>
      </c>
      <c r="G261" s="136"/>
      <c r="H261" s="137"/>
      <c r="I261" s="72">
        <f>I259*J261</f>
        <v>75.907581066799793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35" t="s">
        <v>272</v>
      </c>
      <c r="D262" s="136"/>
      <c r="E262" s="186" t="s">
        <v>347</v>
      </c>
      <c r="F262" s="186"/>
      <c r="G262" s="186"/>
      <c r="H262" s="186"/>
      <c r="I262" s="72">
        <f>(I253+I254+I255)*J262</f>
        <v>15.308639952071893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35" t="s">
        <v>87</v>
      </c>
      <c r="D263" s="136"/>
      <c r="E263" s="136"/>
      <c r="F263" s="136" t="s">
        <v>18</v>
      </c>
      <c r="G263" s="136"/>
      <c r="H263" s="137"/>
      <c r="I263" s="72">
        <f>SUM(I259:I262)</f>
        <v>363.59048249385921</v>
      </c>
      <c r="J263" s="91"/>
      <c r="K263" s="81"/>
      <c r="L263" s="88"/>
    </row>
    <row r="264" spans="1:14" s="49" customFormat="1" ht="15" customHeight="1">
      <c r="A264" s="47"/>
      <c r="B264" s="47"/>
      <c r="C264" s="135" t="s">
        <v>365</v>
      </c>
      <c r="D264" s="136"/>
      <c r="E264" s="136"/>
      <c r="F264" s="136" t="s">
        <v>18</v>
      </c>
      <c r="G264" s="136"/>
      <c r="H264" s="137"/>
      <c r="I264" s="72">
        <f>I263*J264</f>
        <v>72.718096498771843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35" t="s">
        <v>45</v>
      </c>
      <c r="D265" s="136"/>
      <c r="E265" s="136"/>
      <c r="F265" s="136" t="s">
        <v>18</v>
      </c>
      <c r="G265" s="136"/>
      <c r="H265" s="137"/>
      <c r="I265" s="72">
        <f>SUM(I263:I264)</f>
        <v>436.30857899263106</v>
      </c>
      <c r="J265" s="91"/>
      <c r="K265" s="81"/>
      <c r="L265" s="88"/>
    </row>
    <row r="266" spans="1:14" s="49" customFormat="1" ht="15" customHeight="1">
      <c r="A266" s="47"/>
      <c r="B266" s="47"/>
      <c r="C266" s="164" t="s">
        <v>46</v>
      </c>
      <c r="D266" s="165"/>
      <c r="E266" s="166"/>
      <c r="F266" s="133" t="s">
        <v>18</v>
      </c>
      <c r="G266" s="134"/>
      <c r="H266" s="90">
        <v>0.05</v>
      </c>
      <c r="I266" s="72">
        <f>I264*J266</f>
        <v>3.6359048249385921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30" t="s">
        <v>47</v>
      </c>
      <c r="D267" s="131"/>
      <c r="E267" s="131"/>
      <c r="F267" s="131" t="s">
        <v>18</v>
      </c>
      <c r="G267" s="131"/>
      <c r="H267" s="132"/>
      <c r="I267" s="78">
        <f>I265+I266</f>
        <v>439.94448381756968</v>
      </c>
      <c r="J267" s="80"/>
      <c r="K267" s="62"/>
      <c r="L267" s="63"/>
    </row>
    <row r="268" spans="1:14" s="54" customFormat="1" ht="15" customHeight="1">
      <c r="A268" s="53"/>
      <c r="B268" s="53"/>
      <c r="C268" s="149" t="s">
        <v>48</v>
      </c>
      <c r="D268" s="147"/>
      <c r="E268" s="148"/>
      <c r="F268" s="150" t="s">
        <v>18</v>
      </c>
      <c r="G268" s="151"/>
      <c r="H268" s="92">
        <v>0.05</v>
      </c>
      <c r="I268" s="78">
        <f>I267*J268/K268</f>
        <v>23.154972832503667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30" t="s">
        <v>49</v>
      </c>
      <c r="D269" s="131"/>
      <c r="E269" s="131"/>
      <c r="F269" s="131" t="s">
        <v>18</v>
      </c>
      <c r="G269" s="131"/>
      <c r="H269" s="132"/>
      <c r="I269" s="78">
        <f>I267+I268</f>
        <v>463.09945665007336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38" t="s">
        <v>95</v>
      </c>
      <c r="D270" s="139"/>
      <c r="E270" s="139"/>
      <c r="F270" s="139"/>
      <c r="G270" s="139"/>
      <c r="H270" s="140"/>
      <c r="I270" s="10">
        <f>I269/I9</f>
        <v>0.10434021950677129</v>
      </c>
      <c r="J270" s="62"/>
      <c r="K270" s="62"/>
      <c r="L270" s="63"/>
    </row>
    <row r="271" spans="1:14" s="9" customFormat="1" ht="18" customHeight="1">
      <c r="A271" s="21"/>
      <c r="B271" s="21"/>
      <c r="C271" s="141" t="s">
        <v>0</v>
      </c>
      <c r="D271" s="142"/>
      <c r="E271" s="142"/>
      <c r="F271" s="142"/>
      <c r="G271" s="142"/>
      <c r="H271" s="142"/>
      <c r="I271" s="143"/>
      <c r="J271" s="62"/>
      <c r="K271" s="62"/>
      <c r="L271" s="63"/>
    </row>
    <row r="272" spans="1:14" s="49" customFormat="1" ht="16.95" customHeight="1">
      <c r="A272" s="47"/>
      <c r="B272" s="47"/>
      <c r="C272" s="135" t="s">
        <v>348</v>
      </c>
      <c r="D272" s="136"/>
      <c r="E272" s="136"/>
      <c r="F272" s="136" t="s">
        <v>18</v>
      </c>
      <c r="G272" s="136"/>
      <c r="H272" s="137"/>
      <c r="I272" s="72">
        <f>J272*I9</f>
        <v>576.98680000000002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35" t="s">
        <v>364</v>
      </c>
      <c r="D273" s="136"/>
      <c r="E273" s="136"/>
      <c r="F273" s="136" t="s">
        <v>18</v>
      </c>
      <c r="G273" s="136"/>
      <c r="H273" s="137"/>
      <c r="I273" s="72">
        <f>I272*J273</f>
        <v>115.39736000000001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30" t="s">
        <v>45</v>
      </c>
      <c r="D274" s="131"/>
      <c r="E274" s="131"/>
      <c r="F274" s="131" t="s">
        <v>18</v>
      </c>
      <c r="G274" s="131"/>
      <c r="H274" s="132"/>
      <c r="I274" s="78">
        <f>SUM(I272:I273)</f>
        <v>692.38416000000007</v>
      </c>
      <c r="J274" s="62"/>
      <c r="K274" s="62"/>
      <c r="L274" s="63"/>
    </row>
    <row r="275" spans="1:12" s="9" customFormat="1" ht="14.4" customHeight="1">
      <c r="A275" s="21"/>
      <c r="B275" s="21"/>
      <c r="C275" s="149" t="s">
        <v>46</v>
      </c>
      <c r="D275" s="147"/>
      <c r="E275" s="148"/>
      <c r="F275" s="150" t="s">
        <v>18</v>
      </c>
      <c r="G275" s="151"/>
      <c r="H275" s="92">
        <v>0.05</v>
      </c>
      <c r="I275" s="78">
        <f>I273*J275</f>
        <v>5.7698680000000007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30" t="s">
        <v>47</v>
      </c>
      <c r="D276" s="131"/>
      <c r="E276" s="131"/>
      <c r="F276" s="131" t="s">
        <v>18</v>
      </c>
      <c r="G276" s="131"/>
      <c r="H276" s="132"/>
      <c r="I276" s="78">
        <f>I274+I275</f>
        <v>698.15402800000004</v>
      </c>
      <c r="J276" s="62"/>
      <c r="K276" s="62"/>
      <c r="L276" s="63"/>
    </row>
    <row r="277" spans="1:12" s="9" customFormat="1" ht="14.4" customHeight="1">
      <c r="A277" s="21"/>
      <c r="B277" s="21"/>
      <c r="C277" s="149" t="s">
        <v>48</v>
      </c>
      <c r="D277" s="147"/>
      <c r="E277" s="148"/>
      <c r="F277" s="150" t="s">
        <v>18</v>
      </c>
      <c r="G277" s="151"/>
      <c r="H277" s="92">
        <v>0.05</v>
      </c>
      <c r="I277" s="78">
        <f>I276*J277/K277</f>
        <v>36.744948842105266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30" t="s">
        <v>49</v>
      </c>
      <c r="D278" s="131"/>
      <c r="E278" s="131"/>
      <c r="F278" s="131" t="s">
        <v>18</v>
      </c>
      <c r="G278" s="131"/>
      <c r="H278" s="132"/>
      <c r="I278" s="78">
        <f>I276+I277</f>
        <v>734.8989768421053</v>
      </c>
      <c r="J278" s="62"/>
      <c r="K278" s="62"/>
      <c r="L278" s="63"/>
    </row>
    <row r="279" spans="1:12" s="9" customFormat="1" ht="16.2">
      <c r="A279" s="21"/>
      <c r="B279" s="21"/>
      <c r="C279" s="138" t="s">
        <v>95</v>
      </c>
      <c r="D279" s="139"/>
      <c r="E279" s="139"/>
      <c r="F279" s="139"/>
      <c r="G279" s="139"/>
      <c r="H279" s="140"/>
      <c r="I279" s="10">
        <f>I278/I9</f>
        <v>0.16557894736842108</v>
      </c>
      <c r="J279" s="62"/>
      <c r="K279" s="62"/>
      <c r="L279" s="63"/>
    </row>
    <row r="280" spans="1:12" s="9" customFormat="1" ht="16.2">
      <c r="A280" s="21"/>
      <c r="B280" s="21"/>
      <c r="C280" s="138" t="s">
        <v>246</v>
      </c>
      <c r="D280" s="139"/>
      <c r="E280" s="139"/>
      <c r="F280" s="139"/>
      <c r="G280" s="139"/>
      <c r="H280" s="140"/>
      <c r="I280" s="12">
        <f>J280</f>
        <v>0.45557894736842108</v>
      </c>
      <c r="J280" s="97">
        <f>ROUND(I191,3)+ROUND(I215,3)+ROUND(I238,3)+ROUND(I270,3)+I279</f>
        <v>0.45557894736842108</v>
      </c>
      <c r="K280" s="62"/>
      <c r="L280" s="63"/>
    </row>
    <row r="281" spans="1:12" s="9" customFormat="1" ht="16.2">
      <c r="A281" s="144" t="s">
        <v>227</v>
      </c>
      <c r="B281" s="145"/>
      <c r="C281" s="145"/>
      <c r="D281" s="145"/>
      <c r="E281" s="145"/>
      <c r="F281" s="145"/>
      <c r="G281" s="145"/>
      <c r="H281" s="145"/>
      <c r="I281" s="146"/>
      <c r="J281" s="62"/>
      <c r="K281" s="62"/>
      <c r="L281" s="63"/>
    </row>
    <row r="282" spans="1:12" s="9" customFormat="1" ht="15" customHeight="1">
      <c r="A282" s="21"/>
      <c r="B282" s="21"/>
      <c r="C282" s="130" t="s">
        <v>318</v>
      </c>
      <c r="D282" s="131"/>
      <c r="E282" s="131"/>
      <c r="F282" s="131" t="s">
        <v>18</v>
      </c>
      <c r="G282" s="131"/>
      <c r="H282" s="132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30" t="s">
        <v>267</v>
      </c>
      <c r="D283" s="131"/>
      <c r="E283" s="131"/>
      <c r="F283" s="131" t="s">
        <v>18</v>
      </c>
      <c r="G283" s="131"/>
      <c r="H283" s="132"/>
      <c r="I283" s="110">
        <f>I282*J283*I21/12</f>
        <v>118.57250000000001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30" t="s">
        <v>87</v>
      </c>
      <c r="D284" s="131"/>
      <c r="E284" s="131"/>
      <c r="F284" s="131" t="s">
        <v>18</v>
      </c>
      <c r="G284" s="131"/>
      <c r="H284" s="132"/>
      <c r="I284" s="110">
        <f>SUM(I283)</f>
        <v>118.57250000000001</v>
      </c>
      <c r="J284" s="62"/>
      <c r="K284" s="62"/>
      <c r="L284" s="63"/>
    </row>
    <row r="285" spans="1:12" s="49" customFormat="1" ht="15" customHeight="1">
      <c r="A285" s="47"/>
      <c r="B285" s="47"/>
      <c r="C285" s="135" t="s">
        <v>369</v>
      </c>
      <c r="D285" s="136"/>
      <c r="E285" s="136"/>
      <c r="F285" s="136" t="s">
        <v>18</v>
      </c>
      <c r="G285" s="136"/>
      <c r="H285" s="137"/>
      <c r="I285" s="101">
        <f>I284*J285</f>
        <v>23.714500000000001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30" t="s">
        <v>88</v>
      </c>
      <c r="D286" s="131"/>
      <c r="E286" s="131"/>
      <c r="F286" s="131" t="s">
        <v>18</v>
      </c>
      <c r="G286" s="131"/>
      <c r="H286" s="132"/>
      <c r="I286" s="100">
        <f>SUM(I284:I285)</f>
        <v>142.28700000000001</v>
      </c>
      <c r="J286" s="80"/>
      <c r="K286" s="62"/>
      <c r="L286" s="63"/>
    </row>
    <row r="287" spans="1:12" s="9" customFormat="1" ht="15" customHeight="1">
      <c r="A287" s="21"/>
      <c r="B287" s="21"/>
      <c r="C287" s="149" t="s">
        <v>46</v>
      </c>
      <c r="D287" s="147"/>
      <c r="E287" s="148"/>
      <c r="F287" s="150" t="s">
        <v>18</v>
      </c>
      <c r="G287" s="151"/>
      <c r="H287" s="92">
        <v>0.05</v>
      </c>
      <c r="I287" s="78">
        <f>I285*J287</f>
        <v>1.1857250000000001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30" t="s">
        <v>47</v>
      </c>
      <c r="D288" s="131"/>
      <c r="E288" s="131"/>
      <c r="F288" s="131" t="s">
        <v>18</v>
      </c>
      <c r="G288" s="131"/>
      <c r="H288" s="132"/>
      <c r="I288" s="78">
        <f>I286+I287</f>
        <v>143.472725</v>
      </c>
      <c r="J288" s="80"/>
      <c r="K288" s="62"/>
      <c r="L288" s="63"/>
    </row>
    <row r="289" spans="1:14" s="9" customFormat="1" ht="15" customHeight="1">
      <c r="A289" s="21"/>
      <c r="B289" s="21"/>
      <c r="C289" s="149" t="s">
        <v>48</v>
      </c>
      <c r="D289" s="147"/>
      <c r="E289" s="148"/>
      <c r="F289" s="150" t="s">
        <v>18</v>
      </c>
      <c r="G289" s="151"/>
      <c r="H289" s="92">
        <v>0.05</v>
      </c>
      <c r="I289" s="78">
        <f>I288*J289/K289</f>
        <v>7.55119605263158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30" t="s">
        <v>49</v>
      </c>
      <c r="D290" s="131"/>
      <c r="E290" s="131"/>
      <c r="F290" s="131" t="s">
        <v>18</v>
      </c>
      <c r="G290" s="131"/>
      <c r="H290" s="132"/>
      <c r="I290" s="78">
        <f>I288+I289</f>
        <v>151.02392105263158</v>
      </c>
      <c r="J290" s="80"/>
      <c r="K290" s="80"/>
      <c r="L290" s="63"/>
    </row>
    <row r="291" spans="1:14" s="9" customFormat="1" ht="16.2">
      <c r="A291" s="21"/>
      <c r="B291" s="21"/>
      <c r="C291" s="138" t="s">
        <v>95</v>
      </c>
      <c r="D291" s="139"/>
      <c r="E291" s="139"/>
      <c r="F291" s="139"/>
      <c r="G291" s="139"/>
      <c r="H291" s="140"/>
      <c r="I291" s="10">
        <f>J291</f>
        <v>3.4000000000000002E-2</v>
      </c>
      <c r="J291" s="97">
        <f>ROUND(K291,3)</f>
        <v>3.4000000000000002E-2</v>
      </c>
      <c r="K291" s="97">
        <f>I290/I9</f>
        <v>3.402696515213538E-2</v>
      </c>
      <c r="L291" s="63"/>
    </row>
    <row r="292" spans="1:14" s="9" customFormat="1" ht="16.2">
      <c r="A292" s="144" t="s">
        <v>226</v>
      </c>
      <c r="B292" s="145"/>
      <c r="C292" s="145"/>
      <c r="D292" s="145"/>
      <c r="E292" s="145"/>
      <c r="F292" s="145"/>
      <c r="G292" s="145"/>
      <c r="H292" s="145"/>
      <c r="I292" s="146"/>
      <c r="J292" s="62"/>
      <c r="K292" s="62"/>
      <c r="L292" s="63"/>
    </row>
    <row r="293" spans="1:14" s="9" customFormat="1" ht="15" customHeight="1">
      <c r="A293" s="21"/>
      <c r="B293" s="21"/>
      <c r="C293" s="130" t="s">
        <v>318</v>
      </c>
      <c r="D293" s="131"/>
      <c r="E293" s="131"/>
      <c r="F293" s="131" t="s">
        <v>18</v>
      </c>
      <c r="G293" s="131"/>
      <c r="H293" s="132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30" t="s">
        <v>268</v>
      </c>
      <c r="D294" s="131"/>
      <c r="E294" s="131"/>
      <c r="F294" s="131" t="s">
        <v>18</v>
      </c>
      <c r="G294" s="131"/>
      <c r="H294" s="132"/>
      <c r="I294" s="110">
        <f>I293*J294*I21/12</f>
        <v>136.03666666666666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30" t="s">
        <v>87</v>
      </c>
      <c r="D295" s="131"/>
      <c r="E295" s="131"/>
      <c r="F295" s="131" t="s">
        <v>18</v>
      </c>
      <c r="G295" s="131"/>
      <c r="H295" s="132"/>
      <c r="I295" s="110">
        <f>SUM(I294)</f>
        <v>136.03666666666666</v>
      </c>
      <c r="J295" s="62"/>
      <c r="K295" s="62"/>
      <c r="L295" s="63"/>
    </row>
    <row r="296" spans="1:14" s="49" customFormat="1" ht="15" customHeight="1">
      <c r="A296" s="47"/>
      <c r="B296" s="47"/>
      <c r="C296" s="135" t="s">
        <v>370</v>
      </c>
      <c r="D296" s="136"/>
      <c r="E296" s="136"/>
      <c r="F296" s="136" t="s">
        <v>18</v>
      </c>
      <c r="G296" s="136"/>
      <c r="H296" s="137"/>
      <c r="I296" s="101">
        <f>I295*J296</f>
        <v>27.207333333333334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30" t="s">
        <v>88</v>
      </c>
      <c r="D297" s="131"/>
      <c r="E297" s="131"/>
      <c r="F297" s="131" t="s">
        <v>18</v>
      </c>
      <c r="G297" s="131"/>
      <c r="H297" s="132"/>
      <c r="I297" s="100">
        <f>SUM(I295:I296)</f>
        <v>163.244</v>
      </c>
      <c r="J297" s="62"/>
      <c r="K297" s="62"/>
      <c r="L297" s="63"/>
    </row>
    <row r="298" spans="1:14" s="9" customFormat="1" ht="15" customHeight="1">
      <c r="A298" s="21"/>
      <c r="B298" s="21"/>
      <c r="C298" s="149" t="s">
        <v>46</v>
      </c>
      <c r="D298" s="147"/>
      <c r="E298" s="148"/>
      <c r="F298" s="150" t="s">
        <v>18</v>
      </c>
      <c r="G298" s="151"/>
      <c r="H298" s="92">
        <v>0.05</v>
      </c>
      <c r="I298" s="78">
        <f>I296*J298</f>
        <v>1.3603666666666667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30" t="s">
        <v>47</v>
      </c>
      <c r="D299" s="131"/>
      <c r="E299" s="131"/>
      <c r="F299" s="131" t="s">
        <v>18</v>
      </c>
      <c r="G299" s="131"/>
      <c r="H299" s="132"/>
      <c r="I299" s="78">
        <f>I297+I298</f>
        <v>164.60436666666666</v>
      </c>
      <c r="J299" s="62"/>
      <c r="K299" s="62"/>
      <c r="L299" s="63"/>
    </row>
    <row r="300" spans="1:14" s="9" customFormat="1" ht="15" customHeight="1">
      <c r="A300" s="21"/>
      <c r="B300" s="21"/>
      <c r="C300" s="149" t="s">
        <v>48</v>
      </c>
      <c r="D300" s="147"/>
      <c r="E300" s="148"/>
      <c r="F300" s="150" t="s">
        <v>18</v>
      </c>
      <c r="G300" s="151"/>
      <c r="H300" s="92">
        <v>0.05</v>
      </c>
      <c r="I300" s="78">
        <f>I299*J300/K300</f>
        <v>8.663387719298246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30" t="s">
        <v>49</v>
      </c>
      <c r="D301" s="131"/>
      <c r="E301" s="131"/>
      <c r="F301" s="131" t="s">
        <v>18</v>
      </c>
      <c r="G301" s="131"/>
      <c r="H301" s="132"/>
      <c r="I301" s="78">
        <f>I299+I300</f>
        <v>173.26775438596491</v>
      </c>
      <c r="J301" s="95"/>
      <c r="K301" s="62"/>
      <c r="L301" s="63"/>
    </row>
    <row r="302" spans="1:14" s="9" customFormat="1" ht="15.75" customHeight="1">
      <c r="A302" s="21"/>
      <c r="B302" s="21"/>
      <c r="C302" s="138" t="s">
        <v>95</v>
      </c>
      <c r="D302" s="139"/>
      <c r="E302" s="139"/>
      <c r="F302" s="139"/>
      <c r="G302" s="139"/>
      <c r="H302" s="140"/>
      <c r="I302" s="10">
        <f>J302</f>
        <v>3.9E-2</v>
      </c>
      <c r="J302" s="97">
        <f>ROUND(K302,3)</f>
        <v>3.9E-2</v>
      </c>
      <c r="K302" s="97">
        <f>I301/I9</f>
        <v>3.9038688701674699E-2</v>
      </c>
      <c r="L302" s="63"/>
    </row>
    <row r="303" spans="1:14" s="9" customFormat="1" ht="15.75" customHeight="1">
      <c r="A303" s="177" t="s">
        <v>228</v>
      </c>
      <c r="B303" s="178"/>
      <c r="C303" s="178"/>
      <c r="D303" s="178"/>
      <c r="E303" s="178"/>
      <c r="F303" s="178"/>
      <c r="G303" s="178"/>
      <c r="H303" s="178"/>
      <c r="I303" s="179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30" t="s">
        <v>319</v>
      </c>
      <c r="D304" s="131"/>
      <c r="E304" s="131"/>
      <c r="F304" s="131" t="s">
        <v>70</v>
      </c>
      <c r="G304" s="131"/>
      <c r="H304" s="132"/>
      <c r="I304" s="13">
        <f>I37*J304*M304/K304/L304*N304</f>
        <v>1.6175736395406887E-2</v>
      </c>
      <c r="J304" s="81">
        <v>1.8</v>
      </c>
      <c r="K304" s="62">
        <v>10</v>
      </c>
      <c r="L304" s="63">
        <v>2003</v>
      </c>
      <c r="M304" s="56">
        <v>1</v>
      </c>
      <c r="N304" s="52">
        <v>0.25</v>
      </c>
    </row>
    <row r="305" spans="1:14" s="9" customFormat="1" ht="15.75" customHeight="1">
      <c r="A305" s="21"/>
      <c r="B305" s="21"/>
      <c r="C305" s="130" t="s">
        <v>1</v>
      </c>
      <c r="D305" s="131"/>
      <c r="E305" s="131"/>
      <c r="F305" s="131" t="s">
        <v>18</v>
      </c>
      <c r="G305" s="131"/>
      <c r="H305" s="132"/>
      <c r="I305" s="17">
        <f>J305*K305*M305*N305*I304</f>
        <v>40.529925112331497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30" t="s">
        <v>270</v>
      </c>
      <c r="D306" s="131"/>
      <c r="E306" s="131"/>
      <c r="F306" s="131" t="s">
        <v>18</v>
      </c>
      <c r="G306" s="131"/>
      <c r="H306" s="132"/>
      <c r="I306" s="78">
        <f>I305*J306</f>
        <v>8.9165835247129301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35" t="s">
        <v>366</v>
      </c>
      <c r="D307" s="136"/>
      <c r="E307" s="136"/>
      <c r="F307" s="136" t="s">
        <v>18</v>
      </c>
      <c r="G307" s="136"/>
      <c r="H307" s="137"/>
      <c r="I307" s="72">
        <f>I305*J307</f>
        <v>13.780174538192711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35" t="s">
        <v>349</v>
      </c>
      <c r="D308" s="136"/>
      <c r="E308" s="136"/>
      <c r="F308" s="136" t="s">
        <v>18</v>
      </c>
      <c r="G308" s="136"/>
      <c r="H308" s="137"/>
      <c r="I308" s="72">
        <f>I304*J308</f>
        <v>1.2096215676485271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35" t="s">
        <v>288</v>
      </c>
      <c r="D309" s="136"/>
      <c r="E309" s="136"/>
      <c r="F309" s="136" t="s">
        <v>18</v>
      </c>
      <c r="G309" s="136"/>
      <c r="H309" s="137"/>
      <c r="I309" s="72">
        <f>SUM(I305:I308)</f>
        <v>64.436304742885667</v>
      </c>
      <c r="J309" s="102"/>
      <c r="K309" s="81"/>
      <c r="L309" s="88"/>
    </row>
    <row r="310" spans="1:14" s="49" customFormat="1" ht="15.75" customHeight="1">
      <c r="A310" s="47"/>
      <c r="B310" s="47"/>
      <c r="C310" s="135" t="s">
        <v>370</v>
      </c>
      <c r="D310" s="136"/>
      <c r="E310" s="136"/>
      <c r="F310" s="136" t="s">
        <v>18</v>
      </c>
      <c r="G310" s="136"/>
      <c r="H310" s="137"/>
      <c r="I310" s="72">
        <f>I309*J310</f>
        <v>12.887260948577135</v>
      </c>
      <c r="J310" s="91">
        <v>0.2</v>
      </c>
      <c r="K310" s="81"/>
      <c r="L310" s="88"/>
    </row>
    <row r="311" spans="1:14" s="49" customFormat="1">
      <c r="A311" s="47"/>
      <c r="B311" s="47"/>
      <c r="C311" s="135" t="s">
        <v>45</v>
      </c>
      <c r="D311" s="136"/>
      <c r="E311" s="136"/>
      <c r="F311" s="136" t="s">
        <v>18</v>
      </c>
      <c r="G311" s="136"/>
      <c r="H311" s="137"/>
      <c r="I311" s="72">
        <f>SUM(I309:I310)</f>
        <v>77.323565691462804</v>
      </c>
      <c r="J311" s="81"/>
      <c r="K311" s="81"/>
      <c r="L311" s="88"/>
    </row>
    <row r="312" spans="1:14" s="9" customFormat="1">
      <c r="A312" s="21"/>
      <c r="B312" s="21"/>
      <c r="C312" s="149" t="s">
        <v>46</v>
      </c>
      <c r="D312" s="147"/>
      <c r="E312" s="148"/>
      <c r="F312" s="150" t="s">
        <v>18</v>
      </c>
      <c r="G312" s="151"/>
      <c r="H312" s="92">
        <v>0.05</v>
      </c>
      <c r="I312" s="78">
        <f>I311*J312</f>
        <v>3.8661782845731403</v>
      </c>
      <c r="J312" s="80">
        <v>0.05</v>
      </c>
      <c r="K312" s="62"/>
      <c r="L312" s="63"/>
    </row>
    <row r="313" spans="1:14" s="9" customFormat="1">
      <c r="A313" s="21"/>
      <c r="B313" s="21"/>
      <c r="C313" s="130" t="s">
        <v>47</v>
      </c>
      <c r="D313" s="131"/>
      <c r="E313" s="131"/>
      <c r="F313" s="131" t="s">
        <v>18</v>
      </c>
      <c r="G313" s="131"/>
      <c r="H313" s="132"/>
      <c r="I313" s="78">
        <f>I311+I312</f>
        <v>81.189743976035942</v>
      </c>
      <c r="J313" s="62"/>
      <c r="K313" s="62"/>
      <c r="L313" s="63"/>
    </row>
    <row r="314" spans="1:14" s="54" customFormat="1">
      <c r="A314" s="53"/>
      <c r="B314" s="53"/>
      <c r="C314" s="149" t="s">
        <v>48</v>
      </c>
      <c r="D314" s="147"/>
      <c r="E314" s="148"/>
      <c r="F314" s="150" t="s">
        <v>18</v>
      </c>
      <c r="G314" s="151"/>
      <c r="H314" s="92">
        <v>0.05</v>
      </c>
      <c r="I314" s="78">
        <f>I313*J314/K314</f>
        <v>4.2731444197913655</v>
      </c>
      <c r="J314" s="80">
        <v>0.05</v>
      </c>
      <c r="K314" s="80">
        <v>0.95</v>
      </c>
    </row>
    <row r="315" spans="1:14" s="57" customFormat="1">
      <c r="A315" s="53"/>
      <c r="B315" s="53"/>
      <c r="C315" s="130" t="s">
        <v>49</v>
      </c>
      <c r="D315" s="131"/>
      <c r="E315" s="131"/>
      <c r="F315" s="131" t="s">
        <v>18</v>
      </c>
      <c r="G315" s="131"/>
      <c r="H315" s="132"/>
      <c r="I315" s="78">
        <f>I313+I314</f>
        <v>85.462888395827306</v>
      </c>
      <c r="J315" s="62"/>
      <c r="K315" s="62"/>
      <c r="L315" s="54"/>
    </row>
    <row r="316" spans="1:14" s="9" customFormat="1" ht="16.2">
      <c r="A316" s="21"/>
      <c r="B316" s="21"/>
      <c r="C316" s="161" t="s">
        <v>95</v>
      </c>
      <c r="D316" s="162"/>
      <c r="E316" s="162"/>
      <c r="F316" s="162"/>
      <c r="G316" s="162"/>
      <c r="H316" s="163"/>
      <c r="I316" s="10">
        <f>J316</f>
        <v>1.9E-2</v>
      </c>
      <c r="J316" s="97">
        <f>ROUND(K316,3)</f>
        <v>1.9E-2</v>
      </c>
      <c r="K316" s="97">
        <f>I315/I10</f>
        <v>1.9255510683186428E-2</v>
      </c>
      <c r="L316" s="63"/>
    </row>
    <row r="317" spans="1:14" s="9" customFormat="1" ht="36.6" customHeight="1">
      <c r="A317" s="177" t="s">
        <v>181</v>
      </c>
      <c r="B317" s="178"/>
      <c r="C317" s="178"/>
      <c r="D317" s="178"/>
      <c r="E317" s="178"/>
      <c r="F317" s="178"/>
      <c r="G317" s="178"/>
      <c r="H317" s="178"/>
      <c r="I317" s="179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30" t="s">
        <v>320</v>
      </c>
      <c r="D318" s="131"/>
      <c r="E318" s="131"/>
      <c r="F318" s="131" t="s">
        <v>12</v>
      </c>
      <c r="G318" s="131"/>
      <c r="H318" s="132"/>
      <c r="I318" s="87">
        <f>I31*J318*K318/M318</f>
        <v>3.8941587618572145E-3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30" t="s">
        <v>321</v>
      </c>
      <c r="D319" s="131"/>
      <c r="E319" s="131"/>
      <c r="F319" s="131" t="s">
        <v>12</v>
      </c>
      <c r="G319" s="131"/>
      <c r="H319" s="132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30" t="s">
        <v>322</v>
      </c>
      <c r="D320" s="131"/>
      <c r="E320" s="131"/>
      <c r="F320" s="131"/>
      <c r="G320" s="131"/>
      <c r="H320" s="132"/>
      <c r="I320" s="87">
        <f>(I24+I28)*J320/K320/M320</f>
        <v>4.992511233150275E-3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30" t="s">
        <v>323</v>
      </c>
      <c r="D321" s="131"/>
      <c r="E321" s="131"/>
      <c r="F321" s="131"/>
      <c r="G321" s="131"/>
      <c r="H321" s="132"/>
      <c r="I321" s="87">
        <f>I23*J321/M321</f>
        <v>2.9955067398901645E-3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30" t="s">
        <v>324</v>
      </c>
      <c r="D322" s="131"/>
      <c r="E322" s="131"/>
      <c r="F322" s="131" t="s">
        <v>16</v>
      </c>
      <c r="G322" s="131"/>
      <c r="H322" s="132"/>
      <c r="I322" s="87">
        <f>I25*J322/K322/M322</f>
        <v>1.947079380928607E-3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30" t="s">
        <v>325</v>
      </c>
      <c r="D323" s="131"/>
      <c r="E323" s="131"/>
      <c r="F323" s="131" t="s">
        <v>16</v>
      </c>
      <c r="G323" s="131"/>
      <c r="H323" s="132"/>
      <c r="I323" s="87">
        <f>I26*J323/M323</f>
        <v>1.6475287069395907E-3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30" t="s">
        <v>326</v>
      </c>
      <c r="D324" s="131"/>
      <c r="E324" s="131"/>
      <c r="F324" s="131" t="s">
        <v>16</v>
      </c>
      <c r="G324" s="131"/>
      <c r="H324" s="132"/>
      <c r="I324" s="87">
        <f>I29*J324/M324</f>
        <v>2.2466300549176237E-3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30" t="s">
        <v>327</v>
      </c>
      <c r="D325" s="131"/>
      <c r="E325" s="131"/>
      <c r="F325" s="131" t="s">
        <v>16</v>
      </c>
      <c r="G325" s="131"/>
      <c r="H325" s="132"/>
      <c r="I325" s="87">
        <f>I27*J325/K325/M325</f>
        <v>2.1168247628557163E-3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30" t="s">
        <v>328</v>
      </c>
      <c r="D326" s="131"/>
      <c r="E326" s="131"/>
      <c r="F326" s="131" t="s">
        <v>16</v>
      </c>
      <c r="G326" s="131"/>
      <c r="H326" s="132"/>
      <c r="I326" s="87">
        <f>I30*J326/K326/M326</f>
        <v>8.6669995007488763E-3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30" t="s">
        <v>89</v>
      </c>
      <c r="D327" s="131"/>
      <c r="E327" s="131"/>
      <c r="F327" s="131"/>
      <c r="G327" s="131"/>
      <c r="H327" s="132"/>
      <c r="I327" s="87">
        <f>I318+I321</f>
        <v>6.8896655017473794E-3</v>
      </c>
      <c r="J327" s="81"/>
      <c r="K327" s="81"/>
      <c r="L327" s="63"/>
    </row>
    <row r="328" spans="1:14" s="9" customFormat="1" ht="15" customHeight="1">
      <c r="A328" s="21"/>
      <c r="B328" s="21"/>
      <c r="C328" s="130" t="s">
        <v>90</v>
      </c>
      <c r="D328" s="131"/>
      <c r="E328" s="131"/>
      <c r="F328" s="131"/>
      <c r="G328" s="131"/>
      <c r="H328" s="132"/>
      <c r="I328" s="87">
        <f>I319+I320+I323+I324+I325+I326</f>
        <v>1.99700449326011E-2</v>
      </c>
      <c r="J328" s="81"/>
      <c r="K328" s="81"/>
      <c r="L328" s="63"/>
    </row>
    <row r="329" spans="1:14" s="9" customFormat="1" ht="15" customHeight="1">
      <c r="A329" s="21"/>
      <c r="B329" s="21"/>
      <c r="C329" s="130" t="s">
        <v>91</v>
      </c>
      <c r="D329" s="131"/>
      <c r="E329" s="131"/>
      <c r="F329" s="131"/>
      <c r="G329" s="131"/>
      <c r="H329" s="132"/>
      <c r="I329" s="87">
        <f>I322</f>
        <v>1.947079380928607E-3</v>
      </c>
      <c r="J329" s="81"/>
      <c r="K329" s="81"/>
      <c r="L329" s="63"/>
    </row>
    <row r="330" spans="1:14" s="9" customFormat="1" ht="15" customHeight="1">
      <c r="A330" s="21"/>
      <c r="B330" s="21"/>
      <c r="C330" s="130" t="s">
        <v>92</v>
      </c>
      <c r="D330" s="131"/>
      <c r="E330" s="131"/>
      <c r="F330" s="131" t="s">
        <v>18</v>
      </c>
      <c r="G330" s="131"/>
      <c r="H330" s="132"/>
      <c r="I330" s="78">
        <f>I327*J330*K330*M330*N330</f>
        <v>19.420589116325512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30" t="s">
        <v>93</v>
      </c>
      <c r="D331" s="131"/>
      <c r="E331" s="131"/>
      <c r="F331" s="131" t="s">
        <v>18</v>
      </c>
      <c r="G331" s="131"/>
      <c r="H331" s="132"/>
      <c r="I331" s="78">
        <f>I328*J331*K331*M331*N331</f>
        <v>50.036944583125312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30" t="s">
        <v>94</v>
      </c>
      <c r="D332" s="131"/>
      <c r="E332" s="131"/>
      <c r="F332" s="131" t="s">
        <v>18</v>
      </c>
      <c r="G332" s="131"/>
      <c r="H332" s="132"/>
      <c r="I332" s="78">
        <f>I329*J332*K332*M332*N332</f>
        <v>4.3907418871692458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30" t="s">
        <v>86</v>
      </c>
      <c r="D333" s="131"/>
      <c r="E333" s="131"/>
      <c r="F333" s="131" t="s">
        <v>18</v>
      </c>
      <c r="G333" s="131"/>
      <c r="H333" s="132"/>
      <c r="I333" s="78">
        <f>SUM(I330:I332)</f>
        <v>73.848275586620062</v>
      </c>
      <c r="J333" s="81"/>
      <c r="K333" s="81"/>
      <c r="L333" s="63"/>
    </row>
    <row r="334" spans="1:14" s="49" customFormat="1" ht="15" customHeight="1">
      <c r="A334" s="47"/>
      <c r="B334" s="47"/>
      <c r="C334" s="135" t="s">
        <v>270</v>
      </c>
      <c r="D334" s="136"/>
      <c r="E334" s="136"/>
      <c r="F334" s="136" t="s">
        <v>18</v>
      </c>
      <c r="G334" s="136"/>
      <c r="H334" s="137"/>
      <c r="I334" s="72">
        <f>I333*J334</f>
        <v>16.246620629056412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35" t="s">
        <v>361</v>
      </c>
      <c r="D335" s="136"/>
      <c r="E335" s="136"/>
      <c r="F335" s="136" t="s">
        <v>42</v>
      </c>
      <c r="G335" s="136"/>
      <c r="H335" s="137"/>
      <c r="I335" s="111">
        <f>I333*J335</f>
        <v>25.108413699450821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35" t="s">
        <v>329</v>
      </c>
      <c r="D336" s="136"/>
      <c r="E336" s="136"/>
      <c r="F336" s="136" t="s">
        <v>14</v>
      </c>
      <c r="G336" s="136"/>
      <c r="H336" s="137"/>
      <c r="I336" s="67">
        <f>I23</f>
        <v>60</v>
      </c>
      <c r="J336" s="91"/>
      <c r="K336" s="81"/>
      <c r="L336" s="88"/>
    </row>
    <row r="337" spans="1:12" s="49" customFormat="1" ht="15" customHeight="1">
      <c r="A337" s="47"/>
      <c r="B337" s="47"/>
      <c r="C337" s="135" t="s">
        <v>243</v>
      </c>
      <c r="D337" s="136"/>
      <c r="E337" s="136"/>
      <c r="F337" s="136" t="s">
        <v>18</v>
      </c>
      <c r="G337" s="136"/>
      <c r="H337" s="137"/>
      <c r="I337" s="72">
        <f>I336*J337/K337</f>
        <v>27.450000000000003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35" t="s">
        <v>330</v>
      </c>
      <c r="D338" s="136"/>
      <c r="E338" s="136"/>
      <c r="F338" s="136" t="s">
        <v>53</v>
      </c>
      <c r="G338" s="136"/>
      <c r="H338" s="137"/>
      <c r="I338" s="72">
        <f>I339+I340</f>
        <v>51</v>
      </c>
      <c r="J338" s="81"/>
      <c r="K338" s="81"/>
      <c r="L338" s="88"/>
    </row>
    <row r="339" spans="1:12" s="49" customFormat="1" ht="15" customHeight="1">
      <c r="A339" s="47"/>
      <c r="B339" s="47"/>
      <c r="C339" s="135" t="s">
        <v>244</v>
      </c>
      <c r="D339" s="136"/>
      <c r="E339" s="136"/>
      <c r="F339" s="136" t="s">
        <v>53</v>
      </c>
      <c r="G339" s="136"/>
      <c r="H339" s="137"/>
      <c r="I339" s="72">
        <f>I24*J339*K339</f>
        <v>25.5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35" t="s">
        <v>245</v>
      </c>
      <c r="D340" s="136"/>
      <c r="E340" s="136"/>
      <c r="F340" s="136" t="s">
        <v>53</v>
      </c>
      <c r="G340" s="136"/>
      <c r="H340" s="137"/>
      <c r="I340" s="72">
        <f>I28*J340*K340</f>
        <v>25.5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35" t="s">
        <v>100</v>
      </c>
      <c r="D341" s="136"/>
      <c r="E341" s="136"/>
      <c r="F341" s="136" t="s">
        <v>18</v>
      </c>
      <c r="G341" s="136"/>
      <c r="H341" s="137"/>
      <c r="I341" s="72">
        <f>(I339*J341+I340*L341)/K341</f>
        <v>8.5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35" t="s">
        <v>331</v>
      </c>
      <c r="D342" s="136"/>
      <c r="E342" s="136"/>
      <c r="F342" s="136" t="s">
        <v>55</v>
      </c>
      <c r="G342" s="136"/>
      <c r="H342" s="137"/>
      <c r="I342" s="67">
        <f>I25</f>
        <v>15</v>
      </c>
      <c r="J342" s="81"/>
      <c r="K342" s="81"/>
      <c r="L342" s="88"/>
    </row>
    <row r="343" spans="1:12" s="49" customFormat="1" ht="15" customHeight="1">
      <c r="A343" s="47"/>
      <c r="B343" s="47"/>
      <c r="C343" s="135" t="s">
        <v>54</v>
      </c>
      <c r="D343" s="136"/>
      <c r="E343" s="136"/>
      <c r="F343" s="136" t="s">
        <v>18</v>
      </c>
      <c r="G343" s="136"/>
      <c r="H343" s="137"/>
      <c r="I343" s="72">
        <f>I342*J343/K343</f>
        <v>13.8125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35" t="s">
        <v>56</v>
      </c>
      <c r="D344" s="136"/>
      <c r="E344" s="136"/>
      <c r="F344" s="136" t="s">
        <v>55</v>
      </c>
      <c r="G344" s="136"/>
      <c r="H344" s="137"/>
      <c r="I344" s="72">
        <f>I25*J344*K344</f>
        <v>0.15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35" t="s">
        <v>57</v>
      </c>
      <c r="D345" s="136"/>
      <c r="E345" s="136"/>
      <c r="F345" s="136" t="s">
        <v>18</v>
      </c>
      <c r="G345" s="136"/>
      <c r="H345" s="137"/>
      <c r="I345" s="72">
        <f>I344*J345/K345</f>
        <v>3.5749999999999997E-2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35" t="s">
        <v>332</v>
      </c>
      <c r="D346" s="136"/>
      <c r="E346" s="136"/>
      <c r="F346" s="136" t="s">
        <v>14</v>
      </c>
      <c r="G346" s="136"/>
      <c r="H346" s="137"/>
      <c r="I346" s="67">
        <f>I26</f>
        <v>6</v>
      </c>
      <c r="J346" s="81"/>
      <c r="K346" s="81"/>
      <c r="L346" s="88"/>
    </row>
    <row r="347" spans="1:12" s="49" customFormat="1" ht="15" customHeight="1">
      <c r="A347" s="47"/>
      <c r="B347" s="47"/>
      <c r="C347" s="135" t="s">
        <v>58</v>
      </c>
      <c r="D347" s="136"/>
      <c r="E347" s="136"/>
      <c r="F347" s="136" t="s">
        <v>18</v>
      </c>
      <c r="G347" s="136"/>
      <c r="H347" s="137"/>
      <c r="I347" s="72">
        <f>I346*J347/K347</f>
        <v>12.35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35" t="s">
        <v>59</v>
      </c>
      <c r="D348" s="136"/>
      <c r="E348" s="136"/>
      <c r="F348" s="136" t="s">
        <v>16</v>
      </c>
      <c r="G348" s="136"/>
      <c r="H348" s="137"/>
      <c r="I348" s="72">
        <f>I26*J348*K348</f>
        <v>0.03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35" t="s">
        <v>62</v>
      </c>
      <c r="D349" s="136"/>
      <c r="E349" s="136"/>
      <c r="F349" s="136" t="s">
        <v>18</v>
      </c>
      <c r="G349" s="136"/>
      <c r="H349" s="137"/>
      <c r="I349" s="111">
        <f>I348*J349/K349</f>
        <v>7.1499999999999992E-3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35" t="s">
        <v>333</v>
      </c>
      <c r="D350" s="136"/>
      <c r="E350" s="136"/>
      <c r="F350" s="136" t="s">
        <v>14</v>
      </c>
      <c r="G350" s="136"/>
      <c r="H350" s="137"/>
      <c r="I350" s="67">
        <f>I29</f>
        <v>6</v>
      </c>
      <c r="J350" s="81"/>
      <c r="K350" s="81"/>
      <c r="L350" s="88"/>
    </row>
    <row r="351" spans="1:12" s="49" customFormat="1" ht="15" customHeight="1">
      <c r="A351" s="47"/>
      <c r="B351" s="47"/>
      <c r="C351" s="135" t="s">
        <v>60</v>
      </c>
      <c r="D351" s="136"/>
      <c r="E351" s="136"/>
      <c r="F351" s="136" t="s">
        <v>18</v>
      </c>
      <c r="G351" s="136"/>
      <c r="H351" s="137"/>
      <c r="I351" s="72">
        <f>I350*J351/K351</f>
        <v>11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35" t="s">
        <v>61</v>
      </c>
      <c r="D352" s="136"/>
      <c r="E352" s="136"/>
      <c r="F352" s="136" t="s">
        <v>16</v>
      </c>
      <c r="G352" s="136"/>
      <c r="H352" s="137"/>
      <c r="I352" s="72">
        <f>I29*J352*K352</f>
        <v>3.6000000000000004E-2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35" t="s">
        <v>63</v>
      </c>
      <c r="D353" s="136"/>
      <c r="E353" s="136"/>
      <c r="F353" s="136" t="s">
        <v>18</v>
      </c>
      <c r="G353" s="136"/>
      <c r="H353" s="137"/>
      <c r="I353" s="72">
        <f>I352*J353/K353</f>
        <v>8.5800000000000008E-3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35" t="s">
        <v>334</v>
      </c>
      <c r="D354" s="136"/>
      <c r="E354" s="136"/>
      <c r="F354" s="136" t="s">
        <v>16</v>
      </c>
      <c r="G354" s="136"/>
      <c r="H354" s="137"/>
      <c r="I354" s="67">
        <f>I27</f>
        <v>4</v>
      </c>
      <c r="J354" s="81"/>
      <c r="K354" s="81"/>
      <c r="L354" s="88"/>
    </row>
    <row r="355" spans="1:13" s="49" customFormat="1" ht="15" customHeight="1">
      <c r="A355" s="47"/>
      <c r="B355" s="47"/>
      <c r="C355" s="135" t="s">
        <v>64</v>
      </c>
      <c r="D355" s="136"/>
      <c r="E355" s="136"/>
      <c r="F355" s="136" t="s">
        <v>18</v>
      </c>
      <c r="G355" s="136"/>
      <c r="H355" s="137"/>
      <c r="I355" s="72">
        <f>I354*J355/K355</f>
        <v>11.356666666666667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35" t="s">
        <v>66</v>
      </c>
      <c r="D356" s="136"/>
      <c r="E356" s="136"/>
      <c r="F356" s="136" t="s">
        <v>16</v>
      </c>
      <c r="G356" s="136"/>
      <c r="H356" s="137"/>
      <c r="I356" s="72">
        <f>I27*J356*K356</f>
        <v>0.02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35" t="s">
        <v>65</v>
      </c>
      <c r="D357" s="136"/>
      <c r="E357" s="136"/>
      <c r="F357" s="136" t="s">
        <v>18</v>
      </c>
      <c r="G357" s="136"/>
      <c r="H357" s="137"/>
      <c r="I357" s="111">
        <f>I356*J357/K357</f>
        <v>4.7666666666666664E-3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35" t="s">
        <v>67</v>
      </c>
      <c r="D358" s="136"/>
      <c r="E358" s="136"/>
      <c r="F358" s="136" t="s">
        <v>18</v>
      </c>
      <c r="G358" s="136"/>
      <c r="H358" s="137"/>
      <c r="I358" s="72">
        <f>I334+I335+I341+I343+I345+I347+I349+I351+I353+I355+I357+I337</f>
        <v>125.88044766184056</v>
      </c>
      <c r="J358" s="81"/>
      <c r="K358" s="81"/>
      <c r="L358" s="88"/>
    </row>
    <row r="359" spans="1:13" s="49" customFormat="1" ht="15" customHeight="1">
      <c r="A359" s="47"/>
      <c r="B359" s="47"/>
      <c r="C359" s="135" t="s">
        <v>352</v>
      </c>
      <c r="D359" s="136"/>
      <c r="E359" s="136"/>
      <c r="F359" s="136" t="s">
        <v>18</v>
      </c>
      <c r="G359" s="136"/>
      <c r="H359" s="137"/>
      <c r="I359" s="72">
        <f>(I327+I328+I329)*J359</f>
        <v>3.1840144782825761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35" t="s">
        <v>288</v>
      </c>
      <c r="D360" s="136"/>
      <c r="E360" s="136"/>
      <c r="F360" s="136" t="s">
        <v>18</v>
      </c>
      <c r="G360" s="136"/>
      <c r="H360" s="137"/>
      <c r="I360" s="72">
        <f>I333+I334+I335+I358+I359</f>
        <v>244.26777205525042</v>
      </c>
      <c r="J360" s="81"/>
      <c r="K360" s="81"/>
      <c r="L360" s="88"/>
    </row>
    <row r="361" spans="1:13" s="49" customFormat="1" ht="15" customHeight="1">
      <c r="A361" s="47"/>
      <c r="B361" s="47"/>
      <c r="C361" s="135" t="s">
        <v>371</v>
      </c>
      <c r="D361" s="136"/>
      <c r="E361" s="136"/>
      <c r="F361" s="136" t="s">
        <v>18</v>
      </c>
      <c r="G361" s="136"/>
      <c r="H361" s="137"/>
      <c r="I361" s="72">
        <f>I360*J361</f>
        <v>48.853554411050084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35" t="s">
        <v>45</v>
      </c>
      <c r="D362" s="136"/>
      <c r="E362" s="136"/>
      <c r="F362" s="136" t="s">
        <v>18</v>
      </c>
      <c r="G362" s="136"/>
      <c r="H362" s="137"/>
      <c r="I362" s="72">
        <f>SUM(I360:I361)</f>
        <v>293.1213264663005</v>
      </c>
      <c r="J362" s="81"/>
      <c r="K362" s="81"/>
      <c r="L362" s="88"/>
    </row>
    <row r="363" spans="1:13" s="49" customFormat="1" ht="15" customHeight="1">
      <c r="A363" s="47"/>
      <c r="B363" s="47"/>
      <c r="C363" s="164" t="s">
        <v>46</v>
      </c>
      <c r="D363" s="165"/>
      <c r="E363" s="166"/>
      <c r="F363" s="133" t="s">
        <v>18</v>
      </c>
      <c r="G363" s="134"/>
      <c r="H363" s="90">
        <v>0.05</v>
      </c>
      <c r="I363" s="72">
        <f>I362*J363</f>
        <v>14.656066323315025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35" t="s">
        <v>47</v>
      </c>
      <c r="D364" s="136"/>
      <c r="E364" s="136"/>
      <c r="F364" s="136" t="s">
        <v>18</v>
      </c>
      <c r="G364" s="136"/>
      <c r="H364" s="137"/>
      <c r="I364" s="72">
        <f>I362+I363</f>
        <v>307.77739278961553</v>
      </c>
      <c r="J364" s="81"/>
      <c r="K364" s="81"/>
      <c r="L364" s="88"/>
    </row>
    <row r="365" spans="1:13" s="74" customFormat="1" ht="15" customHeight="1">
      <c r="A365" s="60"/>
      <c r="B365" s="60"/>
      <c r="C365" s="164" t="s">
        <v>48</v>
      </c>
      <c r="D365" s="165"/>
      <c r="E365" s="166"/>
      <c r="F365" s="133" t="s">
        <v>18</v>
      </c>
      <c r="G365" s="134"/>
      <c r="H365" s="90">
        <v>0.05</v>
      </c>
      <c r="I365" s="72">
        <f>I364*J365/K365</f>
        <v>16.19881014682187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35" t="s">
        <v>49</v>
      </c>
      <c r="D366" s="136"/>
      <c r="E366" s="136"/>
      <c r="F366" s="136" t="s">
        <v>18</v>
      </c>
      <c r="G366" s="136"/>
      <c r="H366" s="137"/>
      <c r="I366" s="72">
        <f>I364+I365</f>
        <v>323.9762029364374</v>
      </c>
      <c r="J366" s="81"/>
      <c r="K366" s="81"/>
      <c r="L366" s="88"/>
    </row>
    <row r="367" spans="1:13" s="9" customFormat="1" ht="16.2">
      <c r="A367" s="21"/>
      <c r="B367" s="21"/>
      <c r="C367" s="138" t="s">
        <v>95</v>
      </c>
      <c r="D367" s="139"/>
      <c r="E367" s="139"/>
      <c r="F367" s="139"/>
      <c r="G367" s="139"/>
      <c r="H367" s="140"/>
      <c r="I367" s="10">
        <f>J367</f>
        <v>7.2999999999999995E-2</v>
      </c>
      <c r="J367" s="97">
        <f>ROUND(K367,3)</f>
        <v>7.2999999999999995E-2</v>
      </c>
      <c r="K367" s="97">
        <f>I366/I9</f>
        <v>7.2994575234194031E-2</v>
      </c>
      <c r="L367" s="63"/>
    </row>
    <row r="368" spans="1:13" s="9" customFormat="1" ht="69.599999999999994" customHeight="1">
      <c r="A368" s="177" t="s">
        <v>194</v>
      </c>
      <c r="B368" s="178"/>
      <c r="C368" s="178"/>
      <c r="D368" s="178"/>
      <c r="E368" s="178"/>
      <c r="F368" s="178"/>
      <c r="G368" s="178"/>
      <c r="H368" s="178"/>
      <c r="I368" s="179"/>
      <c r="J368" s="62"/>
      <c r="K368" s="62"/>
      <c r="L368" s="63"/>
    </row>
    <row r="369" spans="1:14" s="9" customFormat="1">
      <c r="A369" s="21"/>
      <c r="B369" s="21"/>
      <c r="C369" s="130" t="s">
        <v>195</v>
      </c>
      <c r="D369" s="131"/>
      <c r="E369" s="131"/>
      <c r="F369" s="131"/>
      <c r="G369" s="131"/>
      <c r="H369" s="132"/>
      <c r="I369" s="78">
        <f>I9*I370</f>
        <v>2982.5779200000002</v>
      </c>
      <c r="J369" s="62"/>
      <c r="K369" s="62"/>
      <c r="L369" s="63"/>
    </row>
    <row r="370" spans="1:14" s="9" customFormat="1" ht="16.2">
      <c r="A370" s="21"/>
      <c r="B370" s="21"/>
      <c r="C370" s="161" t="s">
        <v>50</v>
      </c>
      <c r="D370" s="162"/>
      <c r="E370" s="162"/>
      <c r="F370" s="162"/>
      <c r="G370" s="162"/>
      <c r="H370" s="163"/>
      <c r="I370" s="10">
        <v>0.67200000000000004</v>
      </c>
      <c r="J370" s="112">
        <f>2.6-I419-I410-I401-I390-I367-I316-I302-I291-I280-I166-I156-I146-I130</f>
        <v>1.3436739772538078</v>
      </c>
      <c r="K370" s="123" t="s">
        <v>373</v>
      </c>
      <c r="L370" s="63"/>
    </row>
    <row r="371" spans="1:14" s="9" customFormat="1" ht="37.950000000000003" customHeight="1">
      <c r="A371" s="177" t="s">
        <v>196</v>
      </c>
      <c r="B371" s="178"/>
      <c r="C371" s="178"/>
      <c r="D371" s="178"/>
      <c r="E371" s="178"/>
      <c r="F371" s="178"/>
      <c r="G371" s="178"/>
      <c r="H371" s="178"/>
      <c r="I371" s="179"/>
      <c r="J371" s="62"/>
      <c r="K371" s="62"/>
      <c r="L371" s="63"/>
    </row>
    <row r="372" spans="1:14" s="9" customFormat="1" ht="50.25" customHeight="1">
      <c r="A372" s="21"/>
      <c r="B372" s="58" t="s">
        <v>197</v>
      </c>
      <c r="C372" s="130" t="s">
        <v>335</v>
      </c>
      <c r="D372" s="131"/>
      <c r="E372" s="131"/>
      <c r="F372" s="131"/>
      <c r="G372" s="131"/>
      <c r="H372" s="132"/>
      <c r="I372" s="87">
        <f>I14*N372*J372/K372*L372/M372</f>
        <v>5.377533699450824E-3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0.200000000000003" customHeight="1">
      <c r="A373" s="21"/>
      <c r="B373" s="58" t="s">
        <v>198</v>
      </c>
      <c r="C373" s="130" t="s">
        <v>336</v>
      </c>
      <c r="D373" s="131"/>
      <c r="E373" s="131"/>
      <c r="F373" s="131" t="s">
        <v>115</v>
      </c>
      <c r="G373" s="131"/>
      <c r="H373" s="132"/>
      <c r="I373" s="87">
        <f>I14*N373*J373/K373*L373/M373</f>
        <v>1.5643734398402397E-2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30" t="s">
        <v>337</v>
      </c>
      <c r="D374" s="131"/>
      <c r="E374" s="131"/>
      <c r="F374" s="131" t="s">
        <v>41</v>
      </c>
      <c r="G374" s="131"/>
      <c r="H374" s="132"/>
      <c r="I374" s="114">
        <f>I14*N374*J374/K374*L374/M374</f>
        <v>5.8664003994008994E-3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30" t="s">
        <v>116</v>
      </c>
      <c r="D375" s="131"/>
      <c r="E375" s="131"/>
      <c r="F375" s="131" t="s">
        <v>70</v>
      </c>
      <c r="G375" s="131"/>
      <c r="H375" s="132"/>
      <c r="I375" s="87">
        <f>SUM(I372:I374)</f>
        <v>2.688766849725412E-2</v>
      </c>
      <c r="J375" s="62"/>
      <c r="K375" s="62"/>
      <c r="L375" s="63"/>
    </row>
    <row r="376" spans="1:14" s="9" customFormat="1" ht="15.6" customHeight="1">
      <c r="A376" s="21"/>
      <c r="B376" s="21"/>
      <c r="C376" s="130" t="s">
        <v>75</v>
      </c>
      <c r="D376" s="131"/>
      <c r="E376" s="131"/>
      <c r="F376" s="131" t="s">
        <v>18</v>
      </c>
      <c r="G376" s="131"/>
      <c r="H376" s="132"/>
      <c r="I376" s="78">
        <f>J376*K376*L376*I375</f>
        <v>56.141451822266603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35" t="s">
        <v>270</v>
      </c>
      <c r="D377" s="136"/>
      <c r="E377" s="136"/>
      <c r="F377" s="136" t="s">
        <v>18</v>
      </c>
      <c r="G377" s="136"/>
      <c r="H377" s="137"/>
      <c r="I377" s="72">
        <f>I376*J377</f>
        <v>12.351119400898654</v>
      </c>
      <c r="J377" s="96">
        <v>0.22</v>
      </c>
      <c r="K377" s="81"/>
      <c r="L377" s="88"/>
    </row>
    <row r="378" spans="1:14" s="49" customFormat="1">
      <c r="A378" s="47"/>
      <c r="B378" s="47"/>
      <c r="C378" s="135" t="s">
        <v>372</v>
      </c>
      <c r="D378" s="136"/>
      <c r="E378" s="136"/>
      <c r="F378" s="136" t="s">
        <v>18</v>
      </c>
      <c r="G378" s="136"/>
      <c r="H378" s="137"/>
      <c r="I378" s="72">
        <f>I376*J378</f>
        <v>19.088093619570646</v>
      </c>
      <c r="J378" s="96">
        <v>0.34</v>
      </c>
      <c r="K378" s="81"/>
      <c r="L378" s="88"/>
    </row>
    <row r="379" spans="1:14" s="49" customFormat="1">
      <c r="A379" s="47"/>
      <c r="B379" s="47" t="s">
        <v>199</v>
      </c>
      <c r="C379" s="135" t="s">
        <v>200</v>
      </c>
      <c r="D379" s="136"/>
      <c r="E379" s="136"/>
      <c r="F379" s="136" t="s">
        <v>41</v>
      </c>
      <c r="G379" s="136"/>
      <c r="H379" s="137"/>
      <c r="I379" s="72">
        <f>I14*N374*J379*M379/L379</f>
        <v>1.3317120000000002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35" t="s">
        <v>201</v>
      </c>
      <c r="D380" s="136"/>
      <c r="E380" s="136"/>
      <c r="F380" s="136" t="s">
        <v>41</v>
      </c>
      <c r="G380" s="136"/>
      <c r="H380" s="137"/>
      <c r="I380" s="116">
        <f>I379*J380/K380</f>
        <v>166.46400000000003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35" t="s">
        <v>43</v>
      </c>
      <c r="D381" s="136"/>
      <c r="E381" s="136"/>
      <c r="F381" s="136" t="s">
        <v>18</v>
      </c>
      <c r="G381" s="136"/>
      <c r="H381" s="137"/>
      <c r="I381" s="72">
        <f>I380*J381</f>
        <v>24.969600000000003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3" t="s">
        <v>350</v>
      </c>
      <c r="D382" s="155"/>
      <c r="E382" s="133">
        <v>212.92</v>
      </c>
      <c r="F382" s="152"/>
      <c r="G382" s="152"/>
      <c r="H382" s="134"/>
      <c r="I382" s="72">
        <f>I375*J382</f>
        <v>5.7249223764353472</v>
      </c>
      <c r="J382" s="81">
        <v>212.92</v>
      </c>
      <c r="K382" s="81"/>
      <c r="L382" s="88"/>
    </row>
    <row r="383" spans="1:14" s="49" customFormat="1">
      <c r="A383" s="47"/>
      <c r="B383" s="47"/>
      <c r="C383" s="135" t="s">
        <v>338</v>
      </c>
      <c r="D383" s="136"/>
      <c r="E383" s="136"/>
      <c r="F383" s="136" t="s">
        <v>18</v>
      </c>
      <c r="G383" s="136"/>
      <c r="H383" s="137"/>
      <c r="I383" s="101">
        <f>I376+I377+I378+I381+I382</f>
        <v>118.27518721917124</v>
      </c>
      <c r="J383" s="81"/>
      <c r="K383" s="81"/>
      <c r="L383" s="88"/>
    </row>
    <row r="384" spans="1:14" s="49" customFormat="1">
      <c r="A384" s="47"/>
      <c r="B384" s="47"/>
      <c r="C384" s="135" t="s">
        <v>371</v>
      </c>
      <c r="D384" s="136"/>
      <c r="E384" s="136"/>
      <c r="F384" s="136" t="s">
        <v>18</v>
      </c>
      <c r="G384" s="136"/>
      <c r="H384" s="137"/>
      <c r="I384" s="72">
        <f>I383*J384</f>
        <v>23.655037443834249</v>
      </c>
      <c r="J384" s="91">
        <v>0.2</v>
      </c>
      <c r="K384" s="81"/>
      <c r="L384" s="88"/>
    </row>
    <row r="385" spans="1:13" s="9" customFormat="1">
      <c r="A385" s="21"/>
      <c r="B385" s="21"/>
      <c r="C385" s="130" t="s">
        <v>45</v>
      </c>
      <c r="D385" s="131"/>
      <c r="E385" s="131"/>
      <c r="F385" s="131" t="s">
        <v>18</v>
      </c>
      <c r="G385" s="131"/>
      <c r="H385" s="132"/>
      <c r="I385" s="78">
        <f>SUM(I383:I384)</f>
        <v>141.9302246630055</v>
      </c>
      <c r="J385" s="62"/>
      <c r="K385" s="62"/>
      <c r="L385" s="63"/>
    </row>
    <row r="386" spans="1:13" s="9" customFormat="1">
      <c r="A386" s="21"/>
      <c r="B386" s="21"/>
      <c r="C386" s="149" t="s">
        <v>46</v>
      </c>
      <c r="D386" s="147"/>
      <c r="E386" s="148"/>
      <c r="F386" s="150" t="s">
        <v>18</v>
      </c>
      <c r="G386" s="151"/>
      <c r="H386" s="92">
        <v>0.05</v>
      </c>
      <c r="I386" s="78">
        <f>I385*J386</f>
        <v>7.0965112331502755</v>
      </c>
      <c r="J386" s="80">
        <v>0.05</v>
      </c>
      <c r="K386" s="62"/>
      <c r="L386" s="63"/>
    </row>
    <row r="387" spans="1:13" s="9" customFormat="1">
      <c r="A387" s="21"/>
      <c r="B387" s="21"/>
      <c r="C387" s="130" t="s">
        <v>47</v>
      </c>
      <c r="D387" s="131"/>
      <c r="E387" s="131"/>
      <c r="F387" s="131" t="s">
        <v>18</v>
      </c>
      <c r="G387" s="131"/>
      <c r="H387" s="132"/>
      <c r="I387" s="78">
        <f>I385+I386</f>
        <v>149.02673589615577</v>
      </c>
      <c r="J387" s="62"/>
      <c r="K387" s="62"/>
      <c r="L387" s="63"/>
    </row>
    <row r="388" spans="1:13" s="9" customFormat="1">
      <c r="A388" s="21"/>
      <c r="B388" s="21"/>
      <c r="C388" s="149" t="s">
        <v>48</v>
      </c>
      <c r="D388" s="147"/>
      <c r="E388" s="148"/>
      <c r="F388" s="150" t="s">
        <v>18</v>
      </c>
      <c r="G388" s="151"/>
      <c r="H388" s="92">
        <v>0.05</v>
      </c>
      <c r="I388" s="78">
        <f>I387*J388/K388</f>
        <v>7.8435124155871465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30" t="s">
        <v>49</v>
      </c>
      <c r="D389" s="131"/>
      <c r="E389" s="131"/>
      <c r="F389" s="131" t="s">
        <v>18</v>
      </c>
      <c r="G389" s="131"/>
      <c r="H389" s="132"/>
      <c r="I389" s="78">
        <f>I387+I388</f>
        <v>156.87024831174293</v>
      </c>
      <c r="J389" s="62"/>
      <c r="K389" s="62"/>
      <c r="L389" s="54"/>
    </row>
    <row r="390" spans="1:13" s="9" customFormat="1" ht="16.2">
      <c r="A390" s="21"/>
      <c r="B390" s="21"/>
      <c r="C390" s="138" t="s">
        <v>95</v>
      </c>
      <c r="D390" s="139"/>
      <c r="E390" s="139"/>
      <c r="F390" s="139"/>
      <c r="G390" s="139"/>
      <c r="H390" s="140"/>
      <c r="I390" s="10">
        <f>J390</f>
        <v>3.5000000000000003E-2</v>
      </c>
      <c r="J390" s="97">
        <f>ROUND(K390,3)</f>
        <v>3.5000000000000003E-2</v>
      </c>
      <c r="K390" s="97">
        <f>I389/I9</f>
        <v>3.5344192069084741E-2</v>
      </c>
      <c r="L390" s="63"/>
      <c r="M390" s="54"/>
    </row>
    <row r="391" spans="1:13" s="9" customFormat="1" ht="16.2">
      <c r="A391" s="144" t="s">
        <v>250</v>
      </c>
      <c r="B391" s="145"/>
      <c r="C391" s="145"/>
      <c r="D391" s="145"/>
      <c r="E391" s="145"/>
      <c r="F391" s="145"/>
      <c r="G391" s="145"/>
      <c r="H391" s="145"/>
      <c r="I391" s="146"/>
      <c r="J391" s="62"/>
      <c r="K391" s="62"/>
      <c r="L391" s="63"/>
      <c r="M391" s="54"/>
    </row>
    <row r="392" spans="1:13" s="9" customFormat="1">
      <c r="A392" s="21"/>
      <c r="B392" s="21"/>
      <c r="C392" s="127" t="s">
        <v>251</v>
      </c>
      <c r="D392" s="128"/>
      <c r="E392" s="128"/>
      <c r="F392" s="128"/>
      <c r="G392" s="128"/>
      <c r="H392" s="129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30" t="s">
        <v>351</v>
      </c>
      <c r="D393" s="131"/>
      <c r="E393" s="131"/>
      <c r="F393" s="131" t="s">
        <v>18</v>
      </c>
      <c r="G393" s="131"/>
      <c r="H393" s="132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30" t="s">
        <v>254</v>
      </c>
      <c r="D394" s="131"/>
      <c r="E394" s="131"/>
      <c r="F394" s="131" t="s">
        <v>18</v>
      </c>
      <c r="G394" s="131"/>
      <c r="H394" s="132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35" t="s">
        <v>370</v>
      </c>
      <c r="D395" s="136"/>
      <c r="E395" s="136"/>
      <c r="F395" s="136" t="s">
        <v>18</v>
      </c>
      <c r="G395" s="136"/>
      <c r="H395" s="137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30" t="s">
        <v>45</v>
      </c>
      <c r="D396" s="131"/>
      <c r="E396" s="131"/>
      <c r="F396" s="131" t="s">
        <v>18</v>
      </c>
      <c r="G396" s="131"/>
      <c r="H396" s="132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9" t="s">
        <v>46</v>
      </c>
      <c r="D397" s="147"/>
      <c r="E397" s="148"/>
      <c r="F397" s="150" t="s">
        <v>18</v>
      </c>
      <c r="G397" s="151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30" t="s">
        <v>47</v>
      </c>
      <c r="D398" s="131"/>
      <c r="E398" s="131"/>
      <c r="F398" s="131" t="s">
        <v>18</v>
      </c>
      <c r="G398" s="131"/>
      <c r="H398" s="132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7" t="s">
        <v>48</v>
      </c>
      <c r="D399" s="148"/>
      <c r="E399" s="92">
        <v>0.05</v>
      </c>
      <c r="F399" s="150" t="s">
        <v>18</v>
      </c>
      <c r="G399" s="151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30" t="s">
        <v>49</v>
      </c>
      <c r="D400" s="131"/>
      <c r="E400" s="131"/>
      <c r="F400" s="131" t="s">
        <v>18</v>
      </c>
      <c r="G400" s="131"/>
      <c r="H400" s="132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38" t="s">
        <v>50</v>
      </c>
      <c r="D401" s="139"/>
      <c r="E401" s="139"/>
      <c r="F401" s="139" t="s">
        <v>51</v>
      </c>
      <c r="G401" s="139"/>
      <c r="H401" s="140"/>
      <c r="I401" s="10">
        <f>I400/I9</f>
        <v>7.4707537777111608E-4</v>
      </c>
      <c r="J401" s="62"/>
      <c r="K401" s="62"/>
      <c r="L401" s="63"/>
      <c r="M401" s="54"/>
    </row>
    <row r="402" spans="1:13" s="9" customFormat="1" ht="16.2">
      <c r="A402" s="144" t="s">
        <v>252</v>
      </c>
      <c r="B402" s="145"/>
      <c r="C402" s="145"/>
      <c r="D402" s="145"/>
      <c r="E402" s="145"/>
      <c r="F402" s="145"/>
      <c r="G402" s="145"/>
      <c r="H402" s="145"/>
      <c r="I402" s="146"/>
      <c r="J402" s="55"/>
      <c r="K402" s="55"/>
      <c r="L402" s="63"/>
    </row>
    <row r="403" spans="1:13" s="9" customFormat="1" ht="34.200000000000003" customHeight="1">
      <c r="A403" s="21"/>
      <c r="B403" s="21"/>
      <c r="C403" s="127" t="s">
        <v>247</v>
      </c>
      <c r="D403" s="128"/>
      <c r="E403" s="128"/>
      <c r="F403" s="128"/>
      <c r="G403" s="128"/>
      <c r="H403" s="129"/>
      <c r="I403" s="79">
        <f>I64</f>
        <v>440</v>
      </c>
      <c r="J403" s="62"/>
      <c r="K403" s="62"/>
      <c r="L403" s="63"/>
    </row>
    <row r="404" spans="1:13" s="9" customFormat="1">
      <c r="A404" s="21"/>
      <c r="B404" s="21"/>
      <c r="C404" s="130" t="s">
        <v>249</v>
      </c>
      <c r="D404" s="131"/>
      <c r="E404" s="131"/>
      <c r="F404" s="131" t="s">
        <v>18</v>
      </c>
      <c r="G404" s="131"/>
      <c r="H404" s="132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30" t="s">
        <v>68</v>
      </c>
      <c r="D405" s="131"/>
      <c r="E405" s="131"/>
      <c r="F405" s="131" t="s">
        <v>18</v>
      </c>
      <c r="G405" s="131"/>
      <c r="H405" s="132"/>
      <c r="I405" s="78">
        <f>I403*I404</f>
        <v>501.59999999999997</v>
      </c>
      <c r="J405" s="62"/>
      <c r="K405" s="62"/>
      <c r="L405" s="63"/>
    </row>
    <row r="406" spans="1:13" s="49" customFormat="1">
      <c r="A406" s="47"/>
      <c r="B406" s="47"/>
      <c r="C406" s="135" t="s">
        <v>370</v>
      </c>
      <c r="D406" s="136"/>
      <c r="E406" s="136"/>
      <c r="F406" s="136" t="s">
        <v>18</v>
      </c>
      <c r="G406" s="136"/>
      <c r="H406" s="137"/>
      <c r="I406" s="72">
        <f>I405*J406</f>
        <v>100.32</v>
      </c>
      <c r="J406" s="91">
        <v>0.2</v>
      </c>
      <c r="K406" s="81"/>
      <c r="L406" s="88"/>
    </row>
    <row r="407" spans="1:13" s="9" customFormat="1">
      <c r="A407" s="21"/>
      <c r="B407" s="21"/>
      <c r="C407" s="130" t="s">
        <v>45</v>
      </c>
      <c r="D407" s="131"/>
      <c r="E407" s="131"/>
      <c r="F407" s="131" t="s">
        <v>18</v>
      </c>
      <c r="G407" s="131"/>
      <c r="H407" s="132"/>
      <c r="I407" s="78">
        <f>I405+I406</f>
        <v>601.91999999999996</v>
      </c>
      <c r="J407" s="62"/>
      <c r="K407" s="62"/>
      <c r="L407" s="63"/>
    </row>
    <row r="408" spans="1:13" s="54" customFormat="1">
      <c r="A408" s="53"/>
      <c r="B408" s="53"/>
      <c r="C408" s="147" t="s">
        <v>48</v>
      </c>
      <c r="D408" s="148"/>
      <c r="E408" s="92">
        <v>0.05</v>
      </c>
      <c r="F408" s="150" t="s">
        <v>18</v>
      </c>
      <c r="G408" s="151"/>
      <c r="H408" s="89"/>
      <c r="I408" s="78">
        <f>I407*J408/K408</f>
        <v>31.680000000000003</v>
      </c>
      <c r="J408" s="80">
        <v>0.05</v>
      </c>
      <c r="K408" s="80">
        <v>0.95</v>
      </c>
    </row>
    <row r="409" spans="1:13" s="54" customFormat="1">
      <c r="A409" s="53"/>
      <c r="B409" s="53"/>
      <c r="C409" s="130" t="s">
        <v>49</v>
      </c>
      <c r="D409" s="131"/>
      <c r="E409" s="131"/>
      <c r="F409" s="131" t="s">
        <v>18</v>
      </c>
      <c r="G409" s="131"/>
      <c r="H409" s="132"/>
      <c r="I409" s="78">
        <f>SUM(I407:I408)</f>
        <v>633.59999999999991</v>
      </c>
      <c r="J409" s="62"/>
      <c r="K409" s="62"/>
    </row>
    <row r="410" spans="1:13" s="9" customFormat="1" ht="16.2">
      <c r="A410" s="21"/>
      <c r="B410" s="21"/>
      <c r="C410" s="138" t="s">
        <v>50</v>
      </c>
      <c r="D410" s="139"/>
      <c r="E410" s="139"/>
      <c r="F410" s="139" t="s">
        <v>51</v>
      </c>
      <c r="G410" s="139"/>
      <c r="H410" s="140"/>
      <c r="I410" s="10">
        <f>J410</f>
        <v>0.14299999999999999</v>
      </c>
      <c r="J410" s="97">
        <f>ROUND(K410,3)</f>
        <v>0.14299999999999999</v>
      </c>
      <c r="K410" s="97">
        <f>I409/I10</f>
        <v>0.14275543218666353</v>
      </c>
      <c r="L410" s="63"/>
    </row>
    <row r="411" spans="1:13" s="9" customFormat="1" ht="16.2">
      <c r="A411" s="144" t="s">
        <v>253</v>
      </c>
      <c r="B411" s="145"/>
      <c r="C411" s="145"/>
      <c r="D411" s="145"/>
      <c r="E411" s="145"/>
      <c r="F411" s="145"/>
      <c r="G411" s="145"/>
      <c r="H411" s="145"/>
      <c r="I411" s="146"/>
      <c r="J411" s="55"/>
      <c r="K411" s="55"/>
      <c r="L411" s="63"/>
    </row>
    <row r="412" spans="1:13" s="9" customFormat="1" ht="20.399999999999999" customHeight="1">
      <c r="A412" s="21"/>
      <c r="B412" s="21"/>
      <c r="C412" s="127" t="s">
        <v>203</v>
      </c>
      <c r="D412" s="128"/>
      <c r="E412" s="128"/>
      <c r="F412" s="128"/>
      <c r="G412" s="128"/>
      <c r="H412" s="129"/>
      <c r="I412" s="78">
        <f>I65</f>
        <v>0</v>
      </c>
      <c r="J412" s="63"/>
      <c r="K412" s="63"/>
      <c r="L412" s="63"/>
    </row>
    <row r="413" spans="1:13" s="9" customFormat="1" ht="15.6" customHeight="1">
      <c r="A413" s="21"/>
      <c r="B413" s="21"/>
      <c r="C413" s="127" t="s">
        <v>202</v>
      </c>
      <c r="D413" s="128"/>
      <c r="E413" s="128"/>
      <c r="F413" s="128"/>
      <c r="G413" s="128"/>
      <c r="H413" s="129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127" t="s">
        <v>205</v>
      </c>
      <c r="D414" s="128"/>
      <c r="E414" s="128"/>
      <c r="F414" s="128"/>
      <c r="G414" s="128"/>
      <c r="H414" s="129"/>
      <c r="I414" s="78">
        <f>I412*I413</f>
        <v>0</v>
      </c>
      <c r="J414" s="63"/>
      <c r="K414" s="63"/>
      <c r="L414" s="63"/>
    </row>
    <row r="415" spans="1:13" s="49" customFormat="1" ht="15.6" customHeight="1">
      <c r="A415" s="47"/>
      <c r="B415" s="47"/>
      <c r="C415" s="135" t="s">
        <v>370</v>
      </c>
      <c r="D415" s="136"/>
      <c r="E415" s="136"/>
      <c r="F415" s="136" t="s">
        <v>18</v>
      </c>
      <c r="G415" s="136"/>
      <c r="H415" s="137"/>
      <c r="I415" s="72">
        <f>I414*J415</f>
        <v>0</v>
      </c>
      <c r="J415" s="91">
        <v>0.2</v>
      </c>
      <c r="K415" s="88"/>
      <c r="L415" s="88"/>
    </row>
    <row r="416" spans="1:13" s="9" customFormat="1">
      <c r="A416" s="21"/>
      <c r="B416" s="21"/>
      <c r="C416" s="127" t="s">
        <v>45</v>
      </c>
      <c r="D416" s="128"/>
      <c r="E416" s="128"/>
      <c r="F416" s="128" t="s">
        <v>18</v>
      </c>
      <c r="G416" s="128"/>
      <c r="H416" s="129"/>
      <c r="I416" s="78">
        <f>I414+I415</f>
        <v>0</v>
      </c>
      <c r="J416" s="62"/>
      <c r="K416" s="63"/>
      <c r="L416" s="63"/>
    </row>
    <row r="417" spans="1:17" s="9" customFormat="1">
      <c r="A417" s="21"/>
      <c r="B417" s="21"/>
      <c r="C417" s="147" t="s">
        <v>48</v>
      </c>
      <c r="D417" s="148"/>
      <c r="E417" s="92">
        <v>0.05</v>
      </c>
      <c r="F417" s="118"/>
      <c r="G417" s="119"/>
      <c r="H417" s="120"/>
      <c r="I417" s="78">
        <f>I414*J417/K417</f>
        <v>0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127" t="s">
        <v>49</v>
      </c>
      <c r="D418" s="128"/>
      <c r="E418" s="128"/>
      <c r="F418" s="128"/>
      <c r="G418" s="128"/>
      <c r="H418" s="129"/>
      <c r="I418" s="78">
        <f>I414+I417</f>
        <v>0</v>
      </c>
      <c r="J418" s="63"/>
      <c r="K418" s="180"/>
      <c r="L418" s="180"/>
    </row>
    <row r="419" spans="1:17" s="9" customFormat="1" ht="16.2" customHeight="1">
      <c r="A419" s="21"/>
      <c r="B419" s="21"/>
      <c r="C419" s="138" t="s">
        <v>50</v>
      </c>
      <c r="D419" s="139"/>
      <c r="E419" s="139"/>
      <c r="F419" s="139"/>
      <c r="G419" s="139" t="s">
        <v>51</v>
      </c>
      <c r="H419" s="140"/>
      <c r="I419" s="10">
        <f>J419</f>
        <v>0</v>
      </c>
      <c r="J419" s="97">
        <f>ROUND(K419,3)</f>
        <v>0</v>
      </c>
      <c r="K419" s="97">
        <f>I418/I10</f>
        <v>0</v>
      </c>
      <c r="L419" s="63"/>
    </row>
    <row r="420" spans="1:17" s="8" customFormat="1" ht="17.399999999999999">
      <c r="A420" s="21"/>
      <c r="B420" s="21"/>
      <c r="C420" s="187" t="s">
        <v>69</v>
      </c>
      <c r="D420" s="187"/>
      <c r="E420" s="187"/>
      <c r="F420" s="188"/>
      <c r="G420" s="119" t="s">
        <v>51</v>
      </c>
      <c r="H420" s="120"/>
      <c r="I420" s="64">
        <f>I130+I146+I156+I166+I280+I291+I302+I316+I367+I370+I390+I410+I419+I401+0.001</f>
        <v>1.9293260227461921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357</v>
      </c>
      <c r="D425" s="4"/>
      <c r="E425" s="4"/>
      <c r="F425" s="29"/>
      <c r="H425" s="35"/>
      <c r="I425" s="33" t="s">
        <v>269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A67:I67"/>
    <mergeCell ref="C58:F58"/>
    <mergeCell ref="F83:G83"/>
    <mergeCell ref="C84:H84"/>
    <mergeCell ref="C68:G68"/>
    <mergeCell ref="C356:H356"/>
    <mergeCell ref="F363:G363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265:H265"/>
    <mergeCell ref="F266:G266"/>
    <mergeCell ref="F268:G268"/>
    <mergeCell ref="C269:H269"/>
    <mergeCell ref="C267:H267"/>
    <mergeCell ref="C268:E268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283:H283"/>
    <mergeCell ref="C284:H284"/>
    <mergeCell ref="C274:H274"/>
    <mergeCell ref="F289:G289"/>
    <mergeCell ref="C273:H273"/>
    <mergeCell ref="C276:H276"/>
    <mergeCell ref="C278:H278"/>
    <mergeCell ref="C275:E275"/>
    <mergeCell ref="C277:E277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02:H202"/>
    <mergeCell ref="C203:H203"/>
    <mergeCell ref="C206:H206"/>
    <mergeCell ref="F211:G211"/>
    <mergeCell ref="C218:H218"/>
    <mergeCell ref="C222:H222"/>
    <mergeCell ref="C223:H223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176:H176"/>
    <mergeCell ref="C183:D183"/>
    <mergeCell ref="E183:H183"/>
    <mergeCell ref="C178:H178"/>
    <mergeCell ref="C181:H181"/>
    <mergeCell ref="C201:H201"/>
    <mergeCell ref="C184:H184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57:H257"/>
    <mergeCell ref="C258:H258"/>
    <mergeCell ref="C262:D262"/>
    <mergeCell ref="C245:H245"/>
    <mergeCell ref="C243:H243"/>
    <mergeCell ref="C263:H263"/>
    <mergeCell ref="C253:H253"/>
    <mergeCell ref="C254:H254"/>
    <mergeCell ref="C255:H255"/>
    <mergeCell ref="C256:H256"/>
    <mergeCell ref="C259:H259"/>
    <mergeCell ref="C279:H279"/>
    <mergeCell ref="C285:H285"/>
    <mergeCell ref="C286:H286"/>
    <mergeCell ref="C290:H290"/>
    <mergeCell ref="C270:H27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31:H231"/>
    <mergeCell ref="C225:H225"/>
    <mergeCell ref="C230:D230"/>
    <mergeCell ref="C229:H229"/>
    <mergeCell ref="C1:I1"/>
    <mergeCell ref="C4:I4"/>
    <mergeCell ref="C8:F8"/>
    <mergeCell ref="C7:F7"/>
    <mergeCell ref="C6:F6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41:F41"/>
    <mergeCell ref="C45:E45"/>
    <mergeCell ref="C44:E44"/>
    <mergeCell ref="C43:E43"/>
    <mergeCell ref="C40:F40"/>
    <mergeCell ref="C42:F42"/>
    <mergeCell ref="C39:F39"/>
    <mergeCell ref="C19:F19"/>
    <mergeCell ref="C18:F18"/>
    <mergeCell ref="C2:I2"/>
    <mergeCell ref="C3:I3"/>
    <mergeCell ref="C9:F9"/>
    <mergeCell ref="C10:F10"/>
    <mergeCell ref="C30:F30"/>
    <mergeCell ref="C29:F29"/>
    <mergeCell ref="C61:F61"/>
    <mergeCell ref="C63:F63"/>
    <mergeCell ref="C66:I66"/>
    <mergeCell ref="C59:F59"/>
    <mergeCell ref="C60:F60"/>
    <mergeCell ref="C17:F17"/>
    <mergeCell ref="C36:F36"/>
    <mergeCell ref="C35:F35"/>
    <mergeCell ref="C26:F26"/>
    <mergeCell ref="C25:F25"/>
    <mergeCell ref="C37:F37"/>
    <mergeCell ref="C38:F38"/>
    <mergeCell ref="C52:F52"/>
    <mergeCell ref="C55:F55"/>
    <mergeCell ref="C56:F56"/>
    <mergeCell ref="C57:F57"/>
    <mergeCell ref="C34:F34"/>
    <mergeCell ref="C28:F28"/>
    <mergeCell ref="C31:F31"/>
    <mergeCell ref="C33:F33"/>
    <mergeCell ref="C12:F12"/>
    <mergeCell ref="C21:F21"/>
    <mergeCell ref="C14:F14"/>
    <mergeCell ref="C13:F13"/>
    <mergeCell ref="C20:F20"/>
    <mergeCell ref="C32:F32"/>
    <mergeCell ref="C27:F27"/>
    <mergeCell ref="C75:H75"/>
    <mergeCell ref="C76:H76"/>
    <mergeCell ref="C77:H77"/>
    <mergeCell ref="C86:H86"/>
    <mergeCell ref="C81:H81"/>
    <mergeCell ref="C188:H188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148:H148"/>
    <mergeCell ref="C149:H149"/>
    <mergeCell ref="C154:E154"/>
    <mergeCell ref="C153:H153"/>
    <mergeCell ref="C155:H155"/>
    <mergeCell ref="C158:H158"/>
    <mergeCell ref="A157:I157"/>
    <mergeCell ref="C89:H89"/>
    <mergeCell ref="C361:H361"/>
    <mergeCell ref="C384:H384"/>
    <mergeCell ref="C390:H390"/>
    <mergeCell ref="F399:G399"/>
    <mergeCell ref="C358:H358"/>
    <mergeCell ref="C374:H374"/>
    <mergeCell ref="C375:H375"/>
    <mergeCell ref="C420:F420"/>
    <mergeCell ref="C417:D417"/>
    <mergeCell ref="C363:E363"/>
    <mergeCell ref="C364:H364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73:H173"/>
    <mergeCell ref="C174:H174"/>
    <mergeCell ref="C162:E162"/>
    <mergeCell ref="C163:H163"/>
    <mergeCell ref="C164:E164"/>
    <mergeCell ref="C156:H156"/>
    <mergeCell ref="C137:D137"/>
    <mergeCell ref="F162:G162"/>
    <mergeCell ref="C227:H227"/>
    <mergeCell ref="C252:H252"/>
    <mergeCell ref="C171:H171"/>
    <mergeCell ref="F164:G164"/>
    <mergeCell ref="C159:H159"/>
    <mergeCell ref="C248:H248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A131:I13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07:H307"/>
    <mergeCell ref="C308:H308"/>
    <mergeCell ref="C305:H305"/>
    <mergeCell ref="F312:G312"/>
    <mergeCell ref="C312:E312"/>
    <mergeCell ref="C333:H333"/>
    <mergeCell ref="F298:G298"/>
    <mergeCell ref="C314:E314"/>
    <mergeCell ref="C315:H315"/>
    <mergeCell ref="F300:G300"/>
    <mergeCell ref="C327:H327"/>
    <mergeCell ref="C318:H318"/>
    <mergeCell ref="C302:H302"/>
    <mergeCell ref="C300:E300"/>
    <mergeCell ref="C46:F46"/>
    <mergeCell ref="C49:F49"/>
    <mergeCell ref="C98:E98"/>
    <mergeCell ref="F85:G85"/>
    <mergeCell ref="C97:E97"/>
    <mergeCell ref="C85:E85"/>
    <mergeCell ref="C71:H71"/>
    <mergeCell ref="C72:H72"/>
    <mergeCell ref="C65:F65"/>
    <mergeCell ref="C48:E48"/>
    <mergeCell ref="C79:D79"/>
    <mergeCell ref="C70:H70"/>
    <mergeCell ref="C78:H78"/>
    <mergeCell ref="E79:H79"/>
    <mergeCell ref="C51:F51"/>
    <mergeCell ref="C69:I69"/>
    <mergeCell ref="C80:H80"/>
    <mergeCell ref="F98:G98"/>
    <mergeCell ref="C95:H95"/>
    <mergeCell ref="F96:G96"/>
    <mergeCell ref="F97:G97"/>
    <mergeCell ref="C88:G88"/>
    <mergeCell ref="C73:H73"/>
    <mergeCell ref="C74:H74"/>
    <mergeCell ref="C110:H110"/>
    <mergeCell ref="C47:E47"/>
    <mergeCell ref="C50:F50"/>
    <mergeCell ref="A402:I402"/>
    <mergeCell ref="C90:H90"/>
    <mergeCell ref="C91:H91"/>
    <mergeCell ref="C92:H92"/>
    <mergeCell ref="C93:H93"/>
    <mergeCell ref="C94:H94"/>
    <mergeCell ref="C100:H100"/>
    <mergeCell ref="C96:E96"/>
    <mergeCell ref="C83:E83"/>
    <mergeCell ref="C325:H325"/>
    <mergeCell ref="A371:I371"/>
    <mergeCell ref="C369:H369"/>
    <mergeCell ref="C331:H331"/>
    <mergeCell ref="C334:H334"/>
    <mergeCell ref="C335:H335"/>
    <mergeCell ref="C326:H326"/>
    <mergeCell ref="C330:H330"/>
    <mergeCell ref="C328:H328"/>
    <mergeCell ref="C329:H329"/>
    <mergeCell ref="C138:H138"/>
    <mergeCell ref="C139:H139"/>
    <mergeCell ref="C101:H101"/>
    <mergeCell ref="C102:E102"/>
    <mergeCell ref="C104:E104"/>
    <mergeCell ref="C103:H103"/>
    <mergeCell ref="C105:H105"/>
    <mergeCell ref="C106:H106"/>
    <mergeCell ref="F102:G102"/>
    <mergeCell ref="C108:H108"/>
    <mergeCell ref="C109:H109"/>
    <mergeCell ref="C107:G107"/>
    <mergeCell ref="F104:G10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C111:H111"/>
    <mergeCell ref="C112:H112"/>
    <mergeCell ref="C113:H113"/>
    <mergeCell ref="C114:H114"/>
    <mergeCell ref="C115:H115"/>
    <mergeCell ref="C129:H129"/>
    <mergeCell ref="C134:H134"/>
    <mergeCell ref="C117:H117"/>
    <mergeCell ref="C124:H124"/>
    <mergeCell ref="C128:H128"/>
    <mergeCell ref="F125:G125"/>
    <mergeCell ref="C116:H116"/>
    <mergeCell ref="C126:H126"/>
    <mergeCell ref="F127:G127"/>
    <mergeCell ref="A130:E130"/>
    <mergeCell ref="F121:G121"/>
    <mergeCell ref="F142:G142"/>
    <mergeCell ref="C199:H199"/>
    <mergeCell ref="C319:H319"/>
    <mergeCell ref="C143:H143"/>
    <mergeCell ref="C196:H196"/>
    <mergeCell ref="E137:H137"/>
    <mergeCell ref="F152:G152"/>
    <mergeCell ref="F277:G277"/>
    <mergeCell ref="C145:H145"/>
    <mergeCell ref="C146:H146"/>
    <mergeCell ref="C152:E152"/>
    <mergeCell ref="C150:H150"/>
    <mergeCell ref="C141:H141"/>
    <mergeCell ref="C309:H309"/>
    <mergeCell ref="C142:E142"/>
    <mergeCell ref="C140:H140"/>
    <mergeCell ref="C169:H169"/>
    <mergeCell ref="C170:H170"/>
    <mergeCell ref="C166:H166"/>
    <mergeCell ref="C194:H194"/>
    <mergeCell ref="C244:H244"/>
    <mergeCell ref="A281:I281"/>
    <mergeCell ref="C172:H172"/>
    <mergeCell ref="C195:H195"/>
    <mergeCell ref="A147:I147"/>
    <mergeCell ref="C151:H151"/>
    <mergeCell ref="C200:H200"/>
    <mergeCell ref="C161:H161"/>
    <mergeCell ref="C397:E397"/>
    <mergeCell ref="F397:G397"/>
    <mergeCell ref="A167:I167"/>
    <mergeCell ref="C191:H191"/>
    <mergeCell ref="C321:H321"/>
    <mergeCell ref="C324:H324"/>
    <mergeCell ref="C237:H237"/>
    <mergeCell ref="C234:E234"/>
    <mergeCell ref="C236:E236"/>
    <mergeCell ref="C241:H241"/>
    <mergeCell ref="E262:H262"/>
    <mergeCell ref="C266:E266"/>
    <mergeCell ref="C261:H261"/>
    <mergeCell ref="F287:G287"/>
    <mergeCell ref="C282:H282"/>
    <mergeCell ref="C242:H242"/>
    <mergeCell ref="C272:H272"/>
    <mergeCell ref="C249:H249"/>
    <mergeCell ref="C250:H250"/>
    <mergeCell ref="C246:H246"/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5:H415"/>
    <mergeCell ref="C404:H404"/>
    <mergeCell ref="C399:D399"/>
    <mergeCell ref="C413:H413"/>
    <mergeCell ref="C414:H414"/>
    <mergeCell ref="C410:H410"/>
    <mergeCell ref="C401:H401"/>
    <mergeCell ref="F408:G408"/>
    <mergeCell ref="F213:G213"/>
    <mergeCell ref="C217:H217"/>
    <mergeCell ref="C416:H416"/>
    <mergeCell ref="C407:H407"/>
    <mergeCell ref="C380:H380"/>
    <mergeCell ref="C406:H406"/>
    <mergeCell ref="C412:H412"/>
    <mergeCell ref="C280:H280"/>
    <mergeCell ref="C271:I271"/>
    <mergeCell ref="C396:H396"/>
    <mergeCell ref="C251:H251"/>
    <mergeCell ref="C247:H247"/>
    <mergeCell ref="C260:H260"/>
    <mergeCell ref="C287:E287"/>
    <mergeCell ref="C288:H288"/>
    <mergeCell ref="C289:E289"/>
    <mergeCell ref="C301:H301"/>
    <mergeCell ref="A292:I292"/>
    <mergeCell ref="C340:H340"/>
    <mergeCell ref="A303:I303"/>
    <mergeCell ref="C298:E298"/>
    <mergeCell ref="C291:H291"/>
    <mergeCell ref="C299:H299"/>
    <mergeCell ref="C336:H336"/>
    <mergeCell ref="C418:H418"/>
    <mergeCell ref="C320:H320"/>
    <mergeCell ref="C294:H294"/>
    <mergeCell ref="C293:H293"/>
    <mergeCell ref="C403:H403"/>
    <mergeCell ref="C405:H405"/>
    <mergeCell ref="C400:H400"/>
    <mergeCell ref="C332:H332"/>
    <mergeCell ref="C372:H372"/>
    <mergeCell ref="C373:H373"/>
    <mergeCell ref="C338:H338"/>
    <mergeCell ref="C316:H316"/>
    <mergeCell ref="A317:I317"/>
    <mergeCell ref="C339:H339"/>
    <mergeCell ref="C351:H351"/>
    <mergeCell ref="C350:H350"/>
    <mergeCell ref="C343:H343"/>
    <mergeCell ref="C344:H344"/>
    <mergeCell ref="C347:H347"/>
    <mergeCell ref="C349:H349"/>
    <mergeCell ref="C346:H346"/>
    <mergeCell ref="C345:H345"/>
    <mergeCell ref="C354:H354"/>
    <mergeCell ref="C357:H357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horizontalDpi="0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2016-08-17T08:44:22Z</cp:lastPrinted>
  <dcterms:created xsi:type="dcterms:W3CDTF">2015-07-15T06:34:41Z</dcterms:created>
  <dcterms:modified xsi:type="dcterms:W3CDTF">2016-08-18T15:40:47Z</dcterms:modified>
</cp:coreProperties>
</file>