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1428" windowWidth="12396" windowHeight="8412" activeTab="0"/>
  </bookViews>
  <sheets>
    <sheet name="дод 4 (в) " sheetId="1" r:id="rId1"/>
  </sheets>
  <definedNames>
    <definedName name="_xlfn.AGGREGATE" hidden="1">#NAME?</definedName>
    <definedName name="_xlnm.Print_Titles" localSheetId="0">'дод 4 (в) '!$14:$14</definedName>
    <definedName name="_xlnm.Print_Area" localSheetId="0">'дод 4 (в) '!$A$1:$L$339</definedName>
  </definedNames>
  <calcPr fullCalcOnLoad="1"/>
</workbook>
</file>

<file path=xl/sharedStrings.xml><?xml version="1.0" encoding="utf-8"?>
<sst xmlns="http://schemas.openxmlformats.org/spreadsheetml/2006/main" count="552" uniqueCount="425">
  <si>
    <t>Інші видатки</t>
  </si>
  <si>
    <t xml:space="preserve">Благоустрій міст, сіл, селищ </t>
  </si>
  <si>
    <t>Інші заходи у сфері електротранспорту</t>
  </si>
  <si>
    <t>Інші установи та заклади</t>
  </si>
  <si>
    <t>Інші субвенції</t>
  </si>
  <si>
    <t>Всього видатків</t>
  </si>
  <si>
    <t>0300000</t>
  </si>
  <si>
    <t>0310000</t>
  </si>
  <si>
    <t>0310180</t>
  </si>
  <si>
    <t>0313500</t>
  </si>
  <si>
    <t>Iншi культурно-освiтнi заклади та заходи</t>
  </si>
  <si>
    <t>0314200</t>
  </si>
  <si>
    <t>Утримання та навчально-тренувальна робота комунальних дитячо-юнацьких спортивних шкіл</t>
  </si>
  <si>
    <t>0315060</t>
  </si>
  <si>
    <t>Благоустрій міст, сіл, селищ</t>
  </si>
  <si>
    <t>0316640</t>
  </si>
  <si>
    <t>Сприяння розвитку малого та середнього підприємництва</t>
  </si>
  <si>
    <t>0317450</t>
  </si>
  <si>
    <t>Внески до статутного капіталу суб’єктів господарювання</t>
  </si>
  <si>
    <t>0317470</t>
  </si>
  <si>
    <t>Заходи у сфері захисту населення і територій від надзвичайних ситуацій техногенного та природного характеру</t>
  </si>
  <si>
    <t>0317820</t>
  </si>
  <si>
    <t>0318600</t>
  </si>
  <si>
    <t>Управління  освіти і науки Сумської міської ради</t>
  </si>
  <si>
    <t>Дошкільна освiта</t>
  </si>
  <si>
    <t>Надання загальної середньої освіти загальноосвітніми навчальними закладами ( в т.ч. школою-дитячим садком, інтернатом при школі), спеціалізованими школами, ліцеями, гімназіями, колегіумами</t>
  </si>
  <si>
    <t>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</si>
  <si>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Надання позашкільної освіти позашкільними закладами освіти, заходи із позашкільної роботи з дітьми</t>
  </si>
  <si>
    <t>Методичне забезпечення діяльності навчальних закладів та інші заходи в галузі освіти</t>
  </si>
  <si>
    <t>Централізоване ведення бухгалтерського обліку</t>
  </si>
  <si>
    <t>Утримання інших закладів освіти</t>
  </si>
  <si>
    <t>1000000</t>
  </si>
  <si>
    <t>1010180</t>
  </si>
  <si>
    <t>1011010</t>
  </si>
  <si>
    <t>1011020</t>
  </si>
  <si>
    <t>1011070</t>
  </si>
  <si>
    <t>1011090</t>
  </si>
  <si>
    <t>1011170</t>
  </si>
  <si>
    <t>1011190</t>
  </si>
  <si>
    <t>1011210</t>
  </si>
  <si>
    <t xml:space="preserve">Відділ охорони здоров’я Сумської міської ради  </t>
  </si>
  <si>
    <t>1400000</t>
  </si>
  <si>
    <t>1410180</t>
  </si>
  <si>
    <t>Багатопрофільна стаціонарна медична допомога населенню</t>
  </si>
  <si>
    <t>1412010</t>
  </si>
  <si>
    <t>Лікарсько-акушерська допомога  вагітним, породіллям та новонародженим</t>
  </si>
  <si>
    <t>1412050</t>
  </si>
  <si>
    <t>Надання стоматологічної допомоги населенню</t>
  </si>
  <si>
    <t>1412140</t>
  </si>
  <si>
    <t>Первинна медична допомога населенню</t>
  </si>
  <si>
    <t>1412180</t>
  </si>
  <si>
    <t>1500000</t>
  </si>
  <si>
    <t>1510000</t>
  </si>
  <si>
    <t>1510180</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</si>
  <si>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t>
  </si>
  <si>
    <t>Надання соціальних та реабілітаційних послуг громадянам похилого віку, інвалідам, дітям-інвалідам в установах соціального обслуговування</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</si>
  <si>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</si>
  <si>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2000000</t>
  </si>
  <si>
    <t>2010000</t>
  </si>
  <si>
    <t>Служба у справах дітей Сумської міської ради</t>
  </si>
  <si>
    <t>2010180</t>
  </si>
  <si>
    <t>Відділ культури та туризму Сумської міської ради</t>
  </si>
  <si>
    <t>2400000</t>
  </si>
  <si>
    <t>2410000</t>
  </si>
  <si>
    <t>2410180</t>
  </si>
  <si>
    <t>Бiблiотеки</t>
  </si>
  <si>
    <t>2414060</t>
  </si>
  <si>
    <t>Школи естетичного виховання дiтей</t>
  </si>
  <si>
    <t>2414100</t>
  </si>
  <si>
    <t>2414200</t>
  </si>
  <si>
    <t>Централізований   бухгалтерський та фінансовий облік закладів культури та туризму</t>
  </si>
  <si>
    <t>Департамент інфраструктури міста Сумської міської ради</t>
  </si>
  <si>
    <t>4100000</t>
  </si>
  <si>
    <t>4110000</t>
  </si>
  <si>
    <t>4110180</t>
  </si>
  <si>
    <t>Капітальний ремонт об’єктів житлового господарства</t>
  </si>
  <si>
    <t>4116020</t>
  </si>
  <si>
    <t>Капітальний ремонт житлового фонду</t>
  </si>
  <si>
    <t>4116021</t>
  </si>
  <si>
    <t>Капітальний ремонт житлового фонду об'єднань співвласників багатоквартирних будинків</t>
  </si>
  <si>
    <t>4116022</t>
  </si>
  <si>
    <t>4116060</t>
  </si>
  <si>
    <t>Заходи з енергозбереження</t>
  </si>
  <si>
    <t>4117470</t>
  </si>
  <si>
    <t>4510180</t>
  </si>
  <si>
    <t>4510000</t>
  </si>
  <si>
    <t>4500000</t>
  </si>
  <si>
    <t>Реалізація заходів щодо інвестиційного розвитку території</t>
  </si>
  <si>
    <t>4517310</t>
  </si>
  <si>
    <t>Управління капітального будівництва та дорожнього господарства Сумської міської ради</t>
  </si>
  <si>
    <t>4700000</t>
  </si>
  <si>
    <t>4710000</t>
  </si>
  <si>
    <t>4716060</t>
  </si>
  <si>
    <t>4716310</t>
  </si>
  <si>
    <t>4810180</t>
  </si>
  <si>
    <t>Управління «Інспекція з благоустрою міста Суми» Сумської міської ради</t>
  </si>
  <si>
    <t>5010180</t>
  </si>
  <si>
    <t>7500000</t>
  </si>
  <si>
    <t>7510000</t>
  </si>
  <si>
    <t>7510180</t>
  </si>
  <si>
    <t xml:space="preserve">Інші субвенції сільському бюджету с. Піщане </t>
  </si>
  <si>
    <t>Виконавчий комітет Сумської міської ради</t>
  </si>
  <si>
    <t xml:space="preserve">Виконання міської програми «Відкритий інформаційний простір м. Суми» на 2016-2018 роки </t>
  </si>
  <si>
    <t>Надання соціальних послуг «Центром реінтеграції бездомних осіб»</t>
  </si>
  <si>
    <t>4717470</t>
  </si>
  <si>
    <t>Впровадження засобів обліку витрат та регулювання споживання води та теплової енергії</t>
  </si>
  <si>
    <t xml:space="preserve">Департамент соціального захисту населення Сумської міської ради </t>
  </si>
  <si>
    <t>Департамент забезпечення ресурсних платежів Сумської міської ради</t>
  </si>
  <si>
    <t>Управління архітектури та містобудування Сумської міської ради</t>
  </si>
  <si>
    <t>Департамент фінансів, економіки та інвестицій Сумської міської ради</t>
  </si>
  <si>
    <t>Департамент фінансів, економіки та інвестицій Сумської міської ради (в частині міжбюджетних трансфертів, резервного фонду)</t>
  </si>
  <si>
    <t>4716420</t>
  </si>
  <si>
    <t>Збереження пам’яток історії та культури</t>
  </si>
  <si>
    <t>4716421</t>
  </si>
  <si>
    <t>Збереження, розвиток, реконструкція та реставрація пам’яток історії та культури</t>
  </si>
  <si>
    <t>4610180</t>
  </si>
  <si>
    <t>Управління державного архітектурно-будівельного контролю Сумської міської ради</t>
  </si>
  <si>
    <t>0180</t>
  </si>
  <si>
    <t>0111</t>
  </si>
  <si>
    <t>Код функціональної класифікації видатків та кредитування бюджету</t>
  </si>
  <si>
    <t>1010</t>
  </si>
  <si>
    <t>0910</t>
  </si>
  <si>
    <t>1020</t>
  </si>
  <si>
    <t>0921</t>
  </si>
  <si>
    <t>1070</t>
  </si>
  <si>
    <t>0922</t>
  </si>
  <si>
    <t>1090</t>
  </si>
  <si>
    <t>0960</t>
  </si>
  <si>
    <t>1170</t>
  </si>
  <si>
    <t>0990</t>
  </si>
  <si>
    <t>1190</t>
  </si>
  <si>
    <t>1210</t>
  </si>
  <si>
    <t>2010</t>
  </si>
  <si>
    <t>0731</t>
  </si>
  <si>
    <t>2050</t>
  </si>
  <si>
    <t>0733</t>
  </si>
  <si>
    <t>2140</t>
  </si>
  <si>
    <t>0722</t>
  </si>
  <si>
    <t>2180</t>
  </si>
  <si>
    <t>0726</t>
  </si>
  <si>
    <t>0610</t>
  </si>
  <si>
    <t>6020</t>
  </si>
  <si>
    <t>6021</t>
  </si>
  <si>
    <t>6022</t>
  </si>
  <si>
    <t>0620</t>
  </si>
  <si>
    <t>6060</t>
  </si>
  <si>
    <t>6100</t>
  </si>
  <si>
    <t>4060</t>
  </si>
  <si>
    <t>0824</t>
  </si>
  <si>
    <t>4100</t>
  </si>
  <si>
    <t>4200</t>
  </si>
  <si>
    <t>0829</t>
  </si>
  <si>
    <t>0810</t>
  </si>
  <si>
    <t>5060</t>
  </si>
  <si>
    <t>6310</t>
  </si>
  <si>
    <t>0490</t>
  </si>
  <si>
    <t>6420</t>
  </si>
  <si>
    <t>6421</t>
  </si>
  <si>
    <t>0421</t>
  </si>
  <si>
    <t>6640</t>
  </si>
  <si>
    <t>0455</t>
  </si>
  <si>
    <t>7410</t>
  </si>
  <si>
    <t>0470</t>
  </si>
  <si>
    <t>7450</t>
  </si>
  <si>
    <t>0411</t>
  </si>
  <si>
    <t>7470</t>
  </si>
  <si>
    <t>7820</t>
  </si>
  <si>
    <t>0220</t>
  </si>
  <si>
    <t>0133</t>
  </si>
  <si>
    <t>8600</t>
  </si>
  <si>
    <t>2417410</t>
  </si>
  <si>
    <t>1517410</t>
  </si>
  <si>
    <t>1417410</t>
  </si>
  <si>
    <t>1017410</t>
  </si>
  <si>
    <t>1040</t>
  </si>
  <si>
    <t>3500</t>
  </si>
  <si>
    <t>7310</t>
  </si>
  <si>
    <t>Код програмної класифікації видатків та кредитування місцевих бюджетів</t>
  </si>
  <si>
    <t>4116100</t>
  </si>
  <si>
    <t xml:space="preserve">Загальний обсяг фінансування будівництва </t>
  </si>
  <si>
    <t>Відсоток завершеності будівництва об’єктів на майбутні роки</t>
  </si>
  <si>
    <t>Всього видатків на завершення будівництва об’єктів на майбутні роки</t>
  </si>
  <si>
    <t>Разом видатків на поточний рік</t>
  </si>
  <si>
    <t>1010000</t>
  </si>
  <si>
    <t>КП Сумської міської ради «Електроавтотранс»</t>
  </si>
  <si>
    <t>1410000</t>
  </si>
  <si>
    <t>КП  «Зеленого будівництва» Сумської міської ради</t>
  </si>
  <si>
    <t>КП  «Спеціалізований комбінат» Сумської міської ради</t>
  </si>
  <si>
    <t>КП ЕЗО «Міськсвітло» Сумської міської ради</t>
  </si>
  <si>
    <t>КП «Міськводоканал» Сумської міської ради</t>
  </si>
  <si>
    <t>КП «Сумикомунінвест»  Сумської міської ради</t>
  </si>
  <si>
    <t>КП «Сумижилкомсервіс» Сумської міської ради</t>
  </si>
  <si>
    <t>КП «Шляхрембуд» Сумської міської ради</t>
  </si>
  <si>
    <t>Найменування головного розпорядника, відповідального виконавця, бюджетної програми або напряму видатків
згідно з типовою відомчою/ТПКВКМБ /
ТКВКБМС</t>
  </si>
  <si>
    <t>Назва об’єктів відповідно  до проектно- кошторисної документації тощо</t>
  </si>
  <si>
    <t>4712010</t>
  </si>
  <si>
    <t>1. Будівництво</t>
  </si>
  <si>
    <t>Будівництво кладовища в районі 40-ї підстанції</t>
  </si>
  <si>
    <t>Полігон для складування твердих побутових відходів на території В. Бобрицької сільської ради Краснопільського району (3 черга)</t>
  </si>
  <si>
    <t xml:space="preserve">Добудова шляхопроводу по вул. 20 років Перемоги з реконструкцією дороги від вул. Прокоф'єва до                      вул. Роменської </t>
  </si>
  <si>
    <t>Будівництво глибоководної свердловини на Пришибському водозаборі</t>
  </si>
  <si>
    <t>Будівництво інженерних мереж селища Ганнівка (2 черга)</t>
  </si>
  <si>
    <t>Будівництво зливної каналізації по вул. Прокоф'єва</t>
  </si>
  <si>
    <t>Будівництво каналізацї по вул. Молодіжній</t>
  </si>
  <si>
    <t>Будівництво доріг та ліній освітлення 12 МР</t>
  </si>
  <si>
    <t>Будівництво дитячого садка у 12 МР</t>
  </si>
  <si>
    <t>Будівництво дитячих та спортивних майданчиків</t>
  </si>
  <si>
    <t>Будівництво дитячого майданчика в районі житлового будинку № 21 по вул. Гамалія</t>
  </si>
  <si>
    <t>Будівництво дитячого майданчика за адресою: м. Суми, вул. Родини Линтварьових, 70</t>
  </si>
  <si>
    <t>Будівництво спортивного майданчика за адресою: м. Суми, вул. Зарічна</t>
  </si>
  <si>
    <t>Будівництво спортивного майданчика між центральним корпусом Сумського національного аграрного університету та житловими будинками №154, 154/1</t>
  </si>
  <si>
    <t>Здорова нація - сильна громада - багата Україна</t>
  </si>
  <si>
    <t>Будівництво скверу біля будинку № 81 Б по вул. Ковпака в м. Суми</t>
  </si>
  <si>
    <t>Оновлення шкільного стадіону, будівництво дитячого майданчику на території ЗОШ №5 для забезпечення активного відпочинку й дозвілля, занять спортом мешканців Баранівки та Луки</t>
  </si>
  <si>
    <t>Тато, мама, спорт і я - щаслива, сучасна, українська сім'я</t>
  </si>
  <si>
    <t>3. Реконструкція інших об'єктів</t>
  </si>
  <si>
    <t>2. Реконструкція об'єктів житлового фонду</t>
  </si>
  <si>
    <t>Будівля Реального училища (школа № 4), м.Суми - реконструкція</t>
  </si>
  <si>
    <t>Реконструкція будівлі під дитячий садок в районі Хіммістечка</t>
  </si>
  <si>
    <t>Реконструкція будівлі ССШ № 29 по вул. Заливній, 25</t>
  </si>
  <si>
    <t>Реконструкція будівлі КУ СЗОШ І-ІІІ ступенів № 22 по вул.Ковпака, 57</t>
  </si>
  <si>
    <t>Реконструкція інженерних мереж КУ Піщанська ЗОШ І-ІІ ступенів</t>
  </si>
  <si>
    <t>Реконструкція грального поля по вул. Якіра</t>
  </si>
  <si>
    <t>Реконструкція стадіону «Авангард»</t>
  </si>
  <si>
    <t>Реконструкція водопроводу Д500 мм від Тополянського водозабору до пр. Курський</t>
  </si>
  <si>
    <t>Реконструкція водоводу від Тополянського водозабору до пожежного депо в м. Суми</t>
  </si>
  <si>
    <t>Реконструкція водоводу по пр. Курському від вул. Машинобудівників до вул. Ковпака в м. Суми</t>
  </si>
  <si>
    <t>Реконструкція водоводу по пр. Курському від вул. Ковпака до пр. Курський, 147/4  в м. Суми</t>
  </si>
  <si>
    <t>Реконструкція каналізаційного напірного колектора від діючої камери № 19 по  вул. Д. Коротченко до камери № 31 по вул. Криничній</t>
  </si>
  <si>
    <t>Реконструкція каналізаційного напірного колектора від діючої камери № 31 по  вул. Криничній до міських очисних споруд</t>
  </si>
  <si>
    <t>Реконструкція пішохідної доріжки біля оз. Чеха з влаштуванням лінії освітлення</t>
  </si>
  <si>
    <t>Реконструкція приміщення по вул. Г.Кондратьєва, 165/71 під розміщення КУ «Центр надання соціально - медичних, психологічних послуг учасникам антитерористичної операції та членам іх сімей»</t>
  </si>
  <si>
    <t>Реконструкція водолікувального комплексу по вул. Троїцька, 28</t>
  </si>
  <si>
    <t>Реконструкція дороги по вул. Ковпака</t>
  </si>
  <si>
    <t>Реконструкція дороги від Пришибської площі до  вул. Прокоф'єва</t>
  </si>
  <si>
    <t>Реконструкція Театральної площі</t>
  </si>
  <si>
    <t>Реконструкція контактної мережі по м. Суми</t>
  </si>
  <si>
    <t>Реконструкція будівлі молодіжного центру «Романтика»</t>
  </si>
  <si>
    <t>Реконструкція житлового будинку з влаштуванням пандусу по вул. Харківська, 25</t>
  </si>
  <si>
    <t>Реконструкція житлового будинку з влаштуванням пандусу по вул. Івана Сірка, 31</t>
  </si>
  <si>
    <t>Реконструкція житлового будинку з влаштуванням пандусу по вул. Інтернаціоналістів, 25</t>
  </si>
  <si>
    <t>Реконструкція житлового будинку з влаштуванням пандусу по вул. Прокоф"єва, 24Б</t>
  </si>
  <si>
    <t>Спортивний майданчик для дітей та дорослих «Зоряний»</t>
  </si>
  <si>
    <t>Спортивні майданчики для міні-футболу, бадмінтону для дітей та молоді в ДП «Казка»</t>
  </si>
  <si>
    <t>Реконструкція фонтану в дитячому парку «Казка»</t>
  </si>
  <si>
    <t>Реконструкція теплиць КП «Зелене будівництво» Сумської міської ради по вул. Пролетарська,77</t>
  </si>
  <si>
    <t>Реконструкція КУ «Міський центр військово-патріотичного виховання» по вул. Петропавлівська,96</t>
  </si>
  <si>
    <t>Перелік об’єктів, видатки на які у 2017 році будуть проводитися за рахунок коштів бюджету розвитку</t>
  </si>
  <si>
    <t>Код типової програмної класифікації видатків та кредитування місцевих бюджетів</t>
  </si>
  <si>
    <t>Реставрація будівлі по вул. Петропавлівська, 91</t>
  </si>
  <si>
    <t>5030</t>
  </si>
  <si>
    <t>0315030</t>
  </si>
  <si>
    <t>Розвиток дитячо-юнацького та резервного спорту</t>
  </si>
  <si>
    <t>5031</t>
  </si>
  <si>
    <t>0315031</t>
  </si>
  <si>
    <t>Інші заходи з розвитку фізичної культури та спорту</t>
  </si>
  <si>
    <t>0315061</t>
  </si>
  <si>
    <t>5061</t>
  </si>
  <si>
    <t xml:space="preserve">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 </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</si>
  <si>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</si>
  <si>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Проведення заходів із землеустрою</t>
  </si>
  <si>
    <t>Реконструкція житлового будинку з влаштуванням пандусу по вул. Івана Сірка, 45</t>
  </si>
  <si>
    <t>4116310</t>
  </si>
  <si>
    <t>Реконструкція каналізаційного залізобетонного самотічного колектора  Д-600 мм по вул. Сєчєнова від залізничної дороги (вул. Київська) до перехрестя вул. Слобідської та вул. Вигонопоселенської</t>
  </si>
  <si>
    <t>Реконструкція каналізаційного залізобетонного самотічного колектора Д-1000 мм , який проходить по яру між пров. Степана Тимошенка (пров.Урицького) та вул. Панфілова</t>
  </si>
  <si>
    <t>Реконструкція І та ІІ черги полігону для складування твердих побутових відходів на території В.Бобрицької сільської ради Краснопільського району</t>
  </si>
  <si>
    <t>Будівництво амбулаторії по вул. Добровільна</t>
  </si>
  <si>
    <t>Я люблю Чешку</t>
  </si>
  <si>
    <t>Реконструкція операційного блоку КУ «СМКЛ № 5»</t>
  </si>
  <si>
    <t>Реконструкція приміщень КП «Муніципальний спортивний клуб з хокею на траві «Сумчанка»</t>
  </si>
  <si>
    <t xml:space="preserve">Реконструкція приміщення по вул. Шишкіна, 12 </t>
  </si>
  <si>
    <t>КП "Інфосервіс" Сумської міської ради</t>
  </si>
  <si>
    <t xml:space="preserve">0133 </t>
  </si>
  <si>
    <t>Виконання міської програми «Автоматизація муніципальних телекомунікаційних систем на 2017-2019 роки в м. Суми»</t>
  </si>
  <si>
    <t>4717410</t>
  </si>
  <si>
    <t>Внесено змін +, -</t>
  </si>
  <si>
    <t>Всього видатків з урахуванням змін</t>
  </si>
  <si>
    <t>грн.</t>
  </si>
  <si>
    <t>Керівництво і управління у відповідній сфері у містах, селищах, селах</t>
  </si>
  <si>
    <t>4116420</t>
  </si>
  <si>
    <t>4116421</t>
  </si>
  <si>
    <t>Будівництво дороги по вул. Р.Корсокова                                           (від вул. Серпневої до меж житлового масиву)</t>
  </si>
  <si>
    <t>Будівництво ліній освітлення ХІІ МР</t>
  </si>
  <si>
    <t>Реконструкція нежитлових приміщень по вул. Металургів, 17</t>
  </si>
  <si>
    <t>Реконструкція будівлі комунальної установи  «Сумський дошкільний навчальний заклад № 27 «Світанок» по вул. Червонопрапорна, 23 (ДНЗ № 27) (заміна віконних блоків на енергозберігаючі, дообладнання газової котельні котлом, що працює на поновлюваних джерелах енергії (біомаса))</t>
  </si>
  <si>
    <t>Реконструкція системи опалення з установленням модульної котельні, що працює на поновлюваних джерелах енергії (біомаса) в комунальній установі «Сумська загальноосвітня школа І-ІІІ ступеня № 11 по вул. Шишкіна, 12»</t>
  </si>
  <si>
    <t>Реконструкція басейну ДНЗ № 14 по вул. Прокоф'єва, 15</t>
  </si>
  <si>
    <t>Реконструкція інфекційного відділення КУ  «Сумська міська клінічна лікарня № 4»</t>
  </si>
  <si>
    <t>4817470</t>
  </si>
  <si>
    <t>КП «Архітектура. Будівництво. Контроль» Сумської міської ради</t>
  </si>
  <si>
    <t>Будівництво скверу за адресою: м.Суми, вул. Декабристів, 80 на території ЗОШ № 25</t>
  </si>
  <si>
    <t>Реконструкція спортивного майданчика з влаштуванням штучного покриття на території КУ СЗОШ І-ІІІ ступенів          № 22 по вул. Ковпака, 57</t>
  </si>
  <si>
    <t>Управління «Державного архітектурно-будівельного контролю»  Сумської міської ради</t>
  </si>
  <si>
    <t>4117810</t>
  </si>
  <si>
    <t>7810</t>
  </si>
  <si>
    <t>0320</t>
  </si>
  <si>
    <t>Видатки на запобігання та ліквідацію надзвичайних ситуацій та наслідків стихійного лиха</t>
  </si>
  <si>
    <t>Реконструкція спортивного майданчика з влаштуванням штучного покриття на території КУ СЗОШ І-ІІІ ступенів № 6 по вул. СКД, 7</t>
  </si>
  <si>
    <t>Реконструкція ДНЗ №22 «Джерельце»</t>
  </si>
  <si>
    <t>Реконструкція спортивного майданчика з влаштуванням штучного покриття на території ДНЗ № 22  «Джерельце» по вул. Ковпака, 25</t>
  </si>
  <si>
    <t>Реконструкція спортивного майданчика з влаштуванням штучного покриття на території ДНЗ № 3  «Калинка» по вул. Герасима Кондратьєва, 124</t>
  </si>
  <si>
    <t xml:space="preserve">Утримання та проведення заходів КУ "Сумський міський центр дозвілля молоді" </t>
  </si>
  <si>
    <t>Утримання та проведення заходів КУ «Агенція промоції «Суми»</t>
  </si>
  <si>
    <t>Будівництво дитячого майданчика в районі житлового будинку № 4/1 по вул. Лесі Українки</t>
  </si>
  <si>
    <t>Будівництво дитячого майданчика в районі житлового будинку № 109 по просп. Курському</t>
  </si>
  <si>
    <t>0318370</t>
  </si>
  <si>
    <t>8370</t>
  </si>
  <si>
    <t>Субвенція з місцевого бюджету державному бюджету на виконання програм соціально-економічного та культурного розвитку регіонів</t>
  </si>
  <si>
    <t>Реконструкція системи електрозабезпечення 48-квартирного будинку по вул. Холодногірська,30/1</t>
  </si>
  <si>
    <t>Будівництво тролейбусної лінії по вул. Набережна р. Сумки</t>
  </si>
  <si>
    <t>Будівництво дитячого майданчика за адресою: м.Суми, вул. Заливна 1/2</t>
  </si>
  <si>
    <t>Реконструкція будівлі ДНЗ №2 по вул. Інтернаціоналістів,39</t>
  </si>
  <si>
    <t>Реконструкція каналізаційних мереж з перемиканням КНС №3 на самоплинний колектор по вул. Миргородській до вул. Черкаської</t>
  </si>
  <si>
    <t>Реконструкція лінії освітлення по вул. Виноградна</t>
  </si>
  <si>
    <t>Реконструкція лінії освітлення по вул. Осіння</t>
  </si>
  <si>
    <t>Реконструкція лінії освітлення по вул. Сонячна</t>
  </si>
  <si>
    <t>Реконструкція лінії освітлення віл житлового будинку №81 А по вул. Ковпака до КУ СЗОШ І-ІІІ ступенів №22 по вул. Ковпака, 57</t>
  </si>
  <si>
    <t xml:space="preserve">Виконання міської комплексної програми «Правопорядок» на період 2016-2018 роки </t>
  </si>
  <si>
    <t>Реконструкція будівлі по вул. Герасима Кондратьєва,159</t>
  </si>
  <si>
    <t>4116430</t>
  </si>
  <si>
    <t>6430</t>
  </si>
  <si>
    <t>0443</t>
  </si>
  <si>
    <t>Розробка схем та проетних рішень масового застосування</t>
  </si>
  <si>
    <t>Будівництво скейт-парку в міському парку                                         ім. І.М. Кожедуба</t>
  </si>
  <si>
    <t>Будівництво дитячого майданчика в районі житлового будинку № 11 по вул. Липнянській</t>
  </si>
  <si>
    <t>Будівництво дитячого майданчика в районі житлового будинку № 20 по вул. СКД</t>
  </si>
  <si>
    <t>Будівництво дитячого майданчика в районі житлових будинків № 25, 25а, 27, 27/1 по вул. Прокоф'єва</t>
  </si>
  <si>
    <t>Реконструкція будівлі міжшкільного навчально-виробничого комбінату з влаштуванням туалету по                                     вул. М.Раскової, 72</t>
  </si>
  <si>
    <t>Реконструкція Сумської дитячої художньої школи              ім. М.Г. Лисенка з добудовою класів скульптури по                вул. Псільська, 7 в м. Суми</t>
  </si>
  <si>
    <t>Будівництво дитячого майданчика в районі житлового будинку № 37 по вул.  Холодногірська</t>
  </si>
  <si>
    <t>Будівництво дитячого майданчика в районі житлового будинку № 7 по вул.  Кутузова</t>
  </si>
  <si>
    <t>Будівництво дитячого майданчика в районі житлового будинку № 10 по вул. К. Зеленко</t>
  </si>
  <si>
    <t>Будівництво дитячого майданчика в районі житлового будинку № 26 по вул.  Івана Харитоненка</t>
  </si>
  <si>
    <t>Будівництво дитячого майданчика в районі житлового будинку № 41 по вул. Ковпака</t>
  </si>
  <si>
    <t>Будівництво дитячого майданчика в районі житлового будинку № 133 по просп. Курському</t>
  </si>
  <si>
    <t>Будівництво дитячого майданчика в районі житлового будинку № 17 по вул. Металургів</t>
  </si>
  <si>
    <t>Будівництво дитячого майданчика в районі житлових будинків № 13, 15, 17 по вул. Лермонтова</t>
  </si>
  <si>
    <t>Будівництво дитячого майданчика в районі житлового будинку № 38 по вул. Набережна р. Стрілки</t>
  </si>
  <si>
    <t>Будівництво дитячого майданчика в районі житлового будинку № 20 по вул. Люблінська</t>
  </si>
  <si>
    <t>Будівництво дитячого майданчика в районі житлового будинку № 13 по вул. М. Вовчка</t>
  </si>
  <si>
    <t>Будівництво дитячого майданчика в районі житлового будинку № 19 по вул. М. Вовчка</t>
  </si>
  <si>
    <t>Будівництво спортивного майданчику біля будинку № 81Б по вул. Ковпака</t>
  </si>
  <si>
    <t>Реставрація покрівлі та фасаду житлового будинку по вул.Соборна, 32 в м. Суми</t>
  </si>
  <si>
    <t xml:space="preserve">Виконання міської Програми «Соціальні служби готові прийти на допомогу на 2016-2018 роки» </t>
  </si>
  <si>
    <t>Реставрація споруди  «Альтанка»</t>
  </si>
  <si>
    <t>Будівництво дитячого майданчика в районі житлового будинку № 24 по вул. Гулака Артемовського</t>
  </si>
  <si>
    <t>Будівництво дитячого майданчика в районі житлового будинку № 23/1 по вул. Горького</t>
  </si>
  <si>
    <t>Будівництво дитячого майданчика в районі житлових будинків № 46  та № 48 по вул. Г.Кондратьєва</t>
  </si>
  <si>
    <t>Будівництво дитячого майданчика за адресою: с. Піщане, вул. Вигонопоселенська, буд. 51</t>
  </si>
  <si>
    <t>Будівництво дитячого майданчика за адресою: с. Піщане, вул. Леніна, буд. 9а</t>
  </si>
  <si>
    <t>Будівництво дитячого майданчика по вул. Героїв Сумщини</t>
  </si>
  <si>
    <t>Будівництво дитячого майданчика біля пішохідного мосту в парку ім. Кожедуба</t>
  </si>
  <si>
    <t>Будівництво дитячого майданчика в районі житлового будинку № 48А по вул. Прокоф'єва</t>
  </si>
  <si>
    <t>Будівництво дитячого майданчика в районі житлового будинку № 2/9 по вул. Котляревського</t>
  </si>
  <si>
    <t>Будівництво дитячого майданчика в районі житлового будинку № 3/1 по вул. Котляревського</t>
  </si>
  <si>
    <t>Будівництво дитячого майданчика в районі житлового будинку № 81 по вул. Роменська</t>
  </si>
  <si>
    <t>Будівництво дитячого майданчика в районі житлового будинку № 92/1 по вул. Роменська</t>
  </si>
  <si>
    <t>Будівництво дитячого майданчика в районі житлового будинку № 9 по вул. Зв'язківців</t>
  </si>
  <si>
    <t>Будівництво дитячого майданчику в районі житлового будинку № 1 по вул. Заливна</t>
  </si>
  <si>
    <t>Будівництво дитячого майданчика в районі житлового будинку № 11 по просп. М.Лушпи</t>
  </si>
  <si>
    <t>Будівництво дитячого майданчика в районі житлового будинку № 23 по вул. СКД</t>
  </si>
  <si>
    <t>Будівництво дитячого майданчика в районі житлового будинку № 8 по вул. Івана Сірка</t>
  </si>
  <si>
    <t>Будівництво дитячого майданчика на території ДНЗ № 27 по вул. Баранівська, 23</t>
  </si>
  <si>
    <t>Будівництво дитячого майданчика в районі житлового будинку № 32 по вул. Доватора</t>
  </si>
  <si>
    <t>Будівництво дитячого майданчика в районі житлового будинку № 25 по вул. Реміснича</t>
  </si>
  <si>
    <t>Будівництво дитячого майданчика в районі житлового будинку № 25 по вул. Горького</t>
  </si>
  <si>
    <t>Будівництво дитячого майданчика в районі житлового будинку № 17 по вул. Лермонтова</t>
  </si>
  <si>
    <t>Будівництво дитячого майданчика в районі житлового будинку № 10 по вул. Реміснича</t>
  </si>
  <si>
    <t>Будівництво дитячого майданчика в районі житлового будинку № 28 по вул. Леваневського</t>
  </si>
  <si>
    <t>Будівництво дитячого майданчика в районі житлового будинку № 41 по вул. Троїцька</t>
  </si>
  <si>
    <t>Будівництво дитячого майданчика в районі житлового будинку № 16 по вул. Д.Косаренка</t>
  </si>
  <si>
    <t>Будівництво дитячого майданчика в районі житлового будинку № 9 по вул. Конотопська</t>
  </si>
  <si>
    <t>Будівництво дитячого майданчика в районі житлового будинку № 12 по вул. Іллінська</t>
  </si>
  <si>
    <t>Будівництво дитячого майданчика в районі житлового будинку № 51/1 по вул. Іллінська</t>
  </si>
  <si>
    <t>Будівництво дитячого майданчика по вул. 2-га Замостянська</t>
  </si>
  <si>
    <t>Будівництво дитячого майданчика в районі житлового будинку № 3 по вул. Мірошніченко</t>
  </si>
  <si>
    <t>Будівництво дитячого майданчика в районі житлового будинку № 51 по просп. М.Лушпи</t>
  </si>
  <si>
    <t>Будівництво дитячого майданчика в районі житлового будинку № 39/2 по просп. М.Лушпи</t>
  </si>
  <si>
    <t>Будівництво дитячого майданчика в районі житлового будинку № 44 по вул. Героїв Крут</t>
  </si>
  <si>
    <t>Будівництво дитячого майданчика в районі житлового будинку № 25 по вул. І. Сірка</t>
  </si>
  <si>
    <t>Будівництво дитячого майданчика в районі житлового будинку № 27 по просп. М.Лушпи</t>
  </si>
  <si>
    <t>Будівництво дитячого майданчика в районі житлового будинку № 5 по вул. Миру</t>
  </si>
  <si>
    <t>Будівництво дитячого майданчика в районі житлового будинку № 39, 39/1, 39/2, 45 по вул. Прокоф'єва</t>
  </si>
  <si>
    <t>Будівництво дитячого майданчика в районі житлового будинку № 129 по вул. Петропавлівська</t>
  </si>
  <si>
    <t>Будівництво дитячого майданчика в районі житлового будинку № 4 по вул. Олександра Олеся</t>
  </si>
  <si>
    <t>1011100</t>
  </si>
  <si>
    <t>1100</t>
  </si>
  <si>
    <t>0930</t>
  </si>
  <si>
    <t>Підготовка робітничих кадрів професійно-технічними закладами та іншими закладами освіти</t>
  </si>
  <si>
    <t>Придбання об'єкта монументальної скульптури  «Олімпійця - ходока»</t>
  </si>
  <si>
    <t>Реконструкція аварійного самотічного колектора Д 400 мм по вул. Білопільській шлях від КНС-4 до району Тепличного</t>
  </si>
  <si>
    <t>Реконструкція будівель КУ "Сумська міська клінічна лікарня №5" ( двоповерхова будівля поліклініки, чотирьохповерхова будівля хірургічного корпусу, приміщення інфекційного відділення) з заміною вікон на металопластикові та дверей на металеві з утепленням покрівлі та заміною покрівельного покриття</t>
  </si>
  <si>
    <t>Будівництво спортивних майданчиків зі штучним покриттям на території Сумських шкіл</t>
  </si>
  <si>
    <t>Будівництво дитячого майданчика за адресою: м. Суми, вул. Кругова, 25</t>
  </si>
  <si>
    <t xml:space="preserve">Реконструкція багатофункціонального спортивного майданчика по вул. Новомістенській, 4, м. Суми </t>
  </si>
  <si>
    <t xml:space="preserve">Реконструкція волейбольного майданчику в парку культури та відпочинку імені І.М. Кожедуба, м. Суми </t>
  </si>
  <si>
    <t>КП «Центр догляду за тваринами» Сумської міської ради</t>
  </si>
  <si>
    <t>Реконструкція (термомодернізація) ДНЗ № 8 (ясла-садок) «Космічний»</t>
  </si>
  <si>
    <t>Будівництво дитячого майданчика в районі житлового будинку № 2 по вул. Малиновського</t>
  </si>
  <si>
    <t>Будівництво дитячого майданчика в районі житлового будинку № 5 по вул. Ватутіна</t>
  </si>
  <si>
    <t>Будівництво дитячого майданчика в районі житлового будинку № 21 по вул. Супруна</t>
  </si>
  <si>
    <t>Будівництво дитячого майданчика в районі житлового будинку № 41 по вул. Горького</t>
  </si>
  <si>
    <t>Будівництво дитячого майданчика в районі житлового будинку № 4 по вул. Єрмака</t>
  </si>
  <si>
    <t>Будівництво дитячого майданчика в районі житлового будинку № 2/5 по вул. Котляревського</t>
  </si>
  <si>
    <t>Реконструкція будівлі по вул. Герасима Кондратьєва, 79 з благоустроєм прилеглої території</t>
  </si>
  <si>
    <t>Будівництво дитячого майданчику біля будинку № 81Б по вул. Ковпака</t>
  </si>
  <si>
    <t>Будівництво дитячого майданчика біля будинку № 22, с/г технікум</t>
  </si>
  <si>
    <r>
      <t>Надання послуг КУ «Центр надання соціальних, медичних та психологічних послуг учасникам бойових дій, учасникам антитерористичної операції та членам їх сімей»</t>
    </r>
    <r>
      <rPr>
        <i/>
        <sz val="12"/>
        <color indexed="10"/>
        <rFont val="Times New Roman"/>
        <family val="1"/>
      </rPr>
      <t xml:space="preserve"> </t>
    </r>
  </si>
  <si>
    <t>0318800</t>
  </si>
  <si>
    <t xml:space="preserve">Виконання міської цільової "Програми з військово-патріотичного виховання молоді, сприяння організації призову громадян на строкову військову службу до Збройних Сил України та військовим формуванням, розташованим на території міста Суми, у проведенні заходів з оборони та мобілізації на 2017 рік" </t>
  </si>
  <si>
    <t>Інші субвенції Краснопільському районному бюджету</t>
  </si>
  <si>
    <t xml:space="preserve">Реконструкція багатофункціонального спортивного майданчика по вул. Засумській на території комунальної установи Сумська гімназія №1, м. Суми Сумської області  </t>
  </si>
  <si>
    <t>Будівництво дитячого майданчика в районі житлового будинку № 53 по вул. Ковпака</t>
  </si>
  <si>
    <t>Будівництво дитячого майданчика в районі житлового будинку № 14 по вул. Ковпака</t>
  </si>
  <si>
    <t>Будівництво дитячого майданчика в районі житлового будинку № 37 по вул. Р.Атаманюка</t>
  </si>
  <si>
    <t>Будівництво дитячого майданчика в районі житлового будинку № 125 по просп. Курська</t>
  </si>
  <si>
    <t>Будівництво дитячого майданчика на території ДНЗ № 6  «Метелик» по вул. Харківська, 10</t>
  </si>
  <si>
    <t>Реконструкція каналізаційного залізобетонного самотічного колектора Д-600-1000 мм , який проходить по вул. Пушкіна, Садова, Засумська та Ярослава Мудрого (Пролетарська) до КНС-2 від вул. Степана Бандери (Баумана)  до вул. Лугової</t>
  </si>
  <si>
    <t>Будівництво спортивного майданчика з благоустроєм прилеглої території по вул. Інтернаціоналістів, 6 м.Суми</t>
  </si>
  <si>
    <t>Реконструкція спортивного майданчику біля будинку № 12 по вул. Шишкіна в м. Суми Сумська міська рада</t>
  </si>
  <si>
    <t>до рішення виконачого комітету</t>
  </si>
  <si>
    <t xml:space="preserve">                   Додаток  4</t>
  </si>
  <si>
    <t xml:space="preserve">від                     № </t>
  </si>
  <si>
    <t>Директор департаменту фінансів, економіки та інвестицій</t>
  </si>
  <si>
    <t>С.А. Липова</t>
  </si>
</sst>
</file>

<file path=xl/styles.xml><?xml version="1.0" encoding="utf-8"?>
<styleSheet xmlns="http://schemas.openxmlformats.org/spreadsheetml/2006/main">
  <numFmts count="5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 #,##0;* \-#,##0;* &quot;-&quot;;@"/>
    <numFmt numFmtId="189" formatCode="* #,##0.00;* \-#,##0.00;* &quot;-&quot;??;@"/>
    <numFmt numFmtId="190" formatCode="* _-#,##0&quot;р.&quot;;* \-#,##0&quot;р.&quot;;* _-&quot;-&quot;&quot;р.&quot;;@"/>
    <numFmt numFmtId="191" formatCode="* _-#,##0.00&quot;р.&quot;;* \-#,##0.00&quot;р.&quot;;* _-&quot;-&quot;??&quot;р.&quot;;@"/>
    <numFmt numFmtId="192" formatCode="#,##0.0"/>
    <numFmt numFmtId="193" formatCode="#,##0_ ;[Red]\-#,##0\ "/>
    <numFmt numFmtId="194" formatCode="#,##0.0_ ;[Red]\-#,##0.0\ "/>
    <numFmt numFmtId="195" formatCode="0.0"/>
    <numFmt numFmtId="196" formatCode="0.0000"/>
    <numFmt numFmtId="197" formatCode="#,##0.0000"/>
    <numFmt numFmtId="198" formatCode="00000000000"/>
    <numFmt numFmtId="199" formatCode="&quot;Так&quot;;&quot;Так&quot;;&quot;Ні&quot;"/>
    <numFmt numFmtId="200" formatCode="&quot;Істина&quot;;&quot;Істина&quot;;&quot;Хибність&quot;"/>
    <numFmt numFmtId="201" formatCode="&quot;Увімк&quot;;&quot;Увімк&quot;;&quot;Вимк&quot;"/>
    <numFmt numFmtId="202" formatCode="[$-FC19]d\ mmmm\ yyyy\ &quot;г.&quot;"/>
    <numFmt numFmtId="203" formatCode="&quot;True&quot;;&quot;True&quot;;&quot;False&quot;"/>
    <numFmt numFmtId="204" formatCode="[$¥€-2]\ ###,000_);[Red]\([$€-2]\ ###,000\)"/>
    <numFmt numFmtId="205" formatCode="#,##0.000"/>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FC19]d\ mmmm\ yyyy\ \г\."/>
  </numFmts>
  <fonts count="63">
    <font>
      <sz val="10"/>
      <name val="Times New Roman"/>
      <family val="0"/>
    </font>
    <font>
      <b/>
      <sz val="10"/>
      <name val="Arial"/>
      <family val="0"/>
    </font>
    <font>
      <i/>
      <sz val="10"/>
      <name val="Arial"/>
      <family val="0"/>
    </font>
    <font>
      <b/>
      <i/>
      <sz val="10"/>
      <name val="Arial"/>
      <family val="0"/>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sz val="10"/>
      <name val="Helv"/>
      <family val="0"/>
    </font>
    <font>
      <sz val="10"/>
      <name val="Arial Cyr"/>
      <family val="0"/>
    </font>
    <font>
      <u val="single"/>
      <sz val="10"/>
      <color indexed="12"/>
      <name val="Arial"/>
      <family val="2"/>
    </font>
    <font>
      <sz val="10"/>
      <name val="Courier New"/>
      <family val="3"/>
    </font>
    <font>
      <u val="single"/>
      <sz val="10"/>
      <color indexed="36"/>
      <name val="Arial"/>
      <family val="2"/>
    </font>
    <font>
      <sz val="10"/>
      <color indexed="8"/>
      <name val="Arial"/>
      <family val="2"/>
    </font>
    <font>
      <sz val="12"/>
      <color indexed="8"/>
      <name val="Times New Roman"/>
      <family val="1"/>
    </font>
    <font>
      <i/>
      <sz val="12"/>
      <name val="Times New Roman"/>
      <family val="1"/>
    </font>
    <font>
      <sz val="12"/>
      <name val="Times New Roman"/>
      <family val="1"/>
    </font>
    <font>
      <sz val="14"/>
      <color indexed="8"/>
      <name val="Times New Roman"/>
      <family val="1"/>
    </font>
    <font>
      <b/>
      <sz val="12"/>
      <color indexed="8"/>
      <name val="Times New Roman"/>
      <family val="1"/>
    </font>
    <font>
      <b/>
      <i/>
      <sz val="12"/>
      <color indexed="8"/>
      <name val="Times New Roman"/>
      <family val="1"/>
    </font>
    <font>
      <i/>
      <sz val="12"/>
      <color indexed="8"/>
      <name val="Times New Roman"/>
      <family val="1"/>
    </font>
    <font>
      <b/>
      <sz val="14"/>
      <color indexed="8"/>
      <name val="Times New Roman"/>
      <family val="1"/>
    </font>
    <font>
      <sz val="18"/>
      <color indexed="8"/>
      <name val="Times New Roman"/>
      <family val="1"/>
    </font>
    <font>
      <sz val="20"/>
      <color indexed="8"/>
      <name val="Times New Roman"/>
      <family val="1"/>
    </font>
    <font>
      <sz val="22"/>
      <color indexed="8"/>
      <name val="Times New Roman"/>
      <family val="1"/>
    </font>
    <font>
      <b/>
      <sz val="22"/>
      <color indexed="8"/>
      <name val="Times New Roman"/>
      <family val="1"/>
    </font>
    <font>
      <sz val="8"/>
      <name val="Times New Roman"/>
      <family val="1"/>
    </font>
    <font>
      <i/>
      <sz val="12"/>
      <color indexed="10"/>
      <name val="Times New Roman"/>
      <family val="1"/>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10"/>
      <name val="Calibri"/>
      <family val="2"/>
    </font>
    <font>
      <sz val="11"/>
      <color indexed="19"/>
      <name val="Calibri"/>
      <family val="2"/>
    </font>
    <font>
      <sz val="24"/>
      <color indexed="8"/>
      <name val="Times New Roman"/>
      <family val="1"/>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9C6500"/>
      <name val="Calibri"/>
      <family val="2"/>
    </font>
    <font>
      <sz val="11"/>
      <color rgb="FFFF0000"/>
      <name val="Calibri"/>
      <family val="2"/>
    </font>
    <font>
      <i/>
      <sz val="11"/>
      <color rgb="FF7F7F7F"/>
      <name val="Calibri"/>
      <family val="2"/>
    </font>
    <font>
      <sz val="24"/>
      <color theme="1"/>
      <name val="Times New Roman"/>
      <family val="1"/>
    </font>
  </fonts>
  <fills count="5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22"/>
        <bgColor indexed="64"/>
      </patternFill>
    </fill>
    <fill>
      <patternFill patternType="solid">
        <fgColor rgb="FFC6EFCE"/>
        <bgColor indexed="64"/>
      </patternFill>
    </fill>
    <fill>
      <patternFill patternType="solid">
        <fgColor rgb="FFA5A5A5"/>
        <bgColor indexed="64"/>
      </patternFill>
    </fill>
    <fill>
      <patternFill patternType="solid">
        <fgColor indexed="55"/>
        <bgColor indexed="64"/>
      </patternFill>
    </fill>
    <fill>
      <patternFill patternType="solid">
        <fgColor indexed="43"/>
        <bgColor indexed="64"/>
      </patternFill>
    </fill>
    <fill>
      <patternFill patternType="solid">
        <fgColor rgb="FFF2F2F2"/>
        <bgColor indexed="64"/>
      </patternFill>
    </fill>
    <fill>
      <patternFill patternType="solid">
        <fgColor rgb="FFFFC7CE"/>
        <bgColor indexed="64"/>
      </patternFill>
    </fill>
    <fill>
      <patternFill patternType="solid">
        <fgColor indexed="26"/>
        <bgColor indexed="64"/>
      </patternFill>
    </fill>
    <fill>
      <patternFill patternType="solid">
        <fgColor rgb="FFFFFFCC"/>
        <bgColor indexed="64"/>
      </patternFill>
    </fill>
    <fill>
      <patternFill patternType="solid">
        <fgColor rgb="FFFFEB9C"/>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color indexed="63"/>
      </right>
      <top>
        <color indexed="63"/>
      </top>
      <bottom>
        <color indexed="63"/>
      </bottom>
    </border>
  </borders>
  <cellStyleXfs count="1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5" borderId="0" applyNumberFormat="0" applyBorder="0" applyAlignment="0" applyProtection="0"/>
    <xf numFmtId="0" fontId="13" fillId="14" borderId="0" applyNumberFormat="0" applyBorder="0" applyAlignment="0" applyProtection="0"/>
    <xf numFmtId="0" fontId="13"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12" fillId="2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25"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46" fillId="30" borderId="0" applyNumberFormat="0" applyBorder="0" applyAlignment="0" applyProtection="0"/>
    <xf numFmtId="0" fontId="46" fillId="31" borderId="0" applyNumberFormat="0" applyBorder="0" applyAlignment="0" applyProtection="0"/>
    <xf numFmtId="0" fontId="46" fillId="32" borderId="0" applyNumberFormat="0" applyBorder="0" applyAlignment="0" applyProtection="0"/>
    <xf numFmtId="0" fontId="46" fillId="33" borderId="0" applyNumberFormat="0" applyBorder="0" applyAlignment="0" applyProtection="0"/>
    <xf numFmtId="0" fontId="19" fillId="0" borderId="0">
      <alignment/>
      <protection/>
    </xf>
    <xf numFmtId="0" fontId="12" fillId="34" borderId="0" applyNumberFormat="0" applyBorder="0" applyAlignment="0" applyProtection="0"/>
    <xf numFmtId="0" fontId="12" fillId="35" borderId="0" applyNumberFormat="0" applyBorder="0" applyAlignment="0" applyProtection="0"/>
    <xf numFmtId="0" fontId="12" fillId="36" borderId="0" applyNumberFormat="0" applyBorder="0" applyAlignment="0" applyProtection="0"/>
    <xf numFmtId="0" fontId="12" fillId="25" borderId="0" applyNumberFormat="0" applyBorder="0" applyAlignment="0" applyProtection="0"/>
    <xf numFmtId="0" fontId="12" fillId="26" borderId="0" applyNumberFormat="0" applyBorder="0" applyAlignment="0" applyProtection="0"/>
    <xf numFmtId="0" fontId="12" fillId="37" borderId="0" applyNumberFormat="0" applyBorder="0" applyAlignment="0" applyProtection="0"/>
    <xf numFmtId="0" fontId="46" fillId="38" borderId="0" applyNumberFormat="0" applyBorder="0" applyAlignment="0" applyProtection="0"/>
    <xf numFmtId="0" fontId="46" fillId="39" borderId="0" applyNumberFormat="0" applyBorder="0" applyAlignment="0" applyProtection="0"/>
    <xf numFmtId="0" fontId="46" fillId="40" borderId="0" applyNumberFormat="0" applyBorder="0" applyAlignment="0" applyProtection="0"/>
    <xf numFmtId="0" fontId="46" fillId="41" borderId="0" applyNumberFormat="0" applyBorder="0" applyAlignment="0" applyProtection="0"/>
    <xf numFmtId="0" fontId="46" fillId="42" borderId="0" applyNumberFormat="0" applyBorder="0" applyAlignment="0" applyProtection="0"/>
    <xf numFmtId="0" fontId="46" fillId="43" borderId="0" applyNumberFormat="0" applyBorder="0" applyAlignment="0" applyProtection="0"/>
    <xf numFmtId="0" fontId="47" fillId="44" borderId="1" applyNumberFormat="0" applyAlignment="0" applyProtection="0"/>
    <xf numFmtId="0" fontId="6" fillId="7" borderId="2" applyNumberFormat="0" applyAlignment="0" applyProtection="0"/>
    <xf numFmtId="0" fontId="7" fillId="45" borderId="3" applyNumberFormat="0" applyAlignment="0" applyProtection="0"/>
    <xf numFmtId="0" fontId="14" fillId="45" borderId="2" applyNumberFormat="0" applyAlignment="0" applyProtection="0"/>
    <xf numFmtId="0" fontId="20" fillId="0" borderId="0" applyNumberFormat="0" applyFill="0" applyBorder="0" applyAlignment="0" applyProtection="0"/>
    <xf numFmtId="189" fontId="1" fillId="0" borderId="0" applyFont="0" applyFill="0" applyBorder="0" applyAlignment="0" applyProtection="0"/>
    <xf numFmtId="188" fontId="1" fillId="0" borderId="0" applyFont="0" applyFill="0" applyBorder="0" applyAlignment="0" applyProtection="0"/>
    <xf numFmtId="0" fontId="48" fillId="46" borderId="0" applyNumberFormat="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19" fillId="0" borderId="0">
      <alignment/>
      <protection/>
    </xf>
    <xf numFmtId="0" fontId="21" fillId="0" borderId="0">
      <alignment/>
      <protection/>
    </xf>
    <xf numFmtId="0" fontId="19" fillId="0" borderId="0">
      <alignment/>
      <protection/>
    </xf>
    <xf numFmtId="0" fontId="19"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3" fillId="0" borderId="0">
      <alignment vertical="top"/>
      <protection/>
    </xf>
    <xf numFmtId="0" fontId="52" fillId="0" borderId="7" applyNumberFormat="0" applyFill="0" applyAlignment="0" applyProtection="0"/>
    <xf numFmtId="0" fontId="11" fillId="0" borderId="8" applyNumberFormat="0" applyFill="0" applyAlignment="0" applyProtection="0"/>
    <xf numFmtId="0" fontId="53" fillId="47" borderId="9" applyNumberFormat="0" applyAlignment="0" applyProtection="0"/>
    <xf numFmtId="0" fontId="9" fillId="48" borderId="10" applyNumberFormat="0" applyAlignment="0" applyProtection="0"/>
    <xf numFmtId="0" fontId="54" fillId="0" borderId="0" applyNumberFormat="0" applyFill="0" applyBorder="0" applyAlignment="0" applyProtection="0"/>
    <xf numFmtId="0" fontId="15" fillId="0" borderId="0" applyNumberFormat="0" applyFill="0" applyBorder="0" applyAlignment="0" applyProtection="0"/>
    <xf numFmtId="0" fontId="16" fillId="49" borderId="0" applyNumberFormat="0" applyBorder="0" applyAlignment="0" applyProtection="0"/>
    <xf numFmtId="0" fontId="55" fillId="50" borderId="1" applyNumberFormat="0" applyAlignment="0" applyProtection="0"/>
    <xf numFmtId="0" fontId="19" fillId="0" borderId="0">
      <alignment/>
      <protection/>
    </xf>
    <xf numFmtId="0" fontId="22" fillId="0" borderId="0" applyNumberFormat="0" applyFill="0" applyBorder="0" applyAlignment="0" applyProtection="0"/>
    <xf numFmtId="0" fontId="56" fillId="0" borderId="11" applyNumberFormat="0" applyFill="0" applyAlignment="0" applyProtection="0"/>
    <xf numFmtId="0" fontId="5" fillId="3" borderId="0" applyNumberFormat="0" applyBorder="0" applyAlignment="0" applyProtection="0"/>
    <xf numFmtId="0" fontId="57" fillId="51" borderId="0" applyNumberFormat="0" applyBorder="0" applyAlignment="0" applyProtection="0"/>
    <xf numFmtId="0" fontId="10" fillId="0" borderId="0" applyNumberFormat="0" applyFill="0" applyBorder="0" applyAlignment="0" applyProtection="0"/>
    <xf numFmtId="0" fontId="13" fillId="52" borderId="12" applyNumberFormat="0" applyFont="0" applyAlignment="0" applyProtection="0"/>
    <xf numFmtId="0" fontId="0" fillId="53" borderId="13" applyNumberFormat="0" applyFont="0" applyAlignment="0" applyProtection="0"/>
    <xf numFmtId="191" fontId="1" fillId="0" borderId="0" applyFont="0" applyFill="0" applyBorder="0" applyAlignment="0" applyProtection="0"/>
    <xf numFmtId="0" fontId="58" fillId="50" borderId="14" applyNumberFormat="0" applyAlignment="0" applyProtection="0"/>
    <xf numFmtId="0" fontId="17" fillId="0" borderId="15" applyNumberFormat="0" applyFill="0" applyAlignment="0" applyProtection="0"/>
    <xf numFmtId="0" fontId="59" fillId="54" borderId="0" applyNumberFormat="0" applyBorder="0" applyAlignment="0" applyProtection="0"/>
    <xf numFmtId="0" fontId="18" fillId="0" borderId="0">
      <alignment/>
      <protection/>
    </xf>
    <xf numFmtId="0" fontId="60" fillId="0" borderId="0" applyNumberFormat="0" applyFill="0" applyBorder="0" applyAlignment="0" applyProtection="0"/>
    <xf numFmtId="0" fontId="61" fillId="0" borderId="0" applyNumberFormat="0" applyFill="0" applyBorder="0" applyAlignment="0" applyProtection="0"/>
    <xf numFmtId="0" fontId="8" fillId="0" borderId="0" applyNumberFormat="0" applyFill="0" applyBorder="0" applyAlignment="0" applyProtection="0"/>
    <xf numFmtId="190" fontId="1" fillId="0" borderId="0" applyFont="0" applyFill="0" applyBorder="0" applyAlignment="0" applyProtection="0"/>
    <xf numFmtId="9" fontId="1" fillId="0" borderId="0" applyFont="0" applyFill="0" applyBorder="0" applyAlignment="0" applyProtection="0"/>
    <xf numFmtId="0" fontId="4" fillId="4" borderId="0" applyNumberFormat="0" applyBorder="0" applyAlignment="0" applyProtection="0"/>
  </cellStyleXfs>
  <cellXfs count="122">
    <xf numFmtId="0" fontId="0" fillId="0" borderId="0" xfId="0" applyAlignment="1">
      <alignment/>
    </xf>
    <xf numFmtId="0" fontId="24" fillId="55" borderId="0" xfId="0" applyNumberFormat="1" applyFont="1" applyFill="1" applyAlignment="1" applyProtection="1">
      <alignment horizontal="center"/>
      <protection/>
    </xf>
    <xf numFmtId="0" fontId="24" fillId="55" borderId="0" xfId="0" applyNumberFormat="1" applyFont="1" applyFill="1" applyAlignment="1" applyProtection="1">
      <alignment/>
      <protection/>
    </xf>
    <xf numFmtId="0" fontId="24" fillId="55" borderId="0" xfId="0" applyFont="1" applyFill="1" applyAlignment="1">
      <alignment/>
    </xf>
    <xf numFmtId="0" fontId="24" fillId="55" borderId="0" xfId="0" applyFont="1" applyFill="1" applyAlignment="1">
      <alignment horizontal="left" vertical="center"/>
    </xf>
    <xf numFmtId="0" fontId="24" fillId="55" borderId="0" xfId="0" applyFont="1" applyFill="1" applyBorder="1" applyAlignment="1">
      <alignment vertical="center"/>
    </xf>
    <xf numFmtId="0" fontId="24" fillId="55" borderId="0" xfId="0" applyFont="1" applyFill="1" applyAlignment="1">
      <alignment/>
    </xf>
    <xf numFmtId="0" fontId="24" fillId="55" borderId="0" xfId="0" applyFont="1" applyFill="1" applyAlignment="1">
      <alignment horizontal="left" vertical="center" wrapText="1"/>
    </xf>
    <xf numFmtId="0" fontId="24" fillId="55" borderId="0" xfId="0" applyNumberFormat="1" applyFont="1" applyFill="1" applyAlignment="1" applyProtection="1">
      <alignment vertical="top"/>
      <protection/>
    </xf>
    <xf numFmtId="0" fontId="24" fillId="55" borderId="16" xfId="0" applyFont="1" applyFill="1" applyBorder="1" applyAlignment="1">
      <alignment horizontal="center"/>
    </xf>
    <xf numFmtId="0" fontId="24" fillId="55" borderId="0" xfId="0" applyFont="1" applyFill="1" applyBorder="1" applyAlignment="1">
      <alignment horizontal="center"/>
    </xf>
    <xf numFmtId="0" fontId="24" fillId="55" borderId="0" xfId="0" applyFont="1" applyFill="1" applyAlignment="1">
      <alignment horizontal="center"/>
    </xf>
    <xf numFmtId="0" fontId="27" fillId="55" borderId="0" xfId="0" applyFont="1" applyFill="1" applyAlignment="1">
      <alignment horizontal="center"/>
    </xf>
    <xf numFmtId="49" fontId="28" fillId="55" borderId="17" xfId="0" applyNumberFormat="1" applyFont="1" applyFill="1" applyBorder="1" applyAlignment="1" applyProtection="1">
      <alignment horizontal="center" vertical="center"/>
      <protection/>
    </xf>
    <xf numFmtId="49" fontId="24" fillId="55" borderId="17" xfId="0" applyNumberFormat="1" applyFont="1" applyFill="1" applyBorder="1" applyAlignment="1" applyProtection="1">
      <alignment horizontal="center" vertical="center"/>
      <protection/>
    </xf>
    <xf numFmtId="0" fontId="28" fillId="55" borderId="17" xfId="0" applyFont="1" applyFill="1" applyBorder="1" applyAlignment="1">
      <alignment vertical="center" wrapText="1"/>
    </xf>
    <xf numFmtId="4" fontId="28" fillId="55" borderId="17" xfId="95" applyNumberFormat="1" applyFont="1" applyFill="1" applyBorder="1" applyAlignment="1">
      <alignment vertical="center"/>
      <protection/>
    </xf>
    <xf numFmtId="0" fontId="24" fillId="55" borderId="0" xfId="0" applyFont="1" applyFill="1" applyAlignment="1">
      <alignment vertical="center"/>
    </xf>
    <xf numFmtId="49" fontId="29" fillId="55" borderId="17" xfId="0" applyNumberFormat="1" applyFont="1" applyFill="1" applyBorder="1" applyAlignment="1" applyProtection="1">
      <alignment horizontal="center" vertical="center"/>
      <protection/>
    </xf>
    <xf numFmtId="49" fontId="30" fillId="55" borderId="17" xfId="0" applyNumberFormat="1" applyFont="1" applyFill="1" applyBorder="1" applyAlignment="1" applyProtection="1">
      <alignment horizontal="center" vertical="center"/>
      <protection/>
    </xf>
    <xf numFmtId="0" fontId="29" fillId="55" borderId="17" xfId="0" applyFont="1" applyFill="1" applyBorder="1" applyAlignment="1">
      <alignment vertical="center" wrapText="1"/>
    </xf>
    <xf numFmtId="4" fontId="29" fillId="55" borderId="17" xfId="95" applyNumberFormat="1" applyFont="1" applyFill="1" applyBorder="1" applyAlignment="1">
      <alignment vertical="center"/>
      <protection/>
    </xf>
    <xf numFmtId="0" fontId="30" fillId="55" borderId="0" xfId="0" applyFont="1" applyFill="1" applyAlignment="1">
      <alignment vertical="center"/>
    </xf>
    <xf numFmtId="0" fontId="24" fillId="55" borderId="17" xfId="0" applyFont="1" applyFill="1" applyBorder="1" applyAlignment="1">
      <alignment horizontal="left" vertical="center" wrapText="1"/>
    </xf>
    <xf numFmtId="4" fontId="24" fillId="55" borderId="17" xfId="95" applyNumberFormat="1" applyFont="1" applyFill="1" applyBorder="1" applyAlignment="1">
      <alignment vertical="center"/>
      <protection/>
    </xf>
    <xf numFmtId="0" fontId="24" fillId="55" borderId="17" xfId="0" applyFont="1" applyFill="1" applyBorder="1" applyAlignment="1">
      <alignment/>
    </xf>
    <xf numFmtId="0" fontId="30" fillId="55" borderId="17" xfId="0" applyFont="1" applyFill="1" applyBorder="1" applyAlignment="1">
      <alignment horizontal="left" vertical="center" wrapText="1"/>
    </xf>
    <xf numFmtId="4" fontId="30" fillId="55" borderId="17" xfId="95" applyNumberFormat="1" applyFont="1" applyFill="1" applyBorder="1" applyAlignment="1">
      <alignment vertical="center"/>
      <protection/>
    </xf>
    <xf numFmtId="0" fontId="30" fillId="55" borderId="17" xfId="0" applyFont="1" applyFill="1" applyBorder="1" applyAlignment="1">
      <alignment horizontal="center" vertical="center"/>
    </xf>
    <xf numFmtId="49" fontId="30" fillId="55" borderId="17" xfId="0" applyNumberFormat="1" applyFont="1" applyFill="1" applyBorder="1" applyAlignment="1">
      <alignment horizontal="center" vertical="center"/>
    </xf>
    <xf numFmtId="0" fontId="30" fillId="55" borderId="17" xfId="0" applyFont="1" applyFill="1" applyBorder="1" applyAlignment="1">
      <alignment vertical="center" wrapText="1"/>
    </xf>
    <xf numFmtId="192" fontId="30" fillId="55" borderId="17" xfId="95" applyNumberFormat="1" applyFont="1" applyFill="1" applyBorder="1" applyAlignment="1">
      <alignment vertical="center"/>
      <protection/>
    </xf>
    <xf numFmtId="0" fontId="30" fillId="55" borderId="17" xfId="0" applyFont="1" applyFill="1" applyBorder="1" applyAlignment="1">
      <alignment vertical="center"/>
    </xf>
    <xf numFmtId="49" fontId="24" fillId="55" borderId="17" xfId="0" applyNumberFormat="1" applyFont="1" applyFill="1" applyBorder="1" applyAlignment="1">
      <alignment horizontal="center" vertical="center"/>
    </xf>
    <xf numFmtId="192" fontId="24" fillId="55" borderId="17" xfId="95" applyNumberFormat="1" applyFont="1" applyFill="1" applyBorder="1" applyAlignment="1">
      <alignment vertical="center"/>
      <protection/>
    </xf>
    <xf numFmtId="0" fontId="24" fillId="55" borderId="18" xfId="0" applyFont="1" applyFill="1" applyBorder="1" applyAlignment="1">
      <alignment horizontal="left" vertical="center" wrapText="1"/>
    </xf>
    <xf numFmtId="0" fontId="24" fillId="55" borderId="17" xfId="0" applyFont="1" applyFill="1" applyBorder="1" applyAlignment="1">
      <alignment vertical="center"/>
    </xf>
    <xf numFmtId="49" fontId="24" fillId="55" borderId="17" xfId="0" applyNumberFormat="1" applyFont="1" applyFill="1" applyBorder="1" applyAlignment="1">
      <alignment horizontal="center" vertical="center"/>
    </xf>
    <xf numFmtId="0" fontId="24" fillId="55" borderId="17" xfId="0" applyFont="1" applyFill="1" applyBorder="1" applyAlignment="1">
      <alignment horizontal="left" vertical="center" wrapText="1"/>
    </xf>
    <xf numFmtId="4" fontId="24" fillId="55" borderId="17" xfId="95" applyNumberFormat="1" applyFont="1" applyFill="1" applyBorder="1" applyAlignment="1">
      <alignment vertical="center"/>
      <protection/>
    </xf>
    <xf numFmtId="0" fontId="24" fillId="55" borderId="0" xfId="0" applyFont="1" applyFill="1" applyAlignment="1">
      <alignment vertical="center"/>
    </xf>
    <xf numFmtId="49" fontId="30" fillId="55" borderId="17" xfId="0" applyNumberFormat="1" applyFont="1" applyFill="1" applyBorder="1" applyAlignment="1">
      <alignment horizontal="left" vertical="center" wrapText="1"/>
    </xf>
    <xf numFmtId="49" fontId="28" fillId="55" borderId="17" xfId="0" applyNumberFormat="1" applyFont="1" applyFill="1" applyBorder="1" applyAlignment="1">
      <alignment horizontal="center" vertical="center"/>
    </xf>
    <xf numFmtId="0" fontId="28" fillId="55" borderId="17" xfId="0" applyFont="1" applyFill="1" applyBorder="1" applyAlignment="1">
      <alignment horizontal="left" vertical="center" wrapText="1"/>
    </xf>
    <xf numFmtId="49" fontId="29" fillId="55" borderId="17" xfId="0" applyNumberFormat="1" applyFont="1" applyFill="1" applyBorder="1" applyAlignment="1">
      <alignment horizontal="center" vertical="center"/>
    </xf>
    <xf numFmtId="0" fontId="29" fillId="55" borderId="17" xfId="0" applyFont="1" applyFill="1" applyBorder="1" applyAlignment="1">
      <alignment horizontal="left" vertical="center" wrapText="1"/>
    </xf>
    <xf numFmtId="49" fontId="24" fillId="55" borderId="17" xfId="0" applyNumberFormat="1" applyFont="1" applyFill="1" applyBorder="1" applyAlignment="1" applyProtection="1">
      <alignment horizontal="center" vertical="center"/>
      <protection/>
    </xf>
    <xf numFmtId="0" fontId="24" fillId="55" borderId="17" xfId="0" applyNumberFormat="1" applyFont="1" applyFill="1" applyBorder="1" applyAlignment="1" applyProtection="1">
      <alignment horizontal="center" vertical="center"/>
      <protection/>
    </xf>
    <xf numFmtId="4" fontId="24" fillId="55" borderId="17" xfId="0" applyNumberFormat="1" applyFont="1" applyFill="1" applyBorder="1" applyAlignment="1">
      <alignment vertical="center"/>
    </xf>
    <xf numFmtId="0" fontId="30" fillId="55" borderId="17" xfId="0" applyNumberFormat="1" applyFont="1" applyFill="1" applyBorder="1" applyAlignment="1" applyProtection="1">
      <alignment horizontal="center" vertical="center"/>
      <protection/>
    </xf>
    <xf numFmtId="4" fontId="30" fillId="55" borderId="17" xfId="0" applyNumberFormat="1" applyFont="1" applyFill="1" applyBorder="1" applyAlignment="1">
      <alignment vertical="center"/>
    </xf>
    <xf numFmtId="0" fontId="26" fillId="55" borderId="17" xfId="0" applyFont="1" applyFill="1" applyBorder="1" applyAlignment="1">
      <alignment horizontal="left" vertical="center" wrapText="1"/>
    </xf>
    <xf numFmtId="0" fontId="24" fillId="55" borderId="19" xfId="0" applyFont="1" applyFill="1" applyBorder="1" applyAlignment="1">
      <alignment horizontal="left" wrapText="1"/>
    </xf>
    <xf numFmtId="0" fontId="24" fillId="55" borderId="19" xfId="0" applyFont="1" applyFill="1" applyBorder="1" applyAlignment="1">
      <alignment horizontal="left" vertical="center" wrapText="1"/>
    </xf>
    <xf numFmtId="0" fontId="24" fillId="55" borderId="17" xfId="0" applyFont="1" applyFill="1" applyBorder="1" applyAlignment="1">
      <alignment vertical="center"/>
    </xf>
    <xf numFmtId="0" fontId="24" fillId="55" borderId="17" xfId="0" applyFont="1" applyFill="1" applyBorder="1" applyAlignment="1">
      <alignment vertical="center" wrapText="1"/>
    </xf>
    <xf numFmtId="0" fontId="24" fillId="55" borderId="17" xfId="0" applyFont="1" applyFill="1" applyBorder="1" applyAlignment="1">
      <alignment vertical="center" wrapText="1"/>
    </xf>
    <xf numFmtId="4" fontId="30" fillId="55" borderId="17" xfId="0" applyNumberFormat="1" applyFont="1" applyFill="1" applyBorder="1" applyAlignment="1">
      <alignment vertical="center" wrapText="1"/>
    </xf>
    <xf numFmtId="0" fontId="28" fillId="55" borderId="0" xfId="0" applyFont="1" applyFill="1" applyAlignment="1">
      <alignment vertical="center"/>
    </xf>
    <xf numFmtId="0" fontId="28" fillId="55" borderId="17" xfId="0" applyNumberFormat="1" applyFont="1" applyFill="1" applyBorder="1" applyAlignment="1" applyProtection="1">
      <alignment horizontal="center" vertical="center"/>
      <protection/>
    </xf>
    <xf numFmtId="0" fontId="29" fillId="55" borderId="17" xfId="0" applyNumberFormat="1" applyFont="1" applyFill="1" applyBorder="1" applyAlignment="1" applyProtection="1">
      <alignment horizontal="center" vertical="center"/>
      <protection/>
    </xf>
    <xf numFmtId="0" fontId="29" fillId="55" borderId="0" xfId="0" applyFont="1" applyFill="1" applyAlignment="1">
      <alignment vertical="center"/>
    </xf>
    <xf numFmtId="3" fontId="28" fillId="55" borderId="17" xfId="0" applyNumberFormat="1" applyFont="1" applyFill="1" applyBorder="1" applyAlignment="1">
      <alignment horizontal="right" vertical="center" wrapText="1"/>
    </xf>
    <xf numFmtId="4" fontId="28" fillId="55" borderId="17" xfId="0" applyNumberFormat="1" applyFont="1" applyFill="1" applyBorder="1" applyAlignment="1">
      <alignment horizontal="right" vertical="center" wrapText="1"/>
    </xf>
    <xf numFmtId="3" fontId="24" fillId="55" borderId="17" xfId="95" applyNumberFormat="1" applyFont="1" applyFill="1" applyBorder="1" applyAlignment="1">
      <alignment vertical="center"/>
      <protection/>
    </xf>
    <xf numFmtId="0" fontId="24" fillId="55" borderId="17" xfId="0" applyFont="1" applyFill="1" applyBorder="1" applyAlignment="1">
      <alignment horizontal="justify" vertical="center" wrapText="1"/>
    </xf>
    <xf numFmtId="3" fontId="24" fillId="55" borderId="17" xfId="95" applyNumberFormat="1" applyFont="1" applyFill="1" applyBorder="1" applyAlignment="1">
      <alignment vertical="center"/>
      <protection/>
    </xf>
    <xf numFmtId="192" fontId="24" fillId="55" borderId="17" xfId="95" applyNumberFormat="1" applyFont="1" applyFill="1" applyBorder="1" applyAlignment="1">
      <alignment vertical="center"/>
      <protection/>
    </xf>
    <xf numFmtId="4" fontId="26" fillId="55" borderId="17" xfId="95" applyNumberFormat="1" applyFont="1" applyFill="1" applyBorder="1" applyAlignment="1">
      <alignment vertical="center"/>
      <protection/>
    </xf>
    <xf numFmtId="0" fontId="24" fillId="55" borderId="17" xfId="0" applyFont="1" applyFill="1" applyBorder="1" applyAlignment="1">
      <alignment horizontal="justify" vertical="center" wrapText="1"/>
    </xf>
    <xf numFmtId="0" fontId="26" fillId="55" borderId="17" xfId="0" applyFont="1" applyFill="1" applyBorder="1" applyAlignment="1">
      <alignment horizontal="justify" vertical="center" wrapText="1"/>
    </xf>
    <xf numFmtId="3" fontId="28" fillId="55" borderId="17" xfId="95" applyNumberFormat="1" applyFont="1" applyFill="1" applyBorder="1" applyAlignment="1">
      <alignment vertical="center"/>
      <protection/>
    </xf>
    <xf numFmtId="0" fontId="24" fillId="55" borderId="17" xfId="0" applyFont="1" applyFill="1" applyBorder="1" applyAlignment="1">
      <alignment horizontal="right" vertical="center" wrapText="1"/>
    </xf>
    <xf numFmtId="0" fontId="30" fillId="55" borderId="0" xfId="0" applyFont="1" applyFill="1" applyAlignment="1">
      <alignment horizontal="center" vertical="center"/>
    </xf>
    <xf numFmtId="4" fontId="25" fillId="55" borderId="17" xfId="95" applyNumberFormat="1" applyFont="1" applyFill="1" applyBorder="1" applyAlignment="1">
      <alignment vertical="center"/>
      <protection/>
    </xf>
    <xf numFmtId="0" fontId="27" fillId="55" borderId="17" xfId="0" applyNumberFormat="1" applyFont="1" applyFill="1" applyBorder="1" applyAlignment="1" applyProtection="1">
      <alignment horizontal="center" vertical="center"/>
      <protection/>
    </xf>
    <xf numFmtId="0" fontId="31" fillId="55" borderId="17" xfId="0" applyFont="1" applyFill="1" applyBorder="1" applyAlignment="1">
      <alignment horizontal="left" vertical="center" wrapText="1"/>
    </xf>
    <xf numFmtId="4" fontId="31" fillId="55" borderId="17" xfId="95" applyNumberFormat="1" applyFont="1" applyFill="1" applyBorder="1" applyAlignment="1">
      <alignment vertical="center"/>
      <protection/>
    </xf>
    <xf numFmtId="0" fontId="27" fillId="55" borderId="0" xfId="0" applyFont="1" applyFill="1" applyAlignment="1">
      <alignment vertical="center"/>
    </xf>
    <xf numFmtId="0" fontId="27" fillId="55" borderId="0" xfId="0" applyNumberFormat="1" applyFont="1" applyFill="1" applyBorder="1" applyAlignment="1" applyProtection="1">
      <alignment horizontal="center" vertical="center"/>
      <protection/>
    </xf>
    <xf numFmtId="0" fontId="31" fillId="55" borderId="0" xfId="0" applyFont="1" applyFill="1" applyBorder="1" applyAlignment="1">
      <alignment horizontal="left" vertical="center" wrapText="1"/>
    </xf>
    <xf numFmtId="4" fontId="31" fillId="55" borderId="0" xfId="95" applyNumberFormat="1" applyFont="1" applyFill="1" applyBorder="1" applyAlignment="1">
      <alignment vertical="center"/>
      <protection/>
    </xf>
    <xf numFmtId="0" fontId="24" fillId="55" borderId="0" xfId="0" applyNumberFormat="1" applyFont="1" applyFill="1" applyBorder="1" applyAlignment="1" applyProtection="1">
      <alignment horizontal="center" vertical="center"/>
      <protection/>
    </xf>
    <xf numFmtId="0" fontId="28" fillId="55" borderId="0" xfId="0" applyFont="1" applyFill="1" applyBorder="1" applyAlignment="1">
      <alignment horizontal="left" vertical="center" wrapText="1"/>
    </xf>
    <xf numFmtId="4" fontId="28" fillId="55" borderId="0" xfId="95" applyNumberFormat="1" applyFont="1" applyFill="1" applyBorder="1" applyAlignment="1">
      <alignment vertical="center"/>
      <protection/>
    </xf>
    <xf numFmtId="4" fontId="24" fillId="55" borderId="0" xfId="0" applyNumberFormat="1" applyFont="1" applyFill="1" applyAlignment="1" applyProtection="1">
      <alignment/>
      <protection/>
    </xf>
    <xf numFmtId="0" fontId="32" fillId="55" borderId="0" xfId="0" applyFont="1" applyFill="1" applyBorder="1" applyAlignment="1">
      <alignment vertical="center" textRotation="180"/>
    </xf>
    <xf numFmtId="0" fontId="34" fillId="55" borderId="0" xfId="0" applyFont="1" applyFill="1" applyAlignment="1">
      <alignment/>
    </xf>
    <xf numFmtId="0" fontId="34" fillId="55" borderId="0" xfId="0" applyFont="1" applyFill="1" applyAlignment="1">
      <alignment/>
    </xf>
    <xf numFmtId="0" fontId="34" fillId="55" borderId="0" xfId="0" applyFont="1" applyFill="1" applyAlignment="1">
      <alignment horizontal="center"/>
    </xf>
    <xf numFmtId="0" fontId="34" fillId="55" borderId="0" xfId="0" applyFont="1" applyFill="1" applyAlignment="1">
      <alignment vertical="center"/>
    </xf>
    <xf numFmtId="0" fontId="24" fillId="55" borderId="0" xfId="0" applyFont="1" applyFill="1" applyBorder="1" applyAlignment="1">
      <alignment/>
    </xf>
    <xf numFmtId="0" fontId="24" fillId="55" borderId="0" xfId="0" applyFont="1" applyFill="1" applyBorder="1" applyAlignment="1">
      <alignment wrapText="1"/>
    </xf>
    <xf numFmtId="0" fontId="24" fillId="55" borderId="0" xfId="0" applyFont="1" applyFill="1" applyBorder="1" applyAlignment="1">
      <alignment horizontal="center" vertical="center"/>
    </xf>
    <xf numFmtId="0" fontId="24" fillId="55" borderId="0" xfId="0" applyNumberFormat="1" applyFont="1" applyFill="1" applyBorder="1" applyAlignment="1" applyProtection="1">
      <alignment horizontal="center"/>
      <protection/>
    </xf>
    <xf numFmtId="0" fontId="24" fillId="55" borderId="0" xfId="0" applyFont="1" applyFill="1" applyBorder="1" applyAlignment="1">
      <alignment/>
    </xf>
    <xf numFmtId="0" fontId="24" fillId="55" borderId="0" xfId="0" applyNumberFormat="1" applyFont="1" applyFill="1" applyBorder="1" applyAlignment="1" applyProtection="1">
      <alignment/>
      <protection/>
    </xf>
    <xf numFmtId="0" fontId="33" fillId="55" borderId="0" xfId="0" applyFont="1" applyFill="1" applyAlignment="1">
      <alignment horizontal="center" vertical="center" textRotation="180"/>
    </xf>
    <xf numFmtId="0" fontId="33" fillId="55" borderId="0" xfId="0" applyFont="1" applyFill="1" applyAlignment="1">
      <alignment vertical="center" textRotation="180"/>
    </xf>
    <xf numFmtId="0" fontId="24" fillId="55" borderId="0" xfId="0" applyNumberFormat="1" applyFont="1" applyFill="1" applyAlignment="1" applyProtection="1">
      <alignment horizontal="center"/>
      <protection/>
    </xf>
    <xf numFmtId="0" fontId="24" fillId="55" borderId="0" xfId="0" applyNumberFormat="1" applyFont="1" applyFill="1" applyAlignment="1" applyProtection="1">
      <alignment/>
      <protection/>
    </xf>
    <xf numFmtId="4" fontId="24" fillId="55" borderId="0" xfId="0" applyNumberFormat="1" applyFont="1" applyFill="1" applyAlignment="1" applyProtection="1">
      <alignment/>
      <protection/>
    </xf>
    <xf numFmtId="0" fontId="24" fillId="55" borderId="0" xfId="0" applyFont="1" applyFill="1" applyBorder="1" applyAlignment="1">
      <alignment vertical="center"/>
    </xf>
    <xf numFmtId="0" fontId="24" fillId="55" borderId="0" xfId="0" applyFont="1" applyFill="1" applyAlignment="1">
      <alignment/>
    </xf>
    <xf numFmtId="0" fontId="24" fillId="55" borderId="0" xfId="0" applyFont="1" applyFill="1" applyAlignment="1">
      <alignment/>
    </xf>
    <xf numFmtId="0" fontId="32" fillId="55" borderId="0" xfId="0" applyFont="1" applyFill="1" applyAlignment="1">
      <alignment/>
    </xf>
    <xf numFmtId="0" fontId="32" fillId="55" borderId="0" xfId="0" applyFont="1" applyFill="1" applyAlignment="1">
      <alignment/>
    </xf>
    <xf numFmtId="0" fontId="34" fillId="55" borderId="0" xfId="0" applyNumberFormat="1" applyFont="1" applyFill="1" applyAlignment="1" applyProtection="1">
      <alignment horizontal="left"/>
      <protection/>
    </xf>
    <xf numFmtId="0" fontId="24" fillId="55" borderId="17" xfId="0" applyNumberFormat="1" applyFont="1" applyFill="1" applyBorder="1" applyAlignment="1" applyProtection="1">
      <alignment horizontal="center" vertical="center" wrapText="1"/>
      <protection/>
    </xf>
    <xf numFmtId="0" fontId="24" fillId="55" borderId="17" xfId="0" applyFont="1" applyFill="1" applyBorder="1" applyAlignment="1">
      <alignment horizontal="center" vertical="center" wrapText="1"/>
    </xf>
    <xf numFmtId="0" fontId="24" fillId="55" borderId="19" xfId="0" applyFont="1" applyFill="1" applyBorder="1" applyAlignment="1">
      <alignment horizontal="left" vertical="center" wrapText="1"/>
    </xf>
    <xf numFmtId="0" fontId="34" fillId="55" borderId="0" xfId="0" applyNumberFormat="1" applyFont="1" applyFill="1" applyAlignment="1" applyProtection="1">
      <alignment horizontal="left"/>
      <protection/>
    </xf>
    <xf numFmtId="0" fontId="24" fillId="55" borderId="17" xfId="0" applyNumberFormat="1" applyFont="1" applyFill="1" applyBorder="1" applyAlignment="1" applyProtection="1">
      <alignment horizontal="center" vertical="center" wrapText="1"/>
      <protection/>
    </xf>
    <xf numFmtId="0" fontId="24" fillId="55" borderId="17" xfId="0" applyFont="1" applyFill="1" applyBorder="1" applyAlignment="1">
      <alignment horizontal="center" vertical="center" wrapText="1"/>
    </xf>
    <xf numFmtId="0" fontId="28" fillId="55" borderId="17" xfId="0" applyFont="1" applyFill="1" applyBorder="1" applyAlignment="1">
      <alignment horizontal="center" vertical="center" wrapText="1"/>
    </xf>
    <xf numFmtId="0" fontId="34" fillId="55" borderId="0" xfId="0" applyFont="1" applyFill="1" applyBorder="1" applyAlignment="1">
      <alignment horizontal="left" vertical="distributed" wrapText="1"/>
    </xf>
    <xf numFmtId="0" fontId="35" fillId="55" borderId="0" xfId="0" applyNumberFormat="1" applyFont="1" applyFill="1" applyBorder="1" applyAlignment="1" applyProtection="1">
      <alignment horizontal="center" vertical="top" wrapText="1"/>
      <protection/>
    </xf>
    <xf numFmtId="14" fontId="33" fillId="55" borderId="0" xfId="0" applyNumberFormat="1" applyFont="1" applyFill="1" applyBorder="1" applyAlignment="1">
      <alignment horizontal="left"/>
    </xf>
    <xf numFmtId="0" fontId="62" fillId="55" borderId="0" xfId="0" applyNumberFormat="1" applyFont="1" applyFill="1" applyAlignment="1" applyProtection="1">
      <alignment horizontal="left"/>
      <protection/>
    </xf>
    <xf numFmtId="0" fontId="33" fillId="55" borderId="0" xfId="0" applyFont="1" applyFill="1" applyAlignment="1">
      <alignment horizontal="center" vertical="center" textRotation="180"/>
    </xf>
    <xf numFmtId="0" fontId="33" fillId="55" borderId="20" xfId="0" applyFont="1" applyFill="1" applyBorder="1" applyAlignment="1">
      <alignment horizontal="center" vertical="center" textRotation="180"/>
    </xf>
    <xf numFmtId="0" fontId="33" fillId="55" borderId="0" xfId="0" applyFont="1" applyFill="1" applyBorder="1" applyAlignment="1">
      <alignment horizontal="center" vertical="center" textRotation="180"/>
    </xf>
  </cellXfs>
  <cellStyles count="109">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ід" xfId="64"/>
    <cellStyle name="Ввод " xfId="65"/>
    <cellStyle name="Вывод" xfId="66"/>
    <cellStyle name="Вычисление" xfId="67"/>
    <cellStyle name="Hyperlink" xfId="68"/>
    <cellStyle name="Currency" xfId="69"/>
    <cellStyle name="Currency [0]" xfId="70"/>
    <cellStyle name="Добре" xfId="71"/>
    <cellStyle name="Заголовок 1" xfId="72"/>
    <cellStyle name="Заголовок 2" xfId="73"/>
    <cellStyle name="Заголовок 3" xfId="74"/>
    <cellStyle name="Заголовок 4" xfId="75"/>
    <cellStyle name="Звичайний 10" xfId="76"/>
    <cellStyle name="Звичайний 11" xfId="77"/>
    <cellStyle name="Звичайний 12" xfId="78"/>
    <cellStyle name="Звичайний 13" xfId="79"/>
    <cellStyle name="Звичайний 14" xfId="80"/>
    <cellStyle name="Звичайний 15" xfId="81"/>
    <cellStyle name="Звичайний 16" xfId="82"/>
    <cellStyle name="Звичайний 17" xfId="83"/>
    <cellStyle name="Звичайний 18" xfId="84"/>
    <cellStyle name="Звичайний 19" xfId="85"/>
    <cellStyle name="Звичайний 2" xfId="86"/>
    <cellStyle name="Звичайний 20" xfId="87"/>
    <cellStyle name="Звичайний 3" xfId="88"/>
    <cellStyle name="Звичайний 4" xfId="89"/>
    <cellStyle name="Звичайний 5" xfId="90"/>
    <cellStyle name="Звичайний 6" xfId="91"/>
    <cellStyle name="Звичайний 7" xfId="92"/>
    <cellStyle name="Звичайний 8" xfId="93"/>
    <cellStyle name="Звичайний 9" xfId="94"/>
    <cellStyle name="Звичайний_Додаток _ 3 зм_ни 4575" xfId="95"/>
    <cellStyle name="Зв'язана клітинка" xfId="96"/>
    <cellStyle name="Итог" xfId="97"/>
    <cellStyle name="Контрольна клітинка" xfId="98"/>
    <cellStyle name="Контрольная ячейка" xfId="99"/>
    <cellStyle name="Назва" xfId="100"/>
    <cellStyle name="Название" xfId="101"/>
    <cellStyle name="Нейтральный" xfId="102"/>
    <cellStyle name="Обчислення" xfId="103"/>
    <cellStyle name="Обычный 2" xfId="104"/>
    <cellStyle name="Followed Hyperlink" xfId="105"/>
    <cellStyle name="Підсумок" xfId="106"/>
    <cellStyle name="Плохой" xfId="107"/>
    <cellStyle name="Поганий" xfId="108"/>
    <cellStyle name="Пояснение" xfId="109"/>
    <cellStyle name="Примечание" xfId="110"/>
    <cellStyle name="Примітка" xfId="111"/>
    <cellStyle name="Percent" xfId="112"/>
    <cellStyle name="Результат" xfId="113"/>
    <cellStyle name="Связанная ячейка" xfId="114"/>
    <cellStyle name="Середній" xfId="115"/>
    <cellStyle name="Стиль 1" xfId="116"/>
    <cellStyle name="Текст попередження" xfId="117"/>
    <cellStyle name="Текст пояснення" xfId="118"/>
    <cellStyle name="Текст предупреждения" xfId="119"/>
    <cellStyle name="Comma" xfId="120"/>
    <cellStyle name="Comma [0]" xfId="121"/>
    <cellStyle name="Хороший" xfId="1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355"/>
  <sheetViews>
    <sheetView showGridLines="0" tabSelected="1" view="pageBreakPreview" zoomScale="50" zoomScaleNormal="70" zoomScaleSheetLayoutView="50" zoomScalePageLayoutView="0" workbookViewId="0" topLeftCell="E309">
      <selection activeCell="L243" sqref="L243:L260"/>
    </sheetView>
  </sheetViews>
  <sheetFormatPr defaultColWidth="9.16015625" defaultRowHeight="12.75"/>
  <cols>
    <col min="1" max="1" width="17.16015625" style="1" customWidth="1"/>
    <col min="2" max="2" width="18" style="1" customWidth="1"/>
    <col min="3" max="3" width="19.66015625" style="1" customWidth="1"/>
    <col min="4" max="4" width="51.5" style="2" customWidth="1"/>
    <col min="5" max="5" width="59" style="2" customWidth="1"/>
    <col min="6" max="6" width="20.83203125" style="2" customWidth="1"/>
    <col min="7" max="7" width="19.33203125" style="2" customWidth="1"/>
    <col min="8" max="8" width="18" style="2" customWidth="1"/>
    <col min="9" max="9" width="22.16015625" style="2" customWidth="1"/>
    <col min="10" max="10" width="22.5" style="93" customWidth="1"/>
    <col min="11" max="11" width="25.16015625" style="6" customWidth="1"/>
    <col min="12" max="12" width="10.16015625" style="97" bestFit="1" customWidth="1"/>
    <col min="13" max="16384" width="9.16015625" style="3" customWidth="1"/>
  </cols>
  <sheetData>
    <row r="1" spans="8:12" ht="30.75" customHeight="1">
      <c r="H1" s="118" t="s">
        <v>421</v>
      </c>
      <c r="I1" s="118"/>
      <c r="J1" s="118"/>
      <c r="K1" s="118"/>
      <c r="L1" s="119">
        <v>26</v>
      </c>
    </row>
    <row r="2" spans="8:12" ht="30">
      <c r="H2" s="118" t="s">
        <v>420</v>
      </c>
      <c r="I2" s="118"/>
      <c r="J2" s="118"/>
      <c r="K2" s="118"/>
      <c r="L2" s="119"/>
    </row>
    <row r="3" spans="8:16" ht="30">
      <c r="H3" s="118" t="s">
        <v>422</v>
      </c>
      <c r="I3" s="118"/>
      <c r="J3" s="118"/>
      <c r="K3" s="118"/>
      <c r="L3" s="119"/>
      <c r="M3" s="4"/>
      <c r="N3" s="4"/>
      <c r="O3" s="4"/>
      <c r="P3" s="4"/>
    </row>
    <row r="4" spans="8:16" ht="27.75">
      <c r="H4" s="107"/>
      <c r="I4" s="107"/>
      <c r="J4" s="107"/>
      <c r="K4" s="107"/>
      <c r="L4" s="119"/>
      <c r="M4" s="4"/>
      <c r="N4" s="4"/>
      <c r="O4" s="4"/>
      <c r="P4" s="4"/>
    </row>
    <row r="5" spans="8:16" ht="27.75">
      <c r="H5" s="111"/>
      <c r="I5" s="111"/>
      <c r="J5" s="111"/>
      <c r="K5" s="111"/>
      <c r="L5" s="119"/>
      <c r="M5" s="4"/>
      <c r="N5" s="4"/>
      <c r="O5" s="4"/>
      <c r="P5" s="4"/>
    </row>
    <row r="6" spans="10:16" ht="24" customHeight="1">
      <c r="J6" s="5"/>
      <c r="L6" s="119"/>
      <c r="M6" s="4"/>
      <c r="N6" s="4"/>
      <c r="O6" s="4"/>
      <c r="P6" s="4"/>
    </row>
    <row r="7" spans="10:16" ht="15">
      <c r="J7" s="5"/>
      <c r="L7" s="119"/>
      <c r="M7" s="7"/>
      <c r="N7" s="7"/>
      <c r="O7" s="7"/>
      <c r="P7" s="7"/>
    </row>
    <row r="8" spans="10:16" ht="15">
      <c r="J8" s="5"/>
      <c r="L8" s="119"/>
      <c r="M8" s="7"/>
      <c r="N8" s="7"/>
      <c r="O8" s="7"/>
      <c r="P8" s="7"/>
    </row>
    <row r="9" spans="1:16" ht="37.5" customHeight="1">
      <c r="A9" s="116" t="s">
        <v>247</v>
      </c>
      <c r="B9" s="116"/>
      <c r="C9" s="116"/>
      <c r="D9" s="116"/>
      <c r="E9" s="116"/>
      <c r="F9" s="116"/>
      <c r="G9" s="116"/>
      <c r="H9" s="116"/>
      <c r="I9" s="116"/>
      <c r="J9" s="116"/>
      <c r="K9" s="116"/>
      <c r="L9" s="119"/>
      <c r="M9" s="4"/>
      <c r="N9" s="4"/>
      <c r="O9" s="4"/>
      <c r="P9" s="4"/>
    </row>
    <row r="10" spans="4:16" ht="15">
      <c r="D10" s="8"/>
      <c r="E10" s="8"/>
      <c r="F10" s="8"/>
      <c r="G10" s="8"/>
      <c r="H10" s="8"/>
      <c r="J10" s="5"/>
      <c r="L10" s="119"/>
      <c r="M10" s="4"/>
      <c r="N10" s="4"/>
      <c r="O10" s="4"/>
      <c r="P10" s="4"/>
    </row>
    <row r="11" spans="4:12" ht="18">
      <c r="D11" s="9"/>
      <c r="E11" s="10"/>
      <c r="F11" s="10"/>
      <c r="G11" s="10"/>
      <c r="H11" s="10"/>
      <c r="I11" s="11"/>
      <c r="J11" s="5"/>
      <c r="K11" s="12" t="s">
        <v>277</v>
      </c>
      <c r="L11" s="119"/>
    </row>
    <row r="12" spans="1:12" ht="45" customHeight="1">
      <c r="A12" s="112" t="s">
        <v>177</v>
      </c>
      <c r="B12" s="112" t="s">
        <v>248</v>
      </c>
      <c r="C12" s="112" t="s">
        <v>119</v>
      </c>
      <c r="D12" s="112" t="s">
        <v>193</v>
      </c>
      <c r="E12" s="113" t="s">
        <v>194</v>
      </c>
      <c r="F12" s="112" t="s">
        <v>179</v>
      </c>
      <c r="G12" s="112" t="s">
        <v>180</v>
      </c>
      <c r="H12" s="112" t="s">
        <v>181</v>
      </c>
      <c r="I12" s="112" t="s">
        <v>182</v>
      </c>
      <c r="J12" s="114" t="s">
        <v>275</v>
      </c>
      <c r="K12" s="114" t="s">
        <v>276</v>
      </c>
      <c r="L12" s="119"/>
    </row>
    <row r="13" spans="1:12" ht="89.25" customHeight="1">
      <c r="A13" s="112"/>
      <c r="B13" s="112"/>
      <c r="C13" s="112"/>
      <c r="D13" s="112"/>
      <c r="E13" s="113"/>
      <c r="F13" s="112"/>
      <c r="G13" s="112"/>
      <c r="H13" s="112"/>
      <c r="I13" s="112"/>
      <c r="J13" s="114"/>
      <c r="K13" s="114"/>
      <c r="L13" s="119"/>
    </row>
    <row r="14" spans="1:12" ht="15">
      <c r="A14" s="108">
        <v>1</v>
      </c>
      <c r="B14" s="108">
        <v>2</v>
      </c>
      <c r="C14" s="108">
        <v>3</v>
      </c>
      <c r="D14" s="108">
        <v>4</v>
      </c>
      <c r="E14" s="109">
        <v>5</v>
      </c>
      <c r="F14" s="108">
        <v>6</v>
      </c>
      <c r="G14" s="108">
        <v>7</v>
      </c>
      <c r="H14" s="108">
        <v>8</v>
      </c>
      <c r="I14" s="108">
        <v>9</v>
      </c>
      <c r="J14" s="108">
        <v>10</v>
      </c>
      <c r="K14" s="108">
        <v>11</v>
      </c>
      <c r="L14" s="119"/>
    </row>
    <row r="15" spans="1:12" s="17" customFormat="1" ht="25.5" customHeight="1">
      <c r="A15" s="13" t="s">
        <v>6</v>
      </c>
      <c r="B15" s="14"/>
      <c r="C15" s="14"/>
      <c r="D15" s="15" t="s">
        <v>101</v>
      </c>
      <c r="E15" s="15"/>
      <c r="F15" s="15"/>
      <c r="G15" s="15"/>
      <c r="H15" s="15"/>
      <c r="I15" s="16">
        <f>I16</f>
        <v>60198875</v>
      </c>
      <c r="J15" s="16">
        <f>J16</f>
        <v>0</v>
      </c>
      <c r="K15" s="16">
        <f>K16</f>
        <v>60198875</v>
      </c>
      <c r="L15" s="119"/>
    </row>
    <row r="16" spans="1:12" s="22" customFormat="1" ht="24" customHeight="1">
      <c r="A16" s="18" t="s">
        <v>7</v>
      </c>
      <c r="B16" s="19"/>
      <c r="C16" s="19"/>
      <c r="D16" s="20" t="s">
        <v>101</v>
      </c>
      <c r="E16" s="20"/>
      <c r="F16" s="20"/>
      <c r="G16" s="20"/>
      <c r="H16" s="20"/>
      <c r="I16" s="21">
        <f>I17+I20+I23+I25+I27+I29+I32+I34+I18+I28+I33+I38</f>
        <v>60198875</v>
      </c>
      <c r="J16" s="21">
        <f>J17+J20+J23+J25+J27+J29+J32+J34+J18+J28+J33+J38</f>
        <v>0</v>
      </c>
      <c r="K16" s="21">
        <f>K17+K20+K23+K25+K27+K29+K32+K34+K18+K28+K33+K38</f>
        <v>60198875</v>
      </c>
      <c r="L16" s="119"/>
    </row>
    <row r="17" spans="1:12" s="17" customFormat="1" ht="39" customHeight="1">
      <c r="A17" s="14" t="s">
        <v>8</v>
      </c>
      <c r="B17" s="14" t="s">
        <v>117</v>
      </c>
      <c r="C17" s="14" t="s">
        <v>118</v>
      </c>
      <c r="D17" s="23" t="s">
        <v>278</v>
      </c>
      <c r="E17" s="23"/>
      <c r="F17" s="23"/>
      <c r="G17" s="23"/>
      <c r="H17" s="23"/>
      <c r="I17" s="24">
        <f>2000000+2500000-635300+500000+400000+5830</f>
        <v>4770530</v>
      </c>
      <c r="J17" s="24"/>
      <c r="K17" s="24">
        <f>I17+J17</f>
        <v>4770530</v>
      </c>
      <c r="L17" s="119"/>
    </row>
    <row r="18" spans="1:12" s="17" customFormat="1" ht="23.25" customHeight="1">
      <c r="A18" s="14" t="s">
        <v>9</v>
      </c>
      <c r="B18" s="14" t="s">
        <v>175</v>
      </c>
      <c r="C18" s="14" t="s">
        <v>174</v>
      </c>
      <c r="D18" s="25" t="s">
        <v>0</v>
      </c>
      <c r="E18" s="25"/>
      <c r="F18" s="23"/>
      <c r="G18" s="23"/>
      <c r="H18" s="23"/>
      <c r="I18" s="24">
        <f>I19</f>
        <v>10000</v>
      </c>
      <c r="J18" s="24">
        <f>J19</f>
        <v>0</v>
      </c>
      <c r="K18" s="24">
        <f>K19</f>
        <v>10000</v>
      </c>
      <c r="L18" s="119"/>
    </row>
    <row r="19" spans="1:12" s="22" customFormat="1" ht="48" customHeight="1">
      <c r="A19" s="19" t="s">
        <v>9</v>
      </c>
      <c r="B19" s="19" t="s">
        <v>175</v>
      </c>
      <c r="C19" s="19" t="s">
        <v>174</v>
      </c>
      <c r="D19" s="26" t="s">
        <v>343</v>
      </c>
      <c r="E19" s="26"/>
      <c r="F19" s="26"/>
      <c r="G19" s="26"/>
      <c r="H19" s="26"/>
      <c r="I19" s="27">
        <v>10000</v>
      </c>
      <c r="J19" s="28"/>
      <c r="K19" s="27">
        <f aca="true" t="shared" si="0" ref="K19:K87">I19+J19</f>
        <v>10000</v>
      </c>
      <c r="L19" s="119"/>
    </row>
    <row r="20" spans="1:12" s="17" customFormat="1" ht="24" customHeight="1">
      <c r="A20" s="14" t="s">
        <v>11</v>
      </c>
      <c r="B20" s="14" t="s">
        <v>150</v>
      </c>
      <c r="C20" s="14" t="s">
        <v>151</v>
      </c>
      <c r="D20" s="23" t="s">
        <v>10</v>
      </c>
      <c r="E20" s="23"/>
      <c r="F20" s="23"/>
      <c r="G20" s="23"/>
      <c r="H20" s="23"/>
      <c r="I20" s="24">
        <f>I21+I22</f>
        <v>122000</v>
      </c>
      <c r="J20" s="24">
        <f>J21+J22</f>
        <v>0</v>
      </c>
      <c r="K20" s="24">
        <f>K21+K22</f>
        <v>122000</v>
      </c>
      <c r="L20" s="119"/>
    </row>
    <row r="21" spans="1:12" s="17" customFormat="1" ht="45" customHeight="1">
      <c r="A21" s="19" t="s">
        <v>11</v>
      </c>
      <c r="B21" s="19" t="s">
        <v>150</v>
      </c>
      <c r="C21" s="29" t="s">
        <v>151</v>
      </c>
      <c r="D21" s="30" t="s">
        <v>301</v>
      </c>
      <c r="E21" s="30"/>
      <c r="F21" s="30"/>
      <c r="G21" s="30"/>
      <c r="H21" s="30"/>
      <c r="I21" s="31">
        <f>80000+22000</f>
        <v>102000</v>
      </c>
      <c r="J21" s="31"/>
      <c r="K21" s="27">
        <f t="shared" si="0"/>
        <v>102000</v>
      </c>
      <c r="L21" s="119"/>
    </row>
    <row r="22" spans="1:12" s="17" customFormat="1" ht="57" customHeight="1">
      <c r="A22" s="19" t="s">
        <v>11</v>
      </c>
      <c r="B22" s="19" t="s">
        <v>150</v>
      </c>
      <c r="C22" s="29" t="s">
        <v>151</v>
      </c>
      <c r="D22" s="30" t="s">
        <v>302</v>
      </c>
      <c r="E22" s="30"/>
      <c r="F22" s="30"/>
      <c r="G22" s="30"/>
      <c r="H22" s="30"/>
      <c r="I22" s="31">
        <v>20000</v>
      </c>
      <c r="J22" s="32"/>
      <c r="K22" s="27">
        <f t="shared" si="0"/>
        <v>20000</v>
      </c>
      <c r="L22" s="119"/>
    </row>
    <row r="23" spans="1:12" s="17" customFormat="1" ht="27.75" customHeight="1">
      <c r="A23" s="33" t="s">
        <v>251</v>
      </c>
      <c r="B23" s="33" t="s">
        <v>250</v>
      </c>
      <c r="C23" s="33"/>
      <c r="D23" s="23" t="s">
        <v>252</v>
      </c>
      <c r="E23" s="23"/>
      <c r="F23" s="23"/>
      <c r="G23" s="23"/>
      <c r="H23" s="23"/>
      <c r="I23" s="24">
        <f>I24</f>
        <v>249000</v>
      </c>
      <c r="J23" s="24">
        <f>J24</f>
        <v>0</v>
      </c>
      <c r="K23" s="24">
        <f>K24</f>
        <v>249000</v>
      </c>
      <c r="L23" s="119"/>
    </row>
    <row r="24" spans="1:12" s="22" customFormat="1" ht="45" customHeight="1">
      <c r="A24" s="29" t="s">
        <v>254</v>
      </c>
      <c r="B24" s="29" t="s">
        <v>253</v>
      </c>
      <c r="C24" s="29" t="s">
        <v>152</v>
      </c>
      <c r="D24" s="26" t="s">
        <v>12</v>
      </c>
      <c r="E24" s="26"/>
      <c r="F24" s="26"/>
      <c r="G24" s="26"/>
      <c r="H24" s="26"/>
      <c r="I24" s="31">
        <f>239000+10000</f>
        <v>249000</v>
      </c>
      <c r="J24" s="31"/>
      <c r="K24" s="27">
        <f t="shared" si="0"/>
        <v>249000</v>
      </c>
      <c r="L24" s="119"/>
    </row>
    <row r="25" spans="1:12" s="22" customFormat="1" ht="23.25" customHeight="1">
      <c r="A25" s="33" t="s">
        <v>13</v>
      </c>
      <c r="B25" s="33" t="s">
        <v>153</v>
      </c>
      <c r="C25" s="33"/>
      <c r="D25" s="23" t="s">
        <v>255</v>
      </c>
      <c r="E25" s="23"/>
      <c r="F25" s="23"/>
      <c r="G25" s="23"/>
      <c r="H25" s="23"/>
      <c r="I25" s="34">
        <f>I26</f>
        <v>39000</v>
      </c>
      <c r="J25" s="34">
        <f>J26</f>
        <v>0</v>
      </c>
      <c r="K25" s="34">
        <f>K26</f>
        <v>39000</v>
      </c>
      <c r="L25" s="119"/>
    </row>
    <row r="26" spans="1:12" s="22" customFormat="1" ht="78" customHeight="1">
      <c r="A26" s="29" t="s">
        <v>256</v>
      </c>
      <c r="B26" s="29" t="s">
        <v>257</v>
      </c>
      <c r="C26" s="29" t="s">
        <v>152</v>
      </c>
      <c r="D26" s="26" t="s">
        <v>258</v>
      </c>
      <c r="E26" s="26"/>
      <c r="F26" s="26"/>
      <c r="G26" s="26"/>
      <c r="H26" s="26"/>
      <c r="I26" s="31">
        <v>39000</v>
      </c>
      <c r="J26" s="32"/>
      <c r="K26" s="27">
        <f t="shared" si="0"/>
        <v>39000</v>
      </c>
      <c r="L26" s="119"/>
    </row>
    <row r="27" spans="1:12" s="17" customFormat="1" ht="26.25" customHeight="1">
      <c r="A27" s="33" t="s">
        <v>15</v>
      </c>
      <c r="B27" s="33" t="s">
        <v>159</v>
      </c>
      <c r="C27" s="33" t="s">
        <v>160</v>
      </c>
      <c r="D27" s="23" t="s">
        <v>2</v>
      </c>
      <c r="E27" s="23"/>
      <c r="F27" s="23"/>
      <c r="G27" s="23"/>
      <c r="H27" s="23"/>
      <c r="I27" s="24">
        <f>2000000-565600</f>
        <v>1434400</v>
      </c>
      <c r="J27" s="24"/>
      <c r="K27" s="24">
        <f t="shared" si="0"/>
        <v>1434400</v>
      </c>
      <c r="L27" s="119"/>
    </row>
    <row r="28" spans="1:12" s="17" customFormat="1" ht="39" customHeight="1">
      <c r="A28" s="33" t="s">
        <v>17</v>
      </c>
      <c r="B28" s="33" t="s">
        <v>163</v>
      </c>
      <c r="C28" s="33" t="s">
        <v>164</v>
      </c>
      <c r="D28" s="35" t="s">
        <v>16</v>
      </c>
      <c r="E28" s="35"/>
      <c r="F28" s="23"/>
      <c r="G28" s="23"/>
      <c r="H28" s="23"/>
      <c r="I28" s="24">
        <v>32000</v>
      </c>
      <c r="J28" s="36"/>
      <c r="K28" s="24">
        <f t="shared" si="0"/>
        <v>32000</v>
      </c>
      <c r="L28" s="120">
        <v>27</v>
      </c>
    </row>
    <row r="29" spans="1:12" s="17" customFormat="1" ht="49.5" customHeight="1">
      <c r="A29" s="33" t="s">
        <v>19</v>
      </c>
      <c r="B29" s="33" t="s">
        <v>165</v>
      </c>
      <c r="C29" s="33" t="s">
        <v>155</v>
      </c>
      <c r="D29" s="23" t="s">
        <v>18</v>
      </c>
      <c r="E29" s="23"/>
      <c r="F29" s="23"/>
      <c r="G29" s="23"/>
      <c r="H29" s="23"/>
      <c r="I29" s="24">
        <f>I30+I31</f>
        <v>47925600</v>
      </c>
      <c r="J29" s="24">
        <f>J30+J31</f>
        <v>0</v>
      </c>
      <c r="K29" s="24">
        <f>K30+K31</f>
        <v>47925600</v>
      </c>
      <c r="L29" s="120"/>
    </row>
    <row r="30" spans="1:12" s="17" customFormat="1" ht="30" customHeight="1">
      <c r="A30" s="33"/>
      <c r="B30" s="33"/>
      <c r="C30" s="33"/>
      <c r="D30" s="23"/>
      <c r="E30" s="23" t="s">
        <v>184</v>
      </c>
      <c r="F30" s="23"/>
      <c r="G30" s="23"/>
      <c r="H30" s="23"/>
      <c r="I30" s="24">
        <f>9100000+20000000+14269600</f>
        <v>43369600</v>
      </c>
      <c r="J30" s="24"/>
      <c r="K30" s="24">
        <f t="shared" si="0"/>
        <v>43369600</v>
      </c>
      <c r="L30" s="120"/>
    </row>
    <row r="31" spans="1:12" s="17" customFormat="1" ht="24.75" customHeight="1">
      <c r="A31" s="33"/>
      <c r="B31" s="33"/>
      <c r="C31" s="33"/>
      <c r="D31" s="23"/>
      <c r="E31" s="23" t="s">
        <v>271</v>
      </c>
      <c r="F31" s="23"/>
      <c r="G31" s="23"/>
      <c r="H31" s="23"/>
      <c r="I31" s="24">
        <f>1082000+3474000</f>
        <v>4556000</v>
      </c>
      <c r="J31" s="24"/>
      <c r="K31" s="24">
        <f t="shared" si="0"/>
        <v>4556000</v>
      </c>
      <c r="L31" s="120"/>
    </row>
    <row r="32" spans="1:12" s="17" customFormat="1" ht="54.75" customHeight="1">
      <c r="A32" s="33" t="s">
        <v>21</v>
      </c>
      <c r="B32" s="33" t="s">
        <v>166</v>
      </c>
      <c r="C32" s="33" t="s">
        <v>167</v>
      </c>
      <c r="D32" s="23" t="s">
        <v>20</v>
      </c>
      <c r="E32" s="23"/>
      <c r="F32" s="23"/>
      <c r="G32" s="23"/>
      <c r="H32" s="23"/>
      <c r="I32" s="24">
        <v>385000</v>
      </c>
      <c r="J32" s="36"/>
      <c r="K32" s="24">
        <f t="shared" si="0"/>
        <v>385000</v>
      </c>
      <c r="L32" s="120"/>
    </row>
    <row r="33" spans="1:12" s="40" customFormat="1" ht="63" customHeight="1">
      <c r="A33" s="37" t="s">
        <v>305</v>
      </c>
      <c r="B33" s="37" t="s">
        <v>306</v>
      </c>
      <c r="C33" s="37" t="s">
        <v>117</v>
      </c>
      <c r="D33" s="38" t="s">
        <v>307</v>
      </c>
      <c r="E33" s="38"/>
      <c r="F33" s="38"/>
      <c r="G33" s="38"/>
      <c r="H33" s="38"/>
      <c r="I33" s="39">
        <f>1320000+570427</f>
        <v>1890427</v>
      </c>
      <c r="J33" s="39"/>
      <c r="K33" s="39">
        <f t="shared" si="0"/>
        <v>1890427</v>
      </c>
      <c r="L33" s="120"/>
    </row>
    <row r="34" spans="1:12" s="17" customFormat="1" ht="25.5" customHeight="1">
      <c r="A34" s="33" t="s">
        <v>22</v>
      </c>
      <c r="B34" s="33" t="s">
        <v>169</v>
      </c>
      <c r="C34" s="33" t="s">
        <v>168</v>
      </c>
      <c r="D34" s="23" t="s">
        <v>0</v>
      </c>
      <c r="E34" s="23"/>
      <c r="F34" s="23"/>
      <c r="G34" s="23"/>
      <c r="H34" s="23"/>
      <c r="I34" s="24">
        <f>I36+I35+I37</f>
        <v>3286718</v>
      </c>
      <c r="J34" s="24">
        <f>J36+J35+J37</f>
        <v>0</v>
      </c>
      <c r="K34" s="24">
        <f>K36+K35+K37</f>
        <v>3286718</v>
      </c>
      <c r="L34" s="120"/>
    </row>
    <row r="35" spans="1:12" s="22" customFormat="1" ht="60" customHeight="1">
      <c r="A35" s="29" t="s">
        <v>22</v>
      </c>
      <c r="B35" s="29" t="s">
        <v>169</v>
      </c>
      <c r="C35" s="29" t="s">
        <v>272</v>
      </c>
      <c r="D35" s="41" t="s">
        <v>273</v>
      </c>
      <c r="E35" s="26"/>
      <c r="F35" s="26"/>
      <c r="G35" s="26"/>
      <c r="H35" s="26"/>
      <c r="I35" s="27">
        <f>90000+2993718</f>
        <v>3083718</v>
      </c>
      <c r="J35" s="31"/>
      <c r="K35" s="27">
        <f t="shared" si="0"/>
        <v>3083718</v>
      </c>
      <c r="L35" s="120"/>
    </row>
    <row r="36" spans="1:12" s="17" customFormat="1" ht="57" customHeight="1">
      <c r="A36" s="29" t="s">
        <v>22</v>
      </c>
      <c r="B36" s="29" t="s">
        <v>169</v>
      </c>
      <c r="C36" s="29" t="s">
        <v>168</v>
      </c>
      <c r="D36" s="41" t="s">
        <v>102</v>
      </c>
      <c r="E36" s="41"/>
      <c r="F36" s="41"/>
      <c r="G36" s="41"/>
      <c r="H36" s="41"/>
      <c r="I36" s="27">
        <v>26000</v>
      </c>
      <c r="J36" s="32"/>
      <c r="K36" s="27">
        <f t="shared" si="0"/>
        <v>26000</v>
      </c>
      <c r="L36" s="120"/>
    </row>
    <row r="37" spans="1:12" s="17" customFormat="1" ht="45" customHeight="1">
      <c r="A37" s="29" t="s">
        <v>22</v>
      </c>
      <c r="B37" s="29" t="s">
        <v>169</v>
      </c>
      <c r="C37" s="29" t="s">
        <v>168</v>
      </c>
      <c r="D37" s="41" t="s">
        <v>317</v>
      </c>
      <c r="E37" s="41"/>
      <c r="F37" s="41"/>
      <c r="G37" s="41"/>
      <c r="H37" s="41"/>
      <c r="I37" s="27">
        <v>177000</v>
      </c>
      <c r="J37" s="31"/>
      <c r="K37" s="27">
        <f t="shared" si="0"/>
        <v>177000</v>
      </c>
      <c r="L37" s="120"/>
    </row>
    <row r="38" spans="1:12" s="17" customFormat="1" ht="24.75" customHeight="1">
      <c r="A38" s="37" t="s">
        <v>408</v>
      </c>
      <c r="B38" s="47">
        <v>8800</v>
      </c>
      <c r="C38" s="14" t="s">
        <v>117</v>
      </c>
      <c r="D38" s="56" t="s">
        <v>4</v>
      </c>
      <c r="E38" s="41"/>
      <c r="F38" s="41"/>
      <c r="G38" s="41"/>
      <c r="H38" s="41"/>
      <c r="I38" s="39">
        <f>I39</f>
        <v>54200</v>
      </c>
      <c r="J38" s="39">
        <f>J39</f>
        <v>0</v>
      </c>
      <c r="K38" s="39">
        <f>K39</f>
        <v>54200</v>
      </c>
      <c r="L38" s="120"/>
    </row>
    <row r="39" spans="1:12" s="17" customFormat="1" ht="120.75" customHeight="1">
      <c r="A39" s="29" t="s">
        <v>408</v>
      </c>
      <c r="B39" s="49">
        <v>8800</v>
      </c>
      <c r="C39" s="29" t="s">
        <v>117</v>
      </c>
      <c r="D39" s="57" t="s">
        <v>409</v>
      </c>
      <c r="E39" s="41"/>
      <c r="F39" s="41"/>
      <c r="G39" s="41"/>
      <c r="H39" s="41"/>
      <c r="I39" s="27">
        <v>54200</v>
      </c>
      <c r="J39" s="31"/>
      <c r="K39" s="27">
        <f t="shared" si="0"/>
        <v>54200</v>
      </c>
      <c r="L39" s="120"/>
    </row>
    <row r="40" spans="1:12" s="17" customFormat="1" ht="39" customHeight="1">
      <c r="A40" s="42" t="s">
        <v>31</v>
      </c>
      <c r="B40" s="33"/>
      <c r="C40" s="33"/>
      <c r="D40" s="43" t="s">
        <v>23</v>
      </c>
      <c r="E40" s="43"/>
      <c r="F40" s="43"/>
      <c r="G40" s="43"/>
      <c r="H40" s="43"/>
      <c r="I40" s="16">
        <f>I41</f>
        <v>24272189</v>
      </c>
      <c r="J40" s="16">
        <f>J41</f>
        <v>0</v>
      </c>
      <c r="K40" s="16">
        <f>K41</f>
        <v>24272189</v>
      </c>
      <c r="L40" s="120"/>
    </row>
    <row r="41" spans="1:12" s="22" customFormat="1" ht="37.5" customHeight="1">
      <c r="A41" s="44" t="s">
        <v>183</v>
      </c>
      <c r="B41" s="29"/>
      <c r="C41" s="29"/>
      <c r="D41" s="45" t="s">
        <v>23</v>
      </c>
      <c r="E41" s="45"/>
      <c r="F41" s="45"/>
      <c r="G41" s="45"/>
      <c r="H41" s="45"/>
      <c r="I41" s="21">
        <f>I42+I43+I44+I45+I46+I48+I49+I50+I51+I47</f>
        <v>24272189</v>
      </c>
      <c r="J41" s="21">
        <f>J42+J43+J44+J45+J46+J48+J49+J50+J51+J47</f>
        <v>0</v>
      </c>
      <c r="K41" s="21">
        <f>K42+K43+K44+K45+K46+K48+K49+K50+K51+K47</f>
        <v>24272189</v>
      </c>
      <c r="L41" s="120"/>
    </row>
    <row r="42" spans="1:12" s="17" customFormat="1" ht="40.5" customHeight="1">
      <c r="A42" s="14" t="s">
        <v>32</v>
      </c>
      <c r="B42" s="14" t="s">
        <v>117</v>
      </c>
      <c r="C42" s="14" t="s">
        <v>118</v>
      </c>
      <c r="D42" s="23" t="s">
        <v>278</v>
      </c>
      <c r="E42" s="23"/>
      <c r="F42" s="23"/>
      <c r="G42" s="23"/>
      <c r="H42" s="23"/>
      <c r="I42" s="24">
        <f>26000-6500-3500</f>
        <v>16000</v>
      </c>
      <c r="J42" s="24"/>
      <c r="K42" s="24">
        <f t="shared" si="0"/>
        <v>16000</v>
      </c>
      <c r="L42" s="120"/>
    </row>
    <row r="43" spans="1:12" s="17" customFormat="1" ht="25.5" customHeight="1">
      <c r="A43" s="14" t="s">
        <v>33</v>
      </c>
      <c r="B43" s="14" t="s">
        <v>120</v>
      </c>
      <c r="C43" s="14" t="s">
        <v>121</v>
      </c>
      <c r="D43" s="23" t="s">
        <v>24</v>
      </c>
      <c r="E43" s="23"/>
      <c r="F43" s="23"/>
      <c r="G43" s="23"/>
      <c r="H43" s="23"/>
      <c r="I43" s="24">
        <f>4227000+46000+188000+188000+128575+653432</f>
        <v>5431007</v>
      </c>
      <c r="J43" s="24"/>
      <c r="K43" s="24">
        <f t="shared" si="0"/>
        <v>5431007</v>
      </c>
      <c r="L43" s="120"/>
    </row>
    <row r="44" spans="1:12" s="17" customFormat="1" ht="84" customHeight="1">
      <c r="A44" s="14" t="s">
        <v>34</v>
      </c>
      <c r="B44" s="14" t="s">
        <v>122</v>
      </c>
      <c r="C44" s="14" t="s">
        <v>123</v>
      </c>
      <c r="D44" s="23" t="s">
        <v>25</v>
      </c>
      <c r="E44" s="23"/>
      <c r="F44" s="23"/>
      <c r="G44" s="23"/>
      <c r="H44" s="23"/>
      <c r="I44" s="24">
        <f>6800000+11000+500000+50000+1271434+571588+3900000</f>
        <v>13104022</v>
      </c>
      <c r="J44" s="24"/>
      <c r="K44" s="24">
        <f t="shared" si="0"/>
        <v>13104022</v>
      </c>
      <c r="L44" s="120"/>
    </row>
    <row r="45" spans="1:12" s="17" customFormat="1" ht="90" customHeight="1">
      <c r="A45" s="14" t="s">
        <v>35</v>
      </c>
      <c r="B45" s="14" t="s">
        <v>124</v>
      </c>
      <c r="C45" s="14" t="s">
        <v>125</v>
      </c>
      <c r="D45" s="23" t="s">
        <v>26</v>
      </c>
      <c r="E45" s="23"/>
      <c r="F45" s="23"/>
      <c r="G45" s="23"/>
      <c r="H45" s="23"/>
      <c r="I45" s="24">
        <v>150000</v>
      </c>
      <c r="J45" s="24"/>
      <c r="K45" s="24">
        <f t="shared" si="0"/>
        <v>150000</v>
      </c>
      <c r="L45" s="120"/>
    </row>
    <row r="46" spans="1:12" s="17" customFormat="1" ht="57" customHeight="1">
      <c r="A46" s="14" t="s">
        <v>36</v>
      </c>
      <c r="B46" s="14" t="s">
        <v>126</v>
      </c>
      <c r="C46" s="14" t="s">
        <v>127</v>
      </c>
      <c r="D46" s="23" t="s">
        <v>27</v>
      </c>
      <c r="E46" s="23"/>
      <c r="F46" s="23"/>
      <c r="G46" s="23"/>
      <c r="H46" s="23"/>
      <c r="I46" s="24">
        <v>600000</v>
      </c>
      <c r="J46" s="36"/>
      <c r="K46" s="24">
        <f t="shared" si="0"/>
        <v>600000</v>
      </c>
      <c r="L46" s="120">
        <v>28</v>
      </c>
    </row>
    <row r="47" spans="1:12" s="17" customFormat="1" ht="39" customHeight="1">
      <c r="A47" s="46" t="s">
        <v>385</v>
      </c>
      <c r="B47" s="46" t="s">
        <v>386</v>
      </c>
      <c r="C47" s="46" t="s">
        <v>387</v>
      </c>
      <c r="D47" s="38" t="s">
        <v>388</v>
      </c>
      <c r="E47" s="23"/>
      <c r="F47" s="23"/>
      <c r="G47" s="23"/>
      <c r="H47" s="23"/>
      <c r="I47" s="24">
        <v>330000</v>
      </c>
      <c r="J47" s="24"/>
      <c r="K47" s="24">
        <f t="shared" si="0"/>
        <v>330000</v>
      </c>
      <c r="L47" s="120"/>
    </row>
    <row r="48" spans="1:12" s="17" customFormat="1" ht="42.75" customHeight="1">
      <c r="A48" s="14" t="s">
        <v>37</v>
      </c>
      <c r="B48" s="14" t="s">
        <v>128</v>
      </c>
      <c r="C48" s="14" t="s">
        <v>129</v>
      </c>
      <c r="D48" s="23" t="s">
        <v>28</v>
      </c>
      <c r="E48" s="23"/>
      <c r="F48" s="23"/>
      <c r="G48" s="23"/>
      <c r="H48" s="23"/>
      <c r="I48" s="24">
        <f>23000-11800</f>
        <v>11200</v>
      </c>
      <c r="J48" s="24"/>
      <c r="K48" s="24">
        <f t="shared" si="0"/>
        <v>11200</v>
      </c>
      <c r="L48" s="120"/>
    </row>
    <row r="49" spans="1:12" s="17" customFormat="1" ht="23.25" customHeight="1">
      <c r="A49" s="14" t="s">
        <v>38</v>
      </c>
      <c r="B49" s="14" t="s">
        <v>130</v>
      </c>
      <c r="C49" s="14" t="s">
        <v>129</v>
      </c>
      <c r="D49" s="23" t="s">
        <v>29</v>
      </c>
      <c r="E49" s="23"/>
      <c r="F49" s="23"/>
      <c r="G49" s="23"/>
      <c r="H49" s="23"/>
      <c r="I49" s="24">
        <v>50000</v>
      </c>
      <c r="J49" s="36"/>
      <c r="K49" s="24">
        <f t="shared" si="0"/>
        <v>50000</v>
      </c>
      <c r="L49" s="120"/>
    </row>
    <row r="50" spans="1:12" s="17" customFormat="1" ht="19.5" customHeight="1">
      <c r="A50" s="14" t="s">
        <v>39</v>
      </c>
      <c r="B50" s="14" t="s">
        <v>131</v>
      </c>
      <c r="C50" s="14" t="s">
        <v>129</v>
      </c>
      <c r="D50" s="23" t="s">
        <v>30</v>
      </c>
      <c r="E50" s="23"/>
      <c r="F50" s="23"/>
      <c r="G50" s="23"/>
      <c r="H50" s="23"/>
      <c r="I50" s="24">
        <f>150000+17500</f>
        <v>167500</v>
      </c>
      <c r="J50" s="24"/>
      <c r="K50" s="24">
        <f t="shared" si="0"/>
        <v>167500</v>
      </c>
      <c r="L50" s="120"/>
    </row>
    <row r="51" spans="1:12" s="22" customFormat="1" ht="19.5" customHeight="1">
      <c r="A51" s="14" t="s">
        <v>173</v>
      </c>
      <c r="B51" s="14" t="s">
        <v>161</v>
      </c>
      <c r="C51" s="14" t="s">
        <v>162</v>
      </c>
      <c r="D51" s="23" t="s">
        <v>82</v>
      </c>
      <c r="E51" s="23"/>
      <c r="F51" s="23"/>
      <c r="G51" s="23"/>
      <c r="H51" s="23"/>
      <c r="I51" s="24">
        <f>3794460+18000+600000</f>
        <v>4412460</v>
      </c>
      <c r="J51" s="24"/>
      <c r="K51" s="24">
        <f t="shared" si="0"/>
        <v>4412460</v>
      </c>
      <c r="L51" s="120"/>
    </row>
    <row r="52" spans="1:12" s="17" customFormat="1" ht="24" customHeight="1">
      <c r="A52" s="13" t="s">
        <v>41</v>
      </c>
      <c r="B52" s="14"/>
      <c r="C52" s="14"/>
      <c r="D52" s="43" t="s">
        <v>40</v>
      </c>
      <c r="E52" s="43"/>
      <c r="F52" s="43"/>
      <c r="G52" s="43"/>
      <c r="H52" s="43"/>
      <c r="I52" s="16">
        <f>I53</f>
        <v>39030408</v>
      </c>
      <c r="J52" s="16">
        <f>J53</f>
        <v>0</v>
      </c>
      <c r="K52" s="16">
        <f>K53</f>
        <v>39030408</v>
      </c>
      <c r="L52" s="120"/>
    </row>
    <row r="53" spans="1:12" s="22" customFormat="1" ht="25.5" customHeight="1">
      <c r="A53" s="18" t="s">
        <v>185</v>
      </c>
      <c r="B53" s="14"/>
      <c r="C53" s="14"/>
      <c r="D53" s="45" t="s">
        <v>40</v>
      </c>
      <c r="E53" s="45"/>
      <c r="F53" s="45"/>
      <c r="G53" s="45"/>
      <c r="H53" s="45"/>
      <c r="I53" s="21">
        <f>I54+I55+I56+I57+I58+I59</f>
        <v>39030408</v>
      </c>
      <c r="J53" s="21">
        <f>J54+J55+J56+J57+J58+J59</f>
        <v>0</v>
      </c>
      <c r="K53" s="21">
        <f>K54+K55+K56+K57+K58+K59</f>
        <v>39030408</v>
      </c>
      <c r="L53" s="120"/>
    </row>
    <row r="54" spans="1:12" s="17" customFormat="1" ht="44.25" customHeight="1">
      <c r="A54" s="14" t="s">
        <v>42</v>
      </c>
      <c r="B54" s="14" t="s">
        <v>117</v>
      </c>
      <c r="C54" s="14" t="s">
        <v>118</v>
      </c>
      <c r="D54" s="23" t="s">
        <v>278</v>
      </c>
      <c r="E54" s="23"/>
      <c r="F54" s="23"/>
      <c r="G54" s="23"/>
      <c r="H54" s="23"/>
      <c r="I54" s="24">
        <v>13000</v>
      </c>
      <c r="J54" s="36"/>
      <c r="K54" s="24">
        <f t="shared" si="0"/>
        <v>13000</v>
      </c>
      <c r="L54" s="120"/>
    </row>
    <row r="55" spans="1:12" s="17" customFormat="1" ht="39" customHeight="1">
      <c r="A55" s="14" t="s">
        <v>44</v>
      </c>
      <c r="B55" s="14" t="s">
        <v>132</v>
      </c>
      <c r="C55" s="14" t="s">
        <v>133</v>
      </c>
      <c r="D55" s="23" t="s">
        <v>43</v>
      </c>
      <c r="E55" s="23"/>
      <c r="F55" s="23"/>
      <c r="G55" s="23"/>
      <c r="H55" s="23"/>
      <c r="I55" s="24">
        <f>22150000+2500000+3000000+2025000+723050-399750+15000</f>
        <v>30013300</v>
      </c>
      <c r="J55" s="24"/>
      <c r="K55" s="24">
        <f t="shared" si="0"/>
        <v>30013300</v>
      </c>
      <c r="L55" s="120"/>
    </row>
    <row r="56" spans="1:12" s="17" customFormat="1" ht="42" customHeight="1">
      <c r="A56" s="14" t="s">
        <v>46</v>
      </c>
      <c r="B56" s="14" t="s">
        <v>134</v>
      </c>
      <c r="C56" s="14" t="s">
        <v>135</v>
      </c>
      <c r="D56" s="23" t="s">
        <v>45</v>
      </c>
      <c r="E56" s="23"/>
      <c r="F56" s="23"/>
      <c r="G56" s="23"/>
      <c r="H56" s="23"/>
      <c r="I56" s="24">
        <v>3500000</v>
      </c>
      <c r="J56" s="36"/>
      <c r="K56" s="24">
        <f t="shared" si="0"/>
        <v>3500000</v>
      </c>
      <c r="L56" s="120"/>
    </row>
    <row r="57" spans="1:12" s="17" customFormat="1" ht="21.75" customHeight="1">
      <c r="A57" s="14" t="s">
        <v>48</v>
      </c>
      <c r="B57" s="14" t="s">
        <v>136</v>
      </c>
      <c r="C57" s="14" t="s">
        <v>137</v>
      </c>
      <c r="D57" s="23" t="s">
        <v>47</v>
      </c>
      <c r="E57" s="23"/>
      <c r="F57" s="23"/>
      <c r="G57" s="23"/>
      <c r="H57" s="23"/>
      <c r="I57" s="24">
        <v>1000000</v>
      </c>
      <c r="J57" s="36"/>
      <c r="K57" s="24">
        <f t="shared" si="0"/>
        <v>1000000</v>
      </c>
      <c r="L57" s="120"/>
    </row>
    <row r="58" spans="1:12" s="17" customFormat="1" ht="24" customHeight="1">
      <c r="A58" s="14" t="s">
        <v>50</v>
      </c>
      <c r="B58" s="14" t="s">
        <v>138</v>
      </c>
      <c r="C58" s="14" t="s">
        <v>139</v>
      </c>
      <c r="D58" s="23" t="s">
        <v>49</v>
      </c>
      <c r="E58" s="23"/>
      <c r="F58" s="23"/>
      <c r="G58" s="23"/>
      <c r="H58" s="23"/>
      <c r="I58" s="24">
        <f>1250000+475000+137108</f>
        <v>1862108</v>
      </c>
      <c r="J58" s="24"/>
      <c r="K58" s="24">
        <f t="shared" si="0"/>
        <v>1862108</v>
      </c>
      <c r="L58" s="120"/>
    </row>
    <row r="59" spans="1:12" s="22" customFormat="1" ht="27" customHeight="1">
      <c r="A59" s="14" t="s">
        <v>172</v>
      </c>
      <c r="B59" s="14" t="s">
        <v>161</v>
      </c>
      <c r="C59" s="14" t="s">
        <v>162</v>
      </c>
      <c r="D59" s="23" t="s">
        <v>82</v>
      </c>
      <c r="E59" s="23"/>
      <c r="F59" s="23"/>
      <c r="G59" s="23"/>
      <c r="H59" s="23"/>
      <c r="I59" s="24">
        <f>1200000+42000+1400000</f>
        <v>2642000</v>
      </c>
      <c r="J59" s="24"/>
      <c r="K59" s="24">
        <f t="shared" si="0"/>
        <v>2642000</v>
      </c>
      <c r="L59" s="120"/>
    </row>
    <row r="60" spans="1:12" s="17" customFormat="1" ht="33" customHeight="1">
      <c r="A60" s="13" t="s">
        <v>51</v>
      </c>
      <c r="B60" s="14"/>
      <c r="C60" s="14"/>
      <c r="D60" s="43" t="s">
        <v>106</v>
      </c>
      <c r="E60" s="43"/>
      <c r="F60" s="43"/>
      <c r="G60" s="43"/>
      <c r="H60" s="43"/>
      <c r="I60" s="16">
        <f>I61</f>
        <v>1978785</v>
      </c>
      <c r="J60" s="16">
        <f>J61</f>
        <v>0</v>
      </c>
      <c r="K60" s="16">
        <f>K61</f>
        <v>1978785</v>
      </c>
      <c r="L60" s="120"/>
    </row>
    <row r="61" spans="1:12" s="22" customFormat="1" ht="37.5" customHeight="1">
      <c r="A61" s="18" t="s">
        <v>52</v>
      </c>
      <c r="B61" s="19"/>
      <c r="C61" s="19"/>
      <c r="D61" s="45" t="s">
        <v>106</v>
      </c>
      <c r="E61" s="45"/>
      <c r="F61" s="45"/>
      <c r="G61" s="45"/>
      <c r="H61" s="45"/>
      <c r="I61" s="21">
        <f>I62+I63+I65+I67+I70</f>
        <v>1978785</v>
      </c>
      <c r="J61" s="21">
        <f>J62+J63+J65+J67+J70</f>
        <v>0</v>
      </c>
      <c r="K61" s="21">
        <f>K62+K63+K65+K67+K70</f>
        <v>1978785</v>
      </c>
      <c r="L61" s="120"/>
    </row>
    <row r="62" spans="1:12" s="17" customFormat="1" ht="39" customHeight="1">
      <c r="A62" s="14" t="s">
        <v>53</v>
      </c>
      <c r="B62" s="14" t="s">
        <v>117</v>
      </c>
      <c r="C62" s="14" t="s">
        <v>118</v>
      </c>
      <c r="D62" s="23" t="s">
        <v>278</v>
      </c>
      <c r="E62" s="23"/>
      <c r="F62" s="23"/>
      <c r="G62" s="23"/>
      <c r="H62" s="23"/>
      <c r="I62" s="24">
        <f>250000+404770</f>
        <v>654770</v>
      </c>
      <c r="J62" s="24"/>
      <c r="K62" s="24">
        <f t="shared" si="0"/>
        <v>654770</v>
      </c>
      <c r="L62" s="120"/>
    </row>
    <row r="63" spans="1:12" s="36" customFormat="1" ht="215.25" customHeight="1">
      <c r="A63" s="47">
        <v>1513030</v>
      </c>
      <c r="B63" s="47">
        <v>3030</v>
      </c>
      <c r="C63" s="47">
        <v>1030</v>
      </c>
      <c r="D63" s="23" t="s">
        <v>54</v>
      </c>
      <c r="E63" s="23"/>
      <c r="F63" s="23"/>
      <c r="G63" s="23"/>
      <c r="H63" s="23"/>
      <c r="I63" s="48">
        <f>I64</f>
        <v>154612</v>
      </c>
      <c r="J63" s="48">
        <f>J64</f>
        <v>0</v>
      </c>
      <c r="K63" s="48">
        <f>K64</f>
        <v>154612</v>
      </c>
      <c r="L63" s="120"/>
    </row>
    <row r="64" spans="1:12" s="5" customFormat="1" ht="260.25" customHeight="1">
      <c r="A64" s="49">
        <v>1513031</v>
      </c>
      <c r="B64" s="49">
        <v>3031</v>
      </c>
      <c r="C64" s="49">
        <v>1030</v>
      </c>
      <c r="D64" s="26" t="s">
        <v>259</v>
      </c>
      <c r="E64" s="26"/>
      <c r="F64" s="26"/>
      <c r="G64" s="26"/>
      <c r="H64" s="26"/>
      <c r="I64" s="50">
        <f>150000+4612</f>
        <v>154612</v>
      </c>
      <c r="J64" s="50"/>
      <c r="K64" s="27">
        <f t="shared" si="0"/>
        <v>154612</v>
      </c>
      <c r="L64" s="120">
        <v>29</v>
      </c>
    </row>
    <row r="65" spans="1:12" s="17" customFormat="1" ht="72" customHeight="1">
      <c r="A65" s="47">
        <v>1513100</v>
      </c>
      <c r="B65" s="47">
        <v>3100</v>
      </c>
      <c r="C65" s="47"/>
      <c r="D65" s="23" t="s">
        <v>55</v>
      </c>
      <c r="E65" s="23"/>
      <c r="F65" s="23"/>
      <c r="G65" s="23"/>
      <c r="H65" s="23"/>
      <c r="I65" s="48">
        <f>I66</f>
        <v>17903</v>
      </c>
      <c r="J65" s="48">
        <f>J66</f>
        <v>0</v>
      </c>
      <c r="K65" s="48">
        <f>K66</f>
        <v>17903</v>
      </c>
      <c r="L65" s="120"/>
    </row>
    <row r="66" spans="1:12" s="22" customFormat="1" ht="72" customHeight="1">
      <c r="A66" s="49">
        <v>1513104</v>
      </c>
      <c r="B66" s="49">
        <v>3104</v>
      </c>
      <c r="C66" s="49">
        <v>1020</v>
      </c>
      <c r="D66" s="26" t="s">
        <v>56</v>
      </c>
      <c r="E66" s="26"/>
      <c r="F66" s="26"/>
      <c r="G66" s="26"/>
      <c r="H66" s="26"/>
      <c r="I66" s="27">
        <f>10000+7903</f>
        <v>17903</v>
      </c>
      <c r="J66" s="27"/>
      <c r="K66" s="27">
        <f t="shared" si="0"/>
        <v>17903</v>
      </c>
      <c r="L66" s="120"/>
    </row>
    <row r="67" spans="1:12" s="17" customFormat="1" ht="21" customHeight="1">
      <c r="A67" s="47">
        <v>1513300</v>
      </c>
      <c r="B67" s="47">
        <v>3300</v>
      </c>
      <c r="C67" s="47">
        <v>1090</v>
      </c>
      <c r="D67" s="23" t="s">
        <v>3</v>
      </c>
      <c r="E67" s="23"/>
      <c r="F67" s="23"/>
      <c r="G67" s="23"/>
      <c r="H67" s="23"/>
      <c r="I67" s="24">
        <f>I68+I69</f>
        <v>851500</v>
      </c>
      <c r="J67" s="24">
        <f>J68+J69</f>
        <v>0</v>
      </c>
      <c r="K67" s="24">
        <f>K68+K69</f>
        <v>851500</v>
      </c>
      <c r="L67" s="120"/>
    </row>
    <row r="68" spans="1:12" s="17" customFormat="1" ht="40.5" customHeight="1">
      <c r="A68" s="49">
        <v>1513300</v>
      </c>
      <c r="B68" s="49">
        <v>3300</v>
      </c>
      <c r="C68" s="29" t="s">
        <v>126</v>
      </c>
      <c r="D68" s="26" t="s">
        <v>103</v>
      </c>
      <c r="E68" s="26"/>
      <c r="F68" s="26"/>
      <c r="G68" s="26"/>
      <c r="H68" s="26"/>
      <c r="I68" s="27">
        <f>257500-6000</f>
        <v>251500</v>
      </c>
      <c r="J68" s="27"/>
      <c r="K68" s="27">
        <f t="shared" si="0"/>
        <v>251500</v>
      </c>
      <c r="L68" s="120"/>
    </row>
    <row r="69" spans="1:12" s="17" customFormat="1" ht="78" customHeight="1">
      <c r="A69" s="49">
        <v>1513300</v>
      </c>
      <c r="B69" s="49">
        <v>3300</v>
      </c>
      <c r="C69" s="29" t="s">
        <v>126</v>
      </c>
      <c r="D69" s="26" t="s">
        <v>407</v>
      </c>
      <c r="E69" s="26"/>
      <c r="F69" s="26"/>
      <c r="G69" s="26"/>
      <c r="H69" s="26"/>
      <c r="I69" s="27">
        <v>600000</v>
      </c>
      <c r="J69" s="27"/>
      <c r="K69" s="27">
        <f t="shared" si="0"/>
        <v>600000</v>
      </c>
      <c r="L69" s="120"/>
    </row>
    <row r="70" spans="1:12" s="22" customFormat="1" ht="24.75" customHeight="1">
      <c r="A70" s="14" t="s">
        <v>171</v>
      </c>
      <c r="B70" s="14" t="s">
        <v>161</v>
      </c>
      <c r="C70" s="14" t="s">
        <v>162</v>
      </c>
      <c r="D70" s="23" t="s">
        <v>82</v>
      </c>
      <c r="E70" s="23"/>
      <c r="F70" s="23"/>
      <c r="G70" s="23"/>
      <c r="H70" s="23"/>
      <c r="I70" s="24">
        <v>300000</v>
      </c>
      <c r="J70" s="36"/>
      <c r="K70" s="24">
        <f t="shared" si="0"/>
        <v>300000</v>
      </c>
      <c r="L70" s="120"/>
    </row>
    <row r="71" spans="1:12" s="17" customFormat="1" ht="33" customHeight="1">
      <c r="A71" s="42" t="s">
        <v>57</v>
      </c>
      <c r="B71" s="33"/>
      <c r="C71" s="33"/>
      <c r="D71" s="43" t="s">
        <v>59</v>
      </c>
      <c r="E71" s="43"/>
      <c r="F71" s="43"/>
      <c r="G71" s="43"/>
      <c r="H71" s="43"/>
      <c r="I71" s="16">
        <f aca="true" t="shared" si="1" ref="I71:K72">I72</f>
        <v>376000</v>
      </c>
      <c r="J71" s="16">
        <f t="shared" si="1"/>
        <v>0</v>
      </c>
      <c r="K71" s="16">
        <f t="shared" si="1"/>
        <v>376000</v>
      </c>
      <c r="L71" s="120"/>
    </row>
    <row r="72" spans="1:12" s="22" customFormat="1" ht="29.25" customHeight="1">
      <c r="A72" s="44" t="s">
        <v>58</v>
      </c>
      <c r="B72" s="29"/>
      <c r="C72" s="29"/>
      <c r="D72" s="45" t="s">
        <v>59</v>
      </c>
      <c r="E72" s="45"/>
      <c r="F72" s="45"/>
      <c r="G72" s="45"/>
      <c r="H72" s="45"/>
      <c r="I72" s="21">
        <f t="shared" si="1"/>
        <v>376000</v>
      </c>
      <c r="J72" s="21">
        <f t="shared" si="1"/>
        <v>0</v>
      </c>
      <c r="K72" s="21">
        <f t="shared" si="1"/>
        <v>376000</v>
      </c>
      <c r="L72" s="120"/>
    </row>
    <row r="73" spans="1:12" s="17" customFormat="1" ht="41.25" customHeight="1">
      <c r="A73" s="14" t="s">
        <v>60</v>
      </c>
      <c r="B73" s="14" t="s">
        <v>117</v>
      </c>
      <c r="C73" s="14" t="s">
        <v>118</v>
      </c>
      <c r="D73" s="23" t="s">
        <v>278</v>
      </c>
      <c r="E73" s="23"/>
      <c r="F73" s="23"/>
      <c r="G73" s="23"/>
      <c r="H73" s="23"/>
      <c r="I73" s="24">
        <f>26000+350000</f>
        <v>376000</v>
      </c>
      <c r="J73" s="24"/>
      <c r="K73" s="24">
        <f t="shared" si="0"/>
        <v>376000</v>
      </c>
      <c r="L73" s="120"/>
    </row>
    <row r="74" spans="1:12" s="17" customFormat="1" ht="42.75" customHeight="1">
      <c r="A74" s="14" t="s">
        <v>62</v>
      </c>
      <c r="B74" s="14"/>
      <c r="C74" s="14"/>
      <c r="D74" s="43" t="s">
        <v>61</v>
      </c>
      <c r="E74" s="43"/>
      <c r="F74" s="43"/>
      <c r="G74" s="43"/>
      <c r="H74" s="43"/>
      <c r="I74" s="16">
        <f>I75</f>
        <v>4841427</v>
      </c>
      <c r="J74" s="16">
        <f>J75</f>
        <v>0</v>
      </c>
      <c r="K74" s="16">
        <f>K75</f>
        <v>4841427</v>
      </c>
      <c r="L74" s="120"/>
    </row>
    <row r="75" spans="1:12" s="22" customFormat="1" ht="42" customHeight="1">
      <c r="A75" s="19" t="s">
        <v>63</v>
      </c>
      <c r="B75" s="19"/>
      <c r="C75" s="19"/>
      <c r="D75" s="45" t="s">
        <v>61</v>
      </c>
      <c r="E75" s="45"/>
      <c r="F75" s="45"/>
      <c r="G75" s="45"/>
      <c r="H75" s="45"/>
      <c r="I75" s="21">
        <f>I76+I77+I78+I79+I81</f>
        <v>4841427</v>
      </c>
      <c r="J75" s="21">
        <f>J76+J77+J78+J79+J81</f>
        <v>0</v>
      </c>
      <c r="K75" s="21">
        <f>K76+K77+K78+K79+K81</f>
        <v>4841427</v>
      </c>
      <c r="L75" s="120"/>
    </row>
    <row r="76" spans="1:12" s="17" customFormat="1" ht="42" customHeight="1">
      <c r="A76" s="14" t="s">
        <v>64</v>
      </c>
      <c r="B76" s="14" t="s">
        <v>117</v>
      </c>
      <c r="C76" s="14" t="s">
        <v>118</v>
      </c>
      <c r="D76" s="23" t="s">
        <v>278</v>
      </c>
      <c r="E76" s="23"/>
      <c r="F76" s="23"/>
      <c r="G76" s="23"/>
      <c r="H76" s="23"/>
      <c r="I76" s="24">
        <f>13000+241500</f>
        <v>254500</v>
      </c>
      <c r="J76" s="24"/>
      <c r="K76" s="24">
        <f t="shared" si="0"/>
        <v>254500</v>
      </c>
      <c r="L76" s="120"/>
    </row>
    <row r="77" spans="1:12" s="17" customFormat="1" ht="21" customHeight="1">
      <c r="A77" s="14" t="s">
        <v>66</v>
      </c>
      <c r="B77" s="14" t="s">
        <v>147</v>
      </c>
      <c r="C77" s="14" t="s">
        <v>148</v>
      </c>
      <c r="D77" s="23" t="s">
        <v>65</v>
      </c>
      <c r="E77" s="23"/>
      <c r="F77" s="23"/>
      <c r="G77" s="23"/>
      <c r="H77" s="23"/>
      <c r="I77" s="24">
        <f>460000+600000+995000+13000</f>
        <v>2068000</v>
      </c>
      <c r="J77" s="48"/>
      <c r="K77" s="24">
        <f t="shared" si="0"/>
        <v>2068000</v>
      </c>
      <c r="L77" s="120"/>
    </row>
    <row r="78" spans="1:12" s="17" customFormat="1" ht="24.75" customHeight="1">
      <c r="A78" s="14" t="s">
        <v>68</v>
      </c>
      <c r="B78" s="14" t="s">
        <v>149</v>
      </c>
      <c r="C78" s="14" t="s">
        <v>127</v>
      </c>
      <c r="D78" s="23" t="s">
        <v>67</v>
      </c>
      <c r="E78" s="23"/>
      <c r="F78" s="23"/>
      <c r="G78" s="23"/>
      <c r="H78" s="23"/>
      <c r="I78" s="24">
        <f>50000+250000+300000-192573</f>
        <v>407427</v>
      </c>
      <c r="J78" s="24"/>
      <c r="K78" s="24">
        <f t="shared" si="0"/>
        <v>407427</v>
      </c>
      <c r="L78" s="120"/>
    </row>
    <row r="79" spans="1:12" s="17" customFormat="1" ht="21" customHeight="1">
      <c r="A79" s="14" t="s">
        <v>69</v>
      </c>
      <c r="B79" s="14" t="s">
        <v>150</v>
      </c>
      <c r="C79" s="14" t="s">
        <v>151</v>
      </c>
      <c r="D79" s="23" t="s">
        <v>10</v>
      </c>
      <c r="E79" s="23"/>
      <c r="F79" s="23"/>
      <c r="G79" s="23"/>
      <c r="H79" s="23"/>
      <c r="I79" s="24">
        <f>I80</f>
        <v>309500</v>
      </c>
      <c r="J79" s="24">
        <f>J80</f>
        <v>0</v>
      </c>
      <c r="K79" s="24">
        <f>K80</f>
        <v>309500</v>
      </c>
      <c r="L79" s="120"/>
    </row>
    <row r="80" spans="1:12" s="17" customFormat="1" ht="42" customHeight="1">
      <c r="A80" s="19" t="s">
        <v>69</v>
      </c>
      <c r="B80" s="19" t="s">
        <v>150</v>
      </c>
      <c r="C80" s="29" t="s">
        <v>151</v>
      </c>
      <c r="D80" s="26" t="s">
        <v>70</v>
      </c>
      <c r="E80" s="26"/>
      <c r="F80" s="26"/>
      <c r="G80" s="26"/>
      <c r="H80" s="26"/>
      <c r="I80" s="27">
        <f>51000+258500</f>
        <v>309500</v>
      </c>
      <c r="J80" s="27"/>
      <c r="K80" s="27">
        <f t="shared" si="0"/>
        <v>309500</v>
      </c>
      <c r="L80" s="120"/>
    </row>
    <row r="81" spans="1:12" s="17" customFormat="1" ht="27" customHeight="1">
      <c r="A81" s="14" t="s">
        <v>170</v>
      </c>
      <c r="B81" s="14" t="s">
        <v>161</v>
      </c>
      <c r="C81" s="14" t="s">
        <v>162</v>
      </c>
      <c r="D81" s="23" t="s">
        <v>82</v>
      </c>
      <c r="E81" s="23"/>
      <c r="F81" s="23"/>
      <c r="G81" s="23"/>
      <c r="H81" s="23"/>
      <c r="I81" s="24">
        <f>1088000+439000+275000</f>
        <v>1802000</v>
      </c>
      <c r="J81" s="24"/>
      <c r="K81" s="24">
        <f t="shared" si="0"/>
        <v>1802000</v>
      </c>
      <c r="L81" s="120">
        <v>30</v>
      </c>
    </row>
    <row r="82" spans="1:12" s="17" customFormat="1" ht="53.25" customHeight="1">
      <c r="A82" s="13" t="s">
        <v>72</v>
      </c>
      <c r="B82" s="14"/>
      <c r="C82" s="14"/>
      <c r="D82" s="43" t="s">
        <v>71</v>
      </c>
      <c r="E82" s="43"/>
      <c r="F82" s="43"/>
      <c r="G82" s="43"/>
      <c r="H82" s="43"/>
      <c r="I82" s="16">
        <f>I83</f>
        <v>172905205</v>
      </c>
      <c r="J82" s="16">
        <f>J83</f>
        <v>-115600</v>
      </c>
      <c r="K82" s="16">
        <f>K83</f>
        <v>172789605</v>
      </c>
      <c r="L82" s="120"/>
    </row>
    <row r="83" spans="1:12" s="22" customFormat="1" ht="39.75" customHeight="1">
      <c r="A83" s="18" t="s">
        <v>73</v>
      </c>
      <c r="B83" s="19"/>
      <c r="C83" s="19"/>
      <c r="D83" s="45" t="s">
        <v>71</v>
      </c>
      <c r="E83" s="45"/>
      <c r="F83" s="45"/>
      <c r="G83" s="45"/>
      <c r="H83" s="45"/>
      <c r="I83" s="21">
        <f>I84+I85+I88+I108+I117+I89+I90+I103+I116+I107</f>
        <v>172905205</v>
      </c>
      <c r="J83" s="21">
        <f>J84+J85+J88+J108+J117+J89+J90+J103+J116+J107</f>
        <v>-115600</v>
      </c>
      <c r="K83" s="21">
        <f>K84+K85+K88+K108+K117+K89+K90+K103+K116+K107</f>
        <v>172789605</v>
      </c>
      <c r="L83" s="120"/>
    </row>
    <row r="84" spans="1:12" s="17" customFormat="1" ht="43.5" customHeight="1">
      <c r="A84" s="14" t="s">
        <v>74</v>
      </c>
      <c r="B84" s="14" t="s">
        <v>117</v>
      </c>
      <c r="C84" s="14" t="s">
        <v>118</v>
      </c>
      <c r="D84" s="23" t="s">
        <v>278</v>
      </c>
      <c r="E84" s="23"/>
      <c r="F84" s="23"/>
      <c r="G84" s="23"/>
      <c r="H84" s="23"/>
      <c r="I84" s="24">
        <v>200000</v>
      </c>
      <c r="J84" s="36"/>
      <c r="K84" s="24">
        <f t="shared" si="0"/>
        <v>200000</v>
      </c>
      <c r="L84" s="120"/>
    </row>
    <row r="85" spans="1:12" s="17" customFormat="1" ht="39.75" customHeight="1">
      <c r="A85" s="14" t="s">
        <v>76</v>
      </c>
      <c r="B85" s="14" t="s">
        <v>141</v>
      </c>
      <c r="C85" s="14"/>
      <c r="D85" s="23" t="s">
        <v>75</v>
      </c>
      <c r="E85" s="23"/>
      <c r="F85" s="23"/>
      <c r="G85" s="23"/>
      <c r="H85" s="23"/>
      <c r="I85" s="24">
        <f>I86+I87</f>
        <v>64568527</v>
      </c>
      <c r="J85" s="24">
        <f>J86+J87</f>
        <v>0</v>
      </c>
      <c r="K85" s="24">
        <f>K86+K87</f>
        <v>64568527</v>
      </c>
      <c r="L85" s="120"/>
    </row>
    <row r="86" spans="1:12" s="22" customFormat="1" ht="28.5" customHeight="1">
      <c r="A86" s="19" t="s">
        <v>78</v>
      </c>
      <c r="B86" s="19" t="s">
        <v>142</v>
      </c>
      <c r="C86" s="19" t="s">
        <v>140</v>
      </c>
      <c r="D86" s="26" t="s">
        <v>77</v>
      </c>
      <c r="E86" s="26"/>
      <c r="F86" s="26"/>
      <c r="G86" s="26"/>
      <c r="H86" s="26"/>
      <c r="I86" s="27">
        <f>45000000+327958-10000000+1500000+10984469+106100+150000</f>
        <v>48068527</v>
      </c>
      <c r="J86" s="27"/>
      <c r="K86" s="27">
        <f t="shared" si="0"/>
        <v>48068527</v>
      </c>
      <c r="L86" s="120"/>
    </row>
    <row r="87" spans="1:12" s="22" customFormat="1" ht="64.5" customHeight="1">
      <c r="A87" s="19" t="s">
        <v>80</v>
      </c>
      <c r="B87" s="19" t="s">
        <v>143</v>
      </c>
      <c r="C87" s="19" t="s">
        <v>140</v>
      </c>
      <c r="D87" s="26" t="s">
        <v>79</v>
      </c>
      <c r="E87" s="26"/>
      <c r="F87" s="26"/>
      <c r="G87" s="26"/>
      <c r="H87" s="26"/>
      <c r="I87" s="27">
        <f>5000000+10000000+500000+1000000</f>
        <v>16500000</v>
      </c>
      <c r="J87" s="27"/>
      <c r="K87" s="27">
        <f t="shared" si="0"/>
        <v>16500000</v>
      </c>
      <c r="L87" s="120"/>
    </row>
    <row r="88" spans="1:12" s="17" customFormat="1" ht="28.5" customHeight="1">
      <c r="A88" s="14" t="s">
        <v>81</v>
      </c>
      <c r="B88" s="14" t="s">
        <v>145</v>
      </c>
      <c r="C88" s="14" t="s">
        <v>144</v>
      </c>
      <c r="D88" s="23" t="s">
        <v>14</v>
      </c>
      <c r="E88" s="23"/>
      <c r="F88" s="23"/>
      <c r="G88" s="23"/>
      <c r="H88" s="23"/>
      <c r="I88" s="48">
        <f>33612000-12000000+1650158-327958+12000000+150000+20450915-837068-87788</f>
        <v>54610259</v>
      </c>
      <c r="J88" s="24">
        <v>-115600</v>
      </c>
      <c r="K88" s="24">
        <f aca="true" t="shared" si="2" ref="K88:K239">I88+J88</f>
        <v>54494659</v>
      </c>
      <c r="L88" s="120"/>
    </row>
    <row r="89" spans="1:12" s="17" customFormat="1" ht="45" customHeight="1">
      <c r="A89" s="14" t="s">
        <v>178</v>
      </c>
      <c r="B89" s="14" t="s">
        <v>146</v>
      </c>
      <c r="C89" s="14" t="s">
        <v>144</v>
      </c>
      <c r="D89" s="23" t="s">
        <v>105</v>
      </c>
      <c r="E89" s="23"/>
      <c r="F89" s="23"/>
      <c r="G89" s="23"/>
      <c r="H89" s="23"/>
      <c r="I89" s="24">
        <v>1000000</v>
      </c>
      <c r="J89" s="36"/>
      <c r="K89" s="24">
        <f t="shared" si="2"/>
        <v>1000000</v>
      </c>
      <c r="L89" s="120"/>
    </row>
    <row r="90" spans="1:12" s="17" customFormat="1" ht="45.75" customHeight="1">
      <c r="A90" s="14" t="s">
        <v>262</v>
      </c>
      <c r="B90" s="14" t="s">
        <v>154</v>
      </c>
      <c r="C90" s="14" t="s">
        <v>155</v>
      </c>
      <c r="D90" s="23" t="s">
        <v>87</v>
      </c>
      <c r="E90" s="23"/>
      <c r="F90" s="23"/>
      <c r="G90" s="23"/>
      <c r="H90" s="23"/>
      <c r="I90" s="16">
        <f>I96+I91+I94</f>
        <v>15799099</v>
      </c>
      <c r="J90" s="16">
        <f>J96+J91+J94</f>
        <v>0</v>
      </c>
      <c r="K90" s="16">
        <f>K96+K91+K94</f>
        <v>15799099</v>
      </c>
      <c r="L90" s="120"/>
    </row>
    <row r="91" spans="1:12" s="17" customFormat="1" ht="15">
      <c r="A91" s="14"/>
      <c r="B91" s="14"/>
      <c r="C91" s="14"/>
      <c r="D91" s="23"/>
      <c r="E91" s="43" t="s">
        <v>196</v>
      </c>
      <c r="F91" s="23"/>
      <c r="G91" s="23"/>
      <c r="H91" s="23"/>
      <c r="I91" s="16">
        <f>I92+I93</f>
        <v>1707000</v>
      </c>
      <c r="J91" s="16">
        <f>J92+J93</f>
        <v>0</v>
      </c>
      <c r="K91" s="16">
        <f>K92+K93</f>
        <v>1707000</v>
      </c>
      <c r="L91" s="120"/>
    </row>
    <row r="92" spans="1:12" s="17" customFormat="1" ht="39" customHeight="1">
      <c r="A92" s="14"/>
      <c r="B92" s="14"/>
      <c r="C92" s="14"/>
      <c r="D92" s="23"/>
      <c r="E92" s="51" t="s">
        <v>323</v>
      </c>
      <c r="F92" s="23"/>
      <c r="G92" s="23"/>
      <c r="H92" s="23"/>
      <c r="I92" s="24">
        <f>500000+1000000</f>
        <v>1500000</v>
      </c>
      <c r="J92" s="24"/>
      <c r="K92" s="24">
        <f t="shared" si="2"/>
        <v>1500000</v>
      </c>
      <c r="L92" s="120"/>
    </row>
    <row r="93" spans="1:12" s="17" customFormat="1" ht="40.5" customHeight="1">
      <c r="A93" s="14"/>
      <c r="B93" s="14"/>
      <c r="C93" s="14"/>
      <c r="D93" s="23"/>
      <c r="E93" s="51" t="s">
        <v>389</v>
      </c>
      <c r="F93" s="23"/>
      <c r="G93" s="23"/>
      <c r="H93" s="23"/>
      <c r="I93" s="24">
        <f>250000-43000</f>
        <v>207000</v>
      </c>
      <c r="J93" s="24"/>
      <c r="K93" s="24">
        <f t="shared" si="2"/>
        <v>207000</v>
      </c>
      <c r="L93" s="120"/>
    </row>
    <row r="94" spans="1:12" s="17" customFormat="1" ht="15">
      <c r="A94" s="14"/>
      <c r="B94" s="14"/>
      <c r="C94" s="14"/>
      <c r="D94" s="23"/>
      <c r="E94" s="43" t="s">
        <v>216</v>
      </c>
      <c r="F94" s="23"/>
      <c r="G94" s="23"/>
      <c r="H94" s="23"/>
      <c r="I94" s="16">
        <f>I95</f>
        <v>737000</v>
      </c>
      <c r="J94" s="16">
        <f>J95</f>
        <v>0</v>
      </c>
      <c r="K94" s="16">
        <f>K95</f>
        <v>737000</v>
      </c>
      <c r="L94" s="120"/>
    </row>
    <row r="95" spans="1:12" s="40" customFormat="1" ht="43.5" customHeight="1">
      <c r="A95" s="46"/>
      <c r="B95" s="46"/>
      <c r="C95" s="46"/>
      <c r="D95" s="38"/>
      <c r="E95" s="110" t="s">
        <v>308</v>
      </c>
      <c r="F95" s="38"/>
      <c r="G95" s="38"/>
      <c r="H95" s="38"/>
      <c r="I95" s="39">
        <v>737000</v>
      </c>
      <c r="J95" s="39"/>
      <c r="K95" s="39">
        <f>I95+J95</f>
        <v>737000</v>
      </c>
      <c r="L95" s="120"/>
    </row>
    <row r="96" spans="1:12" s="17" customFormat="1" ht="15">
      <c r="A96" s="14"/>
      <c r="B96" s="14"/>
      <c r="C96" s="14"/>
      <c r="D96" s="23"/>
      <c r="E96" s="43" t="s">
        <v>215</v>
      </c>
      <c r="F96" s="23"/>
      <c r="G96" s="23"/>
      <c r="H96" s="23"/>
      <c r="I96" s="16">
        <f>I98+I99+I100+I102+I101+I97</f>
        <v>13355099</v>
      </c>
      <c r="J96" s="16">
        <f>J98+J99+J100+J102+J101+J97</f>
        <v>0</v>
      </c>
      <c r="K96" s="16">
        <f>K98+K99+K100+K102+K101+K97</f>
        <v>13355099</v>
      </c>
      <c r="L96" s="120"/>
    </row>
    <row r="97" spans="1:12" s="17" customFormat="1" ht="45" customHeight="1">
      <c r="A97" s="14"/>
      <c r="B97" s="14"/>
      <c r="C97" s="14"/>
      <c r="D97" s="23"/>
      <c r="E97" s="23" t="s">
        <v>394</v>
      </c>
      <c r="F97" s="23"/>
      <c r="G97" s="23"/>
      <c r="H97" s="23"/>
      <c r="I97" s="39">
        <v>1467750</v>
      </c>
      <c r="J97" s="39"/>
      <c r="K97" s="24">
        <f t="shared" si="2"/>
        <v>1467750</v>
      </c>
      <c r="L97" s="120"/>
    </row>
    <row r="98" spans="1:12" s="17" customFormat="1" ht="79.5" customHeight="1">
      <c r="A98" s="14"/>
      <c r="B98" s="14"/>
      <c r="C98" s="14"/>
      <c r="D98" s="23"/>
      <c r="E98" s="52" t="s">
        <v>263</v>
      </c>
      <c r="F98" s="23"/>
      <c r="G98" s="23"/>
      <c r="H98" s="23"/>
      <c r="I98" s="24">
        <v>2000000</v>
      </c>
      <c r="J98" s="36"/>
      <c r="K98" s="24">
        <f t="shared" si="2"/>
        <v>2000000</v>
      </c>
      <c r="L98" s="120"/>
    </row>
    <row r="99" spans="1:12" s="17" customFormat="1" ht="74.25" customHeight="1">
      <c r="A99" s="14"/>
      <c r="B99" s="14"/>
      <c r="C99" s="14"/>
      <c r="D99" s="23"/>
      <c r="E99" s="53" t="s">
        <v>264</v>
      </c>
      <c r="F99" s="23"/>
      <c r="G99" s="23"/>
      <c r="H99" s="23"/>
      <c r="I99" s="24">
        <v>2000000</v>
      </c>
      <c r="J99" s="36"/>
      <c r="K99" s="24">
        <f t="shared" si="2"/>
        <v>2000000</v>
      </c>
      <c r="L99" s="120"/>
    </row>
    <row r="100" spans="1:12" s="17" customFormat="1" ht="78">
      <c r="A100" s="14"/>
      <c r="B100" s="14"/>
      <c r="C100" s="14"/>
      <c r="D100" s="23"/>
      <c r="E100" s="110" t="s">
        <v>417</v>
      </c>
      <c r="F100" s="23"/>
      <c r="G100" s="23"/>
      <c r="H100" s="23"/>
      <c r="I100" s="24">
        <f>2000000-1087159</f>
        <v>912841</v>
      </c>
      <c r="J100" s="24"/>
      <c r="K100" s="24">
        <f t="shared" si="2"/>
        <v>912841</v>
      </c>
      <c r="L100" s="120"/>
    </row>
    <row r="101" spans="1:12" s="17" customFormat="1" ht="46.5">
      <c r="A101" s="14"/>
      <c r="B101" s="14"/>
      <c r="C101" s="14"/>
      <c r="D101" s="23"/>
      <c r="E101" s="53" t="s">
        <v>390</v>
      </c>
      <c r="F101" s="23"/>
      <c r="G101" s="23"/>
      <c r="H101" s="23"/>
      <c r="I101" s="24">
        <v>350000</v>
      </c>
      <c r="J101" s="24"/>
      <c r="K101" s="24">
        <f t="shared" si="2"/>
        <v>350000</v>
      </c>
      <c r="L101" s="120"/>
    </row>
    <row r="102" spans="1:12" s="17" customFormat="1" ht="54" customHeight="1">
      <c r="A102" s="14"/>
      <c r="B102" s="14"/>
      <c r="C102" s="14"/>
      <c r="D102" s="23"/>
      <c r="E102" s="23" t="s">
        <v>265</v>
      </c>
      <c r="F102" s="23"/>
      <c r="G102" s="23"/>
      <c r="H102" s="23"/>
      <c r="I102" s="24">
        <f>6774508-150000</f>
        <v>6624508</v>
      </c>
      <c r="J102" s="39"/>
      <c r="K102" s="24">
        <f t="shared" si="2"/>
        <v>6624508</v>
      </c>
      <c r="L102" s="120">
        <v>31</v>
      </c>
    </row>
    <row r="103" spans="1:12" s="17" customFormat="1" ht="25.5" customHeight="1">
      <c r="A103" s="14" t="s">
        <v>279</v>
      </c>
      <c r="B103" s="14" t="s">
        <v>156</v>
      </c>
      <c r="C103" s="14"/>
      <c r="D103" s="23" t="s">
        <v>112</v>
      </c>
      <c r="E103" s="23"/>
      <c r="F103" s="23"/>
      <c r="G103" s="23"/>
      <c r="H103" s="23"/>
      <c r="I103" s="24">
        <f>I104</f>
        <v>2535000</v>
      </c>
      <c r="J103" s="24">
        <f>J104</f>
        <v>0</v>
      </c>
      <c r="K103" s="24">
        <f>K104</f>
        <v>2535000</v>
      </c>
      <c r="L103" s="120"/>
    </row>
    <row r="104" spans="1:12" s="22" customFormat="1" ht="42" customHeight="1">
      <c r="A104" s="19" t="s">
        <v>280</v>
      </c>
      <c r="B104" s="19" t="s">
        <v>157</v>
      </c>
      <c r="C104" s="19" t="s">
        <v>151</v>
      </c>
      <c r="D104" s="26" t="s">
        <v>114</v>
      </c>
      <c r="E104" s="32"/>
      <c r="F104" s="26"/>
      <c r="G104" s="26"/>
      <c r="H104" s="26"/>
      <c r="I104" s="27">
        <f>I105+I106</f>
        <v>2535000</v>
      </c>
      <c r="J104" s="27">
        <f>J105+J106</f>
        <v>0</v>
      </c>
      <c r="K104" s="27">
        <f>K105+K106</f>
        <v>2535000</v>
      </c>
      <c r="L104" s="120"/>
    </row>
    <row r="105" spans="1:12" s="17" customFormat="1" ht="25.5" customHeight="1">
      <c r="A105" s="14"/>
      <c r="B105" s="14"/>
      <c r="C105" s="14"/>
      <c r="D105" s="23"/>
      <c r="E105" s="54" t="s">
        <v>344</v>
      </c>
      <c r="F105" s="23"/>
      <c r="G105" s="23"/>
      <c r="H105" s="23"/>
      <c r="I105" s="24">
        <v>35000</v>
      </c>
      <c r="J105" s="24"/>
      <c r="K105" s="24">
        <f>J105+I105</f>
        <v>35000</v>
      </c>
      <c r="L105" s="120"/>
    </row>
    <row r="106" spans="1:12" s="17" customFormat="1" ht="39" customHeight="1">
      <c r="A106" s="14"/>
      <c r="B106" s="14"/>
      <c r="C106" s="14"/>
      <c r="D106" s="23"/>
      <c r="E106" s="55" t="s">
        <v>342</v>
      </c>
      <c r="F106" s="23"/>
      <c r="G106" s="23"/>
      <c r="H106" s="23"/>
      <c r="I106" s="24">
        <v>2500000</v>
      </c>
      <c r="J106" s="24"/>
      <c r="K106" s="24">
        <f>J106+I106</f>
        <v>2500000</v>
      </c>
      <c r="L106" s="120"/>
    </row>
    <row r="107" spans="1:12" s="40" customFormat="1" ht="42" customHeight="1">
      <c r="A107" s="46" t="s">
        <v>319</v>
      </c>
      <c r="B107" s="46" t="s">
        <v>320</v>
      </c>
      <c r="C107" s="46" t="s">
        <v>321</v>
      </c>
      <c r="D107" s="38" t="s">
        <v>322</v>
      </c>
      <c r="E107" s="55"/>
      <c r="F107" s="38"/>
      <c r="G107" s="38"/>
      <c r="H107" s="38"/>
      <c r="I107" s="39">
        <f>130000-42784</f>
        <v>87216</v>
      </c>
      <c r="J107" s="39"/>
      <c r="K107" s="39">
        <f>J107+I107</f>
        <v>87216</v>
      </c>
      <c r="L107" s="120"/>
    </row>
    <row r="108" spans="1:12" s="17" customFormat="1" ht="39" customHeight="1">
      <c r="A108" s="14" t="s">
        <v>83</v>
      </c>
      <c r="B108" s="14" t="s">
        <v>165</v>
      </c>
      <c r="C108" s="14" t="s">
        <v>155</v>
      </c>
      <c r="D108" s="23" t="s">
        <v>18</v>
      </c>
      <c r="E108" s="23"/>
      <c r="F108" s="23"/>
      <c r="G108" s="23"/>
      <c r="H108" s="23"/>
      <c r="I108" s="24">
        <f>I109+I110+I111+I112+I113+I114+I115</f>
        <v>26420700</v>
      </c>
      <c r="J108" s="24">
        <f>J109+J110+J111+J112+J113+J114+J115</f>
        <v>0</v>
      </c>
      <c r="K108" s="24">
        <f>K109+K110+K111+K112+K113+K114+K115</f>
        <v>26420700</v>
      </c>
      <c r="L108" s="120"/>
    </row>
    <row r="109" spans="1:12" s="22" customFormat="1" ht="19.5" customHeight="1">
      <c r="A109" s="19"/>
      <c r="B109" s="19"/>
      <c r="C109" s="19"/>
      <c r="D109" s="26"/>
      <c r="E109" s="26" t="s">
        <v>186</v>
      </c>
      <c r="F109" s="26"/>
      <c r="G109" s="26"/>
      <c r="H109" s="26"/>
      <c r="I109" s="27">
        <f>2651900+543000</f>
        <v>3194900</v>
      </c>
      <c r="J109" s="27"/>
      <c r="K109" s="27">
        <f t="shared" si="2"/>
        <v>3194900</v>
      </c>
      <c r="L109" s="120"/>
    </row>
    <row r="110" spans="1:12" s="22" customFormat="1" ht="24" customHeight="1">
      <c r="A110" s="19"/>
      <c r="B110" s="19"/>
      <c r="C110" s="19"/>
      <c r="D110" s="26"/>
      <c r="E110" s="26" t="s">
        <v>187</v>
      </c>
      <c r="F110" s="26"/>
      <c r="G110" s="26"/>
      <c r="H110" s="26"/>
      <c r="I110" s="27">
        <f>810000+1250000</f>
        <v>2060000</v>
      </c>
      <c r="J110" s="27"/>
      <c r="K110" s="27">
        <f t="shared" si="2"/>
        <v>2060000</v>
      </c>
      <c r="L110" s="120"/>
    </row>
    <row r="111" spans="1:12" s="22" customFormat="1" ht="23.25" customHeight="1">
      <c r="A111" s="19"/>
      <c r="B111" s="19"/>
      <c r="C111" s="19"/>
      <c r="D111" s="26"/>
      <c r="E111" s="26" t="s">
        <v>188</v>
      </c>
      <c r="F111" s="26"/>
      <c r="G111" s="26"/>
      <c r="H111" s="26"/>
      <c r="I111" s="27">
        <v>2500000</v>
      </c>
      <c r="J111" s="27"/>
      <c r="K111" s="27">
        <f t="shared" si="2"/>
        <v>2500000</v>
      </c>
      <c r="L111" s="120"/>
    </row>
    <row r="112" spans="1:12" s="22" customFormat="1" ht="25.5" customHeight="1">
      <c r="A112" s="19"/>
      <c r="B112" s="19"/>
      <c r="C112" s="19"/>
      <c r="D112" s="26"/>
      <c r="E112" s="26" t="s">
        <v>189</v>
      </c>
      <c r="F112" s="26"/>
      <c r="G112" s="26"/>
      <c r="H112" s="26"/>
      <c r="I112" s="27">
        <f>9800000+3000000-1000000+4270800</f>
        <v>16070800</v>
      </c>
      <c r="J112" s="27"/>
      <c r="K112" s="27">
        <f t="shared" si="2"/>
        <v>16070800</v>
      </c>
      <c r="L112" s="120"/>
    </row>
    <row r="113" spans="1:12" s="22" customFormat="1" ht="21" customHeight="1">
      <c r="A113" s="19"/>
      <c r="B113" s="19"/>
      <c r="C113" s="19"/>
      <c r="D113" s="26"/>
      <c r="E113" s="26" t="s">
        <v>190</v>
      </c>
      <c r="F113" s="26"/>
      <c r="G113" s="26"/>
      <c r="H113" s="26"/>
      <c r="I113" s="27">
        <v>200000</v>
      </c>
      <c r="J113" s="27"/>
      <c r="K113" s="27">
        <f t="shared" si="2"/>
        <v>200000</v>
      </c>
      <c r="L113" s="120"/>
    </row>
    <row r="114" spans="1:12" s="22" customFormat="1" ht="24.75" customHeight="1">
      <c r="A114" s="19"/>
      <c r="B114" s="19"/>
      <c r="C114" s="19"/>
      <c r="D114" s="26"/>
      <c r="E114" s="26" t="s">
        <v>191</v>
      </c>
      <c r="F114" s="26"/>
      <c r="G114" s="26"/>
      <c r="H114" s="26"/>
      <c r="I114" s="27">
        <f>1500000+370000</f>
        <v>1870000</v>
      </c>
      <c r="J114" s="27"/>
      <c r="K114" s="27">
        <f t="shared" si="2"/>
        <v>1870000</v>
      </c>
      <c r="L114" s="120"/>
    </row>
    <row r="115" spans="1:12" s="22" customFormat="1" ht="29.25" customHeight="1">
      <c r="A115" s="19"/>
      <c r="B115" s="19"/>
      <c r="C115" s="19"/>
      <c r="D115" s="26"/>
      <c r="E115" s="26" t="s">
        <v>396</v>
      </c>
      <c r="F115" s="26"/>
      <c r="G115" s="26"/>
      <c r="H115" s="26"/>
      <c r="I115" s="27">
        <v>525000</v>
      </c>
      <c r="J115" s="27"/>
      <c r="K115" s="27">
        <f t="shared" si="2"/>
        <v>525000</v>
      </c>
      <c r="L115" s="120"/>
    </row>
    <row r="116" spans="1:12" s="17" customFormat="1" ht="51" customHeight="1">
      <c r="A116" s="14" t="s">
        <v>293</v>
      </c>
      <c r="B116" s="14" t="s">
        <v>294</v>
      </c>
      <c r="C116" s="14" t="s">
        <v>295</v>
      </c>
      <c r="D116" s="23" t="s">
        <v>296</v>
      </c>
      <c r="E116" s="23"/>
      <c r="F116" s="23"/>
      <c r="G116" s="23"/>
      <c r="H116" s="23"/>
      <c r="I116" s="24">
        <v>5462904</v>
      </c>
      <c r="J116" s="24"/>
      <c r="K116" s="24">
        <f>J116+I116</f>
        <v>5462904</v>
      </c>
      <c r="L116" s="120"/>
    </row>
    <row r="117" spans="1:12" s="17" customFormat="1" ht="21.75" customHeight="1">
      <c r="A117" s="47">
        <v>4118800</v>
      </c>
      <c r="B117" s="47">
        <v>8800</v>
      </c>
      <c r="C117" s="14" t="s">
        <v>117</v>
      </c>
      <c r="D117" s="56" t="s">
        <v>4</v>
      </c>
      <c r="E117" s="56"/>
      <c r="F117" s="56"/>
      <c r="G117" s="56"/>
      <c r="H117" s="56"/>
      <c r="I117" s="24">
        <f>I118</f>
        <v>2221500</v>
      </c>
      <c r="J117" s="24">
        <f>J118</f>
        <v>0</v>
      </c>
      <c r="K117" s="24">
        <f>K118</f>
        <v>2221500</v>
      </c>
      <c r="L117" s="120"/>
    </row>
    <row r="118" spans="1:12" s="17" customFormat="1" ht="36" customHeight="1">
      <c r="A118" s="49">
        <v>4118800</v>
      </c>
      <c r="B118" s="49">
        <v>8800</v>
      </c>
      <c r="C118" s="29" t="s">
        <v>117</v>
      </c>
      <c r="D118" s="57" t="s">
        <v>410</v>
      </c>
      <c r="E118" s="57"/>
      <c r="F118" s="57"/>
      <c r="G118" s="57"/>
      <c r="H118" s="57"/>
      <c r="I118" s="27">
        <f>1730000-508500+1000000</f>
        <v>2221500</v>
      </c>
      <c r="J118" s="27"/>
      <c r="K118" s="27">
        <f t="shared" si="2"/>
        <v>2221500</v>
      </c>
      <c r="L118" s="120"/>
    </row>
    <row r="119" spans="1:12" s="17" customFormat="1" ht="45" customHeight="1">
      <c r="A119" s="13" t="s">
        <v>86</v>
      </c>
      <c r="B119" s="14"/>
      <c r="C119" s="14"/>
      <c r="D119" s="43" t="s">
        <v>107</v>
      </c>
      <c r="E119" s="43"/>
      <c r="F119" s="43"/>
      <c r="G119" s="43"/>
      <c r="H119" s="43"/>
      <c r="I119" s="16">
        <f>I120</f>
        <v>150000</v>
      </c>
      <c r="J119" s="16">
        <f>J120</f>
        <v>0</v>
      </c>
      <c r="K119" s="16">
        <f>K120</f>
        <v>150000</v>
      </c>
      <c r="L119" s="120"/>
    </row>
    <row r="120" spans="1:12" s="58" customFormat="1" ht="45.75" customHeight="1">
      <c r="A120" s="18" t="s">
        <v>85</v>
      </c>
      <c r="B120" s="18"/>
      <c r="C120" s="18"/>
      <c r="D120" s="45" t="s">
        <v>107</v>
      </c>
      <c r="E120" s="45"/>
      <c r="F120" s="45"/>
      <c r="G120" s="45"/>
      <c r="H120" s="45"/>
      <c r="I120" s="21">
        <f>I121+I122</f>
        <v>150000</v>
      </c>
      <c r="J120" s="21">
        <f>J121+J122</f>
        <v>0</v>
      </c>
      <c r="K120" s="21">
        <f>K121+K122</f>
        <v>150000</v>
      </c>
      <c r="L120" s="120"/>
    </row>
    <row r="121" spans="1:12" s="17" customFormat="1" ht="41.25" customHeight="1">
      <c r="A121" s="14" t="s">
        <v>84</v>
      </c>
      <c r="B121" s="14" t="s">
        <v>117</v>
      </c>
      <c r="C121" s="14" t="s">
        <v>118</v>
      </c>
      <c r="D121" s="23" t="s">
        <v>278</v>
      </c>
      <c r="E121" s="23"/>
      <c r="F121" s="23"/>
      <c r="G121" s="23"/>
      <c r="H121" s="23"/>
      <c r="I121" s="24">
        <v>100000</v>
      </c>
      <c r="J121" s="36"/>
      <c r="K121" s="24">
        <f t="shared" si="2"/>
        <v>100000</v>
      </c>
      <c r="L121" s="120"/>
    </row>
    <row r="122" spans="1:12" s="17" customFormat="1" ht="21.75" customHeight="1">
      <c r="A122" s="14" t="s">
        <v>88</v>
      </c>
      <c r="B122" s="14" t="s">
        <v>176</v>
      </c>
      <c r="C122" s="14" t="s">
        <v>158</v>
      </c>
      <c r="D122" s="23" t="s">
        <v>260</v>
      </c>
      <c r="E122" s="23"/>
      <c r="F122" s="23"/>
      <c r="G122" s="23"/>
      <c r="H122" s="23"/>
      <c r="I122" s="24">
        <v>50000</v>
      </c>
      <c r="J122" s="36"/>
      <c r="K122" s="24">
        <f t="shared" si="2"/>
        <v>50000</v>
      </c>
      <c r="L122" s="120"/>
    </row>
    <row r="123" spans="1:12" s="22" customFormat="1" ht="51" customHeight="1">
      <c r="A123" s="59">
        <v>4600000</v>
      </c>
      <c r="B123" s="47"/>
      <c r="C123" s="47"/>
      <c r="D123" s="43" t="s">
        <v>116</v>
      </c>
      <c r="E123" s="43"/>
      <c r="F123" s="43"/>
      <c r="G123" s="43"/>
      <c r="H123" s="43"/>
      <c r="I123" s="16">
        <f aca="true" t="shared" si="3" ref="I123:K124">I124</f>
        <v>12000</v>
      </c>
      <c r="J123" s="16">
        <f t="shared" si="3"/>
        <v>0</v>
      </c>
      <c r="K123" s="16">
        <f t="shared" si="3"/>
        <v>12000</v>
      </c>
      <c r="L123" s="120"/>
    </row>
    <row r="124" spans="1:12" s="61" customFormat="1" ht="52.5" customHeight="1">
      <c r="A124" s="60">
        <v>4610000</v>
      </c>
      <c r="B124" s="60"/>
      <c r="C124" s="60"/>
      <c r="D124" s="45" t="s">
        <v>292</v>
      </c>
      <c r="E124" s="45"/>
      <c r="F124" s="45"/>
      <c r="G124" s="45"/>
      <c r="H124" s="45"/>
      <c r="I124" s="21">
        <f t="shared" si="3"/>
        <v>12000</v>
      </c>
      <c r="J124" s="21">
        <f t="shared" si="3"/>
        <v>0</v>
      </c>
      <c r="K124" s="21">
        <f t="shared" si="3"/>
        <v>12000</v>
      </c>
      <c r="L124" s="120"/>
    </row>
    <row r="125" spans="1:12" s="22" customFormat="1" ht="39" customHeight="1">
      <c r="A125" s="14" t="s">
        <v>115</v>
      </c>
      <c r="B125" s="14" t="s">
        <v>117</v>
      </c>
      <c r="C125" s="14" t="s">
        <v>118</v>
      </c>
      <c r="D125" s="23" t="s">
        <v>278</v>
      </c>
      <c r="E125" s="23"/>
      <c r="F125" s="23"/>
      <c r="G125" s="23"/>
      <c r="H125" s="23"/>
      <c r="I125" s="24">
        <v>12000</v>
      </c>
      <c r="J125" s="36"/>
      <c r="K125" s="24">
        <f t="shared" si="2"/>
        <v>12000</v>
      </c>
      <c r="L125" s="120"/>
    </row>
    <row r="126" spans="1:12" s="17" customFormat="1" ht="58.5" customHeight="1">
      <c r="A126" s="13" t="s">
        <v>90</v>
      </c>
      <c r="B126" s="14"/>
      <c r="C126" s="14"/>
      <c r="D126" s="43" t="s">
        <v>89</v>
      </c>
      <c r="E126" s="43"/>
      <c r="F126" s="43"/>
      <c r="G126" s="43"/>
      <c r="H126" s="43"/>
      <c r="I126" s="16">
        <f>I127</f>
        <v>279185099</v>
      </c>
      <c r="J126" s="16">
        <f>J127</f>
        <v>35900</v>
      </c>
      <c r="K126" s="16">
        <f>K127</f>
        <v>279220999</v>
      </c>
      <c r="L126" s="120"/>
    </row>
    <row r="127" spans="1:12" s="22" customFormat="1" ht="54" customHeight="1">
      <c r="A127" s="18" t="s">
        <v>91</v>
      </c>
      <c r="B127" s="19"/>
      <c r="C127" s="19"/>
      <c r="D127" s="45" t="s">
        <v>89</v>
      </c>
      <c r="E127" s="45"/>
      <c r="F127" s="45"/>
      <c r="G127" s="45"/>
      <c r="H127" s="45"/>
      <c r="I127" s="21">
        <f>I129+I130+I297+I293+I296+I128</f>
        <v>279185099</v>
      </c>
      <c r="J127" s="21">
        <f>J129+J130+J297+J293+J296+J128</f>
        <v>35900</v>
      </c>
      <c r="K127" s="21">
        <f>K129+K130+K297+K293+K296+K128</f>
        <v>279220999</v>
      </c>
      <c r="L127" s="120">
        <v>32</v>
      </c>
    </row>
    <row r="128" spans="1:12" s="17" customFormat="1" ht="39" customHeight="1">
      <c r="A128" s="14" t="s">
        <v>195</v>
      </c>
      <c r="B128" s="14" t="s">
        <v>132</v>
      </c>
      <c r="C128" s="14" t="s">
        <v>133</v>
      </c>
      <c r="D128" s="23" t="s">
        <v>43</v>
      </c>
      <c r="E128" s="23"/>
      <c r="F128" s="23"/>
      <c r="G128" s="23"/>
      <c r="H128" s="23"/>
      <c r="I128" s="24">
        <v>5000000</v>
      </c>
      <c r="J128" s="36"/>
      <c r="K128" s="24">
        <f t="shared" si="2"/>
        <v>5000000</v>
      </c>
      <c r="L128" s="120"/>
    </row>
    <row r="129" spans="1:12" s="17" customFormat="1" ht="23.25" customHeight="1">
      <c r="A129" s="14" t="s">
        <v>92</v>
      </c>
      <c r="B129" s="14" t="s">
        <v>145</v>
      </c>
      <c r="C129" s="14" t="s">
        <v>144</v>
      </c>
      <c r="D129" s="23" t="s">
        <v>1</v>
      </c>
      <c r="E129" s="23"/>
      <c r="F129" s="23"/>
      <c r="G129" s="23"/>
      <c r="H129" s="23"/>
      <c r="I129" s="24">
        <f>62165698+12000000-12000000+34000000+14520000</f>
        <v>110685698</v>
      </c>
      <c r="J129" s="24">
        <v>5900</v>
      </c>
      <c r="K129" s="24">
        <f t="shared" si="2"/>
        <v>110691598</v>
      </c>
      <c r="L129" s="120"/>
    </row>
    <row r="130" spans="1:12" s="17" customFormat="1" ht="39.75" customHeight="1">
      <c r="A130" s="14" t="s">
        <v>93</v>
      </c>
      <c r="B130" s="14" t="s">
        <v>154</v>
      </c>
      <c r="C130" s="14" t="s">
        <v>155</v>
      </c>
      <c r="D130" s="23" t="s">
        <v>87</v>
      </c>
      <c r="E130" s="23"/>
      <c r="F130" s="23"/>
      <c r="G130" s="23"/>
      <c r="H130" s="23"/>
      <c r="I130" s="16">
        <f>I131+I234+I240</f>
        <v>117517301</v>
      </c>
      <c r="J130" s="16">
        <f>J131+J234+J240</f>
        <v>30000</v>
      </c>
      <c r="K130" s="16">
        <f>K131+K234+K240</f>
        <v>117547301</v>
      </c>
      <c r="L130" s="120"/>
    </row>
    <row r="131" spans="1:12" s="58" customFormat="1" ht="15">
      <c r="A131" s="13"/>
      <c r="B131" s="13"/>
      <c r="C131" s="13"/>
      <c r="D131" s="43"/>
      <c r="E131" s="43" t="s">
        <v>196</v>
      </c>
      <c r="F131" s="62"/>
      <c r="G131" s="62"/>
      <c r="H131" s="62"/>
      <c r="I131" s="63">
        <f>SUM(I132:I233)</f>
        <v>28545158</v>
      </c>
      <c r="J131" s="63">
        <f>SUM(J132:J233)</f>
        <v>30000</v>
      </c>
      <c r="K131" s="63">
        <f>SUM(K132:K233)</f>
        <v>28575158</v>
      </c>
      <c r="L131" s="120"/>
    </row>
    <row r="132" spans="1:12" s="17" customFormat="1" ht="24" customHeight="1">
      <c r="A132" s="14"/>
      <c r="B132" s="14"/>
      <c r="C132" s="14"/>
      <c r="D132" s="23"/>
      <c r="E132" s="23" t="s">
        <v>197</v>
      </c>
      <c r="F132" s="64">
        <v>28556946</v>
      </c>
      <c r="G132" s="34">
        <v>84.5</v>
      </c>
      <c r="H132" s="64">
        <v>24123406</v>
      </c>
      <c r="I132" s="24">
        <v>3000000</v>
      </c>
      <c r="J132" s="36"/>
      <c r="K132" s="24">
        <f t="shared" si="2"/>
        <v>3000000</v>
      </c>
      <c r="L132" s="120"/>
    </row>
    <row r="133" spans="1:12" s="17" customFormat="1" ht="56.25" customHeight="1">
      <c r="A133" s="14"/>
      <c r="B133" s="14"/>
      <c r="C133" s="14"/>
      <c r="D133" s="23"/>
      <c r="E133" s="23" t="s">
        <v>198</v>
      </c>
      <c r="F133" s="64"/>
      <c r="G133" s="64"/>
      <c r="H133" s="64"/>
      <c r="I133" s="24">
        <f>12350000-2000000-30000-8745170-35000</f>
        <v>1539830</v>
      </c>
      <c r="J133" s="24"/>
      <c r="K133" s="24">
        <f t="shared" si="2"/>
        <v>1539830</v>
      </c>
      <c r="L133" s="120"/>
    </row>
    <row r="134" spans="1:12" s="17" customFormat="1" ht="55.5" customHeight="1">
      <c r="A134" s="14"/>
      <c r="B134" s="14"/>
      <c r="C134" s="14"/>
      <c r="D134" s="23"/>
      <c r="E134" s="23" t="s">
        <v>199</v>
      </c>
      <c r="F134" s="64">
        <v>55700800</v>
      </c>
      <c r="G134" s="34">
        <v>65.4</v>
      </c>
      <c r="H134" s="64">
        <v>36425600</v>
      </c>
      <c r="I134" s="24">
        <v>5000000</v>
      </c>
      <c r="J134" s="36"/>
      <c r="K134" s="24">
        <f t="shared" si="2"/>
        <v>5000000</v>
      </c>
      <c r="L134" s="120"/>
    </row>
    <row r="135" spans="1:12" s="17" customFormat="1" ht="36.75" customHeight="1">
      <c r="A135" s="14"/>
      <c r="B135" s="14"/>
      <c r="C135" s="14"/>
      <c r="D135" s="23"/>
      <c r="E135" s="23" t="s">
        <v>200</v>
      </c>
      <c r="F135" s="64">
        <v>12997832</v>
      </c>
      <c r="G135" s="64">
        <v>29</v>
      </c>
      <c r="H135" s="64">
        <v>3769686</v>
      </c>
      <c r="I135" s="24">
        <v>500000</v>
      </c>
      <c r="J135" s="36"/>
      <c r="K135" s="24">
        <f t="shared" si="2"/>
        <v>500000</v>
      </c>
      <c r="L135" s="120"/>
    </row>
    <row r="136" spans="1:12" s="17" customFormat="1" ht="24" customHeight="1">
      <c r="A136" s="14"/>
      <c r="B136" s="14"/>
      <c r="C136" s="14"/>
      <c r="D136" s="23"/>
      <c r="E136" s="23" t="s">
        <v>201</v>
      </c>
      <c r="F136" s="64">
        <v>9888427</v>
      </c>
      <c r="G136" s="34">
        <v>97.9</v>
      </c>
      <c r="H136" s="64">
        <v>9684425</v>
      </c>
      <c r="I136" s="24">
        <f>5000000-3000000</f>
        <v>2000000</v>
      </c>
      <c r="J136" s="36"/>
      <c r="K136" s="24">
        <f t="shared" si="2"/>
        <v>2000000</v>
      </c>
      <c r="L136" s="120"/>
    </row>
    <row r="137" spans="1:12" s="17" customFormat="1" ht="27.75" customHeight="1">
      <c r="A137" s="14"/>
      <c r="B137" s="14"/>
      <c r="C137" s="14"/>
      <c r="D137" s="23"/>
      <c r="E137" s="65" t="s">
        <v>202</v>
      </c>
      <c r="F137" s="64"/>
      <c r="G137" s="64"/>
      <c r="H137" s="64"/>
      <c r="I137" s="24">
        <v>1500000</v>
      </c>
      <c r="J137" s="36"/>
      <c r="K137" s="24">
        <f t="shared" si="2"/>
        <v>1500000</v>
      </c>
      <c r="L137" s="120"/>
    </row>
    <row r="138" spans="1:12" s="17" customFormat="1" ht="27" customHeight="1">
      <c r="A138" s="14"/>
      <c r="B138" s="14"/>
      <c r="C138" s="14"/>
      <c r="D138" s="23"/>
      <c r="E138" s="23" t="s">
        <v>203</v>
      </c>
      <c r="F138" s="64">
        <v>2186292</v>
      </c>
      <c r="G138" s="34">
        <v>30.7</v>
      </c>
      <c r="H138" s="64">
        <v>670994</v>
      </c>
      <c r="I138" s="24">
        <v>500000</v>
      </c>
      <c r="J138" s="36"/>
      <c r="K138" s="24">
        <f t="shared" si="2"/>
        <v>500000</v>
      </c>
      <c r="L138" s="120"/>
    </row>
    <row r="139" spans="1:12" s="17" customFormat="1" ht="23.25" customHeight="1">
      <c r="A139" s="14"/>
      <c r="B139" s="14"/>
      <c r="C139" s="14"/>
      <c r="D139" s="23"/>
      <c r="E139" s="65" t="s">
        <v>282</v>
      </c>
      <c r="F139" s="64"/>
      <c r="G139" s="34"/>
      <c r="H139" s="64"/>
      <c r="I139" s="24">
        <v>500000</v>
      </c>
      <c r="J139" s="24"/>
      <c r="K139" s="24">
        <f t="shared" si="2"/>
        <v>500000</v>
      </c>
      <c r="L139" s="120"/>
    </row>
    <row r="140" spans="1:12" s="17" customFormat="1" ht="27" customHeight="1">
      <c r="A140" s="14"/>
      <c r="B140" s="14"/>
      <c r="C140" s="14"/>
      <c r="D140" s="23"/>
      <c r="E140" s="23" t="s">
        <v>204</v>
      </c>
      <c r="F140" s="64">
        <v>41125371</v>
      </c>
      <c r="G140" s="34">
        <v>54.2</v>
      </c>
      <c r="H140" s="64">
        <v>22273896</v>
      </c>
      <c r="I140" s="24">
        <f>5000000-3000000</f>
        <v>2000000</v>
      </c>
      <c r="J140" s="36"/>
      <c r="K140" s="24">
        <f t="shared" si="2"/>
        <v>2000000</v>
      </c>
      <c r="L140" s="120"/>
    </row>
    <row r="141" spans="1:12" s="17" customFormat="1" ht="39" customHeight="1">
      <c r="A141" s="14"/>
      <c r="B141" s="14"/>
      <c r="C141" s="14"/>
      <c r="D141" s="23"/>
      <c r="E141" s="23" t="s">
        <v>281</v>
      </c>
      <c r="F141" s="64"/>
      <c r="G141" s="34"/>
      <c r="H141" s="64"/>
      <c r="I141" s="24">
        <v>850000</v>
      </c>
      <c r="J141" s="24"/>
      <c r="K141" s="24">
        <f t="shared" si="2"/>
        <v>850000</v>
      </c>
      <c r="L141" s="120"/>
    </row>
    <row r="142" spans="1:12" s="40" customFormat="1" ht="31.5" customHeight="1">
      <c r="A142" s="46"/>
      <c r="B142" s="46"/>
      <c r="C142" s="46"/>
      <c r="D142" s="38"/>
      <c r="E142" s="38" t="s">
        <v>309</v>
      </c>
      <c r="F142" s="66"/>
      <c r="G142" s="67"/>
      <c r="H142" s="66"/>
      <c r="I142" s="39">
        <v>100000</v>
      </c>
      <c r="J142" s="39"/>
      <c r="K142" s="39">
        <f t="shared" si="2"/>
        <v>100000</v>
      </c>
      <c r="L142" s="120"/>
    </row>
    <row r="143" spans="1:12" s="17" customFormat="1" ht="24" customHeight="1">
      <c r="A143" s="14"/>
      <c r="B143" s="14"/>
      <c r="C143" s="14"/>
      <c r="D143" s="23"/>
      <c r="E143" s="23" t="s">
        <v>266</v>
      </c>
      <c r="F143" s="64"/>
      <c r="G143" s="34"/>
      <c r="H143" s="64"/>
      <c r="I143" s="24">
        <v>100000</v>
      </c>
      <c r="J143" s="36"/>
      <c r="K143" s="24">
        <f t="shared" si="2"/>
        <v>100000</v>
      </c>
      <c r="L143" s="120"/>
    </row>
    <row r="144" spans="1:12" s="17" customFormat="1" ht="21" customHeight="1">
      <c r="A144" s="14"/>
      <c r="B144" s="14"/>
      <c r="C144" s="14"/>
      <c r="D144" s="23"/>
      <c r="E144" s="23" t="s">
        <v>205</v>
      </c>
      <c r="F144" s="64"/>
      <c r="G144" s="64"/>
      <c r="H144" s="64"/>
      <c r="I144" s="24">
        <v>500000</v>
      </c>
      <c r="J144" s="36"/>
      <c r="K144" s="24">
        <f t="shared" si="2"/>
        <v>500000</v>
      </c>
      <c r="L144" s="120"/>
    </row>
    <row r="145" spans="1:12" s="17" customFormat="1" ht="39" customHeight="1">
      <c r="A145" s="14"/>
      <c r="B145" s="14"/>
      <c r="C145" s="14"/>
      <c r="D145" s="23"/>
      <c r="E145" s="38" t="s">
        <v>418</v>
      </c>
      <c r="F145" s="64"/>
      <c r="G145" s="64"/>
      <c r="H145" s="64"/>
      <c r="I145" s="24">
        <v>100000</v>
      </c>
      <c r="J145" s="68"/>
      <c r="K145" s="24">
        <f t="shared" si="2"/>
        <v>100000</v>
      </c>
      <c r="L145" s="120"/>
    </row>
    <row r="146" spans="1:12" s="17" customFormat="1" ht="41.25" customHeight="1">
      <c r="A146" s="14"/>
      <c r="B146" s="14"/>
      <c r="C146" s="14"/>
      <c r="D146" s="23"/>
      <c r="E146" s="23" t="s">
        <v>392</v>
      </c>
      <c r="F146" s="64"/>
      <c r="G146" s="64"/>
      <c r="H146" s="64"/>
      <c r="I146" s="24">
        <v>2000000</v>
      </c>
      <c r="J146" s="68"/>
      <c r="K146" s="24">
        <f t="shared" si="2"/>
        <v>2000000</v>
      </c>
      <c r="L146" s="120"/>
    </row>
    <row r="147" spans="1:12" s="17" customFormat="1" ht="21" customHeight="1">
      <c r="A147" s="14"/>
      <c r="B147" s="14"/>
      <c r="C147" s="14"/>
      <c r="D147" s="23"/>
      <c r="E147" s="23" t="s">
        <v>206</v>
      </c>
      <c r="F147" s="64"/>
      <c r="G147" s="64"/>
      <c r="H147" s="64"/>
      <c r="I147" s="24">
        <f>4200000+1070000-4342418-250000</f>
        <v>677582</v>
      </c>
      <c r="J147" s="68"/>
      <c r="K147" s="24">
        <f t="shared" si="2"/>
        <v>677582</v>
      </c>
      <c r="L147" s="120"/>
    </row>
    <row r="148" spans="1:12" s="17" customFormat="1" ht="46.5" customHeight="1">
      <c r="A148" s="14"/>
      <c r="B148" s="14"/>
      <c r="C148" s="14"/>
      <c r="D148" s="23"/>
      <c r="E148" s="38" t="s">
        <v>416</v>
      </c>
      <c r="F148" s="64"/>
      <c r="G148" s="64"/>
      <c r="H148" s="64"/>
      <c r="I148" s="24">
        <v>250000</v>
      </c>
      <c r="J148" s="68"/>
      <c r="K148" s="24">
        <f t="shared" si="2"/>
        <v>250000</v>
      </c>
      <c r="L148" s="120"/>
    </row>
    <row r="149" spans="1:12" s="17" customFormat="1" ht="37.5" customHeight="1">
      <c r="A149" s="14"/>
      <c r="B149" s="14"/>
      <c r="C149" s="14"/>
      <c r="D149" s="23"/>
      <c r="E149" s="38" t="s">
        <v>345</v>
      </c>
      <c r="F149" s="64"/>
      <c r="G149" s="64"/>
      <c r="H149" s="64"/>
      <c r="I149" s="24">
        <v>50000</v>
      </c>
      <c r="J149" s="68"/>
      <c r="K149" s="24">
        <f t="shared" si="2"/>
        <v>50000</v>
      </c>
      <c r="L149" s="120"/>
    </row>
    <row r="150" spans="1:12" s="17" customFormat="1" ht="37.5" customHeight="1">
      <c r="A150" s="14"/>
      <c r="B150" s="14"/>
      <c r="C150" s="14"/>
      <c r="D150" s="23"/>
      <c r="E150" s="23" t="s">
        <v>329</v>
      </c>
      <c r="F150" s="64"/>
      <c r="G150" s="64"/>
      <c r="H150" s="64"/>
      <c r="I150" s="24">
        <v>50000</v>
      </c>
      <c r="J150" s="68"/>
      <c r="K150" s="24">
        <f t="shared" si="2"/>
        <v>50000</v>
      </c>
      <c r="L150" s="120"/>
    </row>
    <row r="151" spans="1:12" s="17" customFormat="1" ht="39" customHeight="1">
      <c r="A151" s="14"/>
      <c r="B151" s="14"/>
      <c r="C151" s="14"/>
      <c r="D151" s="23"/>
      <c r="E151" s="23" t="s">
        <v>330</v>
      </c>
      <c r="F151" s="64"/>
      <c r="G151" s="64"/>
      <c r="H151" s="64"/>
      <c r="I151" s="24">
        <v>50000</v>
      </c>
      <c r="J151" s="68"/>
      <c r="K151" s="24">
        <f t="shared" si="2"/>
        <v>50000</v>
      </c>
      <c r="L151" s="120"/>
    </row>
    <row r="152" spans="1:12" s="17" customFormat="1" ht="43.5" customHeight="1">
      <c r="A152" s="14"/>
      <c r="B152" s="14"/>
      <c r="C152" s="14"/>
      <c r="D152" s="23"/>
      <c r="E152" s="23" t="s">
        <v>331</v>
      </c>
      <c r="F152" s="64"/>
      <c r="G152" s="64"/>
      <c r="H152" s="64"/>
      <c r="I152" s="24">
        <v>65000</v>
      </c>
      <c r="J152" s="68"/>
      <c r="K152" s="24">
        <f t="shared" si="2"/>
        <v>65000</v>
      </c>
      <c r="L152" s="120"/>
    </row>
    <row r="153" spans="1:12" s="17" customFormat="1" ht="36.75" customHeight="1">
      <c r="A153" s="14"/>
      <c r="B153" s="14"/>
      <c r="C153" s="14"/>
      <c r="D153" s="23"/>
      <c r="E153" s="23" t="s">
        <v>332</v>
      </c>
      <c r="F153" s="64"/>
      <c r="G153" s="64"/>
      <c r="H153" s="64"/>
      <c r="I153" s="24">
        <v>35000</v>
      </c>
      <c r="J153" s="68">
        <v>30000</v>
      </c>
      <c r="K153" s="24">
        <f t="shared" si="2"/>
        <v>65000</v>
      </c>
      <c r="L153" s="120">
        <v>33</v>
      </c>
    </row>
    <row r="154" spans="1:12" s="17" customFormat="1" ht="43.5" customHeight="1">
      <c r="A154" s="14"/>
      <c r="B154" s="14"/>
      <c r="C154" s="14"/>
      <c r="D154" s="23"/>
      <c r="E154" s="51" t="s">
        <v>341</v>
      </c>
      <c r="F154" s="64"/>
      <c r="G154" s="64"/>
      <c r="H154" s="64"/>
      <c r="I154" s="24">
        <f>100000-19260</f>
        <v>80740</v>
      </c>
      <c r="J154" s="68"/>
      <c r="K154" s="24">
        <f t="shared" si="2"/>
        <v>80740</v>
      </c>
      <c r="L154" s="120"/>
    </row>
    <row r="155" spans="1:12" s="17" customFormat="1" ht="39" customHeight="1">
      <c r="A155" s="14"/>
      <c r="B155" s="14"/>
      <c r="C155" s="14"/>
      <c r="D155" s="23"/>
      <c r="E155" s="51" t="s">
        <v>405</v>
      </c>
      <c r="F155" s="64"/>
      <c r="G155" s="64"/>
      <c r="H155" s="64"/>
      <c r="I155" s="24">
        <v>183830</v>
      </c>
      <c r="J155" s="68"/>
      <c r="K155" s="24">
        <f t="shared" si="2"/>
        <v>183830</v>
      </c>
      <c r="L155" s="120"/>
    </row>
    <row r="156" spans="1:12" s="17" customFormat="1" ht="39" customHeight="1">
      <c r="A156" s="14"/>
      <c r="B156" s="14"/>
      <c r="C156" s="14"/>
      <c r="D156" s="23"/>
      <c r="E156" s="23" t="s">
        <v>333</v>
      </c>
      <c r="F156" s="64"/>
      <c r="G156" s="64"/>
      <c r="H156" s="64"/>
      <c r="I156" s="24">
        <v>50000</v>
      </c>
      <c r="J156" s="68"/>
      <c r="K156" s="24">
        <f t="shared" si="2"/>
        <v>50000</v>
      </c>
      <c r="L156" s="120"/>
    </row>
    <row r="157" spans="1:12" s="17" customFormat="1" ht="46.5" customHeight="1">
      <c r="A157" s="14"/>
      <c r="B157" s="14"/>
      <c r="C157" s="14"/>
      <c r="D157" s="23"/>
      <c r="E157" s="23" t="s">
        <v>334</v>
      </c>
      <c r="F157" s="64"/>
      <c r="G157" s="64"/>
      <c r="H157" s="64"/>
      <c r="I157" s="24">
        <v>50000</v>
      </c>
      <c r="J157" s="68"/>
      <c r="K157" s="24">
        <f t="shared" si="2"/>
        <v>50000</v>
      </c>
      <c r="L157" s="120"/>
    </row>
    <row r="158" spans="1:12" s="17" customFormat="1" ht="39.75" customHeight="1">
      <c r="A158" s="14"/>
      <c r="B158" s="14"/>
      <c r="C158" s="14"/>
      <c r="D158" s="23"/>
      <c r="E158" s="38" t="s">
        <v>361</v>
      </c>
      <c r="F158" s="64"/>
      <c r="G158" s="64"/>
      <c r="H158" s="64"/>
      <c r="I158" s="24">
        <v>100000</v>
      </c>
      <c r="J158" s="68"/>
      <c r="K158" s="24">
        <f t="shared" si="2"/>
        <v>100000</v>
      </c>
      <c r="L158" s="120"/>
    </row>
    <row r="159" spans="1:12" s="17" customFormat="1" ht="37.5" customHeight="1">
      <c r="A159" s="14"/>
      <c r="B159" s="14"/>
      <c r="C159" s="14"/>
      <c r="D159" s="23"/>
      <c r="E159" s="38" t="s">
        <v>379</v>
      </c>
      <c r="F159" s="64"/>
      <c r="G159" s="64"/>
      <c r="H159" s="64"/>
      <c r="I159" s="24">
        <v>50000</v>
      </c>
      <c r="J159" s="68"/>
      <c r="K159" s="24">
        <f t="shared" si="2"/>
        <v>50000</v>
      </c>
      <c r="L159" s="120"/>
    </row>
    <row r="160" spans="1:12" s="17" customFormat="1" ht="37.5" customHeight="1">
      <c r="A160" s="14"/>
      <c r="B160" s="14"/>
      <c r="C160" s="14"/>
      <c r="D160" s="23"/>
      <c r="E160" s="23" t="s">
        <v>335</v>
      </c>
      <c r="F160" s="64"/>
      <c r="G160" s="64"/>
      <c r="H160" s="64"/>
      <c r="I160" s="24">
        <v>50000</v>
      </c>
      <c r="J160" s="68"/>
      <c r="K160" s="24">
        <f t="shared" si="2"/>
        <v>50000</v>
      </c>
      <c r="L160" s="120"/>
    </row>
    <row r="161" spans="1:12" s="17" customFormat="1" ht="36.75" customHeight="1">
      <c r="A161" s="14"/>
      <c r="B161" s="14"/>
      <c r="C161" s="14"/>
      <c r="D161" s="23"/>
      <c r="E161" s="23" t="s">
        <v>336</v>
      </c>
      <c r="F161" s="64"/>
      <c r="G161" s="64"/>
      <c r="H161" s="64"/>
      <c r="I161" s="24">
        <v>50000</v>
      </c>
      <c r="J161" s="68"/>
      <c r="K161" s="24">
        <f t="shared" si="2"/>
        <v>50000</v>
      </c>
      <c r="L161" s="120"/>
    </row>
    <row r="162" spans="1:12" s="17" customFormat="1" ht="39" customHeight="1">
      <c r="A162" s="14"/>
      <c r="B162" s="14"/>
      <c r="C162" s="14"/>
      <c r="D162" s="23"/>
      <c r="E162" s="23" t="s">
        <v>337</v>
      </c>
      <c r="F162" s="64"/>
      <c r="G162" s="64"/>
      <c r="H162" s="64"/>
      <c r="I162" s="24">
        <v>50000</v>
      </c>
      <c r="J162" s="68"/>
      <c r="K162" s="24">
        <f t="shared" si="2"/>
        <v>50000</v>
      </c>
      <c r="L162" s="120"/>
    </row>
    <row r="163" spans="1:12" s="17" customFormat="1" ht="39" customHeight="1">
      <c r="A163" s="14"/>
      <c r="B163" s="14"/>
      <c r="C163" s="14"/>
      <c r="D163" s="23"/>
      <c r="E163" s="23" t="s">
        <v>338</v>
      </c>
      <c r="F163" s="64"/>
      <c r="G163" s="64"/>
      <c r="H163" s="64"/>
      <c r="I163" s="24">
        <v>50000</v>
      </c>
      <c r="J163" s="68"/>
      <c r="K163" s="24">
        <f t="shared" si="2"/>
        <v>50000</v>
      </c>
      <c r="L163" s="120"/>
    </row>
    <row r="164" spans="1:12" s="17" customFormat="1" ht="36.75" customHeight="1">
      <c r="A164" s="14"/>
      <c r="B164" s="14"/>
      <c r="C164" s="14"/>
      <c r="D164" s="23"/>
      <c r="E164" s="23" t="s">
        <v>339</v>
      </c>
      <c r="F164" s="64"/>
      <c r="G164" s="64"/>
      <c r="H164" s="64"/>
      <c r="I164" s="24">
        <v>50000</v>
      </c>
      <c r="J164" s="68"/>
      <c r="K164" s="24">
        <f t="shared" si="2"/>
        <v>50000</v>
      </c>
      <c r="L164" s="120"/>
    </row>
    <row r="165" spans="1:12" s="17" customFormat="1" ht="41.25" customHeight="1">
      <c r="A165" s="14"/>
      <c r="B165" s="14"/>
      <c r="C165" s="14"/>
      <c r="D165" s="23"/>
      <c r="E165" s="23" t="s">
        <v>340</v>
      </c>
      <c r="F165" s="64"/>
      <c r="G165" s="64"/>
      <c r="H165" s="64"/>
      <c r="I165" s="24">
        <v>50000</v>
      </c>
      <c r="J165" s="68"/>
      <c r="K165" s="24">
        <f t="shared" si="2"/>
        <v>50000</v>
      </c>
      <c r="L165" s="120"/>
    </row>
    <row r="166" spans="1:12" s="17" customFormat="1" ht="42" customHeight="1">
      <c r="A166" s="14"/>
      <c r="B166" s="14"/>
      <c r="C166" s="14"/>
      <c r="D166" s="23"/>
      <c r="E166" s="65" t="s">
        <v>207</v>
      </c>
      <c r="F166" s="64"/>
      <c r="G166" s="64"/>
      <c r="H166" s="64"/>
      <c r="I166" s="24">
        <f>45000+27946</f>
        <v>72946</v>
      </c>
      <c r="J166" s="24"/>
      <c r="K166" s="24">
        <f t="shared" si="2"/>
        <v>72946</v>
      </c>
      <c r="L166" s="120"/>
    </row>
    <row r="167" spans="1:12" s="17" customFormat="1" ht="38.25" customHeight="1">
      <c r="A167" s="14"/>
      <c r="B167" s="14"/>
      <c r="C167" s="14"/>
      <c r="D167" s="23"/>
      <c r="E167" s="65" t="s">
        <v>399</v>
      </c>
      <c r="F167" s="64"/>
      <c r="G167" s="64"/>
      <c r="H167" s="64"/>
      <c r="I167" s="24">
        <v>35000</v>
      </c>
      <c r="J167" s="24"/>
      <c r="K167" s="24">
        <f t="shared" si="2"/>
        <v>35000</v>
      </c>
      <c r="L167" s="120"/>
    </row>
    <row r="168" spans="1:12" s="17" customFormat="1" ht="36" customHeight="1">
      <c r="A168" s="14"/>
      <c r="B168" s="14"/>
      <c r="C168" s="14"/>
      <c r="D168" s="23"/>
      <c r="E168" s="69" t="s">
        <v>398</v>
      </c>
      <c r="F168" s="64"/>
      <c r="G168" s="64"/>
      <c r="H168" s="64"/>
      <c r="I168" s="24">
        <v>35000</v>
      </c>
      <c r="J168" s="24"/>
      <c r="K168" s="24">
        <f>I168+J168</f>
        <v>35000</v>
      </c>
      <c r="L168" s="120"/>
    </row>
    <row r="169" spans="1:12" s="17" customFormat="1" ht="39" customHeight="1">
      <c r="A169" s="14"/>
      <c r="B169" s="14"/>
      <c r="C169" s="14"/>
      <c r="D169" s="23"/>
      <c r="E169" s="65" t="s">
        <v>393</v>
      </c>
      <c r="F169" s="64"/>
      <c r="G169" s="64"/>
      <c r="H169" s="64"/>
      <c r="I169" s="24">
        <v>50793</v>
      </c>
      <c r="J169" s="24"/>
      <c r="K169" s="24">
        <f t="shared" si="2"/>
        <v>50793</v>
      </c>
      <c r="L169" s="120"/>
    </row>
    <row r="170" spans="1:12" s="17" customFormat="1" ht="39" customHeight="1">
      <c r="A170" s="14"/>
      <c r="B170" s="14"/>
      <c r="C170" s="14"/>
      <c r="D170" s="23"/>
      <c r="E170" s="65" t="s">
        <v>208</v>
      </c>
      <c r="F170" s="64"/>
      <c r="G170" s="64"/>
      <c r="H170" s="64"/>
      <c r="I170" s="24">
        <f>29703+9047</f>
        <v>38750</v>
      </c>
      <c r="J170" s="24"/>
      <c r="K170" s="24">
        <f t="shared" si="2"/>
        <v>38750</v>
      </c>
      <c r="L170" s="120"/>
    </row>
    <row r="171" spans="1:12" s="40" customFormat="1" ht="37.5" customHeight="1">
      <c r="A171" s="46"/>
      <c r="B171" s="46"/>
      <c r="C171" s="46"/>
      <c r="D171" s="38"/>
      <c r="E171" s="69" t="s">
        <v>310</v>
      </c>
      <c r="F171" s="66"/>
      <c r="G171" s="66"/>
      <c r="H171" s="66"/>
      <c r="I171" s="39">
        <v>53229</v>
      </c>
      <c r="J171" s="39"/>
      <c r="K171" s="39">
        <f t="shared" si="2"/>
        <v>53229</v>
      </c>
      <c r="L171" s="120"/>
    </row>
    <row r="172" spans="1:12" s="40" customFormat="1" ht="37.5" customHeight="1">
      <c r="A172" s="46"/>
      <c r="B172" s="46"/>
      <c r="C172" s="46"/>
      <c r="D172" s="38"/>
      <c r="E172" s="69" t="s">
        <v>349</v>
      </c>
      <c r="F172" s="66"/>
      <c r="G172" s="66"/>
      <c r="H172" s="66"/>
      <c r="I172" s="39">
        <v>50000</v>
      </c>
      <c r="J172" s="39"/>
      <c r="K172" s="39">
        <f t="shared" si="2"/>
        <v>50000</v>
      </c>
      <c r="L172" s="120"/>
    </row>
    <row r="173" spans="1:12" s="40" customFormat="1" ht="39" customHeight="1">
      <c r="A173" s="46"/>
      <c r="B173" s="46"/>
      <c r="C173" s="46"/>
      <c r="D173" s="38"/>
      <c r="E173" s="69" t="s">
        <v>348</v>
      </c>
      <c r="F173" s="66"/>
      <c r="G173" s="66"/>
      <c r="H173" s="66"/>
      <c r="I173" s="39">
        <v>50000</v>
      </c>
      <c r="J173" s="39"/>
      <c r="K173" s="39">
        <f t="shared" si="2"/>
        <v>50000</v>
      </c>
      <c r="L173" s="120"/>
    </row>
    <row r="174" spans="1:12" s="40" customFormat="1" ht="38.25" customHeight="1">
      <c r="A174" s="46"/>
      <c r="B174" s="46"/>
      <c r="C174" s="46"/>
      <c r="D174" s="38"/>
      <c r="E174" s="69" t="s">
        <v>350</v>
      </c>
      <c r="F174" s="66"/>
      <c r="G174" s="66"/>
      <c r="H174" s="66"/>
      <c r="I174" s="39">
        <v>50000</v>
      </c>
      <c r="J174" s="39"/>
      <c r="K174" s="39">
        <f t="shared" si="2"/>
        <v>50000</v>
      </c>
      <c r="L174" s="120"/>
    </row>
    <row r="175" spans="1:12" s="40" customFormat="1" ht="40.5" customHeight="1">
      <c r="A175" s="46"/>
      <c r="B175" s="46"/>
      <c r="C175" s="46"/>
      <c r="D175" s="38"/>
      <c r="E175" s="69" t="s">
        <v>351</v>
      </c>
      <c r="F175" s="66"/>
      <c r="G175" s="66"/>
      <c r="H175" s="66"/>
      <c r="I175" s="39">
        <v>50000</v>
      </c>
      <c r="J175" s="39"/>
      <c r="K175" s="39">
        <f t="shared" si="2"/>
        <v>50000</v>
      </c>
      <c r="L175" s="120"/>
    </row>
    <row r="176" spans="1:12" s="40" customFormat="1" ht="46.5" customHeight="1">
      <c r="A176" s="46"/>
      <c r="B176" s="46"/>
      <c r="C176" s="46"/>
      <c r="D176" s="38"/>
      <c r="E176" s="70" t="s">
        <v>358</v>
      </c>
      <c r="F176" s="66"/>
      <c r="G176" s="66"/>
      <c r="H176" s="66"/>
      <c r="I176" s="39">
        <v>50000</v>
      </c>
      <c r="J176" s="39"/>
      <c r="K176" s="39">
        <f t="shared" si="2"/>
        <v>50000</v>
      </c>
      <c r="L176" s="120">
        <v>34</v>
      </c>
    </row>
    <row r="177" spans="1:12" s="40" customFormat="1" ht="39" customHeight="1">
      <c r="A177" s="46"/>
      <c r="B177" s="46"/>
      <c r="C177" s="46"/>
      <c r="D177" s="38"/>
      <c r="E177" s="69" t="s">
        <v>359</v>
      </c>
      <c r="F177" s="66"/>
      <c r="G177" s="66"/>
      <c r="H177" s="66"/>
      <c r="I177" s="39">
        <v>50000</v>
      </c>
      <c r="J177" s="39"/>
      <c r="K177" s="39">
        <f t="shared" si="2"/>
        <v>50000</v>
      </c>
      <c r="L177" s="120"/>
    </row>
    <row r="178" spans="1:12" s="40" customFormat="1" ht="43.5" customHeight="1">
      <c r="A178" s="46"/>
      <c r="B178" s="46"/>
      <c r="C178" s="46"/>
      <c r="D178" s="38"/>
      <c r="E178" s="69" t="s">
        <v>352</v>
      </c>
      <c r="F178" s="66"/>
      <c r="G178" s="66"/>
      <c r="H178" s="66"/>
      <c r="I178" s="39">
        <v>50000</v>
      </c>
      <c r="J178" s="39"/>
      <c r="K178" s="39">
        <f t="shared" si="2"/>
        <v>50000</v>
      </c>
      <c r="L178" s="120"/>
    </row>
    <row r="179" spans="1:12" s="40" customFormat="1" ht="47.25" customHeight="1">
      <c r="A179" s="46"/>
      <c r="B179" s="46"/>
      <c r="C179" s="46"/>
      <c r="D179" s="38"/>
      <c r="E179" s="69" t="s">
        <v>403</v>
      </c>
      <c r="F179" s="66"/>
      <c r="G179" s="66"/>
      <c r="H179" s="66"/>
      <c r="I179" s="39">
        <v>50000</v>
      </c>
      <c r="J179" s="39"/>
      <c r="K179" s="39">
        <f t="shared" si="2"/>
        <v>50000</v>
      </c>
      <c r="L179" s="120"/>
    </row>
    <row r="180" spans="1:12" s="40" customFormat="1" ht="42.75" customHeight="1">
      <c r="A180" s="46"/>
      <c r="B180" s="46"/>
      <c r="C180" s="46"/>
      <c r="D180" s="38"/>
      <c r="E180" s="69" t="s">
        <v>353</v>
      </c>
      <c r="F180" s="66"/>
      <c r="G180" s="66"/>
      <c r="H180" s="66"/>
      <c r="I180" s="39">
        <v>50000</v>
      </c>
      <c r="J180" s="39"/>
      <c r="K180" s="39">
        <f t="shared" si="2"/>
        <v>50000</v>
      </c>
      <c r="L180" s="120"/>
    </row>
    <row r="181" spans="1:12" s="40" customFormat="1" ht="43.5" customHeight="1">
      <c r="A181" s="46"/>
      <c r="B181" s="46"/>
      <c r="C181" s="46"/>
      <c r="D181" s="38"/>
      <c r="E181" s="69" t="s">
        <v>354</v>
      </c>
      <c r="F181" s="66"/>
      <c r="G181" s="66"/>
      <c r="H181" s="66"/>
      <c r="I181" s="39">
        <v>50000</v>
      </c>
      <c r="J181" s="39"/>
      <c r="K181" s="39">
        <f t="shared" si="2"/>
        <v>50000</v>
      </c>
      <c r="L181" s="120"/>
    </row>
    <row r="182" spans="1:12" s="40" customFormat="1" ht="41.25" customHeight="1">
      <c r="A182" s="46"/>
      <c r="B182" s="46"/>
      <c r="C182" s="46"/>
      <c r="D182" s="38"/>
      <c r="E182" s="69" t="s">
        <v>355</v>
      </c>
      <c r="F182" s="66"/>
      <c r="G182" s="66"/>
      <c r="H182" s="66"/>
      <c r="I182" s="39">
        <v>50000</v>
      </c>
      <c r="J182" s="39"/>
      <c r="K182" s="39">
        <f t="shared" si="2"/>
        <v>50000</v>
      </c>
      <c r="L182" s="120"/>
    </row>
    <row r="183" spans="1:12" s="40" customFormat="1" ht="46.5" customHeight="1">
      <c r="A183" s="46"/>
      <c r="B183" s="46"/>
      <c r="C183" s="46"/>
      <c r="D183" s="38"/>
      <c r="E183" s="69" t="s">
        <v>356</v>
      </c>
      <c r="F183" s="66"/>
      <c r="G183" s="66"/>
      <c r="H183" s="66"/>
      <c r="I183" s="39">
        <v>50000</v>
      </c>
      <c r="J183" s="39"/>
      <c r="K183" s="39">
        <f t="shared" si="2"/>
        <v>50000</v>
      </c>
      <c r="L183" s="120"/>
    </row>
    <row r="184" spans="1:12" s="40" customFormat="1" ht="39" customHeight="1">
      <c r="A184" s="46"/>
      <c r="B184" s="46"/>
      <c r="C184" s="46"/>
      <c r="D184" s="38"/>
      <c r="E184" s="69" t="s">
        <v>357</v>
      </c>
      <c r="F184" s="66"/>
      <c r="G184" s="66"/>
      <c r="H184" s="66"/>
      <c r="I184" s="39">
        <v>50000</v>
      </c>
      <c r="J184" s="39"/>
      <c r="K184" s="39">
        <f t="shared" si="2"/>
        <v>50000</v>
      </c>
      <c r="L184" s="120"/>
    </row>
    <row r="185" spans="1:12" s="40" customFormat="1" ht="39" customHeight="1">
      <c r="A185" s="46"/>
      <c r="B185" s="46"/>
      <c r="C185" s="46"/>
      <c r="D185" s="38"/>
      <c r="E185" s="69" t="s">
        <v>360</v>
      </c>
      <c r="F185" s="66"/>
      <c r="G185" s="66"/>
      <c r="H185" s="66"/>
      <c r="I185" s="39">
        <v>100000</v>
      </c>
      <c r="J185" s="39"/>
      <c r="K185" s="39">
        <f t="shared" si="2"/>
        <v>100000</v>
      </c>
      <c r="L185" s="120"/>
    </row>
    <row r="186" spans="1:12" s="40" customFormat="1" ht="40.5" customHeight="1">
      <c r="A186" s="46"/>
      <c r="B186" s="46"/>
      <c r="C186" s="46"/>
      <c r="D186" s="38"/>
      <c r="E186" s="69" t="s">
        <v>363</v>
      </c>
      <c r="F186" s="66"/>
      <c r="G186" s="66"/>
      <c r="H186" s="66"/>
      <c r="I186" s="39">
        <v>50000</v>
      </c>
      <c r="J186" s="39"/>
      <c r="K186" s="39">
        <f t="shared" si="2"/>
        <v>50000</v>
      </c>
      <c r="L186" s="120"/>
    </row>
    <row r="187" spans="1:12" s="40" customFormat="1" ht="42" customHeight="1">
      <c r="A187" s="46"/>
      <c r="B187" s="46"/>
      <c r="C187" s="46"/>
      <c r="D187" s="38"/>
      <c r="E187" s="69" t="s">
        <v>364</v>
      </c>
      <c r="F187" s="66"/>
      <c r="G187" s="66"/>
      <c r="H187" s="66"/>
      <c r="I187" s="39">
        <v>50000</v>
      </c>
      <c r="J187" s="39"/>
      <c r="K187" s="39">
        <f t="shared" si="2"/>
        <v>50000</v>
      </c>
      <c r="L187" s="120"/>
    </row>
    <row r="188" spans="1:12" s="40" customFormat="1" ht="39" customHeight="1">
      <c r="A188" s="46"/>
      <c r="B188" s="46"/>
      <c r="C188" s="46"/>
      <c r="D188" s="38"/>
      <c r="E188" s="69" t="s">
        <v>365</v>
      </c>
      <c r="F188" s="66"/>
      <c r="G188" s="66"/>
      <c r="H188" s="66"/>
      <c r="I188" s="39">
        <v>50000</v>
      </c>
      <c r="J188" s="39"/>
      <c r="K188" s="39">
        <f t="shared" si="2"/>
        <v>50000</v>
      </c>
      <c r="L188" s="120"/>
    </row>
    <row r="189" spans="1:12" s="40" customFormat="1" ht="39" customHeight="1">
      <c r="A189" s="46"/>
      <c r="B189" s="46"/>
      <c r="C189" s="46"/>
      <c r="D189" s="38"/>
      <c r="E189" s="69" t="s">
        <v>401</v>
      </c>
      <c r="F189" s="66"/>
      <c r="G189" s="66"/>
      <c r="H189" s="66"/>
      <c r="I189" s="39">
        <v>50000</v>
      </c>
      <c r="J189" s="39"/>
      <c r="K189" s="39">
        <f t="shared" si="2"/>
        <v>50000</v>
      </c>
      <c r="L189" s="120"/>
    </row>
    <row r="190" spans="1:12" s="40" customFormat="1" ht="30.75">
      <c r="A190" s="46"/>
      <c r="B190" s="46"/>
      <c r="C190" s="46"/>
      <c r="D190" s="38"/>
      <c r="E190" s="69" t="s">
        <v>366</v>
      </c>
      <c r="F190" s="66"/>
      <c r="G190" s="66"/>
      <c r="H190" s="66"/>
      <c r="I190" s="39">
        <v>50000</v>
      </c>
      <c r="J190" s="39"/>
      <c r="K190" s="39">
        <f t="shared" si="2"/>
        <v>50000</v>
      </c>
      <c r="L190" s="120"/>
    </row>
    <row r="191" spans="1:12" s="40" customFormat="1" ht="42.75" customHeight="1">
      <c r="A191" s="46"/>
      <c r="B191" s="46"/>
      <c r="C191" s="46"/>
      <c r="D191" s="38"/>
      <c r="E191" s="69" t="s">
        <v>367</v>
      </c>
      <c r="F191" s="66"/>
      <c r="G191" s="66"/>
      <c r="H191" s="66"/>
      <c r="I191" s="39">
        <v>50000</v>
      </c>
      <c r="J191" s="39"/>
      <c r="K191" s="39">
        <f t="shared" si="2"/>
        <v>50000</v>
      </c>
      <c r="L191" s="120"/>
    </row>
    <row r="192" spans="1:12" s="40" customFormat="1" ht="36.75" customHeight="1">
      <c r="A192" s="46"/>
      <c r="B192" s="46"/>
      <c r="C192" s="46"/>
      <c r="D192" s="38"/>
      <c r="E192" s="69" t="s">
        <v>368</v>
      </c>
      <c r="F192" s="66"/>
      <c r="G192" s="66"/>
      <c r="H192" s="66"/>
      <c r="I192" s="39">
        <v>50000</v>
      </c>
      <c r="J192" s="39"/>
      <c r="K192" s="39">
        <f t="shared" si="2"/>
        <v>50000</v>
      </c>
      <c r="L192" s="120"/>
    </row>
    <row r="193" spans="1:12" s="40" customFormat="1" ht="34.5" customHeight="1">
      <c r="A193" s="46"/>
      <c r="B193" s="46"/>
      <c r="C193" s="46"/>
      <c r="D193" s="38"/>
      <c r="E193" s="69" t="s">
        <v>369</v>
      </c>
      <c r="F193" s="66"/>
      <c r="G193" s="66"/>
      <c r="H193" s="66"/>
      <c r="I193" s="39">
        <v>50000</v>
      </c>
      <c r="J193" s="39"/>
      <c r="K193" s="39">
        <f t="shared" si="2"/>
        <v>50000</v>
      </c>
      <c r="L193" s="120"/>
    </row>
    <row r="194" spans="1:12" s="40" customFormat="1" ht="36.75" customHeight="1">
      <c r="A194" s="46"/>
      <c r="B194" s="46"/>
      <c r="C194" s="46"/>
      <c r="D194" s="38"/>
      <c r="E194" s="69" t="s">
        <v>400</v>
      </c>
      <c r="F194" s="66"/>
      <c r="G194" s="66"/>
      <c r="H194" s="66"/>
      <c r="I194" s="39">
        <v>50000</v>
      </c>
      <c r="J194" s="39"/>
      <c r="K194" s="39">
        <f t="shared" si="2"/>
        <v>50000</v>
      </c>
      <c r="L194" s="120"/>
    </row>
    <row r="195" spans="1:12" s="40" customFormat="1" ht="42" customHeight="1">
      <c r="A195" s="46"/>
      <c r="B195" s="46"/>
      <c r="C195" s="46"/>
      <c r="D195" s="38"/>
      <c r="E195" s="69" t="s">
        <v>370</v>
      </c>
      <c r="F195" s="66"/>
      <c r="G195" s="66"/>
      <c r="H195" s="66"/>
      <c r="I195" s="39">
        <v>50000</v>
      </c>
      <c r="J195" s="39"/>
      <c r="K195" s="39">
        <f t="shared" si="2"/>
        <v>50000</v>
      </c>
      <c r="L195" s="120"/>
    </row>
    <row r="196" spans="1:12" s="40" customFormat="1" ht="40.5" customHeight="1">
      <c r="A196" s="46"/>
      <c r="B196" s="46"/>
      <c r="C196" s="46"/>
      <c r="D196" s="38"/>
      <c r="E196" s="69" t="s">
        <v>402</v>
      </c>
      <c r="F196" s="66"/>
      <c r="G196" s="66"/>
      <c r="H196" s="66"/>
      <c r="I196" s="39">
        <v>100000</v>
      </c>
      <c r="J196" s="39"/>
      <c r="K196" s="39">
        <f t="shared" si="2"/>
        <v>100000</v>
      </c>
      <c r="L196" s="120"/>
    </row>
    <row r="197" spans="1:12" s="40" customFormat="1" ht="35.25" customHeight="1">
      <c r="A197" s="46"/>
      <c r="B197" s="46"/>
      <c r="C197" s="46"/>
      <c r="D197" s="38"/>
      <c r="E197" s="69" t="s">
        <v>371</v>
      </c>
      <c r="F197" s="66"/>
      <c r="G197" s="66"/>
      <c r="H197" s="66"/>
      <c r="I197" s="39">
        <v>50000</v>
      </c>
      <c r="J197" s="39"/>
      <c r="K197" s="39">
        <f t="shared" si="2"/>
        <v>50000</v>
      </c>
      <c r="L197" s="120"/>
    </row>
    <row r="198" spans="1:12" s="40" customFormat="1" ht="42.75" customHeight="1">
      <c r="A198" s="46"/>
      <c r="B198" s="46"/>
      <c r="C198" s="46"/>
      <c r="D198" s="38"/>
      <c r="E198" s="69" t="s">
        <v>372</v>
      </c>
      <c r="F198" s="66"/>
      <c r="G198" s="66"/>
      <c r="H198" s="66"/>
      <c r="I198" s="39">
        <v>50000</v>
      </c>
      <c r="J198" s="39"/>
      <c r="K198" s="39">
        <f t="shared" si="2"/>
        <v>50000</v>
      </c>
      <c r="L198" s="120">
        <v>35</v>
      </c>
    </row>
    <row r="199" spans="1:12" s="40" customFormat="1" ht="35.25" customHeight="1">
      <c r="A199" s="46"/>
      <c r="B199" s="46"/>
      <c r="C199" s="46"/>
      <c r="D199" s="38"/>
      <c r="E199" s="69" t="s">
        <v>373</v>
      </c>
      <c r="F199" s="66"/>
      <c r="G199" s="66"/>
      <c r="H199" s="66"/>
      <c r="I199" s="39">
        <v>50000</v>
      </c>
      <c r="J199" s="39"/>
      <c r="K199" s="39">
        <f t="shared" si="2"/>
        <v>50000</v>
      </c>
      <c r="L199" s="120"/>
    </row>
    <row r="200" spans="1:12" s="40" customFormat="1" ht="40.5" customHeight="1">
      <c r="A200" s="46"/>
      <c r="B200" s="46"/>
      <c r="C200" s="46"/>
      <c r="D200" s="38"/>
      <c r="E200" s="69" t="s">
        <v>375</v>
      </c>
      <c r="F200" s="66"/>
      <c r="G200" s="66"/>
      <c r="H200" s="66"/>
      <c r="I200" s="39">
        <v>50000</v>
      </c>
      <c r="J200" s="39"/>
      <c r="K200" s="39">
        <f t="shared" si="2"/>
        <v>50000</v>
      </c>
      <c r="L200" s="120"/>
    </row>
    <row r="201" spans="1:12" s="40" customFormat="1" ht="39" customHeight="1">
      <c r="A201" s="46"/>
      <c r="B201" s="46"/>
      <c r="C201" s="46"/>
      <c r="D201" s="38"/>
      <c r="E201" s="69" t="s">
        <v>376</v>
      </c>
      <c r="F201" s="66"/>
      <c r="G201" s="66"/>
      <c r="H201" s="66"/>
      <c r="I201" s="39">
        <v>50000</v>
      </c>
      <c r="J201" s="39"/>
      <c r="K201" s="39">
        <f t="shared" si="2"/>
        <v>50000</v>
      </c>
      <c r="L201" s="120"/>
    </row>
    <row r="202" spans="1:12" s="40" customFormat="1" ht="46.5" customHeight="1">
      <c r="A202" s="46"/>
      <c r="B202" s="46"/>
      <c r="C202" s="46"/>
      <c r="D202" s="38"/>
      <c r="E202" s="69" t="s">
        <v>377</v>
      </c>
      <c r="F202" s="66"/>
      <c r="G202" s="66"/>
      <c r="H202" s="66"/>
      <c r="I202" s="39">
        <v>50000</v>
      </c>
      <c r="J202" s="39"/>
      <c r="K202" s="39">
        <f t="shared" si="2"/>
        <v>50000</v>
      </c>
      <c r="L202" s="120"/>
    </row>
    <row r="203" spans="1:12" s="40" customFormat="1" ht="46.5" customHeight="1">
      <c r="A203" s="46"/>
      <c r="B203" s="46"/>
      <c r="C203" s="46"/>
      <c r="D203" s="38"/>
      <c r="E203" s="69" t="s">
        <v>380</v>
      </c>
      <c r="F203" s="66"/>
      <c r="G203" s="66"/>
      <c r="H203" s="66"/>
      <c r="I203" s="39">
        <v>50000</v>
      </c>
      <c r="J203" s="39"/>
      <c r="K203" s="39">
        <f t="shared" si="2"/>
        <v>50000</v>
      </c>
      <c r="L203" s="120"/>
    </row>
    <row r="204" spans="1:12" s="40" customFormat="1" ht="40.5" customHeight="1">
      <c r="A204" s="46"/>
      <c r="B204" s="46"/>
      <c r="C204" s="46"/>
      <c r="D204" s="38"/>
      <c r="E204" s="69" t="s">
        <v>378</v>
      </c>
      <c r="F204" s="66"/>
      <c r="G204" s="66"/>
      <c r="H204" s="66"/>
      <c r="I204" s="39">
        <v>50000</v>
      </c>
      <c r="J204" s="39"/>
      <c r="K204" s="39">
        <f t="shared" si="2"/>
        <v>50000</v>
      </c>
      <c r="L204" s="120"/>
    </row>
    <row r="205" spans="1:12" s="40" customFormat="1" ht="39" customHeight="1">
      <c r="A205" s="46"/>
      <c r="B205" s="46"/>
      <c r="C205" s="46"/>
      <c r="D205" s="38"/>
      <c r="E205" s="69" t="s">
        <v>381</v>
      </c>
      <c r="F205" s="66"/>
      <c r="G205" s="66"/>
      <c r="H205" s="66"/>
      <c r="I205" s="39">
        <v>50000</v>
      </c>
      <c r="J205" s="39"/>
      <c r="K205" s="39">
        <f t="shared" si="2"/>
        <v>50000</v>
      </c>
      <c r="L205" s="120"/>
    </row>
    <row r="206" spans="1:12" s="40" customFormat="1" ht="46.5" customHeight="1">
      <c r="A206" s="46"/>
      <c r="B206" s="46"/>
      <c r="C206" s="46"/>
      <c r="D206" s="38"/>
      <c r="E206" s="69" t="s">
        <v>382</v>
      </c>
      <c r="F206" s="66"/>
      <c r="G206" s="66"/>
      <c r="H206" s="66"/>
      <c r="I206" s="39">
        <v>50000</v>
      </c>
      <c r="J206" s="39"/>
      <c r="K206" s="39">
        <f t="shared" si="2"/>
        <v>50000</v>
      </c>
      <c r="L206" s="120"/>
    </row>
    <row r="207" spans="1:12" s="40" customFormat="1" ht="42.75" customHeight="1">
      <c r="A207" s="46"/>
      <c r="B207" s="46"/>
      <c r="C207" s="46"/>
      <c r="D207" s="38"/>
      <c r="E207" s="69" t="s">
        <v>383</v>
      </c>
      <c r="F207" s="66"/>
      <c r="G207" s="66"/>
      <c r="H207" s="66"/>
      <c r="I207" s="39">
        <v>50000</v>
      </c>
      <c r="J207" s="39"/>
      <c r="K207" s="39">
        <f t="shared" si="2"/>
        <v>50000</v>
      </c>
      <c r="L207" s="120"/>
    </row>
    <row r="208" spans="1:12" s="40" customFormat="1" ht="42" customHeight="1">
      <c r="A208" s="46"/>
      <c r="B208" s="46"/>
      <c r="C208" s="46"/>
      <c r="D208" s="38"/>
      <c r="E208" s="69" t="s">
        <v>384</v>
      </c>
      <c r="F208" s="66"/>
      <c r="G208" s="66"/>
      <c r="H208" s="66"/>
      <c r="I208" s="39">
        <v>50000</v>
      </c>
      <c r="J208" s="39"/>
      <c r="K208" s="39">
        <f t="shared" si="2"/>
        <v>50000</v>
      </c>
      <c r="L208" s="120"/>
    </row>
    <row r="209" spans="1:12" s="40" customFormat="1" ht="43.5" customHeight="1">
      <c r="A209" s="46"/>
      <c r="B209" s="46"/>
      <c r="C209" s="46"/>
      <c r="D209" s="38"/>
      <c r="E209" s="69" t="s">
        <v>374</v>
      </c>
      <c r="F209" s="66"/>
      <c r="G209" s="66"/>
      <c r="H209" s="66"/>
      <c r="I209" s="39">
        <v>50000</v>
      </c>
      <c r="J209" s="39"/>
      <c r="K209" s="39">
        <f t="shared" si="2"/>
        <v>50000</v>
      </c>
      <c r="L209" s="120"/>
    </row>
    <row r="210" spans="1:12" s="40" customFormat="1" ht="42.75" customHeight="1">
      <c r="A210" s="46"/>
      <c r="B210" s="46"/>
      <c r="C210" s="46"/>
      <c r="D210" s="38"/>
      <c r="E210" s="69" t="s">
        <v>362</v>
      </c>
      <c r="F210" s="66"/>
      <c r="G210" s="66"/>
      <c r="H210" s="66"/>
      <c r="I210" s="39">
        <v>50000</v>
      </c>
      <c r="J210" s="39"/>
      <c r="K210" s="39">
        <f t="shared" si="2"/>
        <v>50000</v>
      </c>
      <c r="L210" s="120"/>
    </row>
    <row r="211" spans="1:12" s="17" customFormat="1" ht="41.25" customHeight="1">
      <c r="A211" s="14"/>
      <c r="B211" s="14"/>
      <c r="C211" s="14"/>
      <c r="D211" s="23"/>
      <c r="E211" s="65" t="s">
        <v>209</v>
      </c>
      <c r="F211" s="64"/>
      <c r="G211" s="64"/>
      <c r="H211" s="64"/>
      <c r="I211" s="24">
        <f>41338+45587</f>
        <v>86925</v>
      </c>
      <c r="J211" s="39"/>
      <c r="K211" s="24">
        <f t="shared" si="2"/>
        <v>86925</v>
      </c>
      <c r="L211" s="120"/>
    </row>
    <row r="212" spans="1:12" s="17" customFormat="1" ht="57.75" customHeight="1">
      <c r="A212" s="14"/>
      <c r="B212" s="14"/>
      <c r="C212" s="14"/>
      <c r="D212" s="23"/>
      <c r="E212" s="65" t="s">
        <v>210</v>
      </c>
      <c r="F212" s="64"/>
      <c r="G212" s="64"/>
      <c r="H212" s="64"/>
      <c r="I212" s="24">
        <f>70000+44472</f>
        <v>114472</v>
      </c>
      <c r="J212" s="24"/>
      <c r="K212" s="24">
        <f t="shared" si="2"/>
        <v>114472</v>
      </c>
      <c r="L212" s="120"/>
    </row>
    <row r="213" spans="1:12" s="17" customFormat="1" ht="23.25" customHeight="1">
      <c r="A213" s="14"/>
      <c r="B213" s="14"/>
      <c r="C213" s="14"/>
      <c r="D213" s="23"/>
      <c r="E213" s="65" t="s">
        <v>267</v>
      </c>
      <c r="F213" s="64"/>
      <c r="G213" s="64"/>
      <c r="H213" s="64"/>
      <c r="I213" s="24">
        <v>100000</v>
      </c>
      <c r="J213" s="36"/>
      <c r="K213" s="24">
        <f t="shared" si="2"/>
        <v>100000</v>
      </c>
      <c r="L213" s="120"/>
    </row>
    <row r="214" spans="1:12" s="17" customFormat="1" ht="21.75" customHeight="1">
      <c r="A214" s="14"/>
      <c r="B214" s="14"/>
      <c r="C214" s="14"/>
      <c r="D214" s="23"/>
      <c r="E214" s="23" t="s">
        <v>211</v>
      </c>
      <c r="F214" s="64"/>
      <c r="G214" s="64"/>
      <c r="H214" s="64"/>
      <c r="I214" s="24">
        <v>375963</v>
      </c>
      <c r="J214" s="36"/>
      <c r="K214" s="24">
        <f t="shared" si="2"/>
        <v>375963</v>
      </c>
      <c r="L214" s="120"/>
    </row>
    <row r="215" spans="1:12" s="17" customFormat="1" ht="34.5" customHeight="1">
      <c r="A215" s="14"/>
      <c r="B215" s="14"/>
      <c r="C215" s="14"/>
      <c r="D215" s="23"/>
      <c r="E215" s="23" t="s">
        <v>212</v>
      </c>
      <c r="F215" s="64"/>
      <c r="G215" s="64"/>
      <c r="H215" s="64"/>
      <c r="I215" s="24">
        <v>499988</v>
      </c>
      <c r="J215" s="36"/>
      <c r="K215" s="24">
        <f t="shared" si="2"/>
        <v>499988</v>
      </c>
      <c r="L215" s="120"/>
    </row>
    <row r="216" spans="1:12" s="17" customFormat="1" ht="27.75" customHeight="1">
      <c r="A216" s="14"/>
      <c r="B216" s="14"/>
      <c r="C216" s="14"/>
      <c r="D216" s="23"/>
      <c r="E216" s="23" t="s">
        <v>242</v>
      </c>
      <c r="F216" s="64"/>
      <c r="G216" s="64"/>
      <c r="H216" s="64"/>
      <c r="I216" s="24">
        <v>420000</v>
      </c>
      <c r="J216" s="36"/>
      <c r="K216" s="24">
        <f t="shared" si="2"/>
        <v>420000</v>
      </c>
      <c r="L216" s="120"/>
    </row>
    <row r="217" spans="1:12" s="17" customFormat="1" ht="31.5" customHeight="1">
      <c r="A217" s="14"/>
      <c r="B217" s="14"/>
      <c r="C217" s="14"/>
      <c r="D217" s="23"/>
      <c r="E217" s="23" t="s">
        <v>214</v>
      </c>
      <c r="F217" s="64"/>
      <c r="G217" s="64"/>
      <c r="H217" s="64"/>
      <c r="I217" s="24">
        <v>500000</v>
      </c>
      <c r="J217" s="36"/>
      <c r="K217" s="24">
        <f t="shared" si="2"/>
        <v>500000</v>
      </c>
      <c r="L217" s="120"/>
    </row>
    <row r="218" spans="1:12" s="17" customFormat="1" ht="70.5" customHeight="1">
      <c r="A218" s="14"/>
      <c r="B218" s="14"/>
      <c r="C218" s="14"/>
      <c r="D218" s="23"/>
      <c r="E218" s="23" t="s">
        <v>213</v>
      </c>
      <c r="F218" s="64"/>
      <c r="G218" s="64"/>
      <c r="H218" s="64"/>
      <c r="I218" s="24">
        <v>492000</v>
      </c>
      <c r="J218" s="36"/>
      <c r="K218" s="24">
        <f t="shared" si="2"/>
        <v>492000</v>
      </c>
      <c r="L218" s="120"/>
    </row>
    <row r="219" spans="1:12" s="17" customFormat="1" ht="39" customHeight="1">
      <c r="A219" s="14"/>
      <c r="B219" s="14"/>
      <c r="C219" s="14"/>
      <c r="D219" s="23"/>
      <c r="E219" s="65" t="s">
        <v>243</v>
      </c>
      <c r="F219" s="64"/>
      <c r="G219" s="64"/>
      <c r="H219" s="64"/>
      <c r="I219" s="24">
        <v>406110</v>
      </c>
      <c r="J219" s="36"/>
      <c r="K219" s="24">
        <f t="shared" si="2"/>
        <v>406110</v>
      </c>
      <c r="L219" s="120"/>
    </row>
    <row r="220" spans="1:12" s="17" customFormat="1" ht="41.25" customHeight="1">
      <c r="A220" s="14"/>
      <c r="B220" s="14"/>
      <c r="C220" s="14"/>
      <c r="D220" s="23"/>
      <c r="E220" s="65" t="s">
        <v>290</v>
      </c>
      <c r="F220" s="64"/>
      <c r="G220" s="64"/>
      <c r="H220" s="64"/>
      <c r="I220" s="24">
        <v>500000</v>
      </c>
      <c r="J220" s="24"/>
      <c r="K220" s="24">
        <f t="shared" si="2"/>
        <v>500000</v>
      </c>
      <c r="L220" s="120">
        <v>36</v>
      </c>
    </row>
    <row r="221" spans="1:12" s="17" customFormat="1" ht="15">
      <c r="A221" s="14"/>
      <c r="B221" s="14"/>
      <c r="C221" s="14"/>
      <c r="D221" s="23"/>
      <c r="E221" s="65"/>
      <c r="F221" s="64"/>
      <c r="G221" s="64"/>
      <c r="H221" s="64"/>
      <c r="I221" s="24"/>
      <c r="J221" s="36"/>
      <c r="K221" s="24"/>
      <c r="L221" s="120"/>
    </row>
    <row r="222" spans="1:12" s="17" customFormat="1" ht="45" customHeight="1">
      <c r="A222" s="14"/>
      <c r="B222" s="14"/>
      <c r="C222" s="14"/>
      <c r="D222" s="23"/>
      <c r="E222" s="65" t="s">
        <v>324</v>
      </c>
      <c r="F222" s="64"/>
      <c r="G222" s="64"/>
      <c r="H222" s="64"/>
      <c r="I222" s="24">
        <v>50000</v>
      </c>
      <c r="J222" s="24"/>
      <c r="K222" s="24">
        <f>I222+J222</f>
        <v>50000</v>
      </c>
      <c r="L222" s="120"/>
    </row>
    <row r="223" spans="1:12" s="17" customFormat="1" ht="39" customHeight="1">
      <c r="A223" s="14"/>
      <c r="B223" s="14"/>
      <c r="C223" s="14"/>
      <c r="D223" s="23"/>
      <c r="E223" s="69" t="s">
        <v>347</v>
      </c>
      <c r="F223" s="64"/>
      <c r="G223" s="64"/>
      <c r="H223" s="64"/>
      <c r="I223" s="24">
        <v>50000</v>
      </c>
      <c r="J223" s="24"/>
      <c r="K223" s="24">
        <f>I223+J223</f>
        <v>50000</v>
      </c>
      <c r="L223" s="120"/>
    </row>
    <row r="224" spans="1:12" s="17" customFormat="1" ht="39" customHeight="1">
      <c r="A224" s="14"/>
      <c r="B224" s="14"/>
      <c r="C224" s="14"/>
      <c r="D224" s="23"/>
      <c r="E224" s="65" t="s">
        <v>325</v>
      </c>
      <c r="F224" s="64"/>
      <c r="G224" s="64"/>
      <c r="H224" s="64"/>
      <c r="I224" s="24">
        <v>35000</v>
      </c>
      <c r="J224" s="24"/>
      <c r="K224" s="24">
        <f>I224+J224</f>
        <v>35000</v>
      </c>
      <c r="L224" s="120"/>
    </row>
    <row r="225" spans="1:12" s="17" customFormat="1" ht="39.75" customHeight="1">
      <c r="A225" s="14"/>
      <c r="B225" s="14"/>
      <c r="C225" s="14"/>
      <c r="D225" s="23"/>
      <c r="E225" s="65" t="s">
        <v>326</v>
      </c>
      <c r="F225" s="64"/>
      <c r="G225" s="64"/>
      <c r="H225" s="64"/>
      <c r="I225" s="24">
        <v>145000</v>
      </c>
      <c r="J225" s="24"/>
      <c r="K225" s="24">
        <f>I225+J225</f>
        <v>145000</v>
      </c>
      <c r="L225" s="120"/>
    </row>
    <row r="226" spans="1:12" s="17" customFormat="1" ht="39" customHeight="1">
      <c r="A226" s="14"/>
      <c r="B226" s="14"/>
      <c r="C226" s="14"/>
      <c r="D226" s="23"/>
      <c r="E226" s="65" t="s">
        <v>303</v>
      </c>
      <c r="F226" s="64"/>
      <c r="G226" s="64"/>
      <c r="H226" s="64"/>
      <c r="I226" s="24">
        <f>10500+50000</f>
        <v>60500</v>
      </c>
      <c r="J226" s="24"/>
      <c r="K226" s="24">
        <f t="shared" si="2"/>
        <v>60500</v>
      </c>
      <c r="L226" s="120"/>
    </row>
    <row r="227" spans="1:12" s="17" customFormat="1" ht="42" customHeight="1">
      <c r="A227" s="14"/>
      <c r="B227" s="14"/>
      <c r="C227" s="14"/>
      <c r="D227" s="23"/>
      <c r="E227" s="65" t="s">
        <v>304</v>
      </c>
      <c r="F227" s="64"/>
      <c r="G227" s="64"/>
      <c r="H227" s="64"/>
      <c r="I227" s="24">
        <f>10500+50000</f>
        <v>60500</v>
      </c>
      <c r="J227" s="24"/>
      <c r="K227" s="24">
        <f t="shared" si="2"/>
        <v>60500</v>
      </c>
      <c r="L227" s="120"/>
    </row>
    <row r="228" spans="1:12" s="17" customFormat="1" ht="42" customHeight="1">
      <c r="A228" s="14"/>
      <c r="B228" s="14"/>
      <c r="C228" s="14"/>
      <c r="D228" s="23"/>
      <c r="E228" s="70" t="s">
        <v>415</v>
      </c>
      <c r="F228" s="64"/>
      <c r="G228" s="64"/>
      <c r="H228" s="64"/>
      <c r="I228" s="24">
        <v>10000</v>
      </c>
      <c r="J228" s="24"/>
      <c r="K228" s="24">
        <f t="shared" si="2"/>
        <v>10000</v>
      </c>
      <c r="L228" s="120"/>
    </row>
    <row r="229" spans="1:12" s="17" customFormat="1" ht="36" customHeight="1">
      <c r="A229" s="14"/>
      <c r="B229" s="14"/>
      <c r="C229" s="14"/>
      <c r="D229" s="23"/>
      <c r="E229" s="69" t="s">
        <v>413</v>
      </c>
      <c r="F229" s="64"/>
      <c r="G229" s="64"/>
      <c r="H229" s="64"/>
      <c r="I229" s="24">
        <v>17000</v>
      </c>
      <c r="J229" s="24"/>
      <c r="K229" s="24">
        <f t="shared" si="2"/>
        <v>17000</v>
      </c>
      <c r="L229" s="120"/>
    </row>
    <row r="230" spans="1:12" s="17" customFormat="1" ht="37.5" customHeight="1">
      <c r="A230" s="14"/>
      <c r="B230" s="14"/>
      <c r="C230" s="14"/>
      <c r="D230" s="23"/>
      <c r="E230" s="69" t="s">
        <v>412</v>
      </c>
      <c r="F230" s="64"/>
      <c r="G230" s="64"/>
      <c r="H230" s="64"/>
      <c r="I230" s="24">
        <v>10000</v>
      </c>
      <c r="J230" s="24"/>
      <c r="K230" s="24">
        <f t="shared" si="2"/>
        <v>10000</v>
      </c>
      <c r="L230" s="120"/>
    </row>
    <row r="231" spans="1:12" s="17" customFormat="1" ht="42" customHeight="1">
      <c r="A231" s="14"/>
      <c r="B231" s="14"/>
      <c r="C231" s="14"/>
      <c r="D231" s="23"/>
      <c r="E231" s="69" t="s">
        <v>414</v>
      </c>
      <c r="F231" s="64"/>
      <c r="G231" s="64"/>
      <c r="H231" s="64"/>
      <c r="I231" s="24">
        <v>24000</v>
      </c>
      <c r="J231" s="24"/>
      <c r="K231" s="24">
        <f t="shared" si="2"/>
        <v>24000</v>
      </c>
      <c r="L231" s="120"/>
    </row>
    <row r="232" spans="1:12" s="17" customFormat="1" ht="42.75" customHeight="1">
      <c r="A232" s="14"/>
      <c r="B232" s="14"/>
      <c r="C232" s="14"/>
      <c r="D232" s="23"/>
      <c r="E232" s="38" t="s">
        <v>406</v>
      </c>
      <c r="F232" s="64"/>
      <c r="G232" s="64"/>
      <c r="H232" s="64"/>
      <c r="I232" s="24">
        <v>20000</v>
      </c>
      <c r="J232" s="68"/>
      <c r="K232" s="24">
        <f>I232+J232</f>
        <v>20000</v>
      </c>
      <c r="L232" s="120"/>
    </row>
    <row r="233" spans="1:12" s="17" customFormat="1" ht="39" customHeight="1">
      <c r="A233" s="14"/>
      <c r="B233" s="14"/>
      <c r="C233" s="14"/>
      <c r="D233" s="23"/>
      <c r="E233" s="69" t="s">
        <v>346</v>
      </c>
      <c r="F233" s="64"/>
      <c r="G233" s="64"/>
      <c r="H233" s="64"/>
      <c r="I233" s="24">
        <v>50000</v>
      </c>
      <c r="J233" s="24"/>
      <c r="K233" s="24">
        <f t="shared" si="2"/>
        <v>50000</v>
      </c>
      <c r="L233" s="120"/>
    </row>
    <row r="234" spans="1:12" s="58" customFormat="1" ht="29.25" customHeight="1">
      <c r="A234" s="13"/>
      <c r="B234" s="13"/>
      <c r="C234" s="13"/>
      <c r="D234" s="43"/>
      <c r="E234" s="43" t="s">
        <v>216</v>
      </c>
      <c r="F234" s="71"/>
      <c r="G234" s="71"/>
      <c r="H234" s="71"/>
      <c r="I234" s="16">
        <f>SUM(I235:I239)</f>
        <v>350000</v>
      </c>
      <c r="J234" s="16">
        <f>SUM(J235:J239)</f>
        <v>0</v>
      </c>
      <c r="K234" s="16">
        <f>SUM(K235:K239)</f>
        <v>350000</v>
      </c>
      <c r="L234" s="120"/>
    </row>
    <row r="235" spans="1:12" s="17" customFormat="1" ht="46.5" customHeight="1">
      <c r="A235" s="14"/>
      <c r="B235" s="14"/>
      <c r="C235" s="14"/>
      <c r="D235" s="23"/>
      <c r="E235" s="23" t="s">
        <v>238</v>
      </c>
      <c r="F235" s="64"/>
      <c r="G235" s="64"/>
      <c r="H235" s="64"/>
      <c r="I235" s="24">
        <v>70000</v>
      </c>
      <c r="J235" s="36"/>
      <c r="K235" s="24">
        <f t="shared" si="2"/>
        <v>70000</v>
      </c>
      <c r="L235" s="120"/>
    </row>
    <row r="236" spans="1:12" s="17" customFormat="1" ht="43.5" customHeight="1">
      <c r="A236" s="14"/>
      <c r="B236" s="14"/>
      <c r="C236" s="14"/>
      <c r="D236" s="72"/>
      <c r="E236" s="23" t="s">
        <v>261</v>
      </c>
      <c r="F236" s="64"/>
      <c r="G236" s="64"/>
      <c r="H236" s="64"/>
      <c r="I236" s="24">
        <v>70000</v>
      </c>
      <c r="J236" s="36"/>
      <c r="K236" s="24">
        <f t="shared" si="2"/>
        <v>70000</v>
      </c>
      <c r="L236" s="120"/>
    </row>
    <row r="237" spans="1:12" s="17" customFormat="1" ht="47.25" customHeight="1">
      <c r="A237" s="14"/>
      <c r="B237" s="14"/>
      <c r="C237" s="14"/>
      <c r="D237" s="23"/>
      <c r="E237" s="23" t="s">
        <v>239</v>
      </c>
      <c r="F237" s="64"/>
      <c r="G237" s="64"/>
      <c r="H237" s="64"/>
      <c r="I237" s="24">
        <v>70000</v>
      </c>
      <c r="J237" s="36"/>
      <c r="K237" s="24">
        <f t="shared" si="2"/>
        <v>70000</v>
      </c>
      <c r="L237" s="120"/>
    </row>
    <row r="238" spans="1:12" s="17" customFormat="1" ht="41.25" customHeight="1">
      <c r="A238" s="14"/>
      <c r="B238" s="14"/>
      <c r="C238" s="14"/>
      <c r="D238" s="23"/>
      <c r="E238" s="23" t="s">
        <v>240</v>
      </c>
      <c r="F238" s="64"/>
      <c r="G238" s="64"/>
      <c r="H238" s="64"/>
      <c r="I238" s="24">
        <v>70000</v>
      </c>
      <c r="J238" s="36"/>
      <c r="K238" s="24">
        <f t="shared" si="2"/>
        <v>70000</v>
      </c>
      <c r="L238" s="120"/>
    </row>
    <row r="239" spans="1:12" s="17" customFormat="1" ht="39" customHeight="1">
      <c r="A239" s="14"/>
      <c r="B239" s="14"/>
      <c r="C239" s="14"/>
      <c r="D239" s="23"/>
      <c r="E239" s="23" t="s">
        <v>241</v>
      </c>
      <c r="F239" s="64"/>
      <c r="G239" s="64"/>
      <c r="H239" s="64"/>
      <c r="I239" s="24">
        <v>70000</v>
      </c>
      <c r="J239" s="36"/>
      <c r="K239" s="24">
        <f t="shared" si="2"/>
        <v>70000</v>
      </c>
      <c r="L239" s="120"/>
    </row>
    <row r="240" spans="1:12" s="58" customFormat="1" ht="18" customHeight="1">
      <c r="A240" s="13"/>
      <c r="B240" s="13"/>
      <c r="C240" s="13"/>
      <c r="D240" s="43"/>
      <c r="E240" s="43" t="s">
        <v>215</v>
      </c>
      <c r="F240" s="71"/>
      <c r="G240" s="71"/>
      <c r="H240" s="71"/>
      <c r="I240" s="16">
        <f>SUM(I241:I292)</f>
        <v>88622143</v>
      </c>
      <c r="J240" s="16">
        <f>SUM(J241:J292)</f>
        <v>0</v>
      </c>
      <c r="K240" s="16">
        <f>SUM(K241:K292)</f>
        <v>88622143</v>
      </c>
      <c r="L240" s="120"/>
    </row>
    <row r="241" spans="1:12" s="17" customFormat="1" ht="33" customHeight="1">
      <c r="A241" s="14"/>
      <c r="B241" s="14"/>
      <c r="C241" s="14"/>
      <c r="D241" s="23"/>
      <c r="E241" s="23" t="s">
        <v>217</v>
      </c>
      <c r="F241" s="64">
        <v>9995386</v>
      </c>
      <c r="G241" s="64">
        <v>24</v>
      </c>
      <c r="H241" s="64">
        <v>2401568</v>
      </c>
      <c r="I241" s="24">
        <f>200000+500000</f>
        <v>700000</v>
      </c>
      <c r="J241" s="24"/>
      <c r="K241" s="24">
        <f aca="true" t="shared" si="4" ref="K241:K311">I241+J241</f>
        <v>700000</v>
      </c>
      <c r="L241" s="120"/>
    </row>
    <row r="242" spans="1:12" s="17" customFormat="1" ht="41.25" customHeight="1">
      <c r="A242" s="14"/>
      <c r="B242" s="14"/>
      <c r="C242" s="14"/>
      <c r="D242" s="23"/>
      <c r="E242" s="23" t="s">
        <v>218</v>
      </c>
      <c r="F242" s="64">
        <v>11282117</v>
      </c>
      <c r="G242" s="64">
        <v>61</v>
      </c>
      <c r="H242" s="64">
        <v>6879469</v>
      </c>
      <c r="I242" s="24">
        <f>1000000+2050000+1500000</f>
        <v>4550000</v>
      </c>
      <c r="J242" s="24"/>
      <c r="K242" s="24">
        <f t="shared" si="4"/>
        <v>4550000</v>
      </c>
      <c r="L242" s="120"/>
    </row>
    <row r="243" spans="1:12" s="17" customFormat="1" ht="93.75" customHeight="1">
      <c r="A243" s="14"/>
      <c r="B243" s="14"/>
      <c r="C243" s="14"/>
      <c r="D243" s="23"/>
      <c r="E243" s="65" t="s">
        <v>284</v>
      </c>
      <c r="F243" s="64"/>
      <c r="G243" s="64"/>
      <c r="H243" s="64"/>
      <c r="I243" s="24">
        <v>500000</v>
      </c>
      <c r="J243" s="24"/>
      <c r="K243" s="24">
        <f t="shared" si="4"/>
        <v>500000</v>
      </c>
      <c r="L243" s="120">
        <v>37</v>
      </c>
    </row>
    <row r="244" spans="1:12" s="17" customFormat="1" ht="78">
      <c r="A244" s="14"/>
      <c r="B244" s="14"/>
      <c r="C244" s="14"/>
      <c r="D244" s="23"/>
      <c r="E244" s="65" t="s">
        <v>285</v>
      </c>
      <c r="F244" s="64"/>
      <c r="G244" s="64"/>
      <c r="H244" s="64"/>
      <c r="I244" s="24">
        <v>500000</v>
      </c>
      <c r="J244" s="24"/>
      <c r="K244" s="24">
        <f t="shared" si="4"/>
        <v>500000</v>
      </c>
      <c r="L244" s="120"/>
    </row>
    <row r="245" spans="1:12" s="40" customFormat="1" ht="41.25" customHeight="1">
      <c r="A245" s="46"/>
      <c r="B245" s="46"/>
      <c r="C245" s="46"/>
      <c r="D245" s="38"/>
      <c r="E245" s="69" t="s">
        <v>311</v>
      </c>
      <c r="F245" s="66"/>
      <c r="G245" s="66"/>
      <c r="H245" s="66"/>
      <c r="I245" s="39">
        <v>30000</v>
      </c>
      <c r="J245" s="39"/>
      <c r="K245" s="39">
        <f t="shared" si="4"/>
        <v>30000</v>
      </c>
      <c r="L245" s="120"/>
    </row>
    <row r="246" spans="1:12" s="17" customFormat="1" ht="46.5" customHeight="1">
      <c r="A246" s="14"/>
      <c r="B246" s="14"/>
      <c r="C246" s="14"/>
      <c r="D246" s="23"/>
      <c r="E246" s="65" t="s">
        <v>397</v>
      </c>
      <c r="F246" s="64"/>
      <c r="G246" s="64"/>
      <c r="H246" s="64"/>
      <c r="I246" s="24">
        <v>150000</v>
      </c>
      <c r="J246" s="24"/>
      <c r="K246" s="24">
        <f>I246+J246</f>
        <v>150000</v>
      </c>
      <c r="L246" s="120"/>
    </row>
    <row r="247" spans="1:12" s="17" customFormat="1" ht="24" customHeight="1">
      <c r="A247" s="14"/>
      <c r="B247" s="14"/>
      <c r="C247" s="14"/>
      <c r="D247" s="23"/>
      <c r="E247" s="65" t="s">
        <v>298</v>
      </c>
      <c r="F247" s="64"/>
      <c r="G247" s="64"/>
      <c r="H247" s="64"/>
      <c r="I247" s="24">
        <v>4005000</v>
      </c>
      <c r="J247" s="24"/>
      <c r="K247" s="24">
        <f t="shared" si="4"/>
        <v>4005000</v>
      </c>
      <c r="L247" s="120"/>
    </row>
    <row r="248" spans="1:12" s="17" customFormat="1" ht="27" customHeight="1">
      <c r="A248" s="14"/>
      <c r="B248" s="14"/>
      <c r="C248" s="14"/>
      <c r="D248" s="23"/>
      <c r="E248" s="23" t="s">
        <v>219</v>
      </c>
      <c r="F248" s="64">
        <v>5382485</v>
      </c>
      <c r="G248" s="34">
        <v>88.6</v>
      </c>
      <c r="H248" s="64">
        <v>4766800</v>
      </c>
      <c r="I248" s="24">
        <f>1322041+1322041</f>
        <v>2644082</v>
      </c>
      <c r="J248" s="24"/>
      <c r="K248" s="24">
        <f t="shared" si="4"/>
        <v>2644082</v>
      </c>
      <c r="L248" s="120"/>
    </row>
    <row r="249" spans="1:12" s="17" customFormat="1" ht="41.25" customHeight="1">
      <c r="A249" s="14"/>
      <c r="B249" s="14"/>
      <c r="C249" s="14"/>
      <c r="D249" s="23"/>
      <c r="E249" s="23" t="s">
        <v>220</v>
      </c>
      <c r="F249" s="64"/>
      <c r="G249" s="64"/>
      <c r="H249" s="64"/>
      <c r="I249" s="24">
        <f>5263766-3000000+2000000</f>
        <v>4263766</v>
      </c>
      <c r="J249" s="24"/>
      <c r="K249" s="24">
        <f t="shared" si="4"/>
        <v>4263766</v>
      </c>
      <c r="L249" s="120"/>
    </row>
    <row r="250" spans="1:12" s="17" customFormat="1" ht="30.75" customHeight="1">
      <c r="A250" s="14"/>
      <c r="B250" s="14"/>
      <c r="C250" s="14"/>
      <c r="D250" s="23"/>
      <c r="E250" s="23" t="s">
        <v>286</v>
      </c>
      <c r="F250" s="64"/>
      <c r="G250" s="64"/>
      <c r="H250" s="64"/>
      <c r="I250" s="24">
        <f>425000+300000</f>
        <v>725000</v>
      </c>
      <c r="J250" s="24"/>
      <c r="K250" s="24">
        <f t="shared" si="4"/>
        <v>725000</v>
      </c>
      <c r="L250" s="120"/>
    </row>
    <row r="251" spans="1:12" s="17" customFormat="1" ht="58.5" customHeight="1">
      <c r="A251" s="14"/>
      <c r="B251" s="14"/>
      <c r="C251" s="14"/>
      <c r="D251" s="23"/>
      <c r="E251" s="23" t="s">
        <v>299</v>
      </c>
      <c r="F251" s="64"/>
      <c r="G251" s="64"/>
      <c r="H251" s="64"/>
      <c r="I251" s="24">
        <v>250000</v>
      </c>
      <c r="J251" s="24"/>
      <c r="K251" s="24">
        <f aca="true" t="shared" si="5" ref="K251:K257">I251+J251</f>
        <v>250000</v>
      </c>
      <c r="L251" s="120"/>
    </row>
    <row r="252" spans="1:12" s="17" customFormat="1" ht="63" customHeight="1">
      <c r="A252" s="14"/>
      <c r="B252" s="14"/>
      <c r="C252" s="14"/>
      <c r="D252" s="23"/>
      <c r="E252" s="23" t="s">
        <v>300</v>
      </c>
      <c r="F252" s="64"/>
      <c r="G252" s="64"/>
      <c r="H252" s="64"/>
      <c r="I252" s="24">
        <v>250000</v>
      </c>
      <c r="J252" s="24"/>
      <c r="K252" s="24">
        <f t="shared" si="5"/>
        <v>250000</v>
      </c>
      <c r="L252" s="120"/>
    </row>
    <row r="253" spans="1:12" s="17" customFormat="1" ht="58.5" customHeight="1">
      <c r="A253" s="14"/>
      <c r="B253" s="14"/>
      <c r="C253" s="14"/>
      <c r="D253" s="23"/>
      <c r="E253" s="23" t="s">
        <v>297</v>
      </c>
      <c r="F253" s="64"/>
      <c r="G253" s="64"/>
      <c r="H253" s="64"/>
      <c r="I253" s="24">
        <v>500000</v>
      </c>
      <c r="J253" s="24"/>
      <c r="K253" s="24">
        <f t="shared" si="5"/>
        <v>500000</v>
      </c>
      <c r="L253" s="120"/>
    </row>
    <row r="254" spans="1:12" s="17" customFormat="1" ht="59.25" customHeight="1">
      <c r="A254" s="14"/>
      <c r="B254" s="14"/>
      <c r="C254" s="14"/>
      <c r="D254" s="23"/>
      <c r="E254" s="23" t="s">
        <v>291</v>
      </c>
      <c r="F254" s="64"/>
      <c r="G254" s="64"/>
      <c r="H254" s="64"/>
      <c r="I254" s="24">
        <v>500000</v>
      </c>
      <c r="J254" s="24"/>
      <c r="K254" s="24">
        <f t="shared" si="5"/>
        <v>500000</v>
      </c>
      <c r="L254" s="120"/>
    </row>
    <row r="255" spans="1:12" s="17" customFormat="1" ht="51" customHeight="1">
      <c r="A255" s="14"/>
      <c r="B255" s="14"/>
      <c r="C255" s="14"/>
      <c r="D255" s="23"/>
      <c r="E255" s="51" t="s">
        <v>419</v>
      </c>
      <c r="F255" s="64"/>
      <c r="G255" s="64"/>
      <c r="H255" s="64"/>
      <c r="I255" s="24">
        <f>56986+1829000</f>
        <v>1885986</v>
      </c>
      <c r="J255" s="24"/>
      <c r="K255" s="24">
        <f t="shared" si="5"/>
        <v>1885986</v>
      </c>
      <c r="L255" s="120"/>
    </row>
    <row r="256" spans="1:12" s="17" customFormat="1" ht="58.5" customHeight="1">
      <c r="A256" s="14"/>
      <c r="B256" s="14"/>
      <c r="C256" s="14"/>
      <c r="D256" s="23"/>
      <c r="E256" s="38" t="s">
        <v>411</v>
      </c>
      <c r="F256" s="64"/>
      <c r="G256" s="64"/>
      <c r="H256" s="64"/>
      <c r="I256" s="24">
        <f>43050+1435000</f>
        <v>1478050</v>
      </c>
      <c r="J256" s="24"/>
      <c r="K256" s="24">
        <f t="shared" si="5"/>
        <v>1478050</v>
      </c>
      <c r="L256" s="120"/>
    </row>
    <row r="257" spans="1:12" s="17" customFormat="1" ht="45" customHeight="1">
      <c r="A257" s="14"/>
      <c r="B257" s="14"/>
      <c r="C257" s="14"/>
      <c r="D257" s="23"/>
      <c r="E257" s="23" t="s">
        <v>395</v>
      </c>
      <c r="F257" s="64"/>
      <c r="G257" s="64"/>
      <c r="H257" s="64"/>
      <c r="I257" s="24">
        <f>32500+150000</f>
        <v>182500</v>
      </c>
      <c r="J257" s="24"/>
      <c r="K257" s="24">
        <f t="shared" si="5"/>
        <v>182500</v>
      </c>
      <c r="L257" s="120"/>
    </row>
    <row r="258" spans="1:12" s="17" customFormat="1" ht="39" customHeight="1">
      <c r="A258" s="14"/>
      <c r="B258" s="14"/>
      <c r="C258" s="14"/>
      <c r="D258" s="23"/>
      <c r="E258" s="23" t="s">
        <v>221</v>
      </c>
      <c r="F258" s="64"/>
      <c r="G258" s="64"/>
      <c r="H258" s="64"/>
      <c r="I258" s="24">
        <f>1000000-500000+2500000</f>
        <v>3000000</v>
      </c>
      <c r="J258" s="24"/>
      <c r="K258" s="24">
        <f t="shared" si="4"/>
        <v>3000000</v>
      </c>
      <c r="L258" s="120"/>
    </row>
    <row r="259" spans="1:12" s="17" customFormat="1" ht="67.5" customHeight="1">
      <c r="A259" s="14"/>
      <c r="B259" s="14"/>
      <c r="C259" s="14"/>
      <c r="D259" s="23"/>
      <c r="E259" s="65" t="s">
        <v>328</v>
      </c>
      <c r="F259" s="64"/>
      <c r="G259" s="64"/>
      <c r="H259" s="64"/>
      <c r="I259" s="24">
        <v>100000</v>
      </c>
      <c r="J259" s="24"/>
      <c r="K259" s="24">
        <f t="shared" si="4"/>
        <v>100000</v>
      </c>
      <c r="L259" s="120"/>
    </row>
    <row r="260" spans="1:12" s="17" customFormat="1" ht="29.25" customHeight="1">
      <c r="A260" s="14"/>
      <c r="B260" s="14"/>
      <c r="C260" s="14"/>
      <c r="D260" s="23"/>
      <c r="E260" s="23" t="s">
        <v>268</v>
      </c>
      <c r="F260" s="64"/>
      <c r="G260" s="64"/>
      <c r="H260" s="64"/>
      <c r="I260" s="24">
        <v>1000000</v>
      </c>
      <c r="J260" s="24"/>
      <c r="K260" s="24">
        <f t="shared" si="4"/>
        <v>1000000</v>
      </c>
      <c r="L260" s="120"/>
    </row>
    <row r="261" spans="1:12" s="17" customFormat="1" ht="43.5" customHeight="1">
      <c r="A261" s="14"/>
      <c r="B261" s="14"/>
      <c r="C261" s="14"/>
      <c r="D261" s="23"/>
      <c r="E261" s="23" t="s">
        <v>287</v>
      </c>
      <c r="F261" s="64"/>
      <c r="G261" s="64"/>
      <c r="H261" s="64"/>
      <c r="I261" s="24">
        <f>500000+200000</f>
        <v>700000</v>
      </c>
      <c r="J261" s="24"/>
      <c r="K261" s="24">
        <f t="shared" si="4"/>
        <v>700000</v>
      </c>
      <c r="L261" s="120">
        <v>38</v>
      </c>
    </row>
    <row r="262" spans="1:12" s="17" customFormat="1" ht="105" customHeight="1">
      <c r="A262" s="14"/>
      <c r="B262" s="14"/>
      <c r="C262" s="14"/>
      <c r="D262" s="23"/>
      <c r="E262" s="38" t="s">
        <v>391</v>
      </c>
      <c r="F262" s="64"/>
      <c r="G262" s="64"/>
      <c r="H262" s="64"/>
      <c r="I262" s="24">
        <v>294000</v>
      </c>
      <c r="J262" s="24"/>
      <c r="K262" s="24">
        <f t="shared" si="4"/>
        <v>294000</v>
      </c>
      <c r="L262" s="120"/>
    </row>
    <row r="263" spans="1:12" s="17" customFormat="1" ht="45" customHeight="1">
      <c r="A263" s="14"/>
      <c r="B263" s="14"/>
      <c r="C263" s="14"/>
      <c r="D263" s="23"/>
      <c r="E263" s="23" t="s">
        <v>232</v>
      </c>
      <c r="F263" s="64"/>
      <c r="G263" s="64"/>
      <c r="H263" s="64"/>
      <c r="I263" s="24">
        <v>200000</v>
      </c>
      <c r="J263" s="24"/>
      <c r="K263" s="24">
        <f>I263+J263</f>
        <v>200000</v>
      </c>
      <c r="L263" s="120"/>
    </row>
    <row r="264" spans="1:12" s="17" customFormat="1" ht="80.25" customHeight="1">
      <c r="A264" s="14"/>
      <c r="B264" s="14"/>
      <c r="C264" s="14"/>
      <c r="D264" s="23"/>
      <c r="E264" s="23" t="s">
        <v>231</v>
      </c>
      <c r="F264" s="64">
        <v>10359229</v>
      </c>
      <c r="G264" s="34">
        <v>40.9</v>
      </c>
      <c r="H264" s="64">
        <v>4240867</v>
      </c>
      <c r="I264" s="24">
        <f>1000000+1100000</f>
        <v>2100000</v>
      </c>
      <c r="J264" s="24"/>
      <c r="K264" s="24">
        <f>I264+J264</f>
        <v>2100000</v>
      </c>
      <c r="L264" s="120"/>
    </row>
    <row r="265" spans="1:12" s="17" customFormat="1" ht="24" customHeight="1">
      <c r="A265" s="14"/>
      <c r="B265" s="14"/>
      <c r="C265" s="14"/>
      <c r="D265" s="23"/>
      <c r="E265" s="23" t="s">
        <v>222</v>
      </c>
      <c r="F265" s="64">
        <v>8134171</v>
      </c>
      <c r="G265" s="34">
        <v>87.2</v>
      </c>
      <c r="H265" s="64">
        <v>7095619</v>
      </c>
      <c r="I265" s="24">
        <f>2000000+1000000+500000</f>
        <v>3500000</v>
      </c>
      <c r="J265" s="24"/>
      <c r="K265" s="24">
        <f t="shared" si="4"/>
        <v>3500000</v>
      </c>
      <c r="L265" s="120"/>
    </row>
    <row r="266" spans="1:12" s="17" customFormat="1" ht="23.25" customHeight="1">
      <c r="A266" s="14"/>
      <c r="B266" s="14"/>
      <c r="C266" s="14"/>
      <c r="D266" s="23"/>
      <c r="E266" s="23" t="s">
        <v>223</v>
      </c>
      <c r="F266" s="64">
        <v>33898627</v>
      </c>
      <c r="G266" s="34">
        <v>98.1</v>
      </c>
      <c r="H266" s="64">
        <v>33247860</v>
      </c>
      <c r="I266" s="24">
        <f>5000000+5000000</f>
        <v>10000000</v>
      </c>
      <c r="J266" s="24"/>
      <c r="K266" s="24">
        <f t="shared" si="4"/>
        <v>10000000</v>
      </c>
      <c r="L266" s="120"/>
    </row>
    <row r="267" spans="1:12" s="17" customFormat="1" ht="24.75" customHeight="1">
      <c r="A267" s="14"/>
      <c r="B267" s="14"/>
      <c r="C267" s="14"/>
      <c r="D267" s="23"/>
      <c r="E267" s="23" t="s">
        <v>244</v>
      </c>
      <c r="F267" s="64"/>
      <c r="G267" s="64"/>
      <c r="H267" s="64"/>
      <c r="I267" s="24">
        <v>2700000</v>
      </c>
      <c r="J267" s="24"/>
      <c r="K267" s="24">
        <f t="shared" si="4"/>
        <v>2700000</v>
      </c>
      <c r="L267" s="120"/>
    </row>
    <row r="268" spans="1:12" s="17" customFormat="1" ht="21.75" customHeight="1">
      <c r="A268" s="14"/>
      <c r="B268" s="14"/>
      <c r="C268" s="14"/>
      <c r="D268" s="23"/>
      <c r="E268" s="23" t="s">
        <v>235</v>
      </c>
      <c r="F268" s="64">
        <v>14670250</v>
      </c>
      <c r="G268" s="64">
        <v>98.5</v>
      </c>
      <c r="H268" s="64">
        <v>14443532</v>
      </c>
      <c r="I268" s="24">
        <f>2000000+5000000</f>
        <v>7000000</v>
      </c>
      <c r="J268" s="24"/>
      <c r="K268" s="24">
        <f>I268+J268</f>
        <v>7000000</v>
      </c>
      <c r="L268" s="120"/>
    </row>
    <row r="269" spans="1:12" s="17" customFormat="1" ht="40.5" customHeight="1">
      <c r="A269" s="14"/>
      <c r="B269" s="14"/>
      <c r="C269" s="14"/>
      <c r="D269" s="23"/>
      <c r="E269" s="38" t="s">
        <v>224</v>
      </c>
      <c r="F269" s="64">
        <v>7365869</v>
      </c>
      <c r="G269" s="34">
        <v>76.3</v>
      </c>
      <c r="H269" s="64">
        <v>5617385</v>
      </c>
      <c r="I269" s="24">
        <f>2000000+1000000+1087159</f>
        <v>4087159</v>
      </c>
      <c r="J269" s="24"/>
      <c r="K269" s="24">
        <f t="shared" si="4"/>
        <v>4087159</v>
      </c>
      <c r="L269" s="120"/>
    </row>
    <row r="270" spans="1:12" s="17" customFormat="1" ht="39" customHeight="1">
      <c r="A270" s="14"/>
      <c r="B270" s="14"/>
      <c r="C270" s="14"/>
      <c r="D270" s="23"/>
      <c r="E270" s="23" t="s">
        <v>225</v>
      </c>
      <c r="F270" s="64">
        <v>2512375</v>
      </c>
      <c r="G270" s="64">
        <v>100</v>
      </c>
      <c r="H270" s="64">
        <v>2512375</v>
      </c>
      <c r="I270" s="24">
        <f>2000000+400000</f>
        <v>2400000</v>
      </c>
      <c r="J270" s="24"/>
      <c r="K270" s="24">
        <f t="shared" si="4"/>
        <v>2400000</v>
      </c>
      <c r="L270" s="120"/>
    </row>
    <row r="271" spans="1:12" s="17" customFormat="1" ht="41.25" customHeight="1">
      <c r="A271" s="14"/>
      <c r="B271" s="14"/>
      <c r="C271" s="14"/>
      <c r="D271" s="23"/>
      <c r="E271" s="23" t="s">
        <v>226</v>
      </c>
      <c r="F271" s="64">
        <v>4782900</v>
      </c>
      <c r="G271" s="34">
        <v>45.4</v>
      </c>
      <c r="H271" s="64">
        <v>2171239</v>
      </c>
      <c r="I271" s="24">
        <v>2000000</v>
      </c>
      <c r="J271" s="24"/>
      <c r="K271" s="24">
        <f t="shared" si="4"/>
        <v>2000000</v>
      </c>
      <c r="L271" s="120"/>
    </row>
    <row r="272" spans="1:12" s="17" customFormat="1" ht="40.5" customHeight="1">
      <c r="A272" s="14"/>
      <c r="B272" s="14"/>
      <c r="C272" s="14"/>
      <c r="D272" s="23"/>
      <c r="E272" s="23" t="s">
        <v>227</v>
      </c>
      <c r="F272" s="64"/>
      <c r="G272" s="64"/>
      <c r="H272" s="64"/>
      <c r="I272" s="24">
        <f>1000000-805000+400000</f>
        <v>595000</v>
      </c>
      <c r="J272" s="24"/>
      <c r="K272" s="24">
        <f t="shared" si="4"/>
        <v>595000</v>
      </c>
      <c r="L272" s="120"/>
    </row>
    <row r="273" spans="1:12" s="17" customFormat="1" ht="57" customHeight="1">
      <c r="A273" s="14"/>
      <c r="B273" s="14"/>
      <c r="C273" s="14"/>
      <c r="D273" s="23"/>
      <c r="E273" s="23" t="s">
        <v>228</v>
      </c>
      <c r="F273" s="64">
        <v>54104796</v>
      </c>
      <c r="G273" s="34">
        <v>28.9</v>
      </c>
      <c r="H273" s="64">
        <v>15616691</v>
      </c>
      <c r="I273" s="24">
        <f>10000000-2000000</f>
        <v>8000000</v>
      </c>
      <c r="J273" s="24"/>
      <c r="K273" s="24">
        <f t="shared" si="4"/>
        <v>8000000</v>
      </c>
      <c r="L273" s="120"/>
    </row>
    <row r="274" spans="1:12" s="17" customFormat="1" ht="52.5" customHeight="1">
      <c r="A274" s="14"/>
      <c r="B274" s="14"/>
      <c r="C274" s="14"/>
      <c r="D274" s="23"/>
      <c r="E274" s="23" t="s">
        <v>229</v>
      </c>
      <c r="F274" s="64"/>
      <c r="G274" s="64"/>
      <c r="H274" s="64"/>
      <c r="I274" s="24">
        <v>300000</v>
      </c>
      <c r="J274" s="24"/>
      <c r="K274" s="24">
        <f t="shared" si="4"/>
        <v>300000</v>
      </c>
      <c r="L274" s="120"/>
    </row>
    <row r="275" spans="1:12" s="40" customFormat="1" ht="58.5" customHeight="1">
      <c r="A275" s="46"/>
      <c r="B275" s="46"/>
      <c r="C275" s="46"/>
      <c r="D275" s="38"/>
      <c r="E275" s="38" t="s">
        <v>312</v>
      </c>
      <c r="F275" s="66"/>
      <c r="G275" s="66"/>
      <c r="H275" s="66"/>
      <c r="I275" s="39">
        <v>100000</v>
      </c>
      <c r="J275" s="39"/>
      <c r="K275" s="39">
        <f t="shared" si="4"/>
        <v>100000</v>
      </c>
      <c r="L275" s="120"/>
    </row>
    <row r="276" spans="1:12" s="17" customFormat="1" ht="45.75" customHeight="1">
      <c r="A276" s="14"/>
      <c r="B276" s="14"/>
      <c r="C276" s="14"/>
      <c r="D276" s="23"/>
      <c r="E276" s="23" t="s">
        <v>230</v>
      </c>
      <c r="F276" s="64">
        <v>4291979</v>
      </c>
      <c r="G276" s="64">
        <v>75.6</v>
      </c>
      <c r="H276" s="64">
        <v>3243169</v>
      </c>
      <c r="I276" s="24">
        <f>1500000-500000+500000+35000</f>
        <v>1535000</v>
      </c>
      <c r="J276" s="24"/>
      <c r="K276" s="24">
        <f t="shared" si="4"/>
        <v>1535000</v>
      </c>
      <c r="L276" s="120"/>
    </row>
    <row r="277" spans="1:12" s="17" customFormat="1" ht="25.5" customHeight="1">
      <c r="A277" s="14"/>
      <c r="B277" s="14"/>
      <c r="C277" s="14"/>
      <c r="D277" s="23"/>
      <c r="E277" s="65" t="s">
        <v>233</v>
      </c>
      <c r="F277" s="64">
        <v>16481572</v>
      </c>
      <c r="G277" s="34">
        <v>95.8</v>
      </c>
      <c r="H277" s="64">
        <v>15789129</v>
      </c>
      <c r="I277" s="24">
        <f>5000000-1000000</f>
        <v>4000000</v>
      </c>
      <c r="J277" s="24"/>
      <c r="K277" s="24">
        <f aca="true" t="shared" si="6" ref="K277:K284">I277+J277</f>
        <v>4000000</v>
      </c>
      <c r="L277" s="120"/>
    </row>
    <row r="278" spans="1:12" s="17" customFormat="1" ht="43.5" customHeight="1">
      <c r="A278" s="14"/>
      <c r="B278" s="14"/>
      <c r="C278" s="14"/>
      <c r="D278" s="23"/>
      <c r="E278" s="23" t="s">
        <v>234</v>
      </c>
      <c r="F278" s="64"/>
      <c r="G278" s="64"/>
      <c r="H278" s="64"/>
      <c r="I278" s="24">
        <f>2000000-800000-1000000</f>
        <v>200000</v>
      </c>
      <c r="J278" s="24"/>
      <c r="K278" s="24">
        <f t="shared" si="6"/>
        <v>200000</v>
      </c>
      <c r="L278" s="120"/>
    </row>
    <row r="279" spans="1:12" s="17" customFormat="1" ht="21.75" customHeight="1">
      <c r="A279" s="14"/>
      <c r="B279" s="14"/>
      <c r="C279" s="14"/>
      <c r="D279" s="23"/>
      <c r="E279" s="23" t="s">
        <v>236</v>
      </c>
      <c r="F279" s="64"/>
      <c r="G279" s="64"/>
      <c r="H279" s="64"/>
      <c r="I279" s="24">
        <f>3000000-2706000</f>
        <v>294000</v>
      </c>
      <c r="J279" s="24"/>
      <c r="K279" s="24">
        <f t="shared" si="6"/>
        <v>294000</v>
      </c>
      <c r="L279" s="120"/>
    </row>
    <row r="280" spans="1:12" s="40" customFormat="1" ht="24" customHeight="1">
      <c r="A280" s="46"/>
      <c r="B280" s="46"/>
      <c r="C280" s="46"/>
      <c r="D280" s="38"/>
      <c r="E280" s="38" t="s">
        <v>313</v>
      </c>
      <c r="F280" s="66"/>
      <c r="G280" s="66"/>
      <c r="H280" s="66"/>
      <c r="I280" s="39">
        <v>100000</v>
      </c>
      <c r="J280" s="39"/>
      <c r="K280" s="39">
        <f t="shared" si="6"/>
        <v>100000</v>
      </c>
      <c r="L280" s="120"/>
    </row>
    <row r="281" spans="1:12" s="40" customFormat="1" ht="23.25" customHeight="1">
      <c r="A281" s="46"/>
      <c r="B281" s="46"/>
      <c r="C281" s="46"/>
      <c r="D281" s="38"/>
      <c r="E281" s="38" t="s">
        <v>314</v>
      </c>
      <c r="F281" s="66"/>
      <c r="G281" s="66"/>
      <c r="H281" s="66"/>
      <c r="I281" s="39">
        <f>100000+26000</f>
        <v>126000</v>
      </c>
      <c r="J281" s="39"/>
      <c r="K281" s="39">
        <f t="shared" si="6"/>
        <v>126000</v>
      </c>
      <c r="L281" s="120"/>
    </row>
    <row r="282" spans="1:12" s="40" customFormat="1" ht="25.5" customHeight="1">
      <c r="A282" s="46"/>
      <c r="B282" s="46"/>
      <c r="C282" s="46"/>
      <c r="D282" s="38"/>
      <c r="E282" s="38" t="s">
        <v>315</v>
      </c>
      <c r="F282" s="66"/>
      <c r="G282" s="66"/>
      <c r="H282" s="66"/>
      <c r="I282" s="39">
        <f>100000+180000</f>
        <v>280000</v>
      </c>
      <c r="J282" s="39"/>
      <c r="K282" s="39">
        <f t="shared" si="6"/>
        <v>280000</v>
      </c>
      <c r="L282" s="120"/>
    </row>
    <row r="283" spans="1:12" s="40" customFormat="1" ht="54" customHeight="1">
      <c r="A283" s="46"/>
      <c r="B283" s="46"/>
      <c r="C283" s="46"/>
      <c r="D283" s="38"/>
      <c r="E283" s="38" t="s">
        <v>316</v>
      </c>
      <c r="F283" s="66"/>
      <c r="G283" s="66"/>
      <c r="H283" s="66"/>
      <c r="I283" s="39">
        <v>100000</v>
      </c>
      <c r="J283" s="39"/>
      <c r="K283" s="39">
        <f t="shared" si="6"/>
        <v>100000</v>
      </c>
      <c r="L283" s="120">
        <v>39</v>
      </c>
    </row>
    <row r="284" spans="1:12" s="40" customFormat="1" ht="54" customHeight="1">
      <c r="A284" s="46"/>
      <c r="B284" s="46"/>
      <c r="C284" s="46"/>
      <c r="D284" s="38"/>
      <c r="E284" s="38" t="s">
        <v>327</v>
      </c>
      <c r="F284" s="66"/>
      <c r="G284" s="66"/>
      <c r="H284" s="66"/>
      <c r="I284" s="39">
        <v>50000</v>
      </c>
      <c r="J284" s="39"/>
      <c r="K284" s="39">
        <f t="shared" si="6"/>
        <v>50000</v>
      </c>
      <c r="L284" s="120"/>
    </row>
    <row r="285" spans="1:12" s="17" customFormat="1" ht="48" customHeight="1">
      <c r="A285" s="14"/>
      <c r="B285" s="14"/>
      <c r="C285" s="14"/>
      <c r="D285" s="23"/>
      <c r="E285" s="23" t="s">
        <v>269</v>
      </c>
      <c r="F285" s="64"/>
      <c r="G285" s="64"/>
      <c r="H285" s="64"/>
      <c r="I285" s="24">
        <v>100000</v>
      </c>
      <c r="J285" s="24"/>
      <c r="K285" s="24">
        <f t="shared" si="4"/>
        <v>100000</v>
      </c>
      <c r="L285" s="120"/>
    </row>
    <row r="286" spans="1:12" s="17" customFormat="1" ht="29.25" customHeight="1">
      <c r="A286" s="14"/>
      <c r="B286" s="14"/>
      <c r="C286" s="14"/>
      <c r="D286" s="23"/>
      <c r="E286" s="23" t="s">
        <v>270</v>
      </c>
      <c r="F286" s="64"/>
      <c r="G286" s="64"/>
      <c r="H286" s="64"/>
      <c r="I286" s="24">
        <v>96600</v>
      </c>
      <c r="J286" s="24"/>
      <c r="K286" s="24">
        <f t="shared" si="4"/>
        <v>96600</v>
      </c>
      <c r="L286" s="120"/>
    </row>
    <row r="287" spans="1:12" s="17" customFormat="1" ht="27" customHeight="1">
      <c r="A287" s="14"/>
      <c r="B287" s="14"/>
      <c r="C287" s="14"/>
      <c r="D287" s="23"/>
      <c r="E287" s="23" t="s">
        <v>237</v>
      </c>
      <c r="F287" s="64">
        <v>31834622</v>
      </c>
      <c r="G287" s="34">
        <v>98.3</v>
      </c>
      <c r="H287" s="64">
        <v>31285694</v>
      </c>
      <c r="I287" s="24">
        <f>5000000+4000000</f>
        <v>9000000</v>
      </c>
      <c r="J287" s="24"/>
      <c r="K287" s="24">
        <f t="shared" si="4"/>
        <v>9000000</v>
      </c>
      <c r="L287" s="120"/>
    </row>
    <row r="288" spans="1:12" s="17" customFormat="1" ht="45" customHeight="1">
      <c r="A288" s="14"/>
      <c r="B288" s="14"/>
      <c r="C288" s="14"/>
      <c r="D288" s="23"/>
      <c r="E288" s="23" t="s">
        <v>283</v>
      </c>
      <c r="F288" s="64"/>
      <c r="G288" s="64"/>
      <c r="H288" s="64"/>
      <c r="I288" s="24">
        <v>500000</v>
      </c>
      <c r="J288" s="24"/>
      <c r="K288" s="24">
        <f t="shared" si="4"/>
        <v>500000</v>
      </c>
      <c r="L288" s="120"/>
    </row>
    <row r="289" spans="1:12" s="17" customFormat="1" ht="48" customHeight="1">
      <c r="A289" s="14"/>
      <c r="B289" s="14"/>
      <c r="C289" s="14"/>
      <c r="D289" s="23"/>
      <c r="E289" s="38" t="s">
        <v>404</v>
      </c>
      <c r="F289" s="64"/>
      <c r="G289" s="64"/>
      <c r="H289" s="64"/>
      <c r="I289" s="24">
        <v>150000</v>
      </c>
      <c r="J289" s="24"/>
      <c r="K289" s="24">
        <f t="shared" si="4"/>
        <v>150000</v>
      </c>
      <c r="L289" s="120"/>
    </row>
    <row r="290" spans="1:12" s="40" customFormat="1" ht="33" customHeight="1">
      <c r="A290" s="46"/>
      <c r="B290" s="46"/>
      <c r="C290" s="46"/>
      <c r="D290" s="38"/>
      <c r="E290" s="38" t="s">
        <v>318</v>
      </c>
      <c r="F290" s="66"/>
      <c r="G290" s="66"/>
      <c r="H290" s="66"/>
      <c r="I290" s="39">
        <v>300000</v>
      </c>
      <c r="J290" s="39"/>
      <c r="K290" s="39">
        <f t="shared" si="4"/>
        <v>300000</v>
      </c>
      <c r="L290" s="120"/>
    </row>
    <row r="291" spans="1:12" s="17" customFormat="1" ht="42.75" customHeight="1">
      <c r="A291" s="14"/>
      <c r="B291" s="14"/>
      <c r="C291" s="14"/>
      <c r="D291" s="23"/>
      <c r="E291" s="65" t="s">
        <v>245</v>
      </c>
      <c r="F291" s="64">
        <v>7995986</v>
      </c>
      <c r="G291" s="34">
        <v>97.2</v>
      </c>
      <c r="H291" s="64">
        <v>7768864</v>
      </c>
      <c r="I291" s="24">
        <v>500000</v>
      </c>
      <c r="J291" s="24"/>
      <c r="K291" s="24">
        <f t="shared" si="4"/>
        <v>500000</v>
      </c>
      <c r="L291" s="120"/>
    </row>
    <row r="292" spans="1:12" s="17" customFormat="1" ht="49.5" customHeight="1">
      <c r="A292" s="14"/>
      <c r="B292" s="14"/>
      <c r="C292" s="14"/>
      <c r="D292" s="23"/>
      <c r="E292" s="65" t="s">
        <v>246</v>
      </c>
      <c r="F292" s="64"/>
      <c r="G292" s="64"/>
      <c r="H292" s="64"/>
      <c r="I292" s="24">
        <v>100000</v>
      </c>
      <c r="J292" s="36"/>
      <c r="K292" s="24">
        <f t="shared" si="4"/>
        <v>100000</v>
      </c>
      <c r="L292" s="120"/>
    </row>
    <row r="293" spans="1:12" s="17" customFormat="1" ht="27" customHeight="1">
      <c r="A293" s="14" t="s">
        <v>111</v>
      </c>
      <c r="B293" s="14" t="s">
        <v>156</v>
      </c>
      <c r="C293" s="14"/>
      <c r="D293" s="23" t="s">
        <v>112</v>
      </c>
      <c r="E293" s="23"/>
      <c r="F293" s="23"/>
      <c r="G293" s="23"/>
      <c r="H293" s="23"/>
      <c r="I293" s="24">
        <f aca="true" t="shared" si="7" ref="I293:K294">I294</f>
        <v>608100</v>
      </c>
      <c r="J293" s="24">
        <f t="shared" si="7"/>
        <v>0</v>
      </c>
      <c r="K293" s="24">
        <f t="shared" si="7"/>
        <v>608100</v>
      </c>
      <c r="L293" s="120"/>
    </row>
    <row r="294" spans="1:12" s="22" customFormat="1" ht="39" customHeight="1">
      <c r="A294" s="19" t="s">
        <v>113</v>
      </c>
      <c r="B294" s="19" t="s">
        <v>157</v>
      </c>
      <c r="C294" s="19" t="s">
        <v>151</v>
      </c>
      <c r="D294" s="26" t="s">
        <v>114</v>
      </c>
      <c r="F294" s="26"/>
      <c r="G294" s="26"/>
      <c r="H294" s="26"/>
      <c r="I294" s="27">
        <f t="shared" si="7"/>
        <v>608100</v>
      </c>
      <c r="J294" s="27">
        <f t="shared" si="7"/>
        <v>0</v>
      </c>
      <c r="K294" s="27">
        <f t="shared" si="7"/>
        <v>608100</v>
      </c>
      <c r="L294" s="120"/>
    </row>
    <row r="295" spans="1:12" s="22" customFormat="1" ht="27" customHeight="1">
      <c r="A295" s="19"/>
      <c r="B295" s="19"/>
      <c r="C295" s="19"/>
      <c r="D295" s="26"/>
      <c r="E295" s="65" t="s">
        <v>249</v>
      </c>
      <c r="F295" s="26"/>
      <c r="G295" s="26"/>
      <c r="H295" s="26"/>
      <c r="I295" s="27">
        <f>108100+500000</f>
        <v>608100</v>
      </c>
      <c r="J295" s="27"/>
      <c r="K295" s="27">
        <f t="shared" si="4"/>
        <v>608100</v>
      </c>
      <c r="L295" s="120"/>
    </row>
    <row r="296" spans="1:12" s="17" customFormat="1" ht="27" customHeight="1">
      <c r="A296" s="14" t="s">
        <v>274</v>
      </c>
      <c r="B296" s="14" t="s">
        <v>161</v>
      </c>
      <c r="C296" s="14" t="s">
        <v>162</v>
      </c>
      <c r="D296" s="23" t="s">
        <v>82</v>
      </c>
      <c r="E296" s="23"/>
      <c r="F296" s="23"/>
      <c r="G296" s="23"/>
      <c r="H296" s="23"/>
      <c r="I296" s="24">
        <v>16524000</v>
      </c>
      <c r="J296" s="36"/>
      <c r="K296" s="24">
        <f t="shared" si="4"/>
        <v>16524000</v>
      </c>
      <c r="L296" s="120"/>
    </row>
    <row r="297" spans="1:12" s="17" customFormat="1" ht="39" customHeight="1">
      <c r="A297" s="33" t="s">
        <v>104</v>
      </c>
      <c r="B297" s="33" t="s">
        <v>165</v>
      </c>
      <c r="C297" s="33" t="s">
        <v>155</v>
      </c>
      <c r="D297" s="23" t="s">
        <v>18</v>
      </c>
      <c r="E297" s="65" t="s">
        <v>192</v>
      </c>
      <c r="F297" s="23"/>
      <c r="G297" s="23"/>
      <c r="H297" s="23"/>
      <c r="I297" s="24">
        <f>13700000+2000000+13150000</f>
        <v>28850000</v>
      </c>
      <c r="J297" s="24"/>
      <c r="K297" s="24">
        <f t="shared" si="4"/>
        <v>28850000</v>
      </c>
      <c r="L297" s="120"/>
    </row>
    <row r="298" spans="1:12" s="61" customFormat="1" ht="41.25" customHeight="1">
      <c r="A298" s="59">
        <v>4800000</v>
      </c>
      <c r="B298" s="59"/>
      <c r="C298" s="59"/>
      <c r="D298" s="43" t="s">
        <v>108</v>
      </c>
      <c r="E298" s="43"/>
      <c r="F298" s="43"/>
      <c r="G298" s="43"/>
      <c r="H298" s="43"/>
      <c r="I298" s="16">
        <f>I299</f>
        <v>112173</v>
      </c>
      <c r="J298" s="16">
        <f>J299</f>
        <v>0</v>
      </c>
      <c r="K298" s="16">
        <f>K299</f>
        <v>112173</v>
      </c>
      <c r="L298" s="120"/>
    </row>
    <row r="299" spans="1:12" s="22" customFormat="1" ht="40.5" customHeight="1">
      <c r="A299" s="60">
        <v>4810000</v>
      </c>
      <c r="B299" s="49"/>
      <c r="C299" s="49"/>
      <c r="D299" s="45" t="s">
        <v>108</v>
      </c>
      <c r="E299" s="26"/>
      <c r="F299" s="26"/>
      <c r="G299" s="26"/>
      <c r="H299" s="26"/>
      <c r="I299" s="21">
        <f>I300+I301</f>
        <v>112173</v>
      </c>
      <c r="J299" s="21">
        <f>J300+J301</f>
        <v>0</v>
      </c>
      <c r="K299" s="21">
        <f>K300+K301</f>
        <v>112173</v>
      </c>
      <c r="L299" s="120"/>
    </row>
    <row r="300" spans="1:12" s="17" customFormat="1" ht="43.5" customHeight="1">
      <c r="A300" s="14" t="s">
        <v>94</v>
      </c>
      <c r="B300" s="14" t="s">
        <v>117</v>
      </c>
      <c r="C300" s="14" t="s">
        <v>118</v>
      </c>
      <c r="D300" s="23" t="s">
        <v>278</v>
      </c>
      <c r="E300" s="23"/>
      <c r="F300" s="23"/>
      <c r="G300" s="23"/>
      <c r="H300" s="23"/>
      <c r="I300" s="24">
        <f>45000+50000</f>
        <v>95000</v>
      </c>
      <c r="J300" s="24"/>
      <c r="K300" s="24">
        <f t="shared" si="4"/>
        <v>95000</v>
      </c>
      <c r="L300" s="120"/>
    </row>
    <row r="301" spans="1:12" s="17" customFormat="1" ht="42.75" customHeight="1">
      <c r="A301" s="33" t="s">
        <v>288</v>
      </c>
      <c r="B301" s="33" t="s">
        <v>165</v>
      </c>
      <c r="C301" s="33" t="s">
        <v>155</v>
      </c>
      <c r="D301" s="23" t="s">
        <v>18</v>
      </c>
      <c r="E301" s="23" t="s">
        <v>289</v>
      </c>
      <c r="F301" s="23"/>
      <c r="G301" s="23"/>
      <c r="H301" s="23"/>
      <c r="I301" s="24">
        <v>17173</v>
      </c>
      <c r="J301" s="24"/>
      <c r="K301" s="24">
        <f>I301+J301</f>
        <v>17173</v>
      </c>
      <c r="L301" s="120"/>
    </row>
    <row r="302" spans="1:12" s="17" customFormat="1" ht="39" customHeight="1">
      <c r="A302" s="59">
        <v>5000000</v>
      </c>
      <c r="B302" s="47"/>
      <c r="C302" s="47"/>
      <c r="D302" s="43" t="s">
        <v>95</v>
      </c>
      <c r="E302" s="43"/>
      <c r="F302" s="43"/>
      <c r="G302" s="43"/>
      <c r="H302" s="43"/>
      <c r="I302" s="16">
        <f aca="true" t="shared" si="8" ref="I302:K303">I303</f>
        <v>21000</v>
      </c>
      <c r="J302" s="16">
        <f t="shared" si="8"/>
        <v>0</v>
      </c>
      <c r="K302" s="16">
        <f t="shared" si="8"/>
        <v>21000</v>
      </c>
      <c r="L302" s="120"/>
    </row>
    <row r="303" spans="1:12" s="73" customFormat="1" ht="42" customHeight="1">
      <c r="A303" s="60">
        <v>5010000</v>
      </c>
      <c r="B303" s="49"/>
      <c r="C303" s="49"/>
      <c r="D303" s="45" t="s">
        <v>95</v>
      </c>
      <c r="E303" s="45"/>
      <c r="F303" s="45"/>
      <c r="G303" s="45"/>
      <c r="H303" s="45"/>
      <c r="I303" s="21">
        <f t="shared" si="8"/>
        <v>21000</v>
      </c>
      <c r="J303" s="21">
        <f t="shared" si="8"/>
        <v>0</v>
      </c>
      <c r="K303" s="21">
        <f t="shared" si="8"/>
        <v>21000</v>
      </c>
      <c r="L303" s="120"/>
    </row>
    <row r="304" spans="1:12" s="17" customFormat="1" ht="40.5" customHeight="1">
      <c r="A304" s="14" t="s">
        <v>96</v>
      </c>
      <c r="B304" s="14" t="s">
        <v>117</v>
      </c>
      <c r="C304" s="14" t="s">
        <v>118</v>
      </c>
      <c r="D304" s="23" t="s">
        <v>278</v>
      </c>
      <c r="E304" s="23"/>
      <c r="F304" s="23"/>
      <c r="G304" s="23"/>
      <c r="H304" s="23"/>
      <c r="I304" s="24">
        <v>21000</v>
      </c>
      <c r="J304" s="36"/>
      <c r="K304" s="24">
        <f t="shared" si="4"/>
        <v>21000</v>
      </c>
      <c r="L304" s="120"/>
    </row>
    <row r="305" spans="1:12" s="17" customFormat="1" ht="39" customHeight="1">
      <c r="A305" s="13" t="s">
        <v>97</v>
      </c>
      <c r="B305" s="14"/>
      <c r="C305" s="14"/>
      <c r="D305" s="43" t="s">
        <v>109</v>
      </c>
      <c r="E305" s="43"/>
      <c r="F305" s="43"/>
      <c r="G305" s="43"/>
      <c r="H305" s="43"/>
      <c r="I305" s="16">
        <f aca="true" t="shared" si="9" ref="I305:K306">I306</f>
        <v>186000</v>
      </c>
      <c r="J305" s="16">
        <f t="shared" si="9"/>
        <v>0</v>
      </c>
      <c r="K305" s="16">
        <f t="shared" si="9"/>
        <v>186000</v>
      </c>
      <c r="L305" s="120"/>
    </row>
    <row r="306" spans="1:12" s="22" customFormat="1" ht="42" customHeight="1">
      <c r="A306" s="18" t="s">
        <v>98</v>
      </c>
      <c r="B306" s="19"/>
      <c r="C306" s="19"/>
      <c r="D306" s="45" t="s">
        <v>109</v>
      </c>
      <c r="E306" s="45"/>
      <c r="F306" s="45"/>
      <c r="G306" s="45"/>
      <c r="H306" s="45"/>
      <c r="I306" s="21">
        <f t="shared" si="9"/>
        <v>186000</v>
      </c>
      <c r="J306" s="21">
        <f t="shared" si="9"/>
        <v>0</v>
      </c>
      <c r="K306" s="21">
        <f t="shared" si="9"/>
        <v>186000</v>
      </c>
      <c r="L306" s="121">
        <v>40</v>
      </c>
    </row>
    <row r="307" spans="1:12" s="17" customFormat="1" ht="37.5" customHeight="1">
      <c r="A307" s="14" t="s">
        <v>99</v>
      </c>
      <c r="B307" s="14" t="s">
        <v>117</v>
      </c>
      <c r="C307" s="14" t="s">
        <v>118</v>
      </c>
      <c r="D307" s="23" t="s">
        <v>278</v>
      </c>
      <c r="E307" s="23"/>
      <c r="F307" s="23"/>
      <c r="G307" s="23"/>
      <c r="H307" s="23"/>
      <c r="I307" s="24">
        <f>50000+81000+55000</f>
        <v>186000</v>
      </c>
      <c r="J307" s="24"/>
      <c r="K307" s="24">
        <f t="shared" si="4"/>
        <v>186000</v>
      </c>
      <c r="L307" s="121"/>
    </row>
    <row r="308" spans="1:12" s="17" customFormat="1" ht="75" customHeight="1">
      <c r="A308" s="59">
        <v>7600000</v>
      </c>
      <c r="B308" s="47"/>
      <c r="C308" s="47"/>
      <c r="D308" s="43" t="s">
        <v>110</v>
      </c>
      <c r="E308" s="43"/>
      <c r="F308" s="43"/>
      <c r="G308" s="43"/>
      <c r="H308" s="43"/>
      <c r="I308" s="16">
        <f aca="true" t="shared" si="10" ref="I308:K309">I309</f>
        <v>1500000</v>
      </c>
      <c r="J308" s="16">
        <f t="shared" si="10"/>
        <v>0</v>
      </c>
      <c r="K308" s="16">
        <f t="shared" si="10"/>
        <v>1500000</v>
      </c>
      <c r="L308" s="121"/>
    </row>
    <row r="309" spans="1:12" s="22" customFormat="1" ht="78.75" customHeight="1">
      <c r="A309" s="60">
        <v>7610000</v>
      </c>
      <c r="B309" s="49"/>
      <c r="C309" s="49"/>
      <c r="D309" s="45" t="s">
        <v>110</v>
      </c>
      <c r="E309" s="45"/>
      <c r="F309" s="45"/>
      <c r="G309" s="45"/>
      <c r="H309" s="45"/>
      <c r="I309" s="21">
        <f t="shared" si="10"/>
        <v>1500000</v>
      </c>
      <c r="J309" s="21">
        <f>J310</f>
        <v>0</v>
      </c>
      <c r="K309" s="21">
        <f t="shared" si="10"/>
        <v>1500000</v>
      </c>
      <c r="L309" s="121"/>
    </row>
    <row r="310" spans="1:12" s="17" customFormat="1" ht="24" customHeight="1">
      <c r="A310" s="47">
        <v>7618800</v>
      </c>
      <c r="B310" s="47">
        <v>8800</v>
      </c>
      <c r="C310" s="14" t="s">
        <v>117</v>
      </c>
      <c r="D310" s="56" t="s">
        <v>4</v>
      </c>
      <c r="E310" s="56"/>
      <c r="F310" s="56"/>
      <c r="G310" s="56"/>
      <c r="H310" s="56"/>
      <c r="I310" s="24">
        <f>I311</f>
        <v>1500000</v>
      </c>
      <c r="J310" s="24">
        <f>J311</f>
        <v>0</v>
      </c>
      <c r="K310" s="24">
        <f t="shared" si="4"/>
        <v>1500000</v>
      </c>
      <c r="L310" s="121"/>
    </row>
    <row r="311" spans="1:12" s="17" customFormat="1" ht="21" customHeight="1">
      <c r="A311" s="49">
        <v>7618800</v>
      </c>
      <c r="B311" s="49">
        <v>8800</v>
      </c>
      <c r="C311" s="29" t="s">
        <v>117</v>
      </c>
      <c r="D311" s="57" t="s">
        <v>100</v>
      </c>
      <c r="E311" s="57"/>
      <c r="F311" s="57"/>
      <c r="G311" s="57"/>
      <c r="H311" s="57"/>
      <c r="I311" s="27">
        <f>500000+500000+500000</f>
        <v>1500000</v>
      </c>
      <c r="J311" s="74"/>
      <c r="K311" s="27">
        <f t="shared" si="4"/>
        <v>1500000</v>
      </c>
      <c r="L311" s="121"/>
    </row>
    <row r="312" spans="1:12" s="78" customFormat="1" ht="23.25" customHeight="1">
      <c r="A312" s="75"/>
      <c r="B312" s="75"/>
      <c r="C312" s="75"/>
      <c r="D312" s="76" t="s">
        <v>5</v>
      </c>
      <c r="E312" s="76"/>
      <c r="F312" s="76"/>
      <c r="G312" s="76"/>
      <c r="H312" s="76"/>
      <c r="I312" s="77">
        <f>I15+I40+I52+I60+I71+I74+I82+I126+I302+I305+I308+I123+I119+I298</f>
        <v>584769161</v>
      </c>
      <c r="J312" s="77">
        <f>J15+J40+J52+J60+J71+J74+J82+J126+J302+J305+J308+J123+J119+J298</f>
        <v>-79700</v>
      </c>
      <c r="K312" s="77">
        <f>K15+K40+K52+K60+K71+K74+K82+K126+K302+K305+K308+K123+K119+K298</f>
        <v>584689461</v>
      </c>
      <c r="L312" s="121"/>
    </row>
    <row r="313" spans="1:12" s="78" customFormat="1" ht="18">
      <c r="A313" s="79"/>
      <c r="B313" s="79"/>
      <c r="C313" s="79"/>
      <c r="D313" s="80"/>
      <c r="E313" s="80"/>
      <c r="F313" s="80"/>
      <c r="G313" s="80"/>
      <c r="H313" s="80"/>
      <c r="I313" s="81"/>
      <c r="J313" s="5"/>
      <c r="L313" s="121"/>
    </row>
    <row r="314" spans="1:12" s="78" customFormat="1" ht="18">
      <c r="A314" s="79"/>
      <c r="B314" s="79"/>
      <c r="C314" s="79"/>
      <c r="D314" s="80"/>
      <c r="E314" s="80"/>
      <c r="F314" s="80"/>
      <c r="G314" s="80"/>
      <c r="H314" s="80"/>
      <c r="I314" s="81"/>
      <c r="J314" s="5"/>
      <c r="L314" s="121"/>
    </row>
    <row r="315" spans="1:12" s="17" customFormat="1" ht="8.25" customHeight="1">
      <c r="A315" s="82"/>
      <c r="B315" s="82"/>
      <c r="C315" s="82"/>
      <c r="D315" s="83"/>
      <c r="E315" s="83"/>
      <c r="F315" s="83"/>
      <c r="G315" s="83"/>
      <c r="H315" s="83"/>
      <c r="I315" s="84"/>
      <c r="J315" s="5"/>
      <c r="L315" s="121"/>
    </row>
    <row r="316" spans="9:12" ht="15" customHeight="1" hidden="1">
      <c r="I316" s="85"/>
      <c r="J316" s="5"/>
      <c r="L316" s="121"/>
    </row>
    <row r="317" spans="1:12" s="104" customFormat="1" ht="15">
      <c r="A317" s="99"/>
      <c r="B317" s="99"/>
      <c r="C317" s="99"/>
      <c r="D317" s="100"/>
      <c r="E317" s="100"/>
      <c r="F317" s="100"/>
      <c r="G317" s="100"/>
      <c r="H317" s="100"/>
      <c r="I317" s="101"/>
      <c r="J317" s="102"/>
      <c r="K317" s="103"/>
      <c r="L317" s="121"/>
    </row>
    <row r="318" spans="1:12" s="104" customFormat="1" ht="6" customHeight="1">
      <c r="A318" s="99"/>
      <c r="B318" s="99"/>
      <c r="C318" s="99"/>
      <c r="D318" s="100"/>
      <c r="E318" s="100"/>
      <c r="F318" s="100"/>
      <c r="G318" s="100"/>
      <c r="H318" s="100"/>
      <c r="I318" s="101"/>
      <c r="J318" s="102"/>
      <c r="K318" s="103"/>
      <c r="L318" s="121"/>
    </row>
    <row r="319" spans="1:12" s="105" customFormat="1" ht="27.75">
      <c r="A319" s="111" t="s">
        <v>423</v>
      </c>
      <c r="B319" s="111"/>
      <c r="C319" s="111"/>
      <c r="D319" s="111"/>
      <c r="E319" s="111"/>
      <c r="H319" s="115" t="s">
        <v>424</v>
      </c>
      <c r="I319" s="115"/>
      <c r="J319" s="102"/>
      <c r="K319" s="106"/>
      <c r="L319" s="121"/>
    </row>
    <row r="320" spans="1:12" s="104" customFormat="1" ht="15">
      <c r="A320" s="99"/>
      <c r="B320" s="99"/>
      <c r="C320" s="99"/>
      <c r="D320" s="100"/>
      <c r="E320" s="100"/>
      <c r="F320" s="100"/>
      <c r="G320" s="100"/>
      <c r="H320" s="100"/>
      <c r="I320" s="101"/>
      <c r="J320" s="102"/>
      <c r="K320" s="103"/>
      <c r="L320" s="121"/>
    </row>
    <row r="321" spans="1:12" s="104" customFormat="1" ht="6" customHeight="1">
      <c r="A321" s="99"/>
      <c r="B321" s="99"/>
      <c r="C321" s="99"/>
      <c r="D321" s="100"/>
      <c r="E321" s="100"/>
      <c r="F321" s="100"/>
      <c r="G321" s="100"/>
      <c r="H321" s="100"/>
      <c r="I321" s="101"/>
      <c r="J321" s="102"/>
      <c r="K321" s="103"/>
      <c r="L321" s="121"/>
    </row>
    <row r="322" spans="1:12" s="88" customFormat="1" ht="27.75">
      <c r="A322" s="117"/>
      <c r="B322" s="117"/>
      <c r="D322" s="89"/>
      <c r="G322" s="90"/>
      <c r="H322" s="86"/>
      <c r="I322" s="89"/>
      <c r="J322" s="5"/>
      <c r="K322" s="87"/>
      <c r="L322" s="121"/>
    </row>
    <row r="323" spans="1:12" ht="15">
      <c r="A323" s="91"/>
      <c r="B323" s="91"/>
      <c r="C323" s="91"/>
      <c r="D323" s="92"/>
      <c r="E323" s="92"/>
      <c r="F323" s="92"/>
      <c r="G323" s="92"/>
      <c r="H323" s="92"/>
      <c r="I323" s="1"/>
      <c r="J323" s="5"/>
      <c r="L323" s="121"/>
    </row>
    <row r="324" spans="1:12" s="91" customFormat="1" ht="24" customHeight="1">
      <c r="A324" s="93"/>
      <c r="B324" s="93"/>
      <c r="C324" s="93"/>
      <c r="D324" s="92"/>
      <c r="E324" s="92"/>
      <c r="F324" s="92"/>
      <c r="G324" s="92"/>
      <c r="H324" s="92"/>
      <c r="I324" s="94"/>
      <c r="J324" s="5"/>
      <c r="K324" s="95"/>
      <c r="L324" s="121"/>
    </row>
    <row r="325" spans="1:12" s="91" customFormat="1" ht="15">
      <c r="A325" s="94"/>
      <c r="B325" s="94"/>
      <c r="C325" s="94"/>
      <c r="D325" s="96"/>
      <c r="E325" s="96"/>
      <c r="F325" s="96"/>
      <c r="G325" s="96"/>
      <c r="H325" s="96"/>
      <c r="I325" s="96"/>
      <c r="J325" s="5"/>
      <c r="K325" s="95"/>
      <c r="L325" s="121"/>
    </row>
    <row r="326" spans="10:12" ht="15">
      <c r="J326" s="5"/>
      <c r="L326" s="121"/>
    </row>
    <row r="327" spans="10:12" ht="15">
      <c r="J327" s="5"/>
      <c r="L327" s="121"/>
    </row>
    <row r="328" spans="10:12" ht="15">
      <c r="J328" s="5"/>
      <c r="L328" s="121"/>
    </row>
    <row r="329" ht="15">
      <c r="L329" s="121"/>
    </row>
    <row r="330" ht="15">
      <c r="L330" s="121"/>
    </row>
    <row r="331" ht="15">
      <c r="L331" s="121"/>
    </row>
    <row r="332" ht="15">
      <c r="L332" s="121"/>
    </row>
    <row r="333" ht="15">
      <c r="L333" s="121"/>
    </row>
    <row r="334" ht="15">
      <c r="L334" s="121"/>
    </row>
    <row r="335" ht="15">
      <c r="L335" s="121"/>
    </row>
    <row r="336" ht="15">
      <c r="L336" s="121"/>
    </row>
    <row r="337" ht="15">
      <c r="L337" s="121"/>
    </row>
    <row r="338" ht="15">
      <c r="L338" s="121"/>
    </row>
    <row r="339" ht="15">
      <c r="L339" s="121"/>
    </row>
    <row r="340" ht="15">
      <c r="L340" s="98"/>
    </row>
    <row r="341" ht="15">
      <c r="L341" s="98"/>
    </row>
    <row r="342" ht="15">
      <c r="L342" s="98"/>
    </row>
    <row r="343" ht="15">
      <c r="L343" s="98"/>
    </row>
    <row r="344" ht="15">
      <c r="L344" s="98"/>
    </row>
    <row r="345" ht="15">
      <c r="L345" s="98"/>
    </row>
    <row r="346" ht="15">
      <c r="L346" s="98"/>
    </row>
    <row r="347" ht="15">
      <c r="L347" s="98"/>
    </row>
    <row r="348" ht="15">
      <c r="L348" s="98"/>
    </row>
    <row r="349" ht="15">
      <c r="L349" s="98"/>
    </row>
    <row r="350" ht="15">
      <c r="L350" s="98"/>
    </row>
    <row r="351" ht="15">
      <c r="L351" s="98"/>
    </row>
    <row r="352" ht="15">
      <c r="L352" s="98"/>
    </row>
    <row r="353" ht="15">
      <c r="L353" s="98"/>
    </row>
    <row r="354" ht="15">
      <c r="L354" s="98"/>
    </row>
    <row r="355" ht="15">
      <c r="L355" s="98"/>
    </row>
  </sheetData>
  <sheetProtection/>
  <mergeCells count="34">
    <mergeCell ref="L261:L282"/>
    <mergeCell ref="L283:L305"/>
    <mergeCell ref="L306:L339"/>
    <mergeCell ref="L127:L152"/>
    <mergeCell ref="L153:L175"/>
    <mergeCell ref="L176:L197"/>
    <mergeCell ref="L198:L219"/>
    <mergeCell ref="L220:L242"/>
    <mergeCell ref="L243:L260"/>
    <mergeCell ref="L1:L27"/>
    <mergeCell ref="L28:L45"/>
    <mergeCell ref="L46:L63"/>
    <mergeCell ref="L64:L80"/>
    <mergeCell ref="L81:L101"/>
    <mergeCell ref="L102:L126"/>
    <mergeCell ref="H319:I319"/>
    <mergeCell ref="H1:K1"/>
    <mergeCell ref="H2:K2"/>
    <mergeCell ref="A9:K9"/>
    <mergeCell ref="A322:B322"/>
    <mergeCell ref="G12:G13"/>
    <mergeCell ref="K12:K13"/>
    <mergeCell ref="A319:E319"/>
    <mergeCell ref="A12:A13"/>
    <mergeCell ref="B12:B13"/>
    <mergeCell ref="H3:K3"/>
    <mergeCell ref="H5:K5"/>
    <mergeCell ref="C12:C13"/>
    <mergeCell ref="D12:D13"/>
    <mergeCell ref="E12:E13"/>
    <mergeCell ref="H12:H13"/>
    <mergeCell ref="I12:I13"/>
    <mergeCell ref="J12:J13"/>
    <mergeCell ref="F12:F13"/>
  </mergeCells>
  <printOptions horizontalCentered="1"/>
  <pageMargins left="0.1968503937007874" right="0.1968503937007874" top="1.1811023622047245" bottom="0.3937007874015748" header="0.5118110236220472" footer="0.2362204724409449"/>
  <pageSetup fitToHeight="16" fitToWidth="1" horizontalDpi="600" verticalDpi="600" orientation="landscape" paperSize="9" scale="53" r:id="rId1"/>
  <headerFooter differentFirst="1">
    <oddHeader>&amp;R&amp;20Продовження додатку 4</oddHeader>
  </headerFooter>
  <rowBreaks count="12" manualBreakCount="12">
    <brk id="32" max="11" man="1"/>
    <brk id="56" max="11" man="1"/>
    <brk id="69" max="11" man="1"/>
    <brk id="98" max="11" man="1"/>
    <brk id="123" max="11" man="1"/>
    <brk id="154" max="11" man="1"/>
    <brk id="179" max="11" man="1"/>
    <brk id="206" max="11" man="1"/>
    <brk id="238" max="11" man="1"/>
    <brk id="258" max="11" man="1"/>
    <brk id="283" max="11" man="1"/>
    <brk id="308" max="11"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Nelya11</cp:lastModifiedBy>
  <cp:lastPrinted>2017-06-23T12:35:06Z</cp:lastPrinted>
  <dcterms:created xsi:type="dcterms:W3CDTF">2014-01-17T10:52:16Z</dcterms:created>
  <dcterms:modified xsi:type="dcterms:W3CDTF">2017-06-23T12:35:56Z</dcterms:modified>
  <cp:category/>
  <cp:version/>
  <cp:contentType/>
  <cp:contentStatus/>
</cp:coreProperties>
</file>