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2'!$7:$10</definedName>
    <definedName name="_xlnm.Print_Titles" localSheetId="1">'дод. 3'!$8:$11</definedName>
    <definedName name="_xlnm.Print_Area" localSheetId="0">'дод. 2'!$A$1:$Q$271</definedName>
    <definedName name="_xlnm.Print_Area" localSheetId="1">'дод. 3'!$A$1:$P$211</definedName>
  </definedNames>
  <calcPr fullCalcOnLoad="1"/>
</workbook>
</file>

<file path=xl/sharedStrings.xml><?xml version="1.0" encoding="utf-8"?>
<sst xmlns="http://schemas.openxmlformats.org/spreadsheetml/2006/main" count="769" uniqueCount="595">
  <si>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</si>
  <si>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</si>
  <si>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</si>
  <si>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</si>
  <si>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</si>
  <si>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</si>
  <si>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</si>
  <si>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</si>
  <si>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</si>
  <si>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</si>
  <si>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</si>
  <si>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</si>
  <si>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</si>
  <si>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</si>
  <si>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</si>
  <si>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</si>
  <si>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</si>
  <si>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</si>
  <si>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</si>
  <si>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</si>
  <si>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</si>
  <si>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</si>
  <si>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</si>
  <si>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</si>
  <si>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</si>
  <si>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</si>
  <si>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</si>
  <si>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</si>
  <si>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</si>
  <si>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</si>
  <si>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</si>
  <si>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</si>
  <si>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</si>
  <si>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</si>
  <si>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</si>
  <si>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</si>
  <si>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</si>
  <si>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</si>
  <si>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</si>
  <si>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</si>
  <si>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</si>
  <si>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</si>
  <si>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</si>
  <si>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</si>
  <si>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</si>
  <si>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</si>
  <si>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</si>
  <si>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</si>
  <si>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</si>
  <si>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</si>
  <si>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</si>
  <si>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</si>
  <si>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</si>
  <si>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</si>
  <si>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</si>
  <si>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</si>
  <si>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</si>
  <si>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</si>
  <si>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</si>
  <si>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</si>
  <si>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</si>
  <si>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</si>
  <si>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</si>
  <si>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</si>
  <si>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</si>
  <si>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</si>
  <si>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</si>
  <si>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</si>
  <si>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</si>
  <si>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</si>
  <si>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</si>
  <si>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</si>
  <si>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</si>
  <si>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</si>
  <si>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</si>
  <si>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</si>
  <si>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</si>
  <si>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</si>
  <si>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</si>
  <si>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</si>
  <si>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</si>
  <si>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</si>
  <si>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</si>
  <si>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</si>
  <si>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</si>
  <si>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</si>
  <si>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</si>
  <si>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</si>
  <si>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</si>
  <si>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</si>
  <si>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</si>
  <si>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</si>
  <si>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</si>
  <si>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</si>
  <si>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</si>
  <si>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</si>
  <si>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</si>
  <si>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</si>
  <si>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</si>
  <si>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</si>
  <si>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</si>
  <si>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</si>
  <si>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</si>
  <si>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</si>
  <si>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</si>
  <si>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</si>
  <si>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</si>
  <si>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</si>
  <si>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</si>
  <si>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</si>
  <si>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</si>
  <si>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</si>
  <si>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</si>
  <si>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</si>
  <si>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</si>
  <si>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</si>
  <si>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</si>
  <si>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</si>
  <si>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</si>
  <si>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</si>
  <si>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</si>
  <si>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</si>
  <si>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</si>
  <si>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</si>
  <si>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</si>
  <si>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</si>
  <si>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</si>
  <si>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</si>
  <si>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</si>
  <si>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</si>
  <si>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</si>
  <si>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</si>
  <si>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</si>
  <si>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</si>
  <si>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</si>
  <si>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</si>
  <si>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</si>
  <si>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</si>
  <si>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</si>
  <si>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</si>
  <si>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</si>
  <si>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</si>
  <si>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</si>
  <si>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</si>
  <si>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</si>
  <si>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</si>
  <si>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</si>
  <si>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</si>
  <si>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</si>
  <si>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</si>
  <si>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</si>
  <si>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</si>
  <si>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</si>
  <si>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</si>
  <si>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</si>
  <si>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</si>
  <si>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</si>
  <si>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</si>
  <si>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</si>
  <si>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</si>
  <si>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</si>
  <si>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</si>
  <si>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</si>
  <si>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</si>
  <si>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</si>
  <si>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</si>
  <si>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</si>
  <si>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</si>
  <si>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</si>
  <si>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</si>
  <si>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</si>
  <si>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</si>
  <si>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</si>
  <si>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</si>
  <si>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</si>
  <si>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</si>
  <si>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</si>
  <si>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</si>
  <si>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</si>
  <si>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</si>
  <si>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</si>
  <si>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</si>
  <si>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</si>
  <si>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</si>
  <si>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</si>
  <si>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</si>
  <si>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</si>
  <si>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</si>
  <si>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</si>
  <si>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</si>
  <si>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</si>
  <si>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</si>
  <si>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</si>
  <si>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</si>
  <si>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</si>
  <si>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</si>
  <si>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</si>
  <si>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</si>
  <si>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</si>
  <si>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</si>
  <si>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</si>
  <si>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</si>
  <si>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</si>
  <si>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</si>
  <si>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</si>
  <si>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</si>
  <si>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</si>
  <si>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</si>
  <si>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</si>
  <si>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</si>
  <si>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</si>
  <si>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</si>
  <si>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</si>
  <si>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</si>
  <si>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</si>
  <si>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</si>
  <si>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</si>
  <si>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</si>
  <si>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</si>
  <si>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</si>
  <si>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</si>
  <si>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</si>
  <si>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</si>
  <si>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</si>
  <si>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</si>
  <si>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</si>
  <si>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</si>
  <si>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</si>
  <si>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</si>
  <si>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</si>
  <si>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</si>
  <si>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</si>
  <si>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</si>
  <si>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</si>
  <si>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</si>
  <si>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</si>
  <si>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</si>
  <si>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</si>
  <si>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</si>
  <si>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</si>
  <si>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</si>
  <si>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</si>
  <si>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</si>
  <si>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</si>
  <si>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</si>
  <si>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</si>
  <si>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</si>
  <si>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</si>
  <si>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</si>
  <si>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</si>
  <si>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</si>
  <si>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</si>
  <si>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</si>
  <si>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</si>
  <si>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</si>
  <si>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</si>
  <si>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</si>
  <si>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</si>
  <si>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</si>
  <si>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</si>
  <si>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</si>
  <si>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</si>
  <si>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</si>
  <si>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</si>
  <si>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</si>
  <si>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</si>
  <si>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</si>
  <si>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</si>
  <si>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</si>
  <si>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</si>
  <si>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</si>
  <si>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</si>
  <si>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</si>
  <si>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</si>
  <si>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</si>
  <si>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</si>
  <si>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</si>
  <si>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</si>
  <si>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</si>
  <si>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</si>
  <si>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</si>
  <si>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</si>
  <si>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</si>
  <si>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</si>
  <si>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</si>
  <si>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</si>
  <si>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</si>
  <si>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</si>
  <si>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</si>
  <si>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</si>
  <si>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</si>
  <si>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</si>
  <si>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</si>
  <si>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</si>
  <si>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</si>
  <si>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</si>
  <si>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</si>
  <si>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</si>
  <si>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</si>
  <si>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</si>
  <si>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</si>
  <si>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</si>
  <si>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</si>
  <si>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</si>
  <si>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</si>
  <si>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</si>
  <si>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</si>
  <si>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</si>
  <si>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</si>
  <si>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</si>
  <si>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</si>
  <si>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</si>
  <si>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</si>
  <si>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</si>
  <si>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</si>
  <si>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</si>
  <si>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</si>
  <si>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</si>
  <si>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</si>
  <si>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</si>
  <si>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</si>
  <si>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</si>
  <si>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</si>
  <si>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</si>
  <si>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</si>
  <si>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</si>
  <si>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</si>
  <si>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</si>
  <si>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</si>
  <si>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</si>
  <si>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</si>
  <si>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</si>
  <si>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</si>
  <si>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</si>
  <si>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</si>
  <si>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</si>
  <si>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</si>
  <si>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</si>
  <si>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</si>
  <si>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</si>
  <si>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</si>
  <si>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</si>
  <si>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</si>
  <si>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</si>
  <si>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</si>
  <si>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</si>
  <si>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</si>
  <si>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</si>
  <si>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</si>
  <si>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</si>
  <si>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</si>
  <si>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</si>
  <si>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</si>
  <si>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</si>
  <si>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</si>
  <si>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</si>
  <si>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</si>
  <si>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</si>
  <si>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</si>
  <si>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</si>
  <si>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</si>
  <si>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</si>
  <si>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</si>
  <si>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</si>
  <si>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</si>
  <si>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</si>
  <si>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</si>
  <si>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</si>
  <si>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</si>
  <si>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</si>
  <si>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</si>
  <si>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</si>
  <si>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</si>
  <si>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</si>
  <si>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</si>
  <si>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</si>
  <si>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</si>
  <si>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</si>
  <si>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</si>
  <si>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</si>
  <si>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</si>
  <si>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</si>
  <si>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</si>
  <si>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</si>
  <si>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</si>
  <si>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</si>
  <si>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</si>
  <si>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</si>
  <si>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</si>
  <si>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</si>
  <si>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</si>
  <si>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</si>
  <si>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</si>
  <si>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</si>
  <si>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</si>
  <si>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</si>
  <si>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</si>
  <si>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</si>
  <si>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</si>
  <si>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</si>
  <si>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</si>
  <si>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</si>
  <si>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</si>
  <si>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</si>
  <si>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</si>
  <si>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</si>
  <si>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</si>
  <si>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</si>
  <si>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</si>
  <si>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</si>
  <si>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</si>
  <si>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</si>
  <si>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</si>
  <si>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</si>
  <si>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</si>
  <si>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</si>
  <si>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</si>
  <si>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</si>
  <si>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</si>
  <si>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</si>
  <si>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</si>
  <si>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</si>
  <si>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</si>
  <si>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</si>
  <si>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</si>
  <si>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</si>
  <si>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</si>
  <si>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</si>
  <si>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</si>
  <si>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</si>
  <si>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</si>
  <si>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</si>
  <si>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</si>
  <si>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</si>
  <si>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</si>
  <si>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</si>
  <si>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</si>
  <si>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</si>
  <si>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</si>
  <si>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</si>
  <si>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</si>
  <si>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</si>
  <si>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</si>
  <si>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</si>
  <si>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</si>
  <si>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</si>
  <si>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</si>
  <si>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</si>
  <si>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</si>
  <si>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</si>
  <si>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</si>
  <si>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</si>
  <si>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</si>
  <si>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</si>
  <si>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</si>
  <si>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</si>
  <si>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</si>
  <si>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</si>
  <si>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</si>
  <si>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</si>
  <si>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</si>
  <si>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</si>
  <si>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</si>
  <si>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</si>
  <si>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</si>
  <si>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</si>
  <si>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</si>
  <si>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</si>
  <si>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</si>
  <si>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</si>
  <si>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</si>
  <si>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</si>
  <si>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</si>
  <si>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</si>
  <si>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</si>
  <si>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</si>
  <si>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</si>
  <si>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</si>
  <si>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</si>
  <si>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</si>
  <si>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</si>
  <si>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</si>
  <si>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</si>
  <si>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</si>
  <si>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</si>
  <si>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</si>
  <si>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</si>
  <si>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</si>
  <si>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</si>
  <si>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</si>
  <si>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</si>
  <si>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</si>
  <si>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</si>
  <si>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</si>
  <si>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</si>
  <si>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</si>
  <si>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</si>
  <si>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</si>
  <si>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</si>
  <si>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</si>
  <si>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</si>
  <si>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</si>
  <si>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</si>
  <si>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</si>
  <si>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</si>
  <si>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</si>
  <si>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</si>
  <si>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</si>
  <si>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</si>
  <si>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</si>
  <si>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</si>
  <si>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</si>
  <si>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</si>
  <si>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</si>
  <si>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</si>
  <si>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</si>
  <si>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</si>
  <si>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</si>
  <si>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</si>
  <si>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</si>
  <si>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</si>
  <si>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</si>
  <si>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</si>
  <si>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</si>
  <si>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</si>
  <si>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</si>
  <si>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</si>
  <si>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</si>
  <si>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</si>
  <si>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</si>
  <si>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</si>
  <si>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</si>
  <si>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</si>
  <si>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</si>
  <si>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</si>
  <si>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</si>
  <si>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</si>
  <si>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</si>
  <si>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</si>
  <si>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</si>
  <si>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</si>
  <si>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</si>
  <si>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</si>
  <si>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</si>
  <si>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</si>
  <si>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</si>
  <si>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</si>
  <si>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</si>
  <si>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</si>
  <si>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</si>
  <si>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</si>
  <si>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</si>
  <si>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</si>
  <si>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</si>
  <si>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</si>
  <si>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</si>
  <si>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</si>
  <si>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</si>
  <si>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</si>
  <si>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</si>
  <si>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</si>
  <si>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</si>
  <si>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</si>
  <si>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</si>
  <si>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</si>
  <si>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</si>
  <si>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</si>
  <si>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</si>
  <si>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</si>
  <si>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</si>
  <si>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</si>
  <si>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</si>
  <si>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</si>
  <si>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</si>
  <si>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</si>
  <si>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</si>
  <si>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</si>
  <si>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</si>
  <si>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</si>
  <si>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</si>
  <si>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</si>
  <si>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</si>
  <si>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</si>
  <si>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</si>
  <si>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</si>
  <si>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</si>
  <si>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</si>
  <si>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</si>
  <si>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</si>
  <si>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 xml:space="preserve">                Додаток 3</t>
  </si>
  <si>
    <t>до  рішення виконавчого комітету</t>
  </si>
  <si>
    <r>
      <t xml:space="preserve">від </t>
    </r>
    <r>
      <rPr>
        <sz val="20"/>
        <color indexed="9"/>
        <rFont val="Times New Roman"/>
        <family val="1"/>
      </rPr>
      <t>22.11.2017</t>
    </r>
    <r>
      <rPr>
        <sz val="20"/>
        <rFont val="Times New Roman"/>
        <family val="0"/>
      </rPr>
      <t xml:space="preserve"> № </t>
    </r>
    <r>
      <rPr>
        <sz val="20"/>
        <color indexed="9"/>
        <rFont val="Times New Roman"/>
        <family val="1"/>
      </rPr>
      <t>642</t>
    </r>
  </si>
  <si>
    <t xml:space="preserve">                Додаток 2</t>
  </si>
  <si>
    <t>Заступник директора департаменту фінансів,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</si>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</sst>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18"/>
      <name val="Times New Roman"/>
      <family val="1"/>
    </font>
    <font>
      <sz val="20"/>
      <color indexed="9"/>
      <name val="Times New Roman"/>
      <family val="1"/>
    </font>
    <font>
      <b/>
      <sz val="2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7" fillId="4" borderId="13" xfId="0" applyNumberFormat="1" applyFont="1" applyFill="1" applyBorder="1" applyAlignment="1">
      <alignment vertical="center"/>
    </xf>
    <xf numFmtId="4" fontId="48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4" fillId="7" borderId="0" xfId="0" applyNumberFormat="1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49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5" fillId="13" borderId="0" xfId="0" applyNumberFormat="1" applyFont="1" applyFill="1" applyBorder="1" applyAlignment="1">
      <alignment vertical="center"/>
    </xf>
    <xf numFmtId="4" fontId="45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6" fillId="13" borderId="0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/>
    </xf>
    <xf numFmtId="10" fontId="46" fillId="13" borderId="0" xfId="0" applyNumberFormat="1" applyFont="1" applyFill="1" applyBorder="1" applyAlignment="1">
      <alignment horizontal="center" vertical="center"/>
    </xf>
    <xf numFmtId="9" fontId="46" fillId="7" borderId="0" xfId="0" applyNumberFormat="1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9" fontId="47" fillId="0" borderId="0" xfId="0" applyNumberFormat="1" applyFont="1" applyFill="1" applyBorder="1" applyAlignment="1">
      <alignment horizontal="center" vertical="center"/>
    </xf>
    <xf numFmtId="1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2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15" xfId="0" applyNumberFormat="1" applyFont="1" applyFill="1" applyBorder="1" applyAlignment="1">
      <alignment horizontal="center" vertical="center" textRotation="180"/>
    </xf>
    <xf numFmtId="3" fontId="52" fillId="0" borderId="0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15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2"/>
  <sheetViews>
    <sheetView showGridLines="0" showZeros="0" view="pageBreakPreview" zoomScale="25" zoomScaleNormal="70" zoomScaleSheetLayoutView="25" zoomScalePageLayoutView="0" workbookViewId="0" topLeftCell="A246">
      <selection activeCell="AI278" sqref="AI278"/>
    </sheetView>
  </sheetViews>
  <sheetFormatPr defaultColWidth="9.16015625" defaultRowHeight="12.75"/>
  <cols>
    <col min="1" max="1" width="19.33203125" style="76" customWidth="1"/>
    <col min="2" max="2" width="16.16015625" style="81" customWidth="1"/>
    <col min="3" max="3" width="16.16015625" style="77" customWidth="1"/>
    <col min="4" max="4" width="57.33203125" style="118" customWidth="1"/>
    <col min="5" max="5" width="24.16015625" style="73" customWidth="1"/>
    <col min="6" max="6" width="21.83203125" style="73" customWidth="1"/>
    <col min="7" max="7" width="19.33203125" style="73" customWidth="1"/>
    <col min="8" max="8" width="19.16015625" style="73" customWidth="1"/>
    <col min="9" max="9" width="18" style="73" customWidth="1"/>
    <col min="10" max="10" width="20.83203125" style="73" customWidth="1"/>
    <col min="11" max="11" width="17.16015625" style="73" customWidth="1"/>
    <col min="12" max="12" width="16.66015625" style="73" customWidth="1"/>
    <col min="13" max="13" width="16.5" style="73" customWidth="1"/>
    <col min="14" max="14" width="19.16015625" style="73" customWidth="1"/>
    <col min="15" max="15" width="20.16015625" style="73" customWidth="1"/>
    <col min="16" max="16" width="22.16015625" style="157" customWidth="1"/>
    <col min="17" max="17" width="9.16015625" style="250" customWidth="1"/>
    <col min="18" max="18" width="15.83203125" style="179" customWidth="1"/>
    <col min="19" max="19" width="18.16015625" style="179" customWidth="1"/>
    <col min="20" max="20" width="18.83203125" style="179" customWidth="1"/>
    <col min="21" max="25" width="9.16015625" style="19" customWidth="1"/>
    <col min="26" max="16384" width="9.16015625" style="19" customWidth="1"/>
  </cols>
  <sheetData>
    <row r="1" spans="1:17" ht="26.25" customHeight="1">
      <c r="A1" s="65"/>
      <c r="B1" s="66"/>
      <c r="C1" s="66"/>
      <c r="D1" s="158"/>
      <c r="E1" s="159"/>
      <c r="F1" s="67"/>
      <c r="G1" s="67"/>
      <c r="H1" s="67"/>
      <c r="I1" s="67"/>
      <c r="J1" s="67"/>
      <c r="K1" s="159"/>
      <c r="L1" s="159"/>
      <c r="M1" s="237" t="s">
        <v>592</v>
      </c>
      <c r="N1" s="237"/>
      <c r="O1" s="237"/>
      <c r="P1" s="237"/>
      <c r="Q1" s="249"/>
    </row>
    <row r="2" spans="1:17" ht="26.25" customHeight="1">
      <c r="A2" s="65"/>
      <c r="B2" s="66"/>
      <c r="C2" s="66"/>
      <c r="D2" s="158"/>
      <c r="E2" s="159"/>
      <c r="F2" s="67"/>
      <c r="G2" s="67"/>
      <c r="H2" s="67"/>
      <c r="I2" s="67"/>
      <c r="J2" s="67"/>
      <c r="K2" s="159"/>
      <c r="L2" s="159"/>
      <c r="M2" s="177" t="s">
        <v>590</v>
      </c>
      <c r="N2" s="177"/>
      <c r="O2" s="177"/>
      <c r="P2" s="177"/>
      <c r="Q2" s="249"/>
    </row>
    <row r="3" spans="1:20" s="2" customFormat="1" ht="29.25" customHeight="1">
      <c r="A3" s="65"/>
      <c r="B3" s="66"/>
      <c r="C3" s="66"/>
      <c r="D3" s="160"/>
      <c r="E3" s="68"/>
      <c r="F3" s="68"/>
      <c r="G3" s="68"/>
      <c r="H3" s="67"/>
      <c r="I3" s="67"/>
      <c r="J3" s="67"/>
      <c r="K3" s="67"/>
      <c r="L3" s="67"/>
      <c r="M3" s="243" t="s">
        <v>591</v>
      </c>
      <c r="N3" s="243"/>
      <c r="O3" s="243"/>
      <c r="P3" s="243"/>
      <c r="Q3" s="243"/>
      <c r="R3" s="184"/>
      <c r="S3" s="184"/>
      <c r="T3" s="184"/>
    </row>
    <row r="4" spans="1:20" s="2" customFormat="1" ht="29.25" customHeight="1">
      <c r="A4" s="65"/>
      <c r="B4" s="66"/>
      <c r="C4" s="66"/>
      <c r="D4" s="160"/>
      <c r="E4" s="68"/>
      <c r="F4" s="68"/>
      <c r="G4" s="68"/>
      <c r="H4" s="67"/>
      <c r="I4" s="67"/>
      <c r="J4" s="67"/>
      <c r="K4" s="67"/>
      <c r="L4" s="67"/>
      <c r="M4" s="178"/>
      <c r="N4" s="178"/>
      <c r="O4" s="178"/>
      <c r="P4" s="178"/>
      <c r="Q4" s="250"/>
      <c r="R4" s="184"/>
      <c r="S4" s="184"/>
      <c r="T4" s="184"/>
    </row>
    <row r="5" spans="1:20" ht="66" customHeight="1">
      <c r="A5" s="65"/>
      <c r="B5" s="66"/>
      <c r="C5" s="66"/>
      <c r="D5" s="238" t="s">
        <v>372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67"/>
      <c r="Q5" s="251">
        <v>15</v>
      </c>
      <c r="R5" s="185"/>
      <c r="S5" s="185"/>
      <c r="T5" s="185"/>
    </row>
    <row r="6" spans="1:20" ht="21" customHeight="1">
      <c r="A6" s="65"/>
      <c r="B6" s="66"/>
      <c r="C6" s="66"/>
      <c r="D6" s="114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9" t="s">
        <v>373</v>
      </c>
      <c r="Q6" s="251"/>
      <c r="R6" s="247"/>
      <c r="S6" s="247"/>
      <c r="T6" s="247"/>
    </row>
    <row r="7" spans="1:20" s="3" customFormat="1" ht="21.75" customHeight="1">
      <c r="A7" s="241" t="s">
        <v>163</v>
      </c>
      <c r="B7" s="235" t="s">
        <v>165</v>
      </c>
      <c r="C7" s="235" t="s">
        <v>80</v>
      </c>
      <c r="D7" s="235" t="s">
        <v>178</v>
      </c>
      <c r="E7" s="235" t="s">
        <v>362</v>
      </c>
      <c r="F7" s="235"/>
      <c r="G7" s="235"/>
      <c r="H7" s="235"/>
      <c r="I7" s="235"/>
      <c r="J7" s="235" t="s">
        <v>363</v>
      </c>
      <c r="K7" s="235"/>
      <c r="L7" s="235"/>
      <c r="M7" s="235"/>
      <c r="N7" s="235"/>
      <c r="O7" s="235"/>
      <c r="P7" s="235" t="s">
        <v>364</v>
      </c>
      <c r="Q7" s="251"/>
      <c r="R7" s="248"/>
      <c r="S7" s="248"/>
      <c r="T7" s="248"/>
    </row>
    <row r="8" spans="1:20" s="3" customFormat="1" ht="33" customHeight="1">
      <c r="A8" s="241"/>
      <c r="B8" s="235"/>
      <c r="C8" s="235"/>
      <c r="D8" s="235"/>
      <c r="E8" s="235" t="s">
        <v>365</v>
      </c>
      <c r="F8" s="235" t="s">
        <v>366</v>
      </c>
      <c r="G8" s="235" t="s">
        <v>367</v>
      </c>
      <c r="H8" s="235"/>
      <c r="I8" s="235" t="s">
        <v>368</v>
      </c>
      <c r="J8" s="235" t="s">
        <v>365</v>
      </c>
      <c r="K8" s="235" t="s">
        <v>366</v>
      </c>
      <c r="L8" s="235" t="s">
        <v>367</v>
      </c>
      <c r="M8" s="235"/>
      <c r="N8" s="235" t="s">
        <v>368</v>
      </c>
      <c r="O8" s="39" t="s">
        <v>367</v>
      </c>
      <c r="P8" s="235"/>
      <c r="Q8" s="251"/>
      <c r="R8" s="186"/>
      <c r="S8" s="186"/>
      <c r="T8" s="186"/>
    </row>
    <row r="9" spans="1:20" s="3" customFormat="1" ht="30.75" customHeight="1">
      <c r="A9" s="241"/>
      <c r="B9" s="235"/>
      <c r="C9" s="235"/>
      <c r="D9" s="235"/>
      <c r="E9" s="235"/>
      <c r="F9" s="235"/>
      <c r="G9" s="235" t="s">
        <v>369</v>
      </c>
      <c r="H9" s="235" t="s">
        <v>370</v>
      </c>
      <c r="I9" s="235"/>
      <c r="J9" s="235"/>
      <c r="K9" s="235"/>
      <c r="L9" s="235" t="s">
        <v>369</v>
      </c>
      <c r="M9" s="235" t="s">
        <v>370</v>
      </c>
      <c r="N9" s="235"/>
      <c r="O9" s="235" t="s">
        <v>371</v>
      </c>
      <c r="P9" s="235"/>
      <c r="Q9" s="251"/>
      <c r="R9" s="188"/>
      <c r="S9" s="188"/>
      <c r="T9" s="187"/>
    </row>
    <row r="10" spans="1:20" s="3" customFormat="1" ht="50.25" customHeight="1">
      <c r="A10" s="24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51"/>
      <c r="R10" s="186"/>
      <c r="S10" s="186"/>
      <c r="T10" s="189"/>
    </row>
    <row r="11" spans="1:20" s="129" customFormat="1" ht="19.5" customHeight="1">
      <c r="A11" s="127" t="s">
        <v>237</v>
      </c>
      <c r="B11" s="127"/>
      <c r="C11" s="127"/>
      <c r="D11" s="128" t="s">
        <v>67</v>
      </c>
      <c r="E11" s="47">
        <f>E12</f>
        <v>140979545</v>
      </c>
      <c r="F11" s="47">
        <f aca="true" t="shared" si="0" ref="F11:P11">F12</f>
        <v>119434909</v>
      </c>
      <c r="G11" s="47">
        <f t="shared" si="0"/>
        <v>64749499</v>
      </c>
      <c r="H11" s="47">
        <f t="shared" si="0"/>
        <v>3718476</v>
      </c>
      <c r="I11" s="47">
        <f t="shared" si="0"/>
        <v>21544636</v>
      </c>
      <c r="J11" s="47">
        <f t="shared" si="0"/>
        <v>37560194</v>
      </c>
      <c r="K11" s="47">
        <f t="shared" si="0"/>
        <v>418694</v>
      </c>
      <c r="L11" s="47">
        <f t="shared" si="0"/>
        <v>141022</v>
      </c>
      <c r="M11" s="47">
        <f t="shared" si="0"/>
        <v>54604</v>
      </c>
      <c r="N11" s="47">
        <f t="shared" si="0"/>
        <v>37141500</v>
      </c>
      <c r="O11" s="47">
        <f t="shared" si="0"/>
        <v>37141500</v>
      </c>
      <c r="P11" s="47">
        <f t="shared" si="0"/>
        <v>178539739</v>
      </c>
      <c r="Q11" s="251"/>
      <c r="R11" s="191"/>
      <c r="S11" s="191"/>
      <c r="T11" s="191"/>
    </row>
    <row r="12" spans="1:20" s="132" customFormat="1" ht="19.5" customHeight="1">
      <c r="A12" s="130" t="s">
        <v>238</v>
      </c>
      <c r="B12" s="130"/>
      <c r="C12" s="130"/>
      <c r="D12" s="131" t="s">
        <v>67</v>
      </c>
      <c r="E12" s="87">
        <f>E13+E14+E15+E18+E20+E22+E23+E26+E29+E32+E35+E38+E40+E44+E45+E46+E47+E48+E49+E52+E53+E54+E55+E56+E43</f>
        <v>140979545</v>
      </c>
      <c r="F12" s="87">
        <f aca="true" t="shared" si="1" ref="F12:P12">F13+F14+F15+F18+F20+F22+F23+F26+F29+F32+F35+F38+F40+F44+F45+F46+F47+F48+F49+F52+F53+F54+F55+F56+F43</f>
        <v>119434909</v>
      </c>
      <c r="G12" s="87">
        <f t="shared" si="1"/>
        <v>64749499</v>
      </c>
      <c r="H12" s="87">
        <f t="shared" si="1"/>
        <v>3718476</v>
      </c>
      <c r="I12" s="87">
        <f t="shared" si="1"/>
        <v>21544636</v>
      </c>
      <c r="J12" s="87">
        <f t="shared" si="1"/>
        <v>37560194</v>
      </c>
      <c r="K12" s="87">
        <f t="shared" si="1"/>
        <v>418694</v>
      </c>
      <c r="L12" s="87">
        <f t="shared" si="1"/>
        <v>141022</v>
      </c>
      <c r="M12" s="87">
        <f t="shared" si="1"/>
        <v>54604</v>
      </c>
      <c r="N12" s="87">
        <f t="shared" si="1"/>
        <v>37141500</v>
      </c>
      <c r="O12" s="87">
        <f t="shared" si="1"/>
        <v>37141500</v>
      </c>
      <c r="P12" s="87">
        <f t="shared" si="1"/>
        <v>178539739</v>
      </c>
      <c r="Q12" s="251"/>
      <c r="R12" s="192"/>
      <c r="S12" s="192"/>
      <c r="T12" s="192"/>
    </row>
    <row r="13" spans="1:20" s="4" customFormat="1" ht="46.5" customHeight="1">
      <c r="A13" s="88" t="s">
        <v>239</v>
      </c>
      <c r="B13" s="88" t="str">
        <f>'дод. 3'!A13</f>
        <v>0160</v>
      </c>
      <c r="C13" s="88" t="str">
        <f>'дод. 3'!B13</f>
        <v>0111</v>
      </c>
      <c r="D13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3" s="90">
        <f>F13+I13</f>
        <v>72031300</v>
      </c>
      <c r="F13" s="90">
        <f>72007500+190000-526200+150000+210000</f>
        <v>72031300</v>
      </c>
      <c r="G13" s="90">
        <v>52010600</v>
      </c>
      <c r="H13" s="90">
        <v>2150738</v>
      </c>
      <c r="I13" s="90"/>
      <c r="J13" s="90">
        <f>K13+N13</f>
        <v>2705000</v>
      </c>
      <c r="K13" s="90"/>
      <c r="L13" s="90"/>
      <c r="M13" s="90"/>
      <c r="N13" s="90">
        <f>4000000-1295000</f>
        <v>2705000</v>
      </c>
      <c r="O13" s="90">
        <f>4000000-1295000</f>
        <v>2705000</v>
      </c>
      <c r="P13" s="90">
        <f>E13+J13</f>
        <v>74736300</v>
      </c>
      <c r="Q13" s="251"/>
      <c r="R13" s="193"/>
      <c r="S13" s="193"/>
      <c r="T13" s="193"/>
    </row>
    <row r="14" spans="1:20" s="4" customFormat="1" ht="27" customHeight="1">
      <c r="A14" s="88" t="s">
        <v>385</v>
      </c>
      <c r="B14" s="88" t="str">
        <f>'дод. 3'!A14</f>
        <v>0180</v>
      </c>
      <c r="C14" s="88" t="str">
        <f>'дод. 3'!B14</f>
        <v>0133</v>
      </c>
      <c r="D14" s="122" t="str">
        <f>'дод. 3'!C14</f>
        <v>Інша діяльність у сфері державного управління</v>
      </c>
      <c r="E14" s="90">
        <f>F14+I14</f>
        <v>100000</v>
      </c>
      <c r="F14" s="90">
        <v>100000</v>
      </c>
      <c r="G14" s="90"/>
      <c r="H14" s="90"/>
      <c r="I14" s="90"/>
      <c r="J14" s="90">
        <f>K14+N14</f>
        <v>0</v>
      </c>
      <c r="K14" s="90"/>
      <c r="L14" s="90"/>
      <c r="M14" s="90"/>
      <c r="N14" s="90"/>
      <c r="O14" s="90"/>
      <c r="P14" s="90">
        <f>E14+J14</f>
        <v>100000</v>
      </c>
      <c r="Q14" s="251"/>
      <c r="R14" s="193"/>
      <c r="S14" s="193"/>
      <c r="T14" s="193"/>
    </row>
    <row r="15" spans="1:20" s="4" customFormat="1" ht="68.25" customHeight="1">
      <c r="A15" s="88" t="s">
        <v>240</v>
      </c>
      <c r="B15" s="88" t="str">
        <f>'дод. 3'!A74</f>
        <v>3030</v>
      </c>
      <c r="C15" s="88">
        <f>'дод. 3'!B74</f>
        <v>0</v>
      </c>
      <c r="D15" s="122" t="str">
        <f>'дод. 3'!C74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5" s="90">
        <f>E16+E17</f>
        <v>90000</v>
      </c>
      <c r="F15" s="90">
        <f aca="true" t="shared" si="2" ref="F15:P15">F16+F17</f>
        <v>90000</v>
      </c>
      <c r="G15" s="90">
        <f t="shared" si="2"/>
        <v>0</v>
      </c>
      <c r="H15" s="90">
        <f t="shared" si="2"/>
        <v>0</v>
      </c>
      <c r="I15" s="90">
        <f t="shared" si="2"/>
        <v>0</v>
      </c>
      <c r="J15" s="90">
        <f t="shared" si="2"/>
        <v>0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90000</v>
      </c>
      <c r="Q15" s="251"/>
      <c r="R15" s="194"/>
      <c r="S15" s="194"/>
      <c r="T15" s="194"/>
    </row>
    <row r="16" spans="1:20" s="134" customFormat="1" ht="51.75" customHeight="1">
      <c r="A16" s="91" t="s">
        <v>401</v>
      </c>
      <c r="B16" s="91" t="str">
        <f>'дод. 3'!A77</f>
        <v>3033</v>
      </c>
      <c r="C16" s="91" t="str">
        <f>'дод. 3'!B77</f>
        <v>1070</v>
      </c>
      <c r="D16" s="119" t="str">
        <f>'дод. 3'!C77</f>
        <v>Компенсаційні виплати на пільговий проїзд автомобільним транспортом окремим категоріям громадян</v>
      </c>
      <c r="E16" s="93">
        <f>F16+I16</f>
        <v>25000</v>
      </c>
      <c r="F16" s="93">
        <v>25000</v>
      </c>
      <c r="G16" s="93"/>
      <c r="H16" s="93"/>
      <c r="I16" s="93"/>
      <c r="J16" s="93">
        <f>K16+N16</f>
        <v>0</v>
      </c>
      <c r="K16" s="93"/>
      <c r="L16" s="93"/>
      <c r="M16" s="93"/>
      <c r="N16" s="93"/>
      <c r="O16" s="93"/>
      <c r="P16" s="93">
        <f>E16+J16</f>
        <v>25000</v>
      </c>
      <c r="Q16" s="251"/>
      <c r="R16" s="195"/>
      <c r="S16" s="195"/>
      <c r="T16" s="195"/>
    </row>
    <row r="17" spans="1:20" s="134" customFormat="1" ht="48.75" customHeight="1">
      <c r="A17" s="91" t="s">
        <v>241</v>
      </c>
      <c r="B17" s="91" t="str">
        <f>'дод. 3'!A78</f>
        <v>3036</v>
      </c>
      <c r="C17" s="91" t="str">
        <f>'дод. 3'!B78</f>
        <v>1070</v>
      </c>
      <c r="D17" s="119" t="str">
        <f>'дод. 3'!C78</f>
        <v>Компенсаційні виплати на пільговий проїзд електротранспортом окремим категоріям громадян</v>
      </c>
      <c r="E17" s="93">
        <f>F17+I17</f>
        <v>65000</v>
      </c>
      <c r="F17" s="93">
        <v>65000</v>
      </c>
      <c r="G17" s="93"/>
      <c r="H17" s="93"/>
      <c r="I17" s="93"/>
      <c r="J17" s="93">
        <f aca="true" t="shared" si="3" ref="J17:J56">K17+N17</f>
        <v>0</v>
      </c>
      <c r="K17" s="93"/>
      <c r="L17" s="93"/>
      <c r="M17" s="93"/>
      <c r="N17" s="93"/>
      <c r="O17" s="93"/>
      <c r="P17" s="93">
        <f>E17+J17</f>
        <v>65000</v>
      </c>
      <c r="Q17" s="251"/>
      <c r="R17" s="195"/>
      <c r="S17" s="195"/>
      <c r="T17" s="195"/>
    </row>
    <row r="18" spans="1:20" s="4" customFormat="1" ht="32.25" customHeight="1">
      <c r="A18" s="94" t="s">
        <v>242</v>
      </c>
      <c r="B18" s="94" t="str">
        <f>'дод. 3'!A113</f>
        <v>3120</v>
      </c>
      <c r="C18" s="94">
        <f>'дод. 3'!B113</f>
        <v>0</v>
      </c>
      <c r="D18" s="120" t="str">
        <f>'дод. 3'!C113</f>
        <v>Здійснення соціальної роботи з вразливими категоріями населення</v>
      </c>
      <c r="E18" s="96">
        <f>E19</f>
        <v>1661740</v>
      </c>
      <c r="F18" s="96">
        <f aca="true" t="shared" si="4" ref="F18:P18">F19</f>
        <v>1661740</v>
      </c>
      <c r="G18" s="96">
        <f t="shared" si="4"/>
        <v>1247850</v>
      </c>
      <c r="H18" s="96">
        <f t="shared" si="4"/>
        <v>56450</v>
      </c>
      <c r="I18" s="96">
        <f t="shared" si="4"/>
        <v>0</v>
      </c>
      <c r="J18" s="96">
        <f t="shared" si="4"/>
        <v>20500</v>
      </c>
      <c r="K18" s="96">
        <f t="shared" si="4"/>
        <v>0</v>
      </c>
      <c r="L18" s="96">
        <f t="shared" si="4"/>
        <v>0</v>
      </c>
      <c r="M18" s="96">
        <f t="shared" si="4"/>
        <v>0</v>
      </c>
      <c r="N18" s="96">
        <f t="shared" si="4"/>
        <v>20500</v>
      </c>
      <c r="O18" s="96">
        <f t="shared" si="4"/>
        <v>20500</v>
      </c>
      <c r="P18" s="96">
        <f t="shared" si="4"/>
        <v>1682240</v>
      </c>
      <c r="Q18" s="251"/>
      <c r="R18" s="194"/>
      <c r="S18" s="194"/>
      <c r="T18" s="194"/>
    </row>
    <row r="19" spans="1:20" s="134" customFormat="1" ht="48.75" customHeight="1">
      <c r="A19" s="91" t="s">
        <v>243</v>
      </c>
      <c r="B19" s="91" t="str">
        <f>'дод. 3'!A114</f>
        <v>3121</v>
      </c>
      <c r="C19" s="91" t="str">
        <f>'дод. 3'!B114</f>
        <v>1040</v>
      </c>
      <c r="D19" s="119" t="str">
        <f>'дод. 3'!C114</f>
        <v>Утримання та забезпечення діяльності центрів соціальних служб для сім’ї, дітей та молоді</v>
      </c>
      <c r="E19" s="93">
        <f>F19+I19</f>
        <v>1661740</v>
      </c>
      <c r="F19" s="93">
        <v>1661740</v>
      </c>
      <c r="G19" s="93">
        <v>1247850</v>
      </c>
      <c r="H19" s="93">
        <v>56450</v>
      </c>
      <c r="I19" s="93"/>
      <c r="J19" s="93">
        <f t="shared" si="3"/>
        <v>20500</v>
      </c>
      <c r="K19" s="93"/>
      <c r="L19" s="93"/>
      <c r="M19" s="93"/>
      <c r="N19" s="93">
        <v>20500</v>
      </c>
      <c r="O19" s="93">
        <v>20500</v>
      </c>
      <c r="P19" s="93">
        <f>E19+J19</f>
        <v>1682240</v>
      </c>
      <c r="Q19" s="251"/>
      <c r="R19" s="195"/>
      <c r="S19" s="195"/>
      <c r="T19" s="195"/>
    </row>
    <row r="20" spans="1:20" s="134" customFormat="1" ht="36" customHeight="1">
      <c r="A20" s="94" t="s">
        <v>244</v>
      </c>
      <c r="B20" s="94" t="str">
        <f>'дод. 3'!A115</f>
        <v>3130</v>
      </c>
      <c r="C20" s="94">
        <f>'дод. 3'!B115</f>
        <v>0</v>
      </c>
      <c r="D20" s="120" t="str">
        <f>'дод. 3'!C115</f>
        <v>Реалізація державної політики у молодіжній сфері</v>
      </c>
      <c r="E20" s="96">
        <f>E21</f>
        <v>750000</v>
      </c>
      <c r="F20" s="96">
        <f aca="true" t="shared" si="5" ref="F20:P20">F21</f>
        <v>750000</v>
      </c>
      <c r="G20" s="96">
        <f t="shared" si="5"/>
        <v>0</v>
      </c>
      <c r="H20" s="96">
        <f t="shared" si="5"/>
        <v>0</v>
      </c>
      <c r="I20" s="96">
        <f t="shared" si="5"/>
        <v>0</v>
      </c>
      <c r="J20" s="96">
        <f t="shared" si="5"/>
        <v>0</v>
      </c>
      <c r="K20" s="96">
        <f t="shared" si="5"/>
        <v>0</v>
      </c>
      <c r="L20" s="96">
        <f t="shared" si="5"/>
        <v>0</v>
      </c>
      <c r="M20" s="96">
        <f t="shared" si="5"/>
        <v>0</v>
      </c>
      <c r="N20" s="96">
        <f t="shared" si="5"/>
        <v>0</v>
      </c>
      <c r="O20" s="96">
        <f t="shared" si="5"/>
        <v>0</v>
      </c>
      <c r="P20" s="96">
        <f t="shared" si="5"/>
        <v>750000</v>
      </c>
      <c r="Q20" s="251"/>
      <c r="R20" s="194"/>
      <c r="S20" s="194"/>
      <c r="T20" s="194"/>
    </row>
    <row r="21" spans="1:20" s="134" customFormat="1" ht="45">
      <c r="A21" s="91" t="s">
        <v>245</v>
      </c>
      <c r="B21" s="91" t="str">
        <f>'дод. 3'!A116</f>
        <v>3131</v>
      </c>
      <c r="C21" s="91" t="str">
        <f>'дод. 3'!B116</f>
        <v>1040</v>
      </c>
      <c r="D21" s="119" t="str">
        <f>'дод. 3'!C116</f>
        <v>Здійснення заходів та реалізація проектів на виконання Державної цільової соціальної програми «Молодь України»</v>
      </c>
      <c r="E21" s="93">
        <f>F21+I21</f>
        <v>750000</v>
      </c>
      <c r="F21" s="93">
        <v>750000</v>
      </c>
      <c r="G21" s="93"/>
      <c r="H21" s="93"/>
      <c r="I21" s="93"/>
      <c r="J21" s="93">
        <f t="shared" si="3"/>
        <v>0</v>
      </c>
      <c r="K21" s="93"/>
      <c r="L21" s="93"/>
      <c r="M21" s="93"/>
      <c r="N21" s="93"/>
      <c r="O21" s="93"/>
      <c r="P21" s="93">
        <f>E21+J21</f>
        <v>750000</v>
      </c>
      <c r="Q21" s="251"/>
      <c r="R21" s="195"/>
      <c r="S21" s="195"/>
      <c r="T21" s="195"/>
    </row>
    <row r="22" spans="1:20" s="134" customFormat="1" ht="60" customHeight="1">
      <c r="A22" s="94" t="s">
        <v>246</v>
      </c>
      <c r="B22" s="94" t="str">
        <f>'дод. 3'!A117</f>
        <v>3140</v>
      </c>
      <c r="C22" s="94" t="str">
        <f>'дод. 3'!B117</f>
        <v>1040</v>
      </c>
      <c r="D22" s="120" t="str">
        <f>'дод. 3'!C117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96">
        <f>F22+I22</f>
        <v>430000</v>
      </c>
      <c r="F22" s="96">
        <f>430000</f>
        <v>430000</v>
      </c>
      <c r="G22" s="96"/>
      <c r="H22" s="96"/>
      <c r="I22" s="96"/>
      <c r="J22" s="96">
        <f t="shared" si="3"/>
        <v>0</v>
      </c>
      <c r="K22" s="96"/>
      <c r="L22" s="96"/>
      <c r="M22" s="96"/>
      <c r="N22" s="96"/>
      <c r="O22" s="96"/>
      <c r="P22" s="96">
        <f>E22+J22</f>
        <v>430000</v>
      </c>
      <c r="Q22" s="251"/>
      <c r="R22" s="193"/>
      <c r="S22" s="193"/>
      <c r="T22" s="193"/>
    </row>
    <row r="23" spans="1:20" s="134" customFormat="1" ht="21.75" customHeight="1">
      <c r="A23" s="94" t="s">
        <v>479</v>
      </c>
      <c r="B23" s="94" t="str">
        <f>'дод. 3'!A130</f>
        <v>3240</v>
      </c>
      <c r="C23" s="94">
        <f>'дод. 3'!B130</f>
        <v>0</v>
      </c>
      <c r="D23" s="120" t="str">
        <f>'дод. 3'!C130</f>
        <v>Інші заклади та заходи</v>
      </c>
      <c r="E23" s="96">
        <f>E24+E25</f>
        <v>1000272</v>
      </c>
      <c r="F23" s="96">
        <f aca="true" t="shared" si="6" ref="F23:P23">F24+F25</f>
        <v>1000272</v>
      </c>
      <c r="G23" s="96">
        <f t="shared" si="6"/>
        <v>555810</v>
      </c>
      <c r="H23" s="96">
        <f t="shared" si="6"/>
        <v>97477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6">
        <f t="shared" si="6"/>
        <v>0</v>
      </c>
      <c r="N23" s="96">
        <f t="shared" si="6"/>
        <v>0</v>
      </c>
      <c r="O23" s="96">
        <f t="shared" si="6"/>
        <v>0</v>
      </c>
      <c r="P23" s="96">
        <f t="shared" si="6"/>
        <v>1000272</v>
      </c>
      <c r="Q23" s="251"/>
      <c r="R23" s="194"/>
      <c r="S23" s="194"/>
      <c r="T23" s="194"/>
    </row>
    <row r="24" spans="1:20" s="33" customFormat="1" ht="31.5" customHeight="1">
      <c r="A24" s="91" t="s">
        <v>477</v>
      </c>
      <c r="B24" s="91" t="str">
        <f>'дод. 3'!A131</f>
        <v>3241</v>
      </c>
      <c r="C24" s="91" t="str">
        <f>'дод. 3'!B131</f>
        <v>1090</v>
      </c>
      <c r="D24" s="119" t="str">
        <f>'дод. 3'!C131</f>
        <v>Забезпечення діяльності інших закладів у сфері соціального захисту і соціального забезпечення</v>
      </c>
      <c r="E24" s="93">
        <f>F24+I24</f>
        <v>818206</v>
      </c>
      <c r="F24" s="93">
        <v>818206</v>
      </c>
      <c r="G24" s="93">
        <v>555810</v>
      </c>
      <c r="H24" s="93">
        <v>97477</v>
      </c>
      <c r="I24" s="93"/>
      <c r="J24" s="93"/>
      <c r="K24" s="93"/>
      <c r="L24" s="93"/>
      <c r="M24" s="93"/>
      <c r="N24" s="93"/>
      <c r="O24" s="93"/>
      <c r="P24" s="93">
        <f>E24+J24</f>
        <v>818206</v>
      </c>
      <c r="Q24" s="251"/>
      <c r="R24" s="195"/>
      <c r="S24" s="195"/>
      <c r="T24" s="195"/>
    </row>
    <row r="25" spans="1:20" s="33" customFormat="1" ht="33.75" customHeight="1">
      <c r="A25" s="91" t="s">
        <v>478</v>
      </c>
      <c r="B25" s="91" t="str">
        <f>'дод. 3'!A132</f>
        <v>3242</v>
      </c>
      <c r="C25" s="91" t="str">
        <f>'дод. 3'!B132</f>
        <v>1090</v>
      </c>
      <c r="D25" s="119" t="str">
        <f>'дод. 3'!C132</f>
        <v>Інші заходи у сфері соціального захисту і соціального забезпечення</v>
      </c>
      <c r="E25" s="93">
        <f>F25+I25</f>
        <v>182066</v>
      </c>
      <c r="F25" s="93">
        <v>182066</v>
      </c>
      <c r="G25" s="93"/>
      <c r="H25" s="93"/>
      <c r="I25" s="93"/>
      <c r="J25" s="93"/>
      <c r="K25" s="93"/>
      <c r="L25" s="93"/>
      <c r="M25" s="93"/>
      <c r="N25" s="93"/>
      <c r="O25" s="93"/>
      <c r="P25" s="93">
        <f>E25+J25</f>
        <v>182066</v>
      </c>
      <c r="Q25" s="251"/>
      <c r="R25" s="195"/>
      <c r="S25" s="195"/>
      <c r="T25" s="195"/>
    </row>
    <row r="26" spans="1:20" s="4" customFormat="1" ht="28.5" customHeight="1">
      <c r="A26" s="94" t="s">
        <v>247</v>
      </c>
      <c r="B26" s="94" t="str">
        <f>'дод. 3'!A135</f>
        <v>4080</v>
      </c>
      <c r="C26" s="94">
        <f>'дод. 3'!B135</f>
        <v>0</v>
      </c>
      <c r="D26" s="120" t="str">
        <f>'дод. 3'!C135</f>
        <v>Інші заклади та заходи в галузі культури і мистецтва</v>
      </c>
      <c r="E26" s="96">
        <f>E27+E28</f>
        <v>4130500</v>
      </c>
      <c r="F26" s="96">
        <f aca="true" t="shared" si="7" ref="F26:P26">F27+F28</f>
        <v>4130500</v>
      </c>
      <c r="G26" s="96">
        <f t="shared" si="7"/>
        <v>1782489</v>
      </c>
      <c r="H26" s="96">
        <f t="shared" si="7"/>
        <v>116165</v>
      </c>
      <c r="I26" s="96">
        <f t="shared" si="7"/>
        <v>0</v>
      </c>
      <c r="J26" s="96">
        <f t="shared" si="7"/>
        <v>49000</v>
      </c>
      <c r="K26" s="96">
        <f t="shared" si="7"/>
        <v>0</v>
      </c>
      <c r="L26" s="96">
        <f t="shared" si="7"/>
        <v>0</v>
      </c>
      <c r="M26" s="96">
        <f t="shared" si="7"/>
        <v>0</v>
      </c>
      <c r="N26" s="96">
        <f t="shared" si="7"/>
        <v>49000</v>
      </c>
      <c r="O26" s="96">
        <f t="shared" si="7"/>
        <v>49000</v>
      </c>
      <c r="P26" s="96">
        <f t="shared" si="7"/>
        <v>4179500</v>
      </c>
      <c r="Q26" s="251"/>
      <c r="R26" s="194"/>
      <c r="S26" s="194"/>
      <c r="T26" s="194"/>
    </row>
    <row r="27" spans="1:20" s="134" customFormat="1" ht="30.75" customHeight="1">
      <c r="A27" s="91" t="s">
        <v>475</v>
      </c>
      <c r="B27" s="91" t="str">
        <f>'дод. 3'!A136</f>
        <v>4081</v>
      </c>
      <c r="C27" s="91" t="str">
        <f>'дод. 3'!B136</f>
        <v>0829</v>
      </c>
      <c r="D27" s="119" t="str">
        <f>'дод. 3'!C136</f>
        <v>Забезпечення діяльності інших закладів в галузі культури і мистецтва </v>
      </c>
      <c r="E27" s="93">
        <f>F27+I27</f>
        <v>3710300</v>
      </c>
      <c r="F27" s="93">
        <f>2846100-420200+884400+400000</f>
        <v>3710300</v>
      </c>
      <c r="G27" s="93">
        <v>1782489</v>
      </c>
      <c r="H27" s="93">
        <v>116165</v>
      </c>
      <c r="I27" s="93"/>
      <c r="J27" s="93">
        <f>K27+N27</f>
        <v>49000</v>
      </c>
      <c r="K27" s="93"/>
      <c r="L27" s="93"/>
      <c r="M27" s="93"/>
      <c r="N27" s="93">
        <v>49000</v>
      </c>
      <c r="O27" s="93">
        <v>49000</v>
      </c>
      <c r="P27" s="93">
        <f>E27+J27</f>
        <v>3759300</v>
      </c>
      <c r="Q27" s="251"/>
      <c r="R27" s="195"/>
      <c r="S27" s="195"/>
      <c r="T27" s="195"/>
    </row>
    <row r="28" spans="1:20" s="134" customFormat="1" ht="25.5" customHeight="1">
      <c r="A28" s="91" t="s">
        <v>476</v>
      </c>
      <c r="B28" s="91" t="str">
        <f>'дод. 3'!A137</f>
        <v>4082</v>
      </c>
      <c r="C28" s="91" t="str">
        <f>'дод. 3'!B137</f>
        <v>0829</v>
      </c>
      <c r="D28" s="119" t="str">
        <f>'дод. 3'!C137</f>
        <v>Інші заходи в галузі культури і мистецтва</v>
      </c>
      <c r="E28" s="93">
        <f>F28+I28</f>
        <v>420200</v>
      </c>
      <c r="F28" s="93">
        <f>420200</f>
        <v>420200</v>
      </c>
      <c r="G28" s="93"/>
      <c r="H28" s="93"/>
      <c r="I28" s="93"/>
      <c r="J28" s="93">
        <f>K28+N28</f>
        <v>0</v>
      </c>
      <c r="K28" s="93"/>
      <c r="L28" s="93"/>
      <c r="M28" s="93"/>
      <c r="N28" s="93"/>
      <c r="O28" s="93"/>
      <c r="P28" s="93">
        <f>E28+J28</f>
        <v>420200</v>
      </c>
      <c r="Q28" s="251"/>
      <c r="R28" s="195"/>
      <c r="S28" s="195"/>
      <c r="T28" s="195"/>
    </row>
    <row r="29" spans="1:20" s="4" customFormat="1" ht="21.75" customHeight="1">
      <c r="A29" s="97" t="s">
        <v>248</v>
      </c>
      <c r="B29" s="97" t="str">
        <f>'дод. 3'!A139</f>
        <v>5010</v>
      </c>
      <c r="C29" s="97">
        <f>'дод. 3'!B139</f>
        <v>0</v>
      </c>
      <c r="D29" s="125" t="str">
        <f>'дод. 3'!C139</f>
        <v>Проведення спортивної роботи в регіоні</v>
      </c>
      <c r="E29" s="96">
        <f>E30+E31</f>
        <v>1400000</v>
      </c>
      <c r="F29" s="96">
        <f aca="true" t="shared" si="8" ref="F29:P29">F30+F31</f>
        <v>1400000</v>
      </c>
      <c r="G29" s="96">
        <f t="shared" si="8"/>
        <v>0</v>
      </c>
      <c r="H29" s="96">
        <f t="shared" si="8"/>
        <v>0</v>
      </c>
      <c r="I29" s="96">
        <f t="shared" si="8"/>
        <v>0</v>
      </c>
      <c r="J29" s="96">
        <f t="shared" si="8"/>
        <v>0</v>
      </c>
      <c r="K29" s="96">
        <f t="shared" si="8"/>
        <v>0</v>
      </c>
      <c r="L29" s="96">
        <f t="shared" si="8"/>
        <v>0</v>
      </c>
      <c r="M29" s="96">
        <f t="shared" si="8"/>
        <v>0</v>
      </c>
      <c r="N29" s="96">
        <f t="shared" si="8"/>
        <v>0</v>
      </c>
      <c r="O29" s="96">
        <f t="shared" si="8"/>
        <v>0</v>
      </c>
      <c r="P29" s="96">
        <f t="shared" si="8"/>
        <v>1400000</v>
      </c>
      <c r="Q29" s="251"/>
      <c r="R29" s="194"/>
      <c r="S29" s="194"/>
      <c r="T29" s="194"/>
    </row>
    <row r="30" spans="1:20" s="134" customFormat="1" ht="36.75" customHeight="1">
      <c r="A30" s="135" t="s">
        <v>249</v>
      </c>
      <c r="B30" s="135" t="str">
        <f>'дод. 3'!A140</f>
        <v>5011</v>
      </c>
      <c r="C30" s="135" t="str">
        <f>'дод. 3'!B140</f>
        <v>0810</v>
      </c>
      <c r="D30" s="136" t="str">
        <f>'дод. 3'!C140</f>
        <v>Проведення навчально-тренувальних зборів і змагань з олімпійських видів спорту</v>
      </c>
      <c r="E30" s="93">
        <f>F30+I30</f>
        <v>700000</v>
      </c>
      <c r="F30" s="93">
        <v>700000</v>
      </c>
      <c r="G30" s="93"/>
      <c r="H30" s="93"/>
      <c r="I30" s="93"/>
      <c r="J30" s="93">
        <f t="shared" si="3"/>
        <v>0</v>
      </c>
      <c r="K30" s="93"/>
      <c r="L30" s="93"/>
      <c r="M30" s="93"/>
      <c r="N30" s="93"/>
      <c r="O30" s="93"/>
      <c r="P30" s="93">
        <f>E30+J30</f>
        <v>700000</v>
      </c>
      <c r="Q30" s="251"/>
      <c r="R30" s="195"/>
      <c r="S30" s="195"/>
      <c r="T30" s="195"/>
    </row>
    <row r="31" spans="1:20" s="134" customFormat="1" ht="34.5" customHeight="1">
      <c r="A31" s="135" t="s">
        <v>250</v>
      </c>
      <c r="B31" s="135" t="str">
        <f>'дод. 3'!A141</f>
        <v>5012</v>
      </c>
      <c r="C31" s="135" t="str">
        <f>'дод. 3'!B141</f>
        <v>0810</v>
      </c>
      <c r="D31" s="136" t="str">
        <f>'дод. 3'!C141</f>
        <v>Проведення навчально-тренувальних зборів і змагань з неолімпійських видів спорту</v>
      </c>
      <c r="E31" s="93">
        <f>F31+I31</f>
        <v>700000</v>
      </c>
      <c r="F31" s="93">
        <v>700000</v>
      </c>
      <c r="G31" s="93"/>
      <c r="H31" s="93"/>
      <c r="I31" s="93"/>
      <c r="J31" s="93">
        <f t="shared" si="3"/>
        <v>0</v>
      </c>
      <c r="K31" s="93"/>
      <c r="L31" s="93"/>
      <c r="M31" s="93"/>
      <c r="N31" s="93"/>
      <c r="O31" s="93"/>
      <c r="P31" s="93">
        <f>E31+J31</f>
        <v>700000</v>
      </c>
      <c r="Q31" s="251"/>
      <c r="R31" s="195"/>
      <c r="S31" s="195"/>
      <c r="T31" s="195"/>
    </row>
    <row r="32" spans="1:20" s="4" customFormat="1" ht="21" customHeight="1">
      <c r="A32" s="97" t="s">
        <v>251</v>
      </c>
      <c r="B32" s="97" t="str">
        <f>'дод. 3'!A142</f>
        <v>5030</v>
      </c>
      <c r="C32" s="97">
        <f>'дод. 3'!B142</f>
        <v>0</v>
      </c>
      <c r="D32" s="125" t="str">
        <f>'дод. 3'!C142</f>
        <v>Розвиток дитячо-юнацького та резервного спорту</v>
      </c>
      <c r="E32" s="96">
        <f>E33+E34</f>
        <v>16918700</v>
      </c>
      <c r="F32" s="96">
        <f aca="true" t="shared" si="9" ref="F32:P32">F33+F34</f>
        <v>16918700</v>
      </c>
      <c r="G32" s="96">
        <f t="shared" si="9"/>
        <v>6380000</v>
      </c>
      <c r="H32" s="96">
        <f t="shared" si="9"/>
        <v>586810</v>
      </c>
      <c r="I32" s="96">
        <f t="shared" si="9"/>
        <v>0</v>
      </c>
      <c r="J32" s="96">
        <f t="shared" si="9"/>
        <v>200000</v>
      </c>
      <c r="K32" s="96">
        <f t="shared" si="9"/>
        <v>0</v>
      </c>
      <c r="L32" s="96">
        <f t="shared" si="9"/>
        <v>0</v>
      </c>
      <c r="M32" s="96">
        <f t="shared" si="9"/>
        <v>0</v>
      </c>
      <c r="N32" s="96">
        <f t="shared" si="9"/>
        <v>200000</v>
      </c>
      <c r="O32" s="96">
        <f t="shared" si="9"/>
        <v>200000</v>
      </c>
      <c r="P32" s="96">
        <f t="shared" si="9"/>
        <v>17118700</v>
      </c>
      <c r="Q32" s="251"/>
      <c r="R32" s="194"/>
      <c r="S32" s="194"/>
      <c r="T32" s="194"/>
    </row>
    <row r="33" spans="1:20" s="134" customFormat="1" ht="30" customHeight="1">
      <c r="A33" s="135" t="s">
        <v>252</v>
      </c>
      <c r="B33" s="135" t="str">
        <f>'дод. 3'!A143</f>
        <v>5031</v>
      </c>
      <c r="C33" s="135" t="str">
        <f>'дод. 3'!B143</f>
        <v>0810</v>
      </c>
      <c r="D33" s="136" t="str">
        <f>'дод. 3'!C143</f>
        <v>Утримання та навчально-тренувальна робота комунальних дитячо-юнацьких спортивних шкіл</v>
      </c>
      <c r="E33" s="93">
        <f>F33+I33</f>
        <v>9296900</v>
      </c>
      <c r="F33" s="93">
        <f>8719900+577000</f>
        <v>9296900</v>
      </c>
      <c r="G33" s="93">
        <f>6380000</f>
        <v>6380000</v>
      </c>
      <c r="H33" s="93">
        <v>586810</v>
      </c>
      <c r="I33" s="93"/>
      <c r="J33" s="93">
        <f t="shared" si="3"/>
        <v>200000</v>
      </c>
      <c r="K33" s="93"/>
      <c r="L33" s="93"/>
      <c r="M33" s="93"/>
      <c r="N33" s="93">
        <v>200000</v>
      </c>
      <c r="O33" s="93">
        <v>200000</v>
      </c>
      <c r="P33" s="93">
        <f>E33+J33</f>
        <v>9496900</v>
      </c>
      <c r="Q33" s="251"/>
      <c r="R33" s="195"/>
      <c r="S33" s="195"/>
      <c r="T33" s="195"/>
    </row>
    <row r="34" spans="1:20" s="134" customFormat="1" ht="45">
      <c r="A34" s="135" t="s">
        <v>253</v>
      </c>
      <c r="B34" s="135" t="str">
        <f>'дод. 3'!A144</f>
        <v>5032</v>
      </c>
      <c r="C34" s="135" t="str">
        <f>'дод. 3'!B144</f>
        <v>0810</v>
      </c>
      <c r="D34" s="136" t="str">
        <f>'дод. 3'!C144</f>
        <v>Фінансова підтримка дитячо-юнацьких спортивних шкіл фізкультурно-спортивних товариств</v>
      </c>
      <c r="E34" s="93">
        <f>F34+I34</f>
        <v>7621800</v>
      </c>
      <c r="F34" s="93">
        <f>7321800+300000</f>
        <v>7621800</v>
      </c>
      <c r="G34" s="93"/>
      <c r="H34" s="93"/>
      <c r="I34" s="93"/>
      <c r="J34" s="93">
        <f t="shared" si="3"/>
        <v>0</v>
      </c>
      <c r="K34" s="93"/>
      <c r="L34" s="93"/>
      <c r="M34" s="93"/>
      <c r="N34" s="93"/>
      <c r="O34" s="93"/>
      <c r="P34" s="93">
        <f>E34+J34</f>
        <v>7621800</v>
      </c>
      <c r="Q34" s="252">
        <v>16</v>
      </c>
      <c r="R34" s="195"/>
      <c r="S34" s="195"/>
      <c r="T34" s="195"/>
    </row>
    <row r="35" spans="1:20" s="134" customFormat="1" ht="26.25" customHeight="1">
      <c r="A35" s="97" t="s">
        <v>254</v>
      </c>
      <c r="B35" s="97" t="str">
        <f>'дод. 3'!A145</f>
        <v>5060</v>
      </c>
      <c r="C35" s="97">
        <f>'дод. 3'!B145</f>
        <v>0</v>
      </c>
      <c r="D35" s="125" t="str">
        <f>'дод. 3'!C145</f>
        <v>Інші заходи з розвитку фізичної культури та спорту</v>
      </c>
      <c r="E35" s="96">
        <f>E36+E37</f>
        <v>8490000</v>
      </c>
      <c r="F35" s="96">
        <f aca="true" t="shared" si="10" ref="F35:P35">F36+F37</f>
        <v>8490000</v>
      </c>
      <c r="G35" s="96">
        <f t="shared" si="10"/>
        <v>1685000</v>
      </c>
      <c r="H35" s="96">
        <f t="shared" si="10"/>
        <v>407210</v>
      </c>
      <c r="I35" s="96">
        <f t="shared" si="10"/>
        <v>0</v>
      </c>
      <c r="J35" s="96">
        <f t="shared" si="10"/>
        <v>246687</v>
      </c>
      <c r="K35" s="96">
        <f t="shared" si="10"/>
        <v>226687</v>
      </c>
      <c r="L35" s="96">
        <f t="shared" si="10"/>
        <v>141022</v>
      </c>
      <c r="M35" s="96">
        <f t="shared" si="10"/>
        <v>53404</v>
      </c>
      <c r="N35" s="96">
        <f t="shared" si="10"/>
        <v>20000</v>
      </c>
      <c r="O35" s="96">
        <f t="shared" si="10"/>
        <v>20000</v>
      </c>
      <c r="P35" s="96">
        <f t="shared" si="10"/>
        <v>8736687</v>
      </c>
      <c r="Q35" s="252"/>
      <c r="R35" s="194"/>
      <c r="S35" s="194"/>
      <c r="T35" s="194"/>
    </row>
    <row r="36" spans="1:20" s="134" customFormat="1" ht="60">
      <c r="A36" s="135" t="s">
        <v>255</v>
      </c>
      <c r="B36" s="135" t="str">
        <f>'дод. 3'!A146</f>
        <v>5061</v>
      </c>
      <c r="C36" s="135" t="str">
        <f>'дод. 3'!B146</f>
        <v>0810</v>
      </c>
      <c r="D36" s="136" t="str">
        <f>'дод. 3'!C146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93">
        <f>F36+I36</f>
        <v>3246540</v>
      </c>
      <c r="F36" s="93">
        <v>3246540</v>
      </c>
      <c r="G36" s="93">
        <v>1685000</v>
      </c>
      <c r="H36" s="93">
        <v>407210</v>
      </c>
      <c r="I36" s="93"/>
      <c r="J36" s="93">
        <f t="shared" si="3"/>
        <v>246687</v>
      </c>
      <c r="K36" s="93">
        <f>226687</f>
        <v>226687</v>
      </c>
      <c r="L36" s="93">
        <v>141022</v>
      </c>
      <c r="M36" s="93">
        <v>53404</v>
      </c>
      <c r="N36" s="93">
        <f>20000</f>
        <v>20000</v>
      </c>
      <c r="O36" s="93">
        <v>20000</v>
      </c>
      <c r="P36" s="93">
        <f>E36+J36</f>
        <v>3493227</v>
      </c>
      <c r="Q36" s="252"/>
      <c r="R36" s="195"/>
      <c r="S36" s="195"/>
      <c r="T36" s="195"/>
    </row>
    <row r="37" spans="1:20" s="134" customFormat="1" ht="45">
      <c r="A37" s="135" t="s">
        <v>256</v>
      </c>
      <c r="B37" s="135" t="str">
        <f>'дод. 3'!A147</f>
        <v>5062</v>
      </c>
      <c r="C37" s="135" t="str">
        <f>'дод. 3'!B147</f>
        <v>0810</v>
      </c>
      <c r="D37" s="136" t="str">
        <f>'дод. 3'!C147</f>
        <v>Підтримка спорту вищих досягнень та організацій, які здійснюють фізкультурно-спортивну діяльність в регіоні</v>
      </c>
      <c r="E37" s="93">
        <f>F37+I37</f>
        <v>5243460</v>
      </c>
      <c r="F37" s="93">
        <f>5143460+50000+50000</f>
        <v>5243460</v>
      </c>
      <c r="G37" s="93"/>
      <c r="H37" s="93"/>
      <c r="I37" s="93"/>
      <c r="J37" s="93">
        <f t="shared" si="3"/>
        <v>0</v>
      </c>
      <c r="K37" s="93"/>
      <c r="L37" s="93"/>
      <c r="M37" s="93"/>
      <c r="N37" s="93"/>
      <c r="O37" s="93"/>
      <c r="P37" s="93">
        <f>E37+J37</f>
        <v>5243460</v>
      </c>
      <c r="Q37" s="252"/>
      <c r="R37" s="195"/>
      <c r="S37" s="195"/>
      <c r="T37" s="195"/>
    </row>
    <row r="38" spans="1:20" s="4" customFormat="1" ht="34.5" customHeight="1">
      <c r="A38" s="97" t="s">
        <v>257</v>
      </c>
      <c r="B38" s="97" t="str">
        <f>'дод. 3'!A171</f>
        <v>7410</v>
      </c>
      <c r="C38" s="97">
        <f>'дод. 3'!B171</f>
        <v>0</v>
      </c>
      <c r="D38" s="125" t="str">
        <f>'дод. 3'!C171</f>
        <v>Забезпечення надання послуг з перевезення пасажирів автомобільним транспортом</v>
      </c>
      <c r="E38" s="96">
        <f>E39</f>
        <v>3000000</v>
      </c>
      <c r="F38" s="96">
        <f aca="true" t="shared" si="11" ref="F38:P38">F39</f>
        <v>0</v>
      </c>
      <c r="G38" s="96">
        <f t="shared" si="11"/>
        <v>0</v>
      </c>
      <c r="H38" s="96">
        <f t="shared" si="11"/>
        <v>0</v>
      </c>
      <c r="I38" s="96">
        <f t="shared" si="11"/>
        <v>3000000</v>
      </c>
      <c r="J38" s="96">
        <f t="shared" si="11"/>
        <v>0</v>
      </c>
      <c r="K38" s="96">
        <f t="shared" si="11"/>
        <v>0</v>
      </c>
      <c r="L38" s="96">
        <f t="shared" si="11"/>
        <v>0</v>
      </c>
      <c r="M38" s="96">
        <f t="shared" si="11"/>
        <v>0</v>
      </c>
      <c r="N38" s="96">
        <f t="shared" si="11"/>
        <v>0</v>
      </c>
      <c r="O38" s="96">
        <f t="shared" si="11"/>
        <v>0</v>
      </c>
      <c r="P38" s="96">
        <f t="shared" si="11"/>
        <v>3000000</v>
      </c>
      <c r="Q38" s="252"/>
      <c r="R38" s="194"/>
      <c r="S38" s="194"/>
      <c r="T38" s="194"/>
    </row>
    <row r="39" spans="1:20" s="134" customFormat="1" ht="30">
      <c r="A39" s="135" t="s">
        <v>258</v>
      </c>
      <c r="B39" s="135" t="str">
        <f>'дод. 3'!A172</f>
        <v>7412</v>
      </c>
      <c r="C39" s="135" t="str">
        <f>'дод. 3'!B172</f>
        <v>0451</v>
      </c>
      <c r="D39" s="136" t="str">
        <f>'дод. 3'!C172</f>
        <v>Регулювання цін на послуги місцевого автотранспорту</v>
      </c>
      <c r="E39" s="93">
        <f>F39+I39</f>
        <v>3000000</v>
      </c>
      <c r="F39" s="93"/>
      <c r="G39" s="93"/>
      <c r="H39" s="93"/>
      <c r="I39" s="93">
        <v>3000000</v>
      </c>
      <c r="J39" s="93">
        <f t="shared" si="3"/>
        <v>0</v>
      </c>
      <c r="K39" s="93"/>
      <c r="L39" s="93"/>
      <c r="M39" s="93"/>
      <c r="N39" s="93"/>
      <c r="O39" s="93"/>
      <c r="P39" s="93">
        <f>E39+J39</f>
        <v>3000000</v>
      </c>
      <c r="Q39" s="252"/>
      <c r="R39" s="195"/>
      <c r="S39" s="195"/>
      <c r="T39" s="195"/>
    </row>
    <row r="40" spans="1:20" s="4" customFormat="1" ht="30">
      <c r="A40" s="97" t="s">
        <v>259</v>
      </c>
      <c r="B40" s="97" t="str">
        <f>'дод. 3'!A173</f>
        <v>7420</v>
      </c>
      <c r="C40" s="97">
        <f>'дод. 3'!B173</f>
        <v>0</v>
      </c>
      <c r="D40" s="125" t="str">
        <f>'дод. 3'!C173</f>
        <v>Забезпечення надання послуг з перевезення пасажирів електротранспортом</v>
      </c>
      <c r="E40" s="96">
        <f>E41+E42</f>
        <v>18544636</v>
      </c>
      <c r="F40" s="96">
        <f aca="true" t="shared" si="12" ref="F40:P40">F41+F42</f>
        <v>0</v>
      </c>
      <c r="G40" s="96">
        <f t="shared" si="12"/>
        <v>0</v>
      </c>
      <c r="H40" s="96">
        <f t="shared" si="12"/>
        <v>0</v>
      </c>
      <c r="I40" s="96">
        <f t="shared" si="12"/>
        <v>18544636</v>
      </c>
      <c r="J40" s="96">
        <f t="shared" si="12"/>
        <v>810000</v>
      </c>
      <c r="K40" s="96">
        <f t="shared" si="12"/>
        <v>0</v>
      </c>
      <c r="L40" s="96">
        <f t="shared" si="12"/>
        <v>0</v>
      </c>
      <c r="M40" s="96">
        <f t="shared" si="12"/>
        <v>0</v>
      </c>
      <c r="N40" s="96">
        <f t="shared" si="12"/>
        <v>810000</v>
      </c>
      <c r="O40" s="96">
        <f t="shared" si="12"/>
        <v>810000</v>
      </c>
      <c r="P40" s="96">
        <f t="shared" si="12"/>
        <v>19354636</v>
      </c>
      <c r="Q40" s="252"/>
      <c r="R40" s="194"/>
      <c r="S40" s="194"/>
      <c r="T40" s="194"/>
    </row>
    <row r="41" spans="1:20" s="134" customFormat="1" ht="30">
      <c r="A41" s="135" t="s">
        <v>260</v>
      </c>
      <c r="B41" s="135" t="str">
        <f>'дод. 3'!A174</f>
        <v>7422</v>
      </c>
      <c r="C41" s="135" t="str">
        <f>'дод. 3'!B174</f>
        <v>0453</v>
      </c>
      <c r="D41" s="136" t="str">
        <f>'дод. 3'!C174</f>
        <v>Регулювання цін на послуги місцевого наземного електротранспорту</v>
      </c>
      <c r="E41" s="93">
        <f aca="true" t="shared" si="13" ref="E41:E48">F41+I41</f>
        <v>6000000</v>
      </c>
      <c r="F41" s="93"/>
      <c r="G41" s="93"/>
      <c r="H41" s="93"/>
      <c r="I41" s="93">
        <v>6000000</v>
      </c>
      <c r="J41" s="93">
        <f t="shared" si="3"/>
        <v>0</v>
      </c>
      <c r="K41" s="93"/>
      <c r="L41" s="93"/>
      <c r="M41" s="93"/>
      <c r="N41" s="93"/>
      <c r="O41" s="93"/>
      <c r="P41" s="93">
        <f>E41+J41</f>
        <v>6000000</v>
      </c>
      <c r="Q41" s="252"/>
      <c r="R41" s="195"/>
      <c r="S41" s="195"/>
      <c r="T41" s="195"/>
    </row>
    <row r="42" spans="1:20" s="134" customFormat="1" ht="21.75" customHeight="1">
      <c r="A42" s="135" t="s">
        <v>376</v>
      </c>
      <c r="B42" s="135" t="str">
        <f>'дод. 3'!A175</f>
        <v>7426</v>
      </c>
      <c r="C42" s="135" t="str">
        <f>'дод. 3'!B175</f>
        <v>0453</v>
      </c>
      <c r="D42" s="136" t="str">
        <f>'дод. 3'!C175</f>
        <v>Інші заходи у сфері електротранспорту</v>
      </c>
      <c r="E42" s="93">
        <f t="shared" si="13"/>
        <v>12544636</v>
      </c>
      <c r="F42" s="93"/>
      <c r="G42" s="93"/>
      <c r="H42" s="93"/>
      <c r="I42" s="93">
        <f>12858252-313616</f>
        <v>12544636</v>
      </c>
      <c r="J42" s="93">
        <f t="shared" si="3"/>
        <v>810000</v>
      </c>
      <c r="K42" s="93"/>
      <c r="L42" s="93"/>
      <c r="M42" s="93"/>
      <c r="N42" s="93">
        <f>810000</f>
        <v>810000</v>
      </c>
      <c r="O42" s="93">
        <f>810000</f>
        <v>810000</v>
      </c>
      <c r="P42" s="93">
        <f>E42+J42</f>
        <v>13354636</v>
      </c>
      <c r="Q42" s="252"/>
      <c r="R42" s="195"/>
      <c r="S42" s="195"/>
      <c r="T42" s="195"/>
    </row>
    <row r="43" spans="1:20" s="4" customFormat="1" ht="21.75" customHeight="1">
      <c r="A43" s="98" t="s">
        <v>493</v>
      </c>
      <c r="B43" s="98" t="str">
        <f>'дод. 3'!A176</f>
        <v>7450</v>
      </c>
      <c r="C43" s="98" t="str">
        <f>'дод. 3'!B176</f>
        <v>0456</v>
      </c>
      <c r="D43" s="148" t="str">
        <f>'дод. 3'!C176</f>
        <v>Інша діяльність у сфері транспорту </v>
      </c>
      <c r="E43" s="90">
        <f t="shared" si="13"/>
        <v>450000</v>
      </c>
      <c r="F43" s="90">
        <v>450000</v>
      </c>
      <c r="G43" s="90"/>
      <c r="H43" s="90"/>
      <c r="I43" s="90"/>
      <c r="J43" s="90">
        <f>K43+N43</f>
        <v>0</v>
      </c>
      <c r="K43" s="90"/>
      <c r="L43" s="90"/>
      <c r="M43" s="90"/>
      <c r="N43" s="90"/>
      <c r="O43" s="90"/>
      <c r="P43" s="90">
        <f>J43+E43</f>
        <v>450000</v>
      </c>
      <c r="Q43" s="252"/>
      <c r="R43" s="193"/>
      <c r="S43" s="193"/>
      <c r="T43" s="193"/>
    </row>
    <row r="44" spans="1:20" s="137" customFormat="1" ht="30">
      <c r="A44" s="98" t="s">
        <v>377</v>
      </c>
      <c r="B44" s="98" t="str">
        <f>'дод. 3'!A178</f>
        <v>7530</v>
      </c>
      <c r="C44" s="98" t="str">
        <f>'дод. 3'!B178</f>
        <v>0460</v>
      </c>
      <c r="D44" s="121" t="str">
        <f>'дод. 3'!C178</f>
        <v>Інші заходи у сфері зв'язку, телекомунікації та інформатики</v>
      </c>
      <c r="E44" s="90">
        <f t="shared" si="13"/>
        <v>7276490</v>
      </c>
      <c r="F44" s="90">
        <f>2629000+1696500+1371000+1579990</f>
        <v>7276490</v>
      </c>
      <c r="G44" s="90"/>
      <c r="H44" s="90"/>
      <c r="I44" s="90"/>
      <c r="J44" s="90">
        <f>K44+N44</f>
        <v>4897000</v>
      </c>
      <c r="K44" s="90"/>
      <c r="L44" s="90"/>
      <c r="M44" s="90"/>
      <c r="N44" s="90">
        <f>3005500+1891500</f>
        <v>4897000</v>
      </c>
      <c r="O44" s="90">
        <f>3005500+1891500</f>
        <v>4897000</v>
      </c>
      <c r="P44" s="90">
        <f>E44+J44</f>
        <v>12173490</v>
      </c>
      <c r="Q44" s="252"/>
      <c r="R44" s="193"/>
      <c r="S44" s="193"/>
      <c r="T44" s="193"/>
    </row>
    <row r="45" spans="1:20" s="134" customFormat="1" ht="30">
      <c r="A45" s="97" t="s">
        <v>261</v>
      </c>
      <c r="B45" s="97" t="str">
        <f>'дод. 3'!A180</f>
        <v>7610</v>
      </c>
      <c r="C45" s="97" t="str">
        <f>'дод. 3'!B180</f>
        <v>0411</v>
      </c>
      <c r="D45" s="125" t="str">
        <f>'дод. 3'!C180</f>
        <v>Сприяння розвитку малого та середнього підприємництва</v>
      </c>
      <c r="E45" s="96">
        <f t="shared" si="13"/>
        <v>88000</v>
      </c>
      <c r="F45" s="96">
        <v>88000</v>
      </c>
      <c r="G45" s="96"/>
      <c r="H45" s="96"/>
      <c r="I45" s="96"/>
      <c r="J45" s="96">
        <f t="shared" si="3"/>
        <v>0</v>
      </c>
      <c r="K45" s="96"/>
      <c r="L45" s="96"/>
      <c r="M45" s="96"/>
      <c r="N45" s="96"/>
      <c r="O45" s="96"/>
      <c r="P45" s="96">
        <f>E45+J45</f>
        <v>88000</v>
      </c>
      <c r="Q45" s="252"/>
      <c r="R45" s="193"/>
      <c r="S45" s="193"/>
      <c r="T45" s="193"/>
    </row>
    <row r="46" spans="1:20" s="134" customFormat="1" ht="18.75" customHeight="1">
      <c r="A46" s="97" t="s">
        <v>402</v>
      </c>
      <c r="B46" s="97" t="str">
        <f>'дод. 3'!A181</f>
        <v>7640</v>
      </c>
      <c r="C46" s="97" t="str">
        <f>'дод. 3'!B181</f>
        <v>0470</v>
      </c>
      <c r="D46" s="125" t="str">
        <f>'дод. 3'!C181</f>
        <v>Заходи з енергозбереження</v>
      </c>
      <c r="E46" s="96">
        <f t="shared" si="13"/>
        <v>125175</v>
      </c>
      <c r="F46" s="96">
        <v>125175</v>
      </c>
      <c r="G46" s="96"/>
      <c r="H46" s="96"/>
      <c r="I46" s="96"/>
      <c r="J46" s="96">
        <f>K46+N46</f>
        <v>0</v>
      </c>
      <c r="K46" s="96"/>
      <c r="L46" s="96"/>
      <c r="M46" s="96"/>
      <c r="N46" s="96"/>
      <c r="O46" s="96"/>
      <c r="P46" s="96">
        <f>E46+J46</f>
        <v>125175</v>
      </c>
      <c r="Q46" s="252"/>
      <c r="R46" s="193"/>
      <c r="S46" s="193"/>
      <c r="T46" s="193"/>
    </row>
    <row r="47" spans="1:20" s="134" customFormat="1" ht="30">
      <c r="A47" s="97" t="s">
        <v>262</v>
      </c>
      <c r="B47" s="97" t="str">
        <f>'дод. 3'!A184</f>
        <v>7670</v>
      </c>
      <c r="C47" s="97" t="str">
        <f>'дод. 3'!B184</f>
        <v>0490</v>
      </c>
      <c r="D47" s="125" t="str">
        <f>'дод. 3'!C184</f>
        <v>Внески до статутного капіталу суб’єктів господарювання</v>
      </c>
      <c r="E47" s="96">
        <f t="shared" si="13"/>
        <v>0</v>
      </c>
      <c r="F47" s="96"/>
      <c r="G47" s="96"/>
      <c r="H47" s="96"/>
      <c r="I47" s="96"/>
      <c r="J47" s="96">
        <f t="shared" si="3"/>
        <v>28440000</v>
      </c>
      <c r="K47" s="96"/>
      <c r="L47" s="96"/>
      <c r="M47" s="96"/>
      <c r="N47" s="96">
        <f>4220000+24220000</f>
        <v>28440000</v>
      </c>
      <c r="O47" s="96">
        <f>4220000+24220000</f>
        <v>28440000</v>
      </c>
      <c r="P47" s="96">
        <f>E47+J47</f>
        <v>28440000</v>
      </c>
      <c r="Q47" s="252"/>
      <c r="R47" s="193"/>
      <c r="S47" s="193"/>
      <c r="T47" s="193"/>
    </row>
    <row r="48" spans="1:20" s="134" customFormat="1" ht="30">
      <c r="A48" s="97" t="s">
        <v>391</v>
      </c>
      <c r="B48" s="97" t="str">
        <f>'дод. 3'!A185</f>
        <v>7680</v>
      </c>
      <c r="C48" s="97" t="str">
        <f>'дод. 3'!B185</f>
        <v>0490</v>
      </c>
      <c r="D48" s="125" t="str">
        <f>'дод. 3'!C185</f>
        <v>Членські внески до асоціацій органів місцевого самоврядування</v>
      </c>
      <c r="E48" s="96">
        <f t="shared" si="13"/>
        <v>209333</v>
      </c>
      <c r="F48" s="96">
        <f>50000+159333</f>
        <v>209333</v>
      </c>
      <c r="G48" s="96"/>
      <c r="H48" s="96"/>
      <c r="I48" s="96"/>
      <c r="J48" s="96">
        <f t="shared" si="3"/>
        <v>0</v>
      </c>
      <c r="K48" s="96"/>
      <c r="L48" s="96"/>
      <c r="M48" s="96"/>
      <c r="N48" s="96"/>
      <c r="O48" s="96"/>
      <c r="P48" s="96">
        <f>E48+J48</f>
        <v>209333</v>
      </c>
      <c r="Q48" s="252"/>
      <c r="R48" s="193"/>
      <c r="S48" s="193"/>
      <c r="T48" s="193"/>
    </row>
    <row r="49" spans="1:20" s="134" customFormat="1" ht="19.5" customHeight="1">
      <c r="A49" s="97" t="s">
        <v>263</v>
      </c>
      <c r="B49" s="97" t="str">
        <f>'дод. 3'!A186</f>
        <v>7690</v>
      </c>
      <c r="C49" s="97">
        <f>'дод. 3'!B186</f>
        <v>0</v>
      </c>
      <c r="D49" s="125" t="str">
        <f>'дод. 3'!C186</f>
        <v>Інша економічна діяльність</v>
      </c>
      <c r="E49" s="96">
        <f>E50+E51</f>
        <v>1802059</v>
      </c>
      <c r="F49" s="96">
        <f aca="true" t="shared" si="14" ref="F49:P49">F50+F51</f>
        <v>1802059</v>
      </c>
      <c r="G49" s="96">
        <f t="shared" si="14"/>
        <v>0</v>
      </c>
      <c r="H49" s="96">
        <f t="shared" si="14"/>
        <v>0</v>
      </c>
      <c r="I49" s="96">
        <f t="shared" si="14"/>
        <v>0</v>
      </c>
      <c r="J49" s="96">
        <f t="shared" si="14"/>
        <v>63407</v>
      </c>
      <c r="K49" s="96">
        <f t="shared" si="14"/>
        <v>63407</v>
      </c>
      <c r="L49" s="96">
        <f t="shared" si="14"/>
        <v>0</v>
      </c>
      <c r="M49" s="96">
        <f t="shared" si="14"/>
        <v>0</v>
      </c>
      <c r="N49" s="96">
        <f t="shared" si="14"/>
        <v>0</v>
      </c>
      <c r="O49" s="96">
        <f t="shared" si="14"/>
        <v>0</v>
      </c>
      <c r="P49" s="96">
        <f t="shared" si="14"/>
        <v>1865466</v>
      </c>
      <c r="Q49" s="252"/>
      <c r="R49" s="194"/>
      <c r="S49" s="194"/>
      <c r="T49" s="194"/>
    </row>
    <row r="50" spans="1:20" s="134" customFormat="1" ht="135" customHeight="1">
      <c r="A50" s="135" t="s">
        <v>473</v>
      </c>
      <c r="B50" s="135" t="str">
        <f>'дод. 3'!A187</f>
        <v>7691</v>
      </c>
      <c r="C50" s="135" t="str">
        <f>'дод. 3'!B187</f>
        <v>0490</v>
      </c>
      <c r="D50" s="14" t="s">
        <v>501</v>
      </c>
      <c r="E50" s="93">
        <f aca="true" t="shared" si="15" ref="E50:E56">F50+I50</f>
        <v>0</v>
      </c>
      <c r="F50" s="93"/>
      <c r="G50" s="93"/>
      <c r="H50" s="93"/>
      <c r="I50" s="93"/>
      <c r="J50" s="93">
        <f t="shared" si="3"/>
        <v>63407</v>
      </c>
      <c r="K50" s="93">
        <v>63407</v>
      </c>
      <c r="L50" s="93"/>
      <c r="M50" s="93"/>
      <c r="N50" s="93"/>
      <c r="O50" s="93"/>
      <c r="P50" s="93">
        <f aca="true" t="shared" si="16" ref="P50:P56">E50+J50</f>
        <v>63407</v>
      </c>
      <c r="Q50" s="252"/>
      <c r="R50" s="195"/>
      <c r="S50" s="195"/>
      <c r="T50" s="195"/>
    </row>
    <row r="51" spans="1:20" s="134" customFormat="1" ht="23.25" customHeight="1">
      <c r="A51" s="135" t="s">
        <v>384</v>
      </c>
      <c r="B51" s="135" t="str">
        <f>'дод. 3'!A188</f>
        <v>7693</v>
      </c>
      <c r="C51" s="135" t="str">
        <f>'дод. 3'!B188</f>
        <v>0490</v>
      </c>
      <c r="D51" s="138" t="str">
        <f>'дод. 3'!C188</f>
        <v>Інші заходи, пов'язані з економічною діяльністю</v>
      </c>
      <c r="E51" s="93">
        <f t="shared" si="15"/>
        <v>1802059</v>
      </c>
      <c r="F51" s="93">
        <f>1449859+262200+90000</f>
        <v>1802059</v>
      </c>
      <c r="G51" s="93"/>
      <c r="H51" s="93"/>
      <c r="I51" s="93"/>
      <c r="J51" s="93">
        <f t="shared" si="3"/>
        <v>0</v>
      </c>
      <c r="K51" s="93"/>
      <c r="L51" s="93"/>
      <c r="M51" s="93"/>
      <c r="N51" s="93"/>
      <c r="O51" s="93"/>
      <c r="P51" s="93">
        <f t="shared" si="16"/>
        <v>1802059</v>
      </c>
      <c r="Q51" s="252"/>
      <c r="R51" s="195"/>
      <c r="S51" s="195"/>
      <c r="T51" s="195"/>
    </row>
    <row r="52" spans="1:20" s="134" customFormat="1" ht="34.5" customHeight="1">
      <c r="A52" s="97" t="s">
        <v>264</v>
      </c>
      <c r="B52" s="97" t="str">
        <f>'дод. 3'!A191</f>
        <v>8110</v>
      </c>
      <c r="C52" s="97" t="str">
        <f>'дод. 3'!B191</f>
        <v>0320</v>
      </c>
      <c r="D52" s="125" t="str">
        <f>'дод. 3'!C191</f>
        <v>Заходи із запобігання та ліквідації надзвичайних ситуацій та наслідків стихійного лиха</v>
      </c>
      <c r="E52" s="96">
        <f t="shared" si="15"/>
        <v>408930</v>
      </c>
      <c r="F52" s="96">
        <f>228570+180360</f>
        <v>408930</v>
      </c>
      <c r="G52" s="96"/>
      <c r="H52" s="96">
        <v>5070</v>
      </c>
      <c r="I52" s="96"/>
      <c r="J52" s="96">
        <f t="shared" si="3"/>
        <v>0</v>
      </c>
      <c r="K52" s="96"/>
      <c r="L52" s="96"/>
      <c r="M52" s="96"/>
      <c r="N52" s="96"/>
      <c r="O52" s="96"/>
      <c r="P52" s="96">
        <f t="shared" si="16"/>
        <v>408930</v>
      </c>
      <c r="Q52" s="252"/>
      <c r="R52" s="193"/>
      <c r="S52" s="193"/>
      <c r="T52" s="193"/>
    </row>
    <row r="53" spans="1:20" s="134" customFormat="1" ht="19.5" customHeight="1">
      <c r="A53" s="97" t="s">
        <v>360</v>
      </c>
      <c r="B53" s="97" t="str">
        <f>'дод. 3'!A192</f>
        <v>8120</v>
      </c>
      <c r="C53" s="97" t="str">
        <f>'дод. 3'!B192</f>
        <v>0320</v>
      </c>
      <c r="D53" s="125" t="str">
        <f>'дод. 3'!C192</f>
        <v>Заходи з організації рятування на водах</v>
      </c>
      <c r="E53" s="96">
        <f t="shared" si="15"/>
        <v>1517110</v>
      </c>
      <c r="F53" s="96">
        <f>1451100+43510+22500</f>
        <v>1517110</v>
      </c>
      <c r="G53" s="96">
        <v>1087750</v>
      </c>
      <c r="H53" s="96">
        <v>76315</v>
      </c>
      <c r="I53" s="96"/>
      <c r="J53" s="96">
        <f t="shared" si="3"/>
        <v>5100</v>
      </c>
      <c r="K53" s="96">
        <f>5100</f>
        <v>5100</v>
      </c>
      <c r="L53" s="96"/>
      <c r="M53" s="96">
        <f>1200</f>
        <v>1200</v>
      </c>
      <c r="N53" s="96"/>
      <c r="O53" s="96"/>
      <c r="P53" s="96">
        <f t="shared" si="16"/>
        <v>1522210</v>
      </c>
      <c r="Q53" s="252"/>
      <c r="R53" s="193"/>
      <c r="S53" s="193"/>
      <c r="T53" s="193"/>
    </row>
    <row r="54" spans="1:20" s="134" customFormat="1" ht="19.5" customHeight="1">
      <c r="A54" s="97" t="s">
        <v>387</v>
      </c>
      <c r="B54" s="97" t="str">
        <f>'дод. 3'!A194</f>
        <v>8230</v>
      </c>
      <c r="C54" s="97" t="str">
        <f>'дод. 3'!B194</f>
        <v>0380</v>
      </c>
      <c r="D54" s="125" t="str">
        <f>'дод. 3'!C194</f>
        <v>Інші заходи громадського порядку та безпеки</v>
      </c>
      <c r="E54" s="96">
        <f t="shared" si="15"/>
        <v>391300</v>
      </c>
      <c r="F54" s="96">
        <v>391300</v>
      </c>
      <c r="G54" s="96"/>
      <c r="H54" s="96">
        <v>222241</v>
      </c>
      <c r="I54" s="96"/>
      <c r="J54" s="96">
        <f t="shared" si="3"/>
        <v>0</v>
      </c>
      <c r="K54" s="96"/>
      <c r="L54" s="96"/>
      <c r="M54" s="96"/>
      <c r="N54" s="96"/>
      <c r="O54" s="96"/>
      <c r="P54" s="96">
        <f t="shared" si="16"/>
        <v>391300</v>
      </c>
      <c r="Q54" s="252"/>
      <c r="R54" s="193"/>
      <c r="S54" s="193"/>
      <c r="T54" s="193"/>
    </row>
    <row r="55" spans="1:20" s="134" customFormat="1" ht="29.25" customHeight="1">
      <c r="A55" s="94" t="s">
        <v>265</v>
      </c>
      <c r="B55" s="94" t="str">
        <f>'дод. 3'!A197</f>
        <v>8340</v>
      </c>
      <c r="C55" s="94" t="str">
        <f>'дод. 3'!B197</f>
        <v>0540</v>
      </c>
      <c r="D55" s="120" t="str">
        <f>'дод. 3'!C197</f>
        <v>Природоохоронні заходи за рахунок цільових фондів</v>
      </c>
      <c r="E55" s="96">
        <f t="shared" si="15"/>
        <v>0</v>
      </c>
      <c r="F55" s="96"/>
      <c r="G55" s="96"/>
      <c r="H55" s="96"/>
      <c r="I55" s="96"/>
      <c r="J55" s="96">
        <f t="shared" si="3"/>
        <v>123500</v>
      </c>
      <c r="K55" s="96">
        <v>123500</v>
      </c>
      <c r="L55" s="96"/>
      <c r="M55" s="96"/>
      <c r="N55" s="96"/>
      <c r="O55" s="96"/>
      <c r="P55" s="96">
        <f t="shared" si="16"/>
        <v>123500</v>
      </c>
      <c r="Q55" s="252"/>
      <c r="R55" s="193"/>
      <c r="S55" s="193"/>
      <c r="T55" s="193"/>
    </row>
    <row r="56" spans="1:20" s="4" customFormat="1" ht="24" customHeight="1">
      <c r="A56" s="97" t="s">
        <v>398</v>
      </c>
      <c r="B56" s="97" t="str">
        <f>'дод. 3'!A199</f>
        <v>8420</v>
      </c>
      <c r="C56" s="97" t="str">
        <f>'дод. 3'!B199</f>
        <v>0830</v>
      </c>
      <c r="D56" s="125" t="str">
        <f>'дод. 3'!C199</f>
        <v>Інші заходи у сфері засобів масової інформації</v>
      </c>
      <c r="E56" s="96">
        <f t="shared" si="15"/>
        <v>164000</v>
      </c>
      <c r="F56" s="96">
        <v>164000</v>
      </c>
      <c r="G56" s="96"/>
      <c r="H56" s="96"/>
      <c r="I56" s="96"/>
      <c r="J56" s="96">
        <f t="shared" si="3"/>
        <v>0</v>
      </c>
      <c r="K56" s="96"/>
      <c r="L56" s="96"/>
      <c r="M56" s="96"/>
      <c r="N56" s="96"/>
      <c r="O56" s="96"/>
      <c r="P56" s="96">
        <f t="shared" si="16"/>
        <v>164000</v>
      </c>
      <c r="Q56" s="252"/>
      <c r="R56" s="193"/>
      <c r="S56" s="193"/>
      <c r="T56" s="193"/>
    </row>
    <row r="57" spans="1:20" s="129" customFormat="1" ht="24.75" customHeight="1">
      <c r="A57" s="139" t="s">
        <v>266</v>
      </c>
      <c r="B57" s="140"/>
      <c r="C57" s="140"/>
      <c r="D57" s="36" t="s">
        <v>48</v>
      </c>
      <c r="E57" s="47">
        <f>E58</f>
        <v>737153090</v>
      </c>
      <c r="F57" s="47">
        <f aca="true" t="shared" si="17" ref="F57:P57">F58</f>
        <v>737153090</v>
      </c>
      <c r="G57" s="47">
        <f t="shared" si="17"/>
        <v>472796000</v>
      </c>
      <c r="H57" s="47">
        <f t="shared" si="17"/>
        <v>69735910</v>
      </c>
      <c r="I57" s="47">
        <f t="shared" si="17"/>
        <v>0</v>
      </c>
      <c r="J57" s="47">
        <f t="shared" si="17"/>
        <v>72901248</v>
      </c>
      <c r="K57" s="47">
        <f t="shared" si="17"/>
        <v>48295548</v>
      </c>
      <c r="L57" s="47">
        <f t="shared" si="17"/>
        <v>2677494</v>
      </c>
      <c r="M57" s="47">
        <f t="shared" si="17"/>
        <v>2371330</v>
      </c>
      <c r="N57" s="47">
        <f t="shared" si="17"/>
        <v>24605700</v>
      </c>
      <c r="O57" s="47">
        <f t="shared" si="17"/>
        <v>24364000</v>
      </c>
      <c r="P57" s="47">
        <f t="shared" si="17"/>
        <v>810054338</v>
      </c>
      <c r="Q57" s="252"/>
      <c r="R57" s="190"/>
      <c r="S57" s="190"/>
      <c r="T57" s="190"/>
    </row>
    <row r="58" spans="1:20" s="132" customFormat="1" ht="18" customHeight="1">
      <c r="A58" s="141" t="s">
        <v>267</v>
      </c>
      <c r="B58" s="142"/>
      <c r="C58" s="142"/>
      <c r="D58" s="143" t="s">
        <v>48</v>
      </c>
      <c r="E58" s="87">
        <f aca="true" t="shared" si="18" ref="E58:P58">E60+E61+E62+E64+E66+E68+E69+E71+E72+E75+E78+E80+E81+E76</f>
        <v>737153090</v>
      </c>
      <c r="F58" s="87">
        <f t="shared" si="18"/>
        <v>737153090</v>
      </c>
      <c r="G58" s="87">
        <f t="shared" si="18"/>
        <v>472796000</v>
      </c>
      <c r="H58" s="87">
        <f t="shared" si="18"/>
        <v>69735910</v>
      </c>
      <c r="I58" s="87">
        <f t="shared" si="18"/>
        <v>0</v>
      </c>
      <c r="J58" s="87">
        <f t="shared" si="18"/>
        <v>72901248</v>
      </c>
      <c r="K58" s="87">
        <f t="shared" si="18"/>
        <v>48295548</v>
      </c>
      <c r="L58" s="87">
        <f t="shared" si="18"/>
        <v>2677494</v>
      </c>
      <c r="M58" s="87">
        <f t="shared" si="18"/>
        <v>2371330</v>
      </c>
      <c r="N58" s="87">
        <f t="shared" si="18"/>
        <v>24605700</v>
      </c>
      <c r="O58" s="87">
        <f t="shared" si="18"/>
        <v>24364000</v>
      </c>
      <c r="P58" s="87">
        <f t="shared" si="18"/>
        <v>810054338</v>
      </c>
      <c r="Q58" s="252"/>
      <c r="R58" s="197"/>
      <c r="S58" s="197"/>
      <c r="T58" s="197"/>
    </row>
    <row r="59" spans="1:20" s="132" customFormat="1" ht="15">
      <c r="A59" s="141"/>
      <c r="B59" s="142"/>
      <c r="C59" s="142"/>
      <c r="D59" s="143" t="s">
        <v>416</v>
      </c>
      <c r="E59" s="87">
        <f>E63+E65+E67+E70</f>
        <v>259300600</v>
      </c>
      <c r="F59" s="87">
        <f aca="true" t="shared" si="19" ref="F59:P59">F63+F65+F67+F70</f>
        <v>259300600</v>
      </c>
      <c r="G59" s="87">
        <f t="shared" si="19"/>
        <v>212872900</v>
      </c>
      <c r="H59" s="87">
        <f t="shared" si="19"/>
        <v>0</v>
      </c>
      <c r="I59" s="87">
        <f t="shared" si="19"/>
        <v>0</v>
      </c>
      <c r="J59" s="87">
        <f t="shared" si="19"/>
        <v>0</v>
      </c>
      <c r="K59" s="87">
        <f t="shared" si="19"/>
        <v>0</v>
      </c>
      <c r="L59" s="87">
        <f t="shared" si="19"/>
        <v>0</v>
      </c>
      <c r="M59" s="87">
        <f t="shared" si="19"/>
        <v>0</v>
      </c>
      <c r="N59" s="87">
        <f t="shared" si="19"/>
        <v>0</v>
      </c>
      <c r="O59" s="87">
        <f t="shared" si="19"/>
        <v>0</v>
      </c>
      <c r="P59" s="87">
        <f t="shared" si="19"/>
        <v>259300600</v>
      </c>
      <c r="Q59" s="252"/>
      <c r="R59" s="192"/>
      <c r="S59" s="192"/>
      <c r="T59" s="192"/>
    </row>
    <row r="60" spans="1:20" s="4" customFormat="1" ht="45">
      <c r="A60" s="88" t="s">
        <v>268</v>
      </c>
      <c r="B60" s="88" t="str">
        <f>'дод. 3'!A13</f>
        <v>0160</v>
      </c>
      <c r="C60" s="88" t="str">
        <f>'дод. 3'!B13</f>
        <v>0111</v>
      </c>
      <c r="D60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60" s="90">
        <f aca="true" t="shared" si="20" ref="E60:E71">F60+I60</f>
        <v>3028200</v>
      </c>
      <c r="F60" s="90">
        <f>3102600-74400</f>
        <v>3028200</v>
      </c>
      <c r="G60" s="90">
        <v>2367000</v>
      </c>
      <c r="H60" s="90">
        <v>38870</v>
      </c>
      <c r="I60" s="90"/>
      <c r="J60" s="90">
        <f aca="true" t="shared" si="21" ref="J60:J81">K60+N60</f>
        <v>16000</v>
      </c>
      <c r="K60" s="90"/>
      <c r="L60" s="90"/>
      <c r="M60" s="90"/>
      <c r="N60" s="90">
        <v>16000</v>
      </c>
      <c r="O60" s="90">
        <v>16000</v>
      </c>
      <c r="P60" s="90">
        <f aca="true" t="shared" si="22" ref="P60:P71">E60+J60</f>
        <v>3044200</v>
      </c>
      <c r="Q60" s="252"/>
      <c r="R60" s="193"/>
      <c r="S60" s="193"/>
      <c r="T60" s="193"/>
    </row>
    <row r="61" spans="1:20" s="4" customFormat="1" ht="21.75" customHeight="1">
      <c r="A61" s="88" t="s">
        <v>269</v>
      </c>
      <c r="B61" s="88" t="str">
        <f>'дод. 3'!A17</f>
        <v>1010</v>
      </c>
      <c r="C61" s="88" t="str">
        <f>'дод. 3'!B17</f>
        <v>0910</v>
      </c>
      <c r="D61" s="122" t="str">
        <f>'дод. 3'!C17</f>
        <v>Надання дошкільної освіти</v>
      </c>
      <c r="E61" s="90">
        <f t="shared" si="20"/>
        <v>190467470</v>
      </c>
      <c r="F61" s="90">
        <v>190467470</v>
      </c>
      <c r="G61" s="90">
        <v>119291300</v>
      </c>
      <c r="H61" s="90">
        <v>22031690</v>
      </c>
      <c r="I61" s="90"/>
      <c r="J61" s="90">
        <f t="shared" si="21"/>
        <v>19565511</v>
      </c>
      <c r="K61" s="90">
        <f>16065511</f>
        <v>16065511</v>
      </c>
      <c r="L61" s="90"/>
      <c r="M61" s="90"/>
      <c r="N61" s="90">
        <v>3500000</v>
      </c>
      <c r="O61" s="90">
        <v>3500000</v>
      </c>
      <c r="P61" s="90">
        <f t="shared" si="22"/>
        <v>210032981</v>
      </c>
      <c r="Q61" s="252"/>
      <c r="R61" s="193"/>
      <c r="S61" s="193"/>
      <c r="T61" s="193"/>
    </row>
    <row r="62" spans="1:20" s="4" customFormat="1" ht="63.75" customHeight="1">
      <c r="A62" s="88" t="s">
        <v>270</v>
      </c>
      <c r="B62" s="88" t="str">
        <f>'дод. 3'!A18</f>
        <v>1020</v>
      </c>
      <c r="C62" s="88" t="str">
        <f>'дод. 3'!B18</f>
        <v>0921</v>
      </c>
      <c r="D62" s="122" t="str">
        <f>'дод. 3'!C18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2" s="90">
        <f t="shared" si="20"/>
        <v>397808220</v>
      </c>
      <c r="F62" s="90">
        <f>395462520+83700+10010+2251990</f>
        <v>397808220</v>
      </c>
      <c r="G62" s="90">
        <f>266266600+83700-15000</f>
        <v>266335300</v>
      </c>
      <c r="H62" s="90">
        <v>34867640</v>
      </c>
      <c r="I62" s="90"/>
      <c r="J62" s="90">
        <f t="shared" si="21"/>
        <v>32777767</v>
      </c>
      <c r="K62" s="90">
        <f>25377767</f>
        <v>25377767</v>
      </c>
      <c r="L62" s="90">
        <v>624000</v>
      </c>
      <c r="M62" s="90">
        <v>36920</v>
      </c>
      <c r="N62" s="90">
        <v>7400000</v>
      </c>
      <c r="O62" s="90">
        <v>7400000</v>
      </c>
      <c r="P62" s="90">
        <f t="shared" si="22"/>
        <v>430585987</v>
      </c>
      <c r="Q62" s="252"/>
      <c r="R62" s="193"/>
      <c r="S62" s="193"/>
      <c r="T62" s="193"/>
    </row>
    <row r="63" spans="1:20" s="4" customFormat="1" ht="15">
      <c r="A63" s="88"/>
      <c r="B63" s="100"/>
      <c r="C63" s="100"/>
      <c r="D63" s="89" t="s">
        <v>416</v>
      </c>
      <c r="E63" s="90">
        <f t="shared" si="20"/>
        <v>244384200</v>
      </c>
      <c r="F63" s="90">
        <f>244300500+83700</f>
        <v>244384200</v>
      </c>
      <c r="G63" s="90">
        <f>200571200+83700-15000</f>
        <v>200639900</v>
      </c>
      <c r="H63" s="90"/>
      <c r="I63" s="90"/>
      <c r="J63" s="90">
        <f t="shared" si="21"/>
        <v>0</v>
      </c>
      <c r="K63" s="90"/>
      <c r="L63" s="90"/>
      <c r="M63" s="90"/>
      <c r="N63" s="90"/>
      <c r="O63" s="90"/>
      <c r="P63" s="90">
        <f t="shared" si="22"/>
        <v>244384200</v>
      </c>
      <c r="Q63" s="252"/>
      <c r="R63" s="193"/>
      <c r="S63" s="193"/>
      <c r="T63" s="193"/>
    </row>
    <row r="64" spans="1:20" s="4" customFormat="1" ht="31.5" customHeight="1">
      <c r="A64" s="88" t="s">
        <v>423</v>
      </c>
      <c r="B64" s="88" t="str">
        <f>'дод. 3'!A20</f>
        <v>1030</v>
      </c>
      <c r="C64" s="88" t="str">
        <f>'дод. 3'!B20</f>
        <v>0921</v>
      </c>
      <c r="D64" s="122" t="str">
        <f>'дод. 3'!C20</f>
        <v>Надання загальної середньої освіти вечiрнiми (змінними) школами</v>
      </c>
      <c r="E64" s="90">
        <f t="shared" si="20"/>
        <v>778340</v>
      </c>
      <c r="F64" s="90">
        <v>778340</v>
      </c>
      <c r="G64" s="90">
        <v>637000</v>
      </c>
      <c r="H64" s="90"/>
      <c r="I64" s="90"/>
      <c r="J64" s="90">
        <f t="shared" si="21"/>
        <v>0</v>
      </c>
      <c r="K64" s="90"/>
      <c r="L64" s="90"/>
      <c r="M64" s="90"/>
      <c r="N64" s="90"/>
      <c r="O64" s="90"/>
      <c r="P64" s="90">
        <f t="shared" si="22"/>
        <v>778340</v>
      </c>
      <c r="Q64" s="252"/>
      <c r="R64" s="193"/>
      <c r="S64" s="193"/>
      <c r="T64" s="193"/>
    </row>
    <row r="65" spans="1:20" s="4" customFormat="1" ht="15">
      <c r="A65" s="88"/>
      <c r="B65" s="100"/>
      <c r="C65" s="100"/>
      <c r="D65" s="89" t="s">
        <v>416</v>
      </c>
      <c r="E65" s="90">
        <f t="shared" si="20"/>
        <v>777140</v>
      </c>
      <c r="F65" s="90">
        <v>777140</v>
      </c>
      <c r="G65" s="90">
        <v>637000</v>
      </c>
      <c r="H65" s="90"/>
      <c r="I65" s="90"/>
      <c r="J65" s="90">
        <f>K65+N65</f>
        <v>0</v>
      </c>
      <c r="K65" s="90"/>
      <c r="L65" s="90"/>
      <c r="M65" s="90"/>
      <c r="N65" s="90"/>
      <c r="O65" s="90"/>
      <c r="P65" s="90">
        <f t="shared" si="22"/>
        <v>777140</v>
      </c>
      <c r="Q65" s="252"/>
      <c r="R65" s="193"/>
      <c r="S65" s="193"/>
      <c r="T65" s="193"/>
    </row>
    <row r="66" spans="1:20" s="4" customFormat="1" ht="75" customHeight="1">
      <c r="A66" s="88" t="s">
        <v>354</v>
      </c>
      <c r="B66" s="88" t="str">
        <f>'дод. 3'!A22</f>
        <v>1070</v>
      </c>
      <c r="C66" s="88" t="str">
        <f>'дод. 3'!B22</f>
        <v>0922</v>
      </c>
      <c r="D66" s="122" t="str">
        <f>'дод. 3'!C22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6" s="90">
        <f t="shared" si="20"/>
        <v>7458330</v>
      </c>
      <c r="F66" s="90">
        <v>7458330</v>
      </c>
      <c r="G66" s="90">
        <v>5205700</v>
      </c>
      <c r="H66" s="90">
        <v>615230</v>
      </c>
      <c r="I66" s="90"/>
      <c r="J66" s="90">
        <f t="shared" si="21"/>
        <v>100000</v>
      </c>
      <c r="K66" s="90"/>
      <c r="L66" s="90"/>
      <c r="M66" s="90"/>
      <c r="N66" s="90">
        <v>100000</v>
      </c>
      <c r="O66" s="90">
        <v>100000</v>
      </c>
      <c r="P66" s="90">
        <f t="shared" si="22"/>
        <v>7558330</v>
      </c>
      <c r="Q66" s="252">
        <v>17</v>
      </c>
      <c r="R66" s="193"/>
      <c r="S66" s="193"/>
      <c r="T66" s="193"/>
    </row>
    <row r="67" spans="1:20" s="4" customFormat="1" ht="15">
      <c r="A67" s="88"/>
      <c r="B67" s="100"/>
      <c r="C67" s="100"/>
      <c r="D67" s="89" t="s">
        <v>416</v>
      </c>
      <c r="E67" s="90">
        <f t="shared" si="20"/>
        <v>4957260</v>
      </c>
      <c r="F67" s="90">
        <v>4957260</v>
      </c>
      <c r="G67" s="90">
        <v>4070000</v>
      </c>
      <c r="H67" s="90"/>
      <c r="I67" s="90"/>
      <c r="J67" s="90">
        <f t="shared" si="21"/>
        <v>0</v>
      </c>
      <c r="K67" s="90"/>
      <c r="L67" s="90"/>
      <c r="M67" s="90"/>
      <c r="N67" s="90"/>
      <c r="O67" s="90"/>
      <c r="P67" s="90">
        <f t="shared" si="22"/>
        <v>4957260</v>
      </c>
      <c r="Q67" s="252"/>
      <c r="R67" s="193"/>
      <c r="S67" s="193"/>
      <c r="T67" s="193"/>
    </row>
    <row r="68" spans="1:20" s="4" customFormat="1" ht="36" customHeight="1">
      <c r="A68" s="88" t="s">
        <v>355</v>
      </c>
      <c r="B68" s="88" t="str">
        <f>'дод. 3'!A24</f>
        <v>1090</v>
      </c>
      <c r="C68" s="88" t="str">
        <f>'дод. 3'!B24</f>
        <v>0960</v>
      </c>
      <c r="D68" s="122" t="str">
        <f>'дод. 3'!C24</f>
        <v>Надання позашкільної освіти позашкільними закладами освіти, заходи із позашкільної роботи з дітьми </v>
      </c>
      <c r="E68" s="90">
        <f t="shared" si="20"/>
        <v>21531690</v>
      </c>
      <c r="F68" s="90">
        <v>21531690</v>
      </c>
      <c r="G68" s="90">
        <v>15425500</v>
      </c>
      <c r="H68" s="90">
        <v>2331620</v>
      </c>
      <c r="I68" s="90"/>
      <c r="J68" s="90">
        <f t="shared" si="21"/>
        <v>400000</v>
      </c>
      <c r="K68" s="90"/>
      <c r="L68" s="90"/>
      <c r="M68" s="90"/>
      <c r="N68" s="90">
        <v>400000</v>
      </c>
      <c r="O68" s="90">
        <v>400000</v>
      </c>
      <c r="P68" s="90">
        <f t="shared" si="22"/>
        <v>21931690</v>
      </c>
      <c r="Q68" s="252"/>
      <c r="R68" s="193"/>
      <c r="S68" s="193"/>
      <c r="T68" s="193"/>
    </row>
    <row r="69" spans="1:20" s="4" customFormat="1" ht="33.75" customHeight="1">
      <c r="A69" s="88" t="s">
        <v>353</v>
      </c>
      <c r="B69" s="88" t="str">
        <f>'дод. 3'!A26</f>
        <v>1110</v>
      </c>
      <c r="C69" s="88" t="str">
        <f>'дод. 3'!B26</f>
        <v>0930</v>
      </c>
      <c r="D69" s="122" t="str">
        <f>'дод. 3'!C26</f>
        <v>Підготовка кадрів професійно-технічними закладами та іншими закладами освіти</v>
      </c>
      <c r="E69" s="90">
        <f t="shared" si="20"/>
        <v>93735900</v>
      </c>
      <c r="F69" s="90">
        <f>91735900+2000000</f>
        <v>93735900</v>
      </c>
      <c r="G69" s="90">
        <v>52999200</v>
      </c>
      <c r="H69" s="90">
        <v>9089100</v>
      </c>
      <c r="I69" s="90">
        <v>0</v>
      </c>
      <c r="J69" s="90">
        <f t="shared" si="21"/>
        <v>6708970</v>
      </c>
      <c r="K69" s="90">
        <v>6514270</v>
      </c>
      <c r="L69" s="90">
        <v>2053494</v>
      </c>
      <c r="M69" s="90">
        <v>2334410</v>
      </c>
      <c r="N69" s="90">
        <v>194700</v>
      </c>
      <c r="O69" s="90"/>
      <c r="P69" s="90">
        <f t="shared" si="22"/>
        <v>100444870</v>
      </c>
      <c r="Q69" s="252"/>
      <c r="R69" s="193"/>
      <c r="S69" s="193"/>
      <c r="T69" s="193"/>
    </row>
    <row r="70" spans="1:20" s="4" customFormat="1" ht="15">
      <c r="A70" s="88"/>
      <c r="B70" s="100"/>
      <c r="C70" s="100"/>
      <c r="D70" s="89" t="s">
        <v>416</v>
      </c>
      <c r="E70" s="90">
        <f t="shared" si="20"/>
        <v>9182000</v>
      </c>
      <c r="F70" s="90">
        <v>9182000</v>
      </c>
      <c r="G70" s="90">
        <v>7526000</v>
      </c>
      <c r="H70" s="90"/>
      <c r="I70" s="90"/>
      <c r="J70" s="90">
        <f>K70+N70</f>
        <v>0</v>
      </c>
      <c r="K70" s="90"/>
      <c r="L70" s="90"/>
      <c r="M70" s="90"/>
      <c r="N70" s="90"/>
      <c r="O70" s="90"/>
      <c r="P70" s="90">
        <f t="shared" si="22"/>
        <v>9182000</v>
      </c>
      <c r="Q70" s="252"/>
      <c r="R70" s="193"/>
      <c r="S70" s="193"/>
      <c r="T70" s="193"/>
    </row>
    <row r="71" spans="1:20" s="4" customFormat="1" ht="22.5" customHeight="1">
      <c r="A71" s="88" t="s">
        <v>271</v>
      </c>
      <c r="B71" s="88" t="str">
        <f>'дод. 3'!A28</f>
        <v>1150</v>
      </c>
      <c r="C71" s="88" t="str">
        <f>'дод. 3'!B28</f>
        <v>0990</v>
      </c>
      <c r="D71" s="88" t="str">
        <f>'дод. 3'!C28</f>
        <v>Методичне забезпечення діяльності навчальних закладів  </v>
      </c>
      <c r="E71" s="90">
        <f t="shared" si="20"/>
        <v>3118910</v>
      </c>
      <c r="F71" s="90">
        <v>3118910</v>
      </c>
      <c r="G71" s="90">
        <v>2440000</v>
      </c>
      <c r="H71" s="90">
        <v>103210</v>
      </c>
      <c r="I71" s="90"/>
      <c r="J71" s="90">
        <f t="shared" si="21"/>
        <v>0</v>
      </c>
      <c r="K71" s="90"/>
      <c r="L71" s="90"/>
      <c r="M71" s="90"/>
      <c r="N71" s="90"/>
      <c r="O71" s="90"/>
      <c r="P71" s="90">
        <f t="shared" si="22"/>
        <v>3118910</v>
      </c>
      <c r="Q71" s="252"/>
      <c r="R71" s="193"/>
      <c r="S71" s="193"/>
      <c r="T71" s="193"/>
    </row>
    <row r="72" spans="1:20" s="4" customFormat="1" ht="20.25" customHeight="1">
      <c r="A72" s="88" t="s">
        <v>357</v>
      </c>
      <c r="B72" s="88" t="str">
        <f>'дод. 3'!A29</f>
        <v>1160</v>
      </c>
      <c r="C72" s="88">
        <f>'дод. 3'!B29</f>
        <v>0</v>
      </c>
      <c r="D72" s="123" t="str">
        <f>'дод. 3'!C29</f>
        <v>Інші програми, заклади та заходи у сфері освіти</v>
      </c>
      <c r="E72" s="90">
        <f>E73+E74</f>
        <v>6788000</v>
      </c>
      <c r="F72" s="90">
        <f aca="true" t="shared" si="23" ref="F72:P72">F73+F74</f>
        <v>6788000</v>
      </c>
      <c r="G72" s="90">
        <f t="shared" si="23"/>
        <v>4797600</v>
      </c>
      <c r="H72" s="90">
        <f t="shared" si="23"/>
        <v>460470</v>
      </c>
      <c r="I72" s="90">
        <f t="shared" si="23"/>
        <v>0</v>
      </c>
      <c r="J72" s="90">
        <f t="shared" si="23"/>
        <v>180000</v>
      </c>
      <c r="K72" s="90">
        <f t="shared" si="23"/>
        <v>0</v>
      </c>
      <c r="L72" s="90">
        <f t="shared" si="23"/>
        <v>0</v>
      </c>
      <c r="M72" s="90">
        <f t="shared" si="23"/>
        <v>0</v>
      </c>
      <c r="N72" s="90">
        <f t="shared" si="23"/>
        <v>180000</v>
      </c>
      <c r="O72" s="90">
        <f t="shared" si="23"/>
        <v>180000</v>
      </c>
      <c r="P72" s="90">
        <f t="shared" si="23"/>
        <v>6968000</v>
      </c>
      <c r="Q72" s="252"/>
      <c r="R72" s="194"/>
      <c r="S72" s="194"/>
      <c r="T72" s="194"/>
    </row>
    <row r="73" spans="1:20" s="33" customFormat="1" ht="20.25" customHeight="1">
      <c r="A73" s="91" t="s">
        <v>480</v>
      </c>
      <c r="B73" s="91" t="str">
        <f>'дод. 3'!A30</f>
        <v>1161</v>
      </c>
      <c r="C73" s="91" t="str">
        <f>'дод. 3'!B30</f>
        <v>0990</v>
      </c>
      <c r="D73" s="133" t="str">
        <f>'дод. 3'!C30</f>
        <v>Забезпечення діяльності інших закладів у сфері освіти</v>
      </c>
      <c r="E73" s="93">
        <f>F73+I73</f>
        <v>6712200</v>
      </c>
      <c r="F73" s="93">
        <v>6712200</v>
      </c>
      <c r="G73" s="93">
        <v>4797600</v>
      </c>
      <c r="H73" s="93">
        <v>460470</v>
      </c>
      <c r="I73" s="93"/>
      <c r="J73" s="93">
        <f>K73+N73</f>
        <v>180000</v>
      </c>
      <c r="K73" s="93"/>
      <c r="L73" s="93"/>
      <c r="M73" s="93"/>
      <c r="N73" s="93">
        <v>180000</v>
      </c>
      <c r="O73" s="93">
        <v>180000</v>
      </c>
      <c r="P73" s="93">
        <f>E73+J73</f>
        <v>6892200</v>
      </c>
      <c r="Q73" s="252"/>
      <c r="R73" s="195"/>
      <c r="S73" s="195"/>
      <c r="T73" s="195"/>
    </row>
    <row r="74" spans="1:20" s="33" customFormat="1" ht="20.25" customHeight="1">
      <c r="A74" s="91" t="s">
        <v>481</v>
      </c>
      <c r="B74" s="91" t="str">
        <f>'дод. 3'!A31</f>
        <v>1162</v>
      </c>
      <c r="C74" s="91" t="str">
        <f>'дод. 3'!B31</f>
        <v>0990</v>
      </c>
      <c r="D74" s="133" t="str">
        <f>'дод. 3'!C31</f>
        <v>Інші програми та заходи у сфері освіти</v>
      </c>
      <c r="E74" s="93">
        <f>F74+I74</f>
        <v>75800</v>
      </c>
      <c r="F74" s="93">
        <v>75800</v>
      </c>
      <c r="G74" s="93"/>
      <c r="H74" s="93"/>
      <c r="I74" s="93"/>
      <c r="J74" s="93">
        <f>K74+N74</f>
        <v>0</v>
      </c>
      <c r="K74" s="93"/>
      <c r="L74" s="93"/>
      <c r="M74" s="93"/>
      <c r="N74" s="93"/>
      <c r="O74" s="93"/>
      <c r="P74" s="93">
        <f>E74+J74</f>
        <v>75800</v>
      </c>
      <c r="Q74" s="252"/>
      <c r="R74" s="195"/>
      <c r="S74" s="195"/>
      <c r="T74" s="195"/>
    </row>
    <row r="75" spans="1:20" s="4" customFormat="1" ht="68.25" customHeight="1">
      <c r="A75" s="88" t="s">
        <v>272</v>
      </c>
      <c r="B75" s="88" t="str">
        <f>'дод. 3'!A117</f>
        <v>3140</v>
      </c>
      <c r="C75" s="88" t="str">
        <f>'дод. 3'!B117</f>
        <v>1040</v>
      </c>
      <c r="D75" s="124" t="str">
        <f>'дод. 3'!C117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5" s="90">
        <f>F75+I75</f>
        <v>7000000</v>
      </c>
      <c r="F75" s="90">
        <v>7000000</v>
      </c>
      <c r="G75" s="90"/>
      <c r="H75" s="90"/>
      <c r="I75" s="90"/>
      <c r="J75" s="90">
        <f t="shared" si="21"/>
        <v>0</v>
      </c>
      <c r="K75" s="90"/>
      <c r="L75" s="90"/>
      <c r="M75" s="90"/>
      <c r="N75" s="90"/>
      <c r="O75" s="90"/>
      <c r="P75" s="90">
        <f>E75+J75</f>
        <v>7000000</v>
      </c>
      <c r="Q75" s="252"/>
      <c r="R75" s="193"/>
      <c r="S75" s="193"/>
      <c r="T75" s="193"/>
    </row>
    <row r="76" spans="1:20" s="4" customFormat="1" ht="36.75" customHeight="1">
      <c r="A76" s="88" t="s">
        <v>580</v>
      </c>
      <c r="B76" s="88" t="str">
        <f>'дод. 3'!A130</f>
        <v>3240</v>
      </c>
      <c r="C76" s="88">
        <f>'дод. 3'!B130</f>
        <v>0</v>
      </c>
      <c r="D76" s="123" t="str">
        <f>'дод. 3'!C130</f>
        <v>Інші заклади та заходи</v>
      </c>
      <c r="E76" s="90">
        <f aca="true" t="shared" si="24" ref="E76:P76">E77</f>
        <v>43440</v>
      </c>
      <c r="F76" s="90">
        <f t="shared" si="24"/>
        <v>43440</v>
      </c>
      <c r="G76" s="90">
        <f t="shared" si="24"/>
        <v>0</v>
      </c>
      <c r="H76" s="90">
        <f t="shared" si="24"/>
        <v>0</v>
      </c>
      <c r="I76" s="90">
        <f t="shared" si="24"/>
        <v>0</v>
      </c>
      <c r="J76" s="90">
        <f t="shared" si="24"/>
        <v>0</v>
      </c>
      <c r="K76" s="90">
        <f t="shared" si="24"/>
        <v>0</v>
      </c>
      <c r="L76" s="90">
        <f t="shared" si="24"/>
        <v>0</v>
      </c>
      <c r="M76" s="90">
        <f t="shared" si="24"/>
        <v>0</v>
      </c>
      <c r="N76" s="90">
        <f t="shared" si="24"/>
        <v>0</v>
      </c>
      <c r="O76" s="90">
        <f t="shared" si="24"/>
        <v>0</v>
      </c>
      <c r="P76" s="90">
        <f t="shared" si="24"/>
        <v>43440</v>
      </c>
      <c r="Q76" s="252"/>
      <c r="R76" s="198"/>
      <c r="S76" s="198"/>
      <c r="T76" s="198"/>
    </row>
    <row r="77" spans="1:20" s="134" customFormat="1" ht="36.75" customHeight="1">
      <c r="A77" s="91" t="s">
        <v>581</v>
      </c>
      <c r="B77" s="91" t="str">
        <f>'дод. 3'!A132</f>
        <v>3242</v>
      </c>
      <c r="C77" s="91" t="str">
        <f>'дод. 3'!B132</f>
        <v>1090</v>
      </c>
      <c r="D77" s="119" t="str">
        <f>'дод. 3'!C132</f>
        <v>Інші заходи у сфері соціального захисту і соціального забезпечення</v>
      </c>
      <c r="E77" s="93">
        <f>F77</f>
        <v>43440</v>
      </c>
      <c r="F77" s="93">
        <v>43440</v>
      </c>
      <c r="G77" s="93"/>
      <c r="H77" s="93"/>
      <c r="I77" s="93"/>
      <c r="J77" s="93">
        <f>K77+N77</f>
        <v>0</v>
      </c>
      <c r="K77" s="93"/>
      <c r="L77" s="93"/>
      <c r="M77" s="93"/>
      <c r="N77" s="93"/>
      <c r="O77" s="93"/>
      <c r="P77" s="93">
        <f>E77+J77</f>
        <v>43440</v>
      </c>
      <c r="Q77" s="252"/>
      <c r="R77" s="199"/>
      <c r="S77" s="199"/>
      <c r="T77" s="199"/>
    </row>
    <row r="78" spans="1:20" s="4" customFormat="1" ht="25.5" customHeight="1">
      <c r="A78" s="88" t="s">
        <v>273</v>
      </c>
      <c r="B78" s="88" t="str">
        <f>'дод. 3'!A142</f>
        <v>5030</v>
      </c>
      <c r="C78" s="88">
        <f>'дод. 3'!B142</f>
        <v>0</v>
      </c>
      <c r="D78" s="122" t="str">
        <f>'дод. 3'!C142</f>
        <v>Розвиток дитячо-юнацького та резервного спорту</v>
      </c>
      <c r="E78" s="90">
        <f>E79</f>
        <v>4604090</v>
      </c>
      <c r="F78" s="90">
        <f aca="true" t="shared" si="25" ref="F78:P78">F79</f>
        <v>4604090</v>
      </c>
      <c r="G78" s="90">
        <f t="shared" si="25"/>
        <v>3297400</v>
      </c>
      <c r="H78" s="90">
        <f t="shared" si="25"/>
        <v>198080</v>
      </c>
      <c r="I78" s="90">
        <f t="shared" si="25"/>
        <v>0</v>
      </c>
      <c r="J78" s="90">
        <f t="shared" si="25"/>
        <v>100000</v>
      </c>
      <c r="K78" s="90">
        <f t="shared" si="25"/>
        <v>0</v>
      </c>
      <c r="L78" s="90">
        <f t="shared" si="25"/>
        <v>0</v>
      </c>
      <c r="M78" s="90">
        <f t="shared" si="25"/>
        <v>0</v>
      </c>
      <c r="N78" s="90">
        <f t="shared" si="25"/>
        <v>100000</v>
      </c>
      <c r="O78" s="90">
        <f t="shared" si="25"/>
        <v>100000</v>
      </c>
      <c r="P78" s="90">
        <f t="shared" si="25"/>
        <v>4704090</v>
      </c>
      <c r="Q78" s="252"/>
      <c r="R78" s="194"/>
      <c r="S78" s="194"/>
      <c r="T78" s="194"/>
    </row>
    <row r="79" spans="1:20" s="134" customFormat="1" ht="33" customHeight="1">
      <c r="A79" s="91" t="s">
        <v>274</v>
      </c>
      <c r="B79" s="91" t="str">
        <f>'дод. 3'!A143</f>
        <v>5031</v>
      </c>
      <c r="C79" s="91" t="str">
        <f>'дод. 3'!B143</f>
        <v>0810</v>
      </c>
      <c r="D79" s="119" t="str">
        <f>'дод. 3'!C143</f>
        <v>Утримання та навчально-тренувальна робота комунальних дитячо-юнацьких спортивних шкіл</v>
      </c>
      <c r="E79" s="93">
        <f>F79+I79</f>
        <v>4604090</v>
      </c>
      <c r="F79" s="93">
        <f>4481090+123000</f>
        <v>4604090</v>
      </c>
      <c r="G79" s="93">
        <v>3297400</v>
      </c>
      <c r="H79" s="93">
        <v>198080</v>
      </c>
      <c r="I79" s="93"/>
      <c r="J79" s="93">
        <f t="shared" si="21"/>
        <v>100000</v>
      </c>
      <c r="K79" s="93"/>
      <c r="L79" s="93"/>
      <c r="M79" s="93"/>
      <c r="N79" s="93">
        <v>100000</v>
      </c>
      <c r="O79" s="93">
        <v>100000</v>
      </c>
      <c r="P79" s="93">
        <f>E79+J79</f>
        <v>4704090</v>
      </c>
      <c r="Q79" s="252"/>
      <c r="R79" s="195"/>
      <c r="S79" s="195"/>
      <c r="T79" s="195"/>
    </row>
    <row r="80" spans="1:20" s="134" customFormat="1" ht="25.5" customHeight="1">
      <c r="A80" s="94" t="s">
        <v>275</v>
      </c>
      <c r="B80" s="94" t="str">
        <f>'дод. 3'!A181</f>
        <v>7640</v>
      </c>
      <c r="C80" s="94" t="str">
        <f>'дод. 3'!B181</f>
        <v>0470</v>
      </c>
      <c r="D80" s="120" t="str">
        <f>'дод. 3'!C181</f>
        <v>Заходи з енергозбереження</v>
      </c>
      <c r="E80" s="96">
        <f>F80+I80</f>
        <v>790500</v>
      </c>
      <c r="F80" s="96">
        <v>790500</v>
      </c>
      <c r="G80" s="96"/>
      <c r="H80" s="96"/>
      <c r="I80" s="96"/>
      <c r="J80" s="96">
        <f t="shared" si="21"/>
        <v>12668000</v>
      </c>
      <c r="K80" s="96"/>
      <c r="L80" s="96"/>
      <c r="M80" s="96"/>
      <c r="N80" s="96">
        <f>11768000+900000</f>
        <v>12668000</v>
      </c>
      <c r="O80" s="96">
        <f>11768000+900000</f>
        <v>12668000</v>
      </c>
      <c r="P80" s="96">
        <f>E80+J80</f>
        <v>13458500</v>
      </c>
      <c r="Q80" s="252"/>
      <c r="R80" s="193"/>
      <c r="S80" s="193"/>
      <c r="T80" s="193"/>
    </row>
    <row r="81" spans="1:20" s="134" customFormat="1" ht="24.75" customHeight="1">
      <c r="A81" s="94" t="s">
        <v>276</v>
      </c>
      <c r="B81" s="94" t="str">
        <f>'дод. 3'!A197</f>
        <v>8340</v>
      </c>
      <c r="C81" s="94" t="str">
        <f>'дод. 3'!B197</f>
        <v>0540</v>
      </c>
      <c r="D81" s="120" t="str">
        <f>'дод. 3'!C197</f>
        <v>Природоохоронні заходи за рахунок цільових фондів</v>
      </c>
      <c r="E81" s="96">
        <f>F81+I81</f>
        <v>0</v>
      </c>
      <c r="F81" s="96"/>
      <c r="G81" s="96"/>
      <c r="H81" s="96"/>
      <c r="I81" s="96"/>
      <c r="J81" s="96">
        <f t="shared" si="21"/>
        <v>385000</v>
      </c>
      <c r="K81" s="96">
        <v>338000</v>
      </c>
      <c r="L81" s="96"/>
      <c r="M81" s="96"/>
      <c r="N81" s="96">
        <v>47000</v>
      </c>
      <c r="O81" s="96"/>
      <c r="P81" s="96">
        <f>E81+J81</f>
        <v>385000</v>
      </c>
      <c r="Q81" s="252"/>
      <c r="R81" s="193"/>
      <c r="S81" s="193"/>
      <c r="T81" s="193"/>
    </row>
    <row r="82" spans="1:20" s="129" customFormat="1" ht="21" customHeight="1">
      <c r="A82" s="127" t="s">
        <v>277</v>
      </c>
      <c r="B82" s="37"/>
      <c r="C82" s="37"/>
      <c r="D82" s="36" t="s">
        <v>51</v>
      </c>
      <c r="E82" s="47">
        <f>E83</f>
        <v>325042800</v>
      </c>
      <c r="F82" s="47">
        <f aca="true" t="shared" si="26" ref="F82:P82">F83</f>
        <v>325042800</v>
      </c>
      <c r="G82" s="47">
        <f t="shared" si="26"/>
        <v>1219700</v>
      </c>
      <c r="H82" s="47">
        <f t="shared" si="26"/>
        <v>23500</v>
      </c>
      <c r="I82" s="47">
        <f t="shared" si="26"/>
        <v>0</v>
      </c>
      <c r="J82" s="47">
        <f t="shared" si="26"/>
        <v>47180749</v>
      </c>
      <c r="K82" s="47">
        <f t="shared" si="26"/>
        <v>16983749</v>
      </c>
      <c r="L82" s="47">
        <f t="shared" si="26"/>
        <v>0</v>
      </c>
      <c r="M82" s="47">
        <f t="shared" si="26"/>
        <v>0</v>
      </c>
      <c r="N82" s="47">
        <f t="shared" si="26"/>
        <v>30197000</v>
      </c>
      <c r="O82" s="47">
        <f t="shared" si="26"/>
        <v>30197000</v>
      </c>
      <c r="P82" s="47">
        <f t="shared" si="26"/>
        <v>372223549</v>
      </c>
      <c r="Q82" s="252"/>
      <c r="R82" s="191"/>
      <c r="S82" s="191"/>
      <c r="T82" s="191"/>
    </row>
    <row r="83" spans="1:20" s="132" customFormat="1" ht="18.75" customHeight="1">
      <c r="A83" s="130" t="s">
        <v>278</v>
      </c>
      <c r="B83" s="144"/>
      <c r="C83" s="144"/>
      <c r="D83" s="143" t="s">
        <v>51</v>
      </c>
      <c r="E83" s="87">
        <f aca="true" t="shared" si="27" ref="E83:P83">E85+E86+E88+E90+E92+E94+E100+E106+E112</f>
        <v>325042800</v>
      </c>
      <c r="F83" s="87">
        <f t="shared" si="27"/>
        <v>325042800</v>
      </c>
      <c r="G83" s="87">
        <f t="shared" si="27"/>
        <v>1219700</v>
      </c>
      <c r="H83" s="87">
        <f t="shared" si="27"/>
        <v>23500</v>
      </c>
      <c r="I83" s="87">
        <f t="shared" si="27"/>
        <v>0</v>
      </c>
      <c r="J83" s="87">
        <f t="shared" si="27"/>
        <v>47180749</v>
      </c>
      <c r="K83" s="87">
        <f t="shared" si="27"/>
        <v>16983749</v>
      </c>
      <c r="L83" s="87">
        <f t="shared" si="27"/>
        <v>0</v>
      </c>
      <c r="M83" s="87">
        <f t="shared" si="27"/>
        <v>0</v>
      </c>
      <c r="N83" s="87">
        <f t="shared" si="27"/>
        <v>30197000</v>
      </c>
      <c r="O83" s="87">
        <f t="shared" si="27"/>
        <v>30197000</v>
      </c>
      <c r="P83" s="87">
        <f t="shared" si="27"/>
        <v>372223549</v>
      </c>
      <c r="Q83" s="252"/>
      <c r="R83" s="200"/>
      <c r="S83" s="200"/>
      <c r="T83" s="200"/>
    </row>
    <row r="84" spans="1:20" s="132" customFormat="1" ht="18.75" customHeight="1">
      <c r="A84" s="130"/>
      <c r="B84" s="144"/>
      <c r="C84" s="144"/>
      <c r="D84" s="143" t="s">
        <v>416</v>
      </c>
      <c r="E84" s="87">
        <f aca="true" t="shared" si="28" ref="E84:P84">E87+E89+E91+E93+E95+E101+E107</f>
        <v>239920600</v>
      </c>
      <c r="F84" s="87">
        <f t="shared" si="28"/>
        <v>239920600</v>
      </c>
      <c r="G84" s="87">
        <f t="shared" si="28"/>
        <v>0</v>
      </c>
      <c r="H84" s="87">
        <f t="shared" si="28"/>
        <v>0</v>
      </c>
      <c r="I84" s="87">
        <f t="shared" si="28"/>
        <v>0</v>
      </c>
      <c r="J84" s="87">
        <f t="shared" si="28"/>
        <v>0</v>
      </c>
      <c r="K84" s="87">
        <f t="shared" si="28"/>
        <v>0</v>
      </c>
      <c r="L84" s="87">
        <f t="shared" si="28"/>
        <v>0</v>
      </c>
      <c r="M84" s="87">
        <f t="shared" si="28"/>
        <v>0</v>
      </c>
      <c r="N84" s="87">
        <f t="shared" si="28"/>
        <v>0</v>
      </c>
      <c r="O84" s="87">
        <f t="shared" si="28"/>
        <v>0</v>
      </c>
      <c r="P84" s="87">
        <f t="shared" si="28"/>
        <v>239920600</v>
      </c>
      <c r="Q84" s="252"/>
      <c r="R84" s="192"/>
      <c r="S84" s="192"/>
      <c r="T84" s="192"/>
    </row>
    <row r="85" spans="1:20" s="4" customFormat="1" ht="45">
      <c r="A85" s="88" t="s">
        <v>279</v>
      </c>
      <c r="B85" s="88" t="str">
        <f>'дод. 3'!A13</f>
        <v>0160</v>
      </c>
      <c r="C85" s="88" t="str">
        <f>'дод. 3'!B13</f>
        <v>0111</v>
      </c>
      <c r="D85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85" s="90">
        <f aca="true" t="shared" si="29" ref="E85:E93">F85+I85</f>
        <v>1572100</v>
      </c>
      <c r="F85" s="90">
        <f>1600900-28800</f>
        <v>1572100</v>
      </c>
      <c r="G85" s="90">
        <v>1219700</v>
      </c>
      <c r="H85" s="90">
        <v>23500</v>
      </c>
      <c r="I85" s="90"/>
      <c r="J85" s="90">
        <f aca="true" t="shared" si="30" ref="J85:J93">K85+N85</f>
        <v>0</v>
      </c>
      <c r="K85" s="90"/>
      <c r="L85" s="90"/>
      <c r="M85" s="90"/>
      <c r="N85" s="90">
        <f>20500-20500</f>
        <v>0</v>
      </c>
      <c r="O85" s="90">
        <f>20500-20500</f>
        <v>0</v>
      </c>
      <c r="P85" s="90">
        <f aca="true" t="shared" si="31" ref="P85:P93">E85+J85</f>
        <v>1572100</v>
      </c>
      <c r="Q85" s="252"/>
      <c r="R85" s="193"/>
      <c r="S85" s="193"/>
      <c r="T85" s="193"/>
    </row>
    <row r="86" spans="1:20" s="4" customFormat="1" ht="31.5" customHeight="1">
      <c r="A86" s="88" t="s">
        <v>280</v>
      </c>
      <c r="B86" s="88" t="str">
        <f>'дод. 3'!A34</f>
        <v>2010</v>
      </c>
      <c r="C86" s="88" t="str">
        <f>'дод. 3'!B34</f>
        <v>0731</v>
      </c>
      <c r="D86" s="122" t="str">
        <f>'дод. 3'!C34</f>
        <v>Багатопрофільна стаціонарна медична допомога населенню</v>
      </c>
      <c r="E86" s="90">
        <f t="shared" si="29"/>
        <v>227372854</v>
      </c>
      <c r="F86" s="90">
        <v>227372854</v>
      </c>
      <c r="G86" s="90"/>
      <c r="H86" s="90"/>
      <c r="I86" s="90"/>
      <c r="J86" s="90">
        <f t="shared" si="30"/>
        <v>31668360</v>
      </c>
      <c r="K86" s="90">
        <f>11318360</f>
        <v>11318360</v>
      </c>
      <c r="L86" s="90"/>
      <c r="M86" s="90"/>
      <c r="N86" s="90">
        <f>20000000+350000</f>
        <v>20350000</v>
      </c>
      <c r="O86" s="90">
        <f>20000000+350000</f>
        <v>20350000</v>
      </c>
      <c r="P86" s="90">
        <f t="shared" si="31"/>
        <v>259041214</v>
      </c>
      <c r="Q86" s="252"/>
      <c r="R86" s="193"/>
      <c r="S86" s="193"/>
      <c r="T86" s="193"/>
    </row>
    <row r="87" spans="1:20" s="4" customFormat="1" ht="15">
      <c r="A87" s="88"/>
      <c r="B87" s="100"/>
      <c r="C87" s="100"/>
      <c r="D87" s="89" t="s">
        <v>416</v>
      </c>
      <c r="E87" s="90">
        <f t="shared" si="29"/>
        <v>156832009</v>
      </c>
      <c r="F87" s="90">
        <v>156832009</v>
      </c>
      <c r="G87" s="87"/>
      <c r="H87" s="90"/>
      <c r="I87" s="90"/>
      <c r="J87" s="90">
        <f t="shared" si="30"/>
        <v>0</v>
      </c>
      <c r="K87" s="90"/>
      <c r="L87" s="90"/>
      <c r="M87" s="90"/>
      <c r="N87" s="90"/>
      <c r="O87" s="90"/>
      <c r="P87" s="90">
        <f t="shared" si="31"/>
        <v>156832009</v>
      </c>
      <c r="Q87" s="252"/>
      <c r="R87" s="193"/>
      <c r="S87" s="193"/>
      <c r="T87" s="193"/>
    </row>
    <row r="88" spans="1:20" s="4" customFormat="1" ht="36.75" customHeight="1">
      <c r="A88" s="88" t="s">
        <v>289</v>
      </c>
      <c r="B88" s="88" t="str">
        <f>'дод. 3'!A36</f>
        <v>2030</v>
      </c>
      <c r="C88" s="88" t="str">
        <f>'дод. 3'!B36</f>
        <v>0733</v>
      </c>
      <c r="D88" s="122" t="str">
        <f>'дод. 3'!C36</f>
        <v>Лікарсько-акушерська допомога вагітним, породіллям та новонародженим</v>
      </c>
      <c r="E88" s="90">
        <f t="shared" si="29"/>
        <v>34579826</v>
      </c>
      <c r="F88" s="90">
        <f>34553891+25935</f>
        <v>34579826</v>
      </c>
      <c r="G88" s="90"/>
      <c r="H88" s="90"/>
      <c r="I88" s="90"/>
      <c r="J88" s="90">
        <f t="shared" si="30"/>
        <v>27300</v>
      </c>
      <c r="K88" s="90">
        <v>27300</v>
      </c>
      <c r="L88" s="90"/>
      <c r="M88" s="90"/>
      <c r="N88" s="90"/>
      <c r="O88" s="90"/>
      <c r="P88" s="90">
        <f t="shared" si="31"/>
        <v>34607126</v>
      </c>
      <c r="Q88" s="252"/>
      <c r="R88" s="193"/>
      <c r="S88" s="193"/>
      <c r="T88" s="193"/>
    </row>
    <row r="89" spans="1:20" s="4" customFormat="1" ht="19.5" customHeight="1">
      <c r="A89" s="88"/>
      <c r="B89" s="100"/>
      <c r="C89" s="100"/>
      <c r="D89" s="89" t="s">
        <v>416</v>
      </c>
      <c r="E89" s="90">
        <f t="shared" si="29"/>
        <v>24119993</v>
      </c>
      <c r="F89" s="90">
        <v>24119993</v>
      </c>
      <c r="G89" s="90"/>
      <c r="H89" s="90"/>
      <c r="I89" s="90"/>
      <c r="J89" s="90">
        <f t="shared" si="30"/>
        <v>0</v>
      </c>
      <c r="K89" s="90"/>
      <c r="L89" s="90"/>
      <c r="M89" s="90"/>
      <c r="N89" s="90"/>
      <c r="O89" s="90"/>
      <c r="P89" s="90">
        <f t="shared" si="31"/>
        <v>24119993</v>
      </c>
      <c r="Q89" s="252"/>
      <c r="R89" s="193"/>
      <c r="S89" s="193"/>
      <c r="T89" s="193"/>
    </row>
    <row r="90" spans="1:20" s="4" customFormat="1" ht="33.75" customHeight="1">
      <c r="A90" s="98" t="s">
        <v>288</v>
      </c>
      <c r="B90" s="98" t="str">
        <f>'дод. 3'!A38</f>
        <v>2080</v>
      </c>
      <c r="C90" s="98" t="str">
        <f>'дод. 3'!B38</f>
        <v>0721</v>
      </c>
      <c r="D90" s="121" t="str">
        <f>'дод. 3'!C38</f>
        <v>Амбулаторно-поліклінічна допомога населенню, крім первинної медичної допомоги</v>
      </c>
      <c r="E90" s="90">
        <f t="shared" si="29"/>
        <v>1039928</v>
      </c>
      <c r="F90" s="90">
        <v>1039928</v>
      </c>
      <c r="G90" s="90"/>
      <c r="H90" s="90"/>
      <c r="I90" s="90"/>
      <c r="J90" s="90">
        <f t="shared" si="30"/>
        <v>412100</v>
      </c>
      <c r="K90" s="90">
        <v>412100</v>
      </c>
      <c r="L90" s="90"/>
      <c r="M90" s="90"/>
      <c r="N90" s="90"/>
      <c r="O90" s="90"/>
      <c r="P90" s="90">
        <f t="shared" si="31"/>
        <v>1452028</v>
      </c>
      <c r="Q90" s="252"/>
      <c r="R90" s="193"/>
      <c r="S90" s="193"/>
      <c r="T90" s="193"/>
    </row>
    <row r="91" spans="1:20" s="4" customFormat="1" ht="15" customHeight="1">
      <c r="A91" s="98"/>
      <c r="B91" s="113"/>
      <c r="C91" s="113"/>
      <c r="D91" s="89" t="s">
        <v>416</v>
      </c>
      <c r="E91" s="90">
        <f t="shared" si="29"/>
        <v>925907</v>
      </c>
      <c r="F91" s="90">
        <v>925907</v>
      </c>
      <c r="G91" s="90"/>
      <c r="H91" s="90"/>
      <c r="I91" s="90"/>
      <c r="J91" s="90">
        <f t="shared" si="30"/>
        <v>0</v>
      </c>
      <c r="K91" s="90"/>
      <c r="L91" s="90"/>
      <c r="M91" s="90"/>
      <c r="N91" s="90"/>
      <c r="O91" s="90"/>
      <c r="P91" s="90">
        <f t="shared" si="31"/>
        <v>925907</v>
      </c>
      <c r="Q91" s="252"/>
      <c r="R91" s="193"/>
      <c r="S91" s="193"/>
      <c r="T91" s="193"/>
    </row>
    <row r="92" spans="1:20" s="4" customFormat="1" ht="24" customHeight="1">
      <c r="A92" s="88" t="s">
        <v>287</v>
      </c>
      <c r="B92" s="88" t="str">
        <f>'дод. 3'!A40</f>
        <v>2100</v>
      </c>
      <c r="C92" s="88" t="str">
        <f>'дод. 3'!B40</f>
        <v>0722</v>
      </c>
      <c r="D92" s="122" t="str">
        <f>'дод. 3'!C40</f>
        <v>Стоматологічна допомога населенню</v>
      </c>
      <c r="E92" s="90">
        <f t="shared" si="29"/>
        <v>5454842</v>
      </c>
      <c r="F92" s="90">
        <v>5454842</v>
      </c>
      <c r="G92" s="90"/>
      <c r="H92" s="90"/>
      <c r="I92" s="90"/>
      <c r="J92" s="90">
        <f t="shared" si="30"/>
        <v>5058989</v>
      </c>
      <c r="K92" s="90">
        <v>5058989</v>
      </c>
      <c r="L92" s="90"/>
      <c r="M92" s="90"/>
      <c r="N92" s="90"/>
      <c r="O92" s="90"/>
      <c r="P92" s="90">
        <f t="shared" si="31"/>
        <v>10513831</v>
      </c>
      <c r="Q92" s="252"/>
      <c r="R92" s="193"/>
      <c r="S92" s="193"/>
      <c r="T92" s="193"/>
    </row>
    <row r="93" spans="1:20" s="4" customFormat="1" ht="18" customHeight="1">
      <c r="A93" s="88"/>
      <c r="B93" s="100"/>
      <c r="C93" s="100"/>
      <c r="D93" s="89" t="s">
        <v>416</v>
      </c>
      <c r="E93" s="90">
        <f t="shared" si="29"/>
        <v>4325025</v>
      </c>
      <c r="F93" s="90">
        <v>4325025</v>
      </c>
      <c r="G93" s="90"/>
      <c r="H93" s="90"/>
      <c r="I93" s="90"/>
      <c r="J93" s="90">
        <f t="shared" si="30"/>
        <v>0</v>
      </c>
      <c r="K93" s="90"/>
      <c r="L93" s="90"/>
      <c r="M93" s="90"/>
      <c r="N93" s="90"/>
      <c r="O93" s="90"/>
      <c r="P93" s="90">
        <f t="shared" si="31"/>
        <v>4325025</v>
      </c>
      <c r="Q93" s="252"/>
      <c r="R93" s="193"/>
      <c r="S93" s="193"/>
      <c r="T93" s="193"/>
    </row>
    <row r="94" spans="1:20" s="4" customFormat="1" ht="16.5" customHeight="1">
      <c r="A94" s="88" t="s">
        <v>286</v>
      </c>
      <c r="B94" s="88" t="str">
        <f>'дод. 3'!A42</f>
        <v>2110</v>
      </c>
      <c r="C94" s="88">
        <f>'дод. 3'!B42</f>
        <v>0</v>
      </c>
      <c r="D94" s="122" t="str">
        <f>'дод. 3'!C42</f>
        <v>Первинна медична допомога населенню</v>
      </c>
      <c r="E94" s="90">
        <f>E96+E98</f>
        <v>36578306</v>
      </c>
      <c r="F94" s="90">
        <f aca="true" t="shared" si="32" ref="F94:P94">F96+F98</f>
        <v>36578306</v>
      </c>
      <c r="G94" s="90">
        <f t="shared" si="32"/>
        <v>0</v>
      </c>
      <c r="H94" s="90">
        <f t="shared" si="32"/>
        <v>0</v>
      </c>
      <c r="I94" s="90">
        <f t="shared" si="32"/>
        <v>0</v>
      </c>
      <c r="J94" s="90">
        <f t="shared" si="32"/>
        <v>167000</v>
      </c>
      <c r="K94" s="90">
        <f t="shared" si="32"/>
        <v>167000</v>
      </c>
      <c r="L94" s="90">
        <f t="shared" si="32"/>
        <v>0</v>
      </c>
      <c r="M94" s="90">
        <f t="shared" si="32"/>
        <v>0</v>
      </c>
      <c r="N94" s="90">
        <f t="shared" si="32"/>
        <v>0</v>
      </c>
      <c r="O94" s="90">
        <f t="shared" si="32"/>
        <v>0</v>
      </c>
      <c r="P94" s="90">
        <f t="shared" si="32"/>
        <v>36745306</v>
      </c>
      <c r="Q94" s="252"/>
      <c r="R94" s="194"/>
      <c r="S94" s="194"/>
      <c r="T94" s="194"/>
    </row>
    <row r="95" spans="1:20" s="4" customFormat="1" ht="19.5" customHeight="1">
      <c r="A95" s="88"/>
      <c r="B95" s="100"/>
      <c r="C95" s="100"/>
      <c r="D95" s="89" t="s">
        <v>416</v>
      </c>
      <c r="E95" s="90">
        <f>E97+E99</f>
        <v>35777500</v>
      </c>
      <c r="F95" s="90">
        <f aca="true" t="shared" si="33" ref="F95:P95">F97+F99</f>
        <v>35777500</v>
      </c>
      <c r="G95" s="90"/>
      <c r="H95" s="90">
        <f t="shared" si="33"/>
        <v>0</v>
      </c>
      <c r="I95" s="90">
        <f t="shared" si="33"/>
        <v>0</v>
      </c>
      <c r="J95" s="90">
        <f t="shared" si="33"/>
        <v>0</v>
      </c>
      <c r="K95" s="90">
        <f t="shared" si="33"/>
        <v>0</v>
      </c>
      <c r="L95" s="90">
        <f t="shared" si="33"/>
        <v>0</v>
      </c>
      <c r="M95" s="90">
        <f t="shared" si="33"/>
        <v>0</v>
      </c>
      <c r="N95" s="90">
        <f t="shared" si="33"/>
        <v>0</v>
      </c>
      <c r="O95" s="90">
        <f t="shared" si="33"/>
        <v>0</v>
      </c>
      <c r="P95" s="90">
        <f t="shared" si="33"/>
        <v>35777500</v>
      </c>
      <c r="Q95" s="252"/>
      <c r="R95" s="194"/>
      <c r="S95" s="194"/>
      <c r="T95" s="194"/>
    </row>
    <row r="96" spans="1:20" s="134" customFormat="1" ht="45">
      <c r="A96" s="91" t="s">
        <v>285</v>
      </c>
      <c r="B96" s="91" t="str">
        <f>'дод. 3'!A44</f>
        <v>2111</v>
      </c>
      <c r="C96" s="91" t="str">
        <f>'дод. 3'!B44</f>
        <v>0726</v>
      </c>
      <c r="D96" s="119" t="str">
        <f>'дод. 3'!C44</f>
        <v>Первинна медична допомога населенню, що надається центрами первинної медичної (медико-санітарної) допомоги</v>
      </c>
      <c r="E96" s="93">
        <f>F96+I96</f>
        <v>8672485</v>
      </c>
      <c r="F96" s="93">
        <v>8672485</v>
      </c>
      <c r="G96" s="93"/>
      <c r="H96" s="93"/>
      <c r="I96" s="93"/>
      <c r="J96" s="93">
        <f>K96+N96</f>
        <v>167000</v>
      </c>
      <c r="K96" s="93">
        <v>167000</v>
      </c>
      <c r="L96" s="93"/>
      <c r="M96" s="93"/>
      <c r="N96" s="93"/>
      <c r="O96" s="93"/>
      <c r="P96" s="93">
        <f>E96+J96</f>
        <v>8839485</v>
      </c>
      <c r="Q96" s="252"/>
      <c r="R96" s="195"/>
      <c r="S96" s="195"/>
      <c r="T96" s="195"/>
    </row>
    <row r="97" spans="1:20" s="134" customFormat="1" ht="15">
      <c r="A97" s="91"/>
      <c r="B97" s="101"/>
      <c r="C97" s="101"/>
      <c r="D97" s="92" t="s">
        <v>416</v>
      </c>
      <c r="E97" s="93">
        <f>F97+I97</f>
        <v>7871679</v>
      </c>
      <c r="F97" s="93">
        <v>7871679</v>
      </c>
      <c r="G97" s="93"/>
      <c r="H97" s="93"/>
      <c r="I97" s="93"/>
      <c r="J97" s="93">
        <f aca="true" t="shared" si="34" ref="J97:J112">K97+N97</f>
        <v>0</v>
      </c>
      <c r="K97" s="93"/>
      <c r="L97" s="93"/>
      <c r="M97" s="93"/>
      <c r="N97" s="93"/>
      <c r="O97" s="93"/>
      <c r="P97" s="93">
        <f>E97+J97</f>
        <v>7871679</v>
      </c>
      <c r="Q97" s="252"/>
      <c r="R97" s="195"/>
      <c r="S97" s="195"/>
      <c r="T97" s="195"/>
    </row>
    <row r="98" spans="1:20" s="134" customFormat="1" ht="45">
      <c r="A98" s="91" t="s">
        <v>587</v>
      </c>
      <c r="B98" s="91" t="str">
        <f>'дод. 3'!A46</f>
        <v>2113</v>
      </c>
      <c r="C98" s="91" t="str">
        <f>'дод. 3'!B46</f>
        <v>0721</v>
      </c>
      <c r="D98" s="119" t="str">
        <f>'дод. 3'!C46</f>
        <v>Первинна медична допомога населенню, що надається амбулаторно-поліклінічними закладами (відділеннями)</v>
      </c>
      <c r="E98" s="93">
        <f>F98+I98</f>
        <v>27905821</v>
      </c>
      <c r="F98" s="93">
        <v>27905821</v>
      </c>
      <c r="G98" s="93"/>
      <c r="H98" s="93"/>
      <c r="I98" s="93"/>
      <c r="J98" s="93">
        <f>K98+N98</f>
        <v>0</v>
      </c>
      <c r="K98" s="93"/>
      <c r="L98" s="93"/>
      <c r="M98" s="93"/>
      <c r="N98" s="93"/>
      <c r="O98" s="93"/>
      <c r="P98" s="93">
        <f>E98+J98</f>
        <v>27905821</v>
      </c>
      <c r="Q98" s="252"/>
      <c r="R98" s="195"/>
      <c r="S98" s="195"/>
      <c r="T98" s="195"/>
    </row>
    <row r="99" spans="1:20" s="134" customFormat="1" ht="15">
      <c r="A99" s="91"/>
      <c r="B99" s="101"/>
      <c r="C99" s="101"/>
      <c r="D99" s="92" t="s">
        <v>416</v>
      </c>
      <c r="E99" s="93">
        <f>F99+I99</f>
        <v>27905821</v>
      </c>
      <c r="F99" s="93">
        <v>27905821</v>
      </c>
      <c r="G99" s="93"/>
      <c r="H99" s="93"/>
      <c r="I99" s="93"/>
      <c r="J99" s="93">
        <f>K99+N99</f>
        <v>0</v>
      </c>
      <c r="K99" s="93"/>
      <c r="L99" s="93"/>
      <c r="M99" s="93"/>
      <c r="N99" s="93"/>
      <c r="O99" s="93"/>
      <c r="P99" s="93">
        <f>E99+J99</f>
        <v>27905821</v>
      </c>
      <c r="Q99" s="252"/>
      <c r="R99" s="195"/>
      <c r="S99" s="195"/>
      <c r="T99" s="195"/>
    </row>
    <row r="100" spans="1:20" s="4" customFormat="1" ht="30" customHeight="1">
      <c r="A100" s="94" t="s">
        <v>284</v>
      </c>
      <c r="B100" s="99">
        <f>'дод. 3'!A48</f>
        <v>2140</v>
      </c>
      <c r="C100" s="99">
        <f>'дод. 3'!B48</f>
        <v>0</v>
      </c>
      <c r="D100" s="167" t="str">
        <f>'дод. 3'!C48</f>
        <v>Програми і централізовані заходи у галузі охорони здоров’я</v>
      </c>
      <c r="E100" s="96">
        <f aca="true" t="shared" si="35" ref="E100:P100">E102+E104</f>
        <v>14043000</v>
      </c>
      <c r="F100" s="96">
        <f t="shared" si="35"/>
        <v>14043000</v>
      </c>
      <c r="G100" s="96">
        <f t="shared" si="35"/>
        <v>0</v>
      </c>
      <c r="H100" s="96">
        <f t="shared" si="35"/>
        <v>0</v>
      </c>
      <c r="I100" s="96">
        <f t="shared" si="35"/>
        <v>0</v>
      </c>
      <c r="J100" s="96">
        <f t="shared" si="35"/>
        <v>0</v>
      </c>
      <c r="K100" s="96">
        <f t="shared" si="35"/>
        <v>0</v>
      </c>
      <c r="L100" s="96">
        <f t="shared" si="35"/>
        <v>0</v>
      </c>
      <c r="M100" s="96">
        <f t="shared" si="35"/>
        <v>0</v>
      </c>
      <c r="N100" s="96">
        <f t="shared" si="35"/>
        <v>0</v>
      </c>
      <c r="O100" s="96">
        <f t="shared" si="35"/>
        <v>0</v>
      </c>
      <c r="P100" s="96">
        <f t="shared" si="35"/>
        <v>14043000</v>
      </c>
      <c r="Q100" s="252"/>
      <c r="R100" s="201"/>
      <c r="S100" s="201"/>
      <c r="T100" s="201"/>
    </row>
    <row r="101" spans="1:20" s="137" customFormat="1" ht="15" customHeight="1">
      <c r="A101" s="88"/>
      <c r="B101" s="99">
        <f>'дод. 3'!A49</f>
        <v>0</v>
      </c>
      <c r="C101" s="99">
        <f>'дод. 3'!B49</f>
        <v>0</v>
      </c>
      <c r="D101" s="167" t="str">
        <f>'дод. 3'!C49</f>
        <v>у т.ч. за рахунок субвенцій з держбюджету</v>
      </c>
      <c r="E101" s="96">
        <f aca="true" t="shared" si="36" ref="E101:P101">E103+E105</f>
        <v>14043000</v>
      </c>
      <c r="F101" s="96">
        <f t="shared" si="36"/>
        <v>14043000</v>
      </c>
      <c r="G101" s="96">
        <f t="shared" si="36"/>
        <v>0</v>
      </c>
      <c r="H101" s="96">
        <f t="shared" si="36"/>
        <v>0</v>
      </c>
      <c r="I101" s="96">
        <f t="shared" si="36"/>
        <v>0</v>
      </c>
      <c r="J101" s="96">
        <f t="shared" si="36"/>
        <v>0</v>
      </c>
      <c r="K101" s="96">
        <f t="shared" si="36"/>
        <v>0</v>
      </c>
      <c r="L101" s="96">
        <f t="shared" si="36"/>
        <v>0</v>
      </c>
      <c r="M101" s="96">
        <f t="shared" si="36"/>
        <v>0</v>
      </c>
      <c r="N101" s="96">
        <f t="shared" si="36"/>
        <v>0</v>
      </c>
      <c r="O101" s="96">
        <f t="shared" si="36"/>
        <v>0</v>
      </c>
      <c r="P101" s="96">
        <f t="shared" si="36"/>
        <v>14043000</v>
      </c>
      <c r="Q101" s="252"/>
      <c r="R101" s="201"/>
      <c r="S101" s="201"/>
      <c r="T101" s="201"/>
    </row>
    <row r="102" spans="1:20" s="134" customFormat="1" ht="32.25" customHeight="1">
      <c r="A102" s="91" t="s">
        <v>283</v>
      </c>
      <c r="B102" s="101">
        <f>'дод. 3'!A50</f>
        <v>2144</v>
      </c>
      <c r="C102" s="101" t="str">
        <f>'дод. 3'!B50</f>
        <v>0763</v>
      </c>
      <c r="D102" s="168" t="str">
        <f>'дод. 3'!C50</f>
        <v>Централізовані заходи з лікування хворих на цукровий та нецукровий діабет</v>
      </c>
      <c r="E102" s="93">
        <f>F102+I102</f>
        <v>7131500</v>
      </c>
      <c r="F102" s="93">
        <v>7131500</v>
      </c>
      <c r="G102" s="93"/>
      <c r="H102" s="93"/>
      <c r="I102" s="93"/>
      <c r="J102" s="93">
        <f t="shared" si="34"/>
        <v>0</v>
      </c>
      <c r="K102" s="93"/>
      <c r="L102" s="93"/>
      <c r="M102" s="93"/>
      <c r="N102" s="93"/>
      <c r="O102" s="93"/>
      <c r="P102" s="93">
        <f aca="true" t="shared" si="37" ref="P102:P112">E102+J102</f>
        <v>7131500</v>
      </c>
      <c r="Q102" s="252"/>
      <c r="R102" s="195"/>
      <c r="S102" s="195"/>
      <c r="T102" s="195"/>
    </row>
    <row r="103" spans="1:20" s="134" customFormat="1" ht="15" customHeight="1">
      <c r="A103" s="91"/>
      <c r="B103" s="101">
        <f>'дод. 3'!A51</f>
        <v>0</v>
      </c>
      <c r="C103" s="101">
        <f>'дод. 3'!B51</f>
        <v>0</v>
      </c>
      <c r="D103" s="168" t="str">
        <f>'дод. 3'!C51</f>
        <v>у т.ч. за рахунок субвенцій з держбюджету</v>
      </c>
      <c r="E103" s="93">
        <f>F103+I103</f>
        <v>7131500</v>
      </c>
      <c r="F103" s="93">
        <v>7131500</v>
      </c>
      <c r="G103" s="93"/>
      <c r="H103" s="93"/>
      <c r="I103" s="93"/>
      <c r="J103" s="93">
        <f t="shared" si="34"/>
        <v>0</v>
      </c>
      <c r="K103" s="93"/>
      <c r="L103" s="93"/>
      <c r="M103" s="93"/>
      <c r="N103" s="93"/>
      <c r="O103" s="93"/>
      <c r="P103" s="93">
        <f t="shared" si="37"/>
        <v>7131500</v>
      </c>
      <c r="Q103" s="252"/>
      <c r="R103" s="195"/>
      <c r="S103" s="195"/>
      <c r="T103" s="195"/>
    </row>
    <row r="104" spans="1:20" s="134" customFormat="1" ht="31.5" customHeight="1">
      <c r="A104" s="91" t="s">
        <v>516</v>
      </c>
      <c r="B104" s="101">
        <f>'дод. 3'!A52</f>
        <v>2146</v>
      </c>
      <c r="C104" s="101" t="str">
        <f>'дод. 3'!B52</f>
        <v>0763</v>
      </c>
      <c r="D104" s="168" t="str">
        <f>'дод. 3'!C52</f>
        <v>Відшкодування вартості лікарських засобів для лікування окремих захворювань</v>
      </c>
      <c r="E104" s="93">
        <f>F104+I104</f>
        <v>6911500</v>
      </c>
      <c r="F104" s="93">
        <v>6911500</v>
      </c>
      <c r="G104" s="93"/>
      <c r="H104" s="93"/>
      <c r="I104" s="93"/>
      <c r="J104" s="93">
        <f t="shared" si="34"/>
        <v>0</v>
      </c>
      <c r="K104" s="93"/>
      <c r="L104" s="93"/>
      <c r="M104" s="93"/>
      <c r="N104" s="93"/>
      <c r="O104" s="93"/>
      <c r="P104" s="93">
        <f t="shared" si="37"/>
        <v>6911500</v>
      </c>
      <c r="Q104" s="252">
        <v>18</v>
      </c>
      <c r="R104" s="195"/>
      <c r="S104" s="195"/>
      <c r="T104" s="195"/>
    </row>
    <row r="105" spans="1:20" s="134" customFormat="1" ht="15" customHeight="1">
      <c r="A105" s="91"/>
      <c r="B105" s="101">
        <f>'дод. 3'!A53</f>
        <v>0</v>
      </c>
      <c r="C105" s="101">
        <f>'дод. 3'!B53</f>
        <v>0</v>
      </c>
      <c r="D105" s="168" t="str">
        <f>'дод. 3'!C53</f>
        <v>у т.ч. за рахунок субвенцій з держбюджету</v>
      </c>
      <c r="E105" s="93">
        <f>F105+I105</f>
        <v>6911500</v>
      </c>
      <c r="F105" s="93">
        <v>6911500</v>
      </c>
      <c r="G105" s="93"/>
      <c r="H105" s="93"/>
      <c r="I105" s="93"/>
      <c r="J105" s="93">
        <f t="shared" si="34"/>
        <v>0</v>
      </c>
      <c r="K105" s="93"/>
      <c r="L105" s="93"/>
      <c r="M105" s="93"/>
      <c r="N105" s="93"/>
      <c r="O105" s="93"/>
      <c r="P105" s="93">
        <f t="shared" si="37"/>
        <v>6911500</v>
      </c>
      <c r="Q105" s="252"/>
      <c r="R105" s="195"/>
      <c r="S105" s="195"/>
      <c r="T105" s="195"/>
    </row>
    <row r="106" spans="1:20" s="4" customFormat="1" ht="35.25" customHeight="1">
      <c r="A106" s="94" t="s">
        <v>282</v>
      </c>
      <c r="B106" s="94" t="str">
        <f>'дод. 3'!A54</f>
        <v>2150</v>
      </c>
      <c r="C106" s="94">
        <f>'дод. 3'!B54</f>
        <v>0</v>
      </c>
      <c r="D106" s="120" t="str">
        <f>'дод. 3'!C54</f>
        <v>Інші програми, заклади та заходи у сфері охорони здоров’я</v>
      </c>
      <c r="E106" s="96">
        <f>E108+E110</f>
        <v>3933944</v>
      </c>
      <c r="F106" s="96">
        <f aca="true" t="shared" si="38" ref="F106:O106">F108+F110</f>
        <v>3933944</v>
      </c>
      <c r="G106" s="96">
        <f t="shared" si="38"/>
        <v>0</v>
      </c>
      <c r="H106" s="96">
        <f t="shared" si="38"/>
        <v>0</v>
      </c>
      <c r="I106" s="96">
        <f t="shared" si="38"/>
        <v>0</v>
      </c>
      <c r="J106" s="90">
        <f t="shared" si="34"/>
        <v>0</v>
      </c>
      <c r="K106" s="96">
        <f t="shared" si="38"/>
        <v>0</v>
      </c>
      <c r="L106" s="96">
        <f t="shared" si="38"/>
        <v>0</v>
      </c>
      <c r="M106" s="96">
        <f t="shared" si="38"/>
        <v>0</v>
      </c>
      <c r="N106" s="96">
        <f t="shared" si="38"/>
        <v>0</v>
      </c>
      <c r="O106" s="96">
        <f t="shared" si="38"/>
        <v>0</v>
      </c>
      <c r="P106" s="90">
        <f t="shared" si="37"/>
        <v>3933944</v>
      </c>
      <c r="Q106" s="252"/>
      <c r="R106" s="194"/>
      <c r="S106" s="194"/>
      <c r="T106" s="194"/>
    </row>
    <row r="107" spans="1:20" s="4" customFormat="1" ht="21.75" customHeight="1">
      <c r="A107" s="94"/>
      <c r="B107" s="99"/>
      <c r="C107" s="99"/>
      <c r="D107" s="95" t="s">
        <v>416</v>
      </c>
      <c r="E107" s="96">
        <f>E109+E111</f>
        <v>3897166</v>
      </c>
      <c r="F107" s="96">
        <f aca="true" t="shared" si="39" ref="F107:O107">F109+F111</f>
        <v>3897166</v>
      </c>
      <c r="G107" s="96">
        <f t="shared" si="39"/>
        <v>0</v>
      </c>
      <c r="H107" s="96">
        <f t="shared" si="39"/>
        <v>0</v>
      </c>
      <c r="I107" s="96">
        <f t="shared" si="39"/>
        <v>0</v>
      </c>
      <c r="J107" s="93">
        <f t="shared" si="34"/>
        <v>0</v>
      </c>
      <c r="K107" s="96">
        <f t="shared" si="39"/>
        <v>0</v>
      </c>
      <c r="L107" s="96">
        <f t="shared" si="39"/>
        <v>0</v>
      </c>
      <c r="M107" s="96">
        <f t="shared" si="39"/>
        <v>0</v>
      </c>
      <c r="N107" s="96">
        <f t="shared" si="39"/>
        <v>0</v>
      </c>
      <c r="O107" s="96">
        <f t="shared" si="39"/>
        <v>0</v>
      </c>
      <c r="P107" s="90">
        <f t="shared" si="37"/>
        <v>3897166</v>
      </c>
      <c r="Q107" s="252"/>
      <c r="R107" s="194"/>
      <c r="S107" s="194"/>
      <c r="T107" s="194"/>
    </row>
    <row r="108" spans="1:20" s="134" customFormat="1" ht="30" customHeight="1">
      <c r="A108" s="91" t="s">
        <v>485</v>
      </c>
      <c r="B108" s="135" t="str">
        <f>'дод. 3'!A56</f>
        <v>2151</v>
      </c>
      <c r="C108" s="135" t="str">
        <f>'дод. 3'!B56</f>
        <v>0763</v>
      </c>
      <c r="D108" s="119" t="str">
        <f>'дод. 3'!C56</f>
        <v>Забезпечення діяльності інших закладів у сфері охорони здоров’я</v>
      </c>
      <c r="E108" s="93">
        <f>F108+I108</f>
        <v>1975455</v>
      </c>
      <c r="F108" s="93">
        <f>1974877+578</f>
        <v>1975455</v>
      </c>
      <c r="G108" s="93"/>
      <c r="H108" s="93"/>
      <c r="I108" s="93"/>
      <c r="J108" s="93">
        <f t="shared" si="34"/>
        <v>0</v>
      </c>
      <c r="K108" s="93"/>
      <c r="L108" s="93"/>
      <c r="M108" s="93"/>
      <c r="N108" s="93"/>
      <c r="O108" s="93"/>
      <c r="P108" s="93">
        <f t="shared" si="37"/>
        <v>1975455</v>
      </c>
      <c r="Q108" s="252"/>
      <c r="R108" s="195"/>
      <c r="S108" s="195"/>
      <c r="T108" s="195"/>
    </row>
    <row r="109" spans="1:20" s="134" customFormat="1" ht="21.75" customHeight="1">
      <c r="A109" s="91"/>
      <c r="B109" s="135"/>
      <c r="C109" s="135"/>
      <c r="D109" s="92" t="s">
        <v>416</v>
      </c>
      <c r="E109" s="93">
        <f>F109+I109</f>
        <v>1938677</v>
      </c>
      <c r="F109" s="93">
        <v>1938677</v>
      </c>
      <c r="G109" s="93"/>
      <c r="H109" s="93"/>
      <c r="I109" s="93"/>
      <c r="J109" s="93">
        <f t="shared" si="34"/>
        <v>0</v>
      </c>
      <c r="K109" s="93"/>
      <c r="L109" s="93"/>
      <c r="M109" s="93"/>
      <c r="N109" s="93"/>
      <c r="O109" s="93"/>
      <c r="P109" s="93">
        <f t="shared" si="37"/>
        <v>1938677</v>
      </c>
      <c r="Q109" s="252"/>
      <c r="R109" s="195"/>
      <c r="S109" s="195"/>
      <c r="T109" s="195"/>
    </row>
    <row r="110" spans="1:20" s="134" customFormat="1" ht="20.25" customHeight="1">
      <c r="A110" s="91" t="s">
        <v>486</v>
      </c>
      <c r="B110" s="135" t="str">
        <f>'дод. 3'!A58</f>
        <v>2152</v>
      </c>
      <c r="C110" s="135" t="str">
        <f>'дод. 3'!B58</f>
        <v>0763</v>
      </c>
      <c r="D110" s="136" t="str">
        <f>'дод. 3'!C58</f>
        <v>Інші програми та заходи у сфері охорони здоров’я</v>
      </c>
      <c r="E110" s="93">
        <f>F110+I110</f>
        <v>1958489</v>
      </c>
      <c r="F110" s="93">
        <f>1958489+108000-108000</f>
        <v>1958489</v>
      </c>
      <c r="G110" s="93"/>
      <c r="H110" s="93"/>
      <c r="I110" s="93"/>
      <c r="J110" s="93">
        <f t="shared" si="34"/>
        <v>0</v>
      </c>
      <c r="K110" s="93"/>
      <c r="L110" s="93"/>
      <c r="M110" s="93"/>
      <c r="N110" s="93">
        <f>350000-350000</f>
        <v>0</v>
      </c>
      <c r="O110" s="93">
        <f>350000-350000</f>
        <v>0</v>
      </c>
      <c r="P110" s="93">
        <f t="shared" si="37"/>
        <v>1958489</v>
      </c>
      <c r="Q110" s="252"/>
      <c r="R110" s="195"/>
      <c r="S110" s="195"/>
      <c r="T110" s="195"/>
    </row>
    <row r="111" spans="1:20" s="134" customFormat="1" ht="21.75" customHeight="1">
      <c r="A111" s="91"/>
      <c r="B111" s="135"/>
      <c r="C111" s="135"/>
      <c r="D111" s="92" t="s">
        <v>416</v>
      </c>
      <c r="E111" s="93">
        <f>F111+I111</f>
        <v>1958489</v>
      </c>
      <c r="F111" s="93">
        <v>1958489</v>
      </c>
      <c r="G111" s="93"/>
      <c r="H111" s="93"/>
      <c r="I111" s="93"/>
      <c r="J111" s="93">
        <f t="shared" si="34"/>
        <v>0</v>
      </c>
      <c r="K111" s="93"/>
      <c r="L111" s="93"/>
      <c r="M111" s="93"/>
      <c r="N111" s="93"/>
      <c r="O111" s="93"/>
      <c r="P111" s="93">
        <f t="shared" si="37"/>
        <v>1958489</v>
      </c>
      <c r="Q111" s="252"/>
      <c r="R111" s="195"/>
      <c r="S111" s="195"/>
      <c r="T111" s="195"/>
    </row>
    <row r="112" spans="1:20" s="4" customFormat="1" ht="24" customHeight="1">
      <c r="A112" s="94" t="s">
        <v>281</v>
      </c>
      <c r="B112" s="94" t="str">
        <f>'дод. 3'!A181</f>
        <v>7640</v>
      </c>
      <c r="C112" s="94" t="str">
        <f>'дод. 3'!B181</f>
        <v>0470</v>
      </c>
      <c r="D112" s="120" t="str">
        <f>'дод. 3'!C181</f>
        <v>Заходи з енергозбереження</v>
      </c>
      <c r="E112" s="96">
        <f>F112+I112</f>
        <v>468000</v>
      </c>
      <c r="F112" s="96">
        <f>420000+48000</f>
        <v>468000</v>
      </c>
      <c r="G112" s="96"/>
      <c r="H112" s="96"/>
      <c r="I112" s="96"/>
      <c r="J112" s="93">
        <f t="shared" si="34"/>
        <v>9847000</v>
      </c>
      <c r="K112" s="96"/>
      <c r="L112" s="96"/>
      <c r="M112" s="96"/>
      <c r="N112" s="96">
        <f>6847000+3000000</f>
        <v>9847000</v>
      </c>
      <c r="O112" s="96">
        <f>6847000+3000000</f>
        <v>9847000</v>
      </c>
      <c r="P112" s="96">
        <f t="shared" si="37"/>
        <v>10315000</v>
      </c>
      <c r="Q112" s="252"/>
      <c r="R112" s="193"/>
      <c r="S112" s="193"/>
      <c r="T112" s="193"/>
    </row>
    <row r="113" spans="1:20" s="129" customFormat="1" ht="28.5">
      <c r="A113" s="127" t="s">
        <v>290</v>
      </c>
      <c r="B113" s="37"/>
      <c r="C113" s="37"/>
      <c r="D113" s="36" t="s">
        <v>70</v>
      </c>
      <c r="E113" s="47">
        <f>E114</f>
        <v>1258856170</v>
      </c>
      <c r="F113" s="47">
        <f aca="true" t="shared" si="40" ref="F113:P113">F114</f>
        <v>1258856170</v>
      </c>
      <c r="G113" s="47">
        <f t="shared" si="40"/>
        <v>41306277</v>
      </c>
      <c r="H113" s="47">
        <f t="shared" si="40"/>
        <v>1542626</v>
      </c>
      <c r="I113" s="47">
        <f t="shared" si="40"/>
        <v>0</v>
      </c>
      <c r="J113" s="47">
        <f t="shared" si="40"/>
        <v>1237400</v>
      </c>
      <c r="K113" s="47">
        <f t="shared" si="40"/>
        <v>57900</v>
      </c>
      <c r="L113" s="47">
        <f t="shared" si="40"/>
        <v>44700</v>
      </c>
      <c r="M113" s="47">
        <f t="shared" si="40"/>
        <v>0</v>
      </c>
      <c r="N113" s="47">
        <f t="shared" si="40"/>
        <v>1179500</v>
      </c>
      <c r="O113" s="47">
        <f t="shared" si="40"/>
        <v>1179500</v>
      </c>
      <c r="P113" s="47">
        <f t="shared" si="40"/>
        <v>1260093570</v>
      </c>
      <c r="Q113" s="252"/>
      <c r="R113" s="191"/>
      <c r="S113" s="191"/>
      <c r="T113" s="191"/>
    </row>
    <row r="114" spans="1:20" s="132" customFormat="1" ht="36" customHeight="1">
      <c r="A114" s="130" t="s">
        <v>291</v>
      </c>
      <c r="B114" s="144"/>
      <c r="C114" s="144"/>
      <c r="D114" s="143" t="s">
        <v>70</v>
      </c>
      <c r="E114" s="87">
        <f aca="true" t="shared" si="41" ref="E114:P114">E116+E129+E150+E164+E166+E170+E171+E174+E175+E178+E181+E182+E163+E167+E117+E123+E134+E151+E176</f>
        <v>1258856170</v>
      </c>
      <c r="F114" s="87">
        <f t="shared" si="41"/>
        <v>1258856170</v>
      </c>
      <c r="G114" s="87">
        <f t="shared" si="41"/>
        <v>41306277</v>
      </c>
      <c r="H114" s="87">
        <f t="shared" si="41"/>
        <v>1542626</v>
      </c>
      <c r="I114" s="87">
        <f t="shared" si="41"/>
        <v>0</v>
      </c>
      <c r="J114" s="87">
        <f t="shared" si="41"/>
        <v>1237400</v>
      </c>
      <c r="K114" s="87">
        <f t="shared" si="41"/>
        <v>57900</v>
      </c>
      <c r="L114" s="87">
        <f t="shared" si="41"/>
        <v>44700</v>
      </c>
      <c r="M114" s="87">
        <f t="shared" si="41"/>
        <v>0</v>
      </c>
      <c r="N114" s="87">
        <f t="shared" si="41"/>
        <v>1179500</v>
      </c>
      <c r="O114" s="87">
        <f t="shared" si="41"/>
        <v>1179500</v>
      </c>
      <c r="P114" s="87">
        <f t="shared" si="41"/>
        <v>1260093570</v>
      </c>
      <c r="Q114" s="252"/>
      <c r="R114" s="197"/>
      <c r="S114" s="197"/>
      <c r="T114" s="197"/>
    </row>
    <row r="115" spans="1:20" s="132" customFormat="1" ht="17.25" customHeight="1">
      <c r="A115" s="130"/>
      <c r="B115" s="144"/>
      <c r="C115" s="144"/>
      <c r="D115" s="143" t="s">
        <v>416</v>
      </c>
      <c r="E115" s="87">
        <f aca="true" t="shared" si="42" ref="E115:P115">E118+E124+E135+E152+E177</f>
        <v>1129786900</v>
      </c>
      <c r="F115" s="87">
        <f t="shared" si="42"/>
        <v>1129786900</v>
      </c>
      <c r="G115" s="87">
        <f t="shared" si="42"/>
        <v>0</v>
      </c>
      <c r="H115" s="87">
        <f t="shared" si="42"/>
        <v>0</v>
      </c>
      <c r="I115" s="87">
        <f t="shared" si="42"/>
        <v>0</v>
      </c>
      <c r="J115" s="87">
        <f t="shared" si="42"/>
        <v>0</v>
      </c>
      <c r="K115" s="87">
        <f t="shared" si="42"/>
        <v>0</v>
      </c>
      <c r="L115" s="87">
        <f t="shared" si="42"/>
        <v>0</v>
      </c>
      <c r="M115" s="87">
        <f t="shared" si="42"/>
        <v>0</v>
      </c>
      <c r="N115" s="87">
        <f t="shared" si="42"/>
        <v>0</v>
      </c>
      <c r="O115" s="87">
        <f t="shared" si="42"/>
        <v>0</v>
      </c>
      <c r="P115" s="87">
        <f t="shared" si="42"/>
        <v>1129786900</v>
      </c>
      <c r="Q115" s="252"/>
      <c r="R115" s="197"/>
      <c r="S115" s="197"/>
      <c r="T115" s="197"/>
    </row>
    <row r="116" spans="1:20" s="4" customFormat="1" ht="45">
      <c r="A116" s="88" t="s">
        <v>292</v>
      </c>
      <c r="B116" s="88" t="str">
        <f>'дод. 3'!A13</f>
        <v>0160</v>
      </c>
      <c r="C116" s="88" t="str">
        <f>'дод. 3'!B13</f>
        <v>0111</v>
      </c>
      <c r="D116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16" s="90">
        <f>F116+I116</f>
        <v>40183900</v>
      </c>
      <c r="F116" s="90">
        <f>40471900-288000</f>
        <v>40183900</v>
      </c>
      <c r="G116" s="90">
        <v>31781350</v>
      </c>
      <c r="H116" s="90">
        <v>676100</v>
      </c>
      <c r="I116" s="90"/>
      <c r="J116" s="90">
        <f>K116+N116</f>
        <v>572000</v>
      </c>
      <c r="K116" s="90"/>
      <c r="L116" s="90"/>
      <c r="M116" s="90"/>
      <c r="N116" s="90">
        <f>700000-128000</f>
        <v>572000</v>
      </c>
      <c r="O116" s="90">
        <f>700000-128000</f>
        <v>572000</v>
      </c>
      <c r="P116" s="90">
        <f>E116+J116</f>
        <v>40755900</v>
      </c>
      <c r="Q116" s="252"/>
      <c r="R116" s="193"/>
      <c r="S116" s="193"/>
      <c r="T116" s="193"/>
    </row>
    <row r="117" spans="1:20" s="4" customFormat="1" ht="69" customHeight="1">
      <c r="A117" s="88" t="s">
        <v>529</v>
      </c>
      <c r="B117" s="162" t="str">
        <f>'дод. 3'!A62</f>
        <v>3010</v>
      </c>
      <c r="C117" s="162">
        <f>'дод. 3'!B62</f>
        <v>0</v>
      </c>
      <c r="D117" s="122" t="str">
        <f>'дод. 3'!C62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17" s="90">
        <f aca="true" t="shared" si="43" ref="E117:P117">E119+E121</f>
        <v>772232100</v>
      </c>
      <c r="F117" s="90">
        <f t="shared" si="43"/>
        <v>772232100</v>
      </c>
      <c r="G117" s="90">
        <f t="shared" si="43"/>
        <v>0</v>
      </c>
      <c r="H117" s="90">
        <f t="shared" si="43"/>
        <v>0</v>
      </c>
      <c r="I117" s="90">
        <f t="shared" si="43"/>
        <v>0</v>
      </c>
      <c r="J117" s="90">
        <f t="shared" si="43"/>
        <v>0</v>
      </c>
      <c r="K117" s="90">
        <f t="shared" si="43"/>
        <v>0</v>
      </c>
      <c r="L117" s="90">
        <f t="shared" si="43"/>
        <v>0</v>
      </c>
      <c r="M117" s="90">
        <f t="shared" si="43"/>
        <v>0</v>
      </c>
      <c r="N117" s="90">
        <f t="shared" si="43"/>
        <v>0</v>
      </c>
      <c r="O117" s="90">
        <f t="shared" si="43"/>
        <v>0</v>
      </c>
      <c r="P117" s="90">
        <f t="shared" si="43"/>
        <v>772232100</v>
      </c>
      <c r="Q117" s="252"/>
      <c r="R117" s="198"/>
      <c r="S117" s="198"/>
      <c r="T117" s="198"/>
    </row>
    <row r="118" spans="1:20" s="4" customFormat="1" ht="15">
      <c r="A118" s="88"/>
      <c r="B118" s="162">
        <f>'дод. 3'!A63</f>
        <v>0</v>
      </c>
      <c r="C118" s="162">
        <f>'дод. 3'!B63</f>
        <v>0</v>
      </c>
      <c r="D118" s="122" t="str">
        <f>'дод. 3'!C63</f>
        <v>у т.ч. за рахунок субвенцій з держбюджету</v>
      </c>
      <c r="E118" s="90">
        <f aca="true" t="shared" si="44" ref="E118:P118">E120+E122</f>
        <v>772232100</v>
      </c>
      <c r="F118" s="90">
        <f t="shared" si="44"/>
        <v>772232100</v>
      </c>
      <c r="G118" s="90">
        <f t="shared" si="44"/>
        <v>0</v>
      </c>
      <c r="H118" s="90">
        <f t="shared" si="44"/>
        <v>0</v>
      </c>
      <c r="I118" s="90">
        <f t="shared" si="44"/>
        <v>0</v>
      </c>
      <c r="J118" s="90">
        <f t="shared" si="44"/>
        <v>0</v>
      </c>
      <c r="K118" s="90">
        <f t="shared" si="44"/>
        <v>0</v>
      </c>
      <c r="L118" s="90">
        <f t="shared" si="44"/>
        <v>0</v>
      </c>
      <c r="M118" s="90">
        <f t="shared" si="44"/>
        <v>0</v>
      </c>
      <c r="N118" s="90">
        <f t="shared" si="44"/>
        <v>0</v>
      </c>
      <c r="O118" s="90">
        <f t="shared" si="44"/>
        <v>0</v>
      </c>
      <c r="P118" s="90">
        <f t="shared" si="44"/>
        <v>772232100</v>
      </c>
      <c r="Q118" s="252"/>
      <c r="R118" s="198"/>
      <c r="S118" s="198"/>
      <c r="T118" s="198"/>
    </row>
    <row r="119" spans="1:20" s="134" customFormat="1" ht="45" customHeight="1">
      <c r="A119" s="91" t="s">
        <v>530</v>
      </c>
      <c r="B119" s="169" t="str">
        <f>'дод. 3'!A64</f>
        <v>3011</v>
      </c>
      <c r="C119" s="169">
        <f>'дод. 3'!B64</f>
        <v>1030</v>
      </c>
      <c r="D119" s="119" t="str">
        <f>'дод. 3'!C64</f>
        <v>Надання пільг на оплату житлово-комунальних послуг окремим категоріям громадян відповідно до законодавства </v>
      </c>
      <c r="E119" s="93">
        <f>F119+I119</f>
        <v>66261200</v>
      </c>
      <c r="F119" s="93">
        <v>66261200</v>
      </c>
      <c r="G119" s="93"/>
      <c r="H119" s="93"/>
      <c r="I119" s="93"/>
      <c r="J119" s="93">
        <f>K119+N119</f>
        <v>0</v>
      </c>
      <c r="K119" s="93"/>
      <c r="L119" s="93"/>
      <c r="M119" s="93"/>
      <c r="N119" s="93"/>
      <c r="O119" s="93"/>
      <c r="P119" s="93">
        <f>E119+J119</f>
        <v>66261200</v>
      </c>
      <c r="Q119" s="252"/>
      <c r="R119" s="195"/>
      <c r="S119" s="195"/>
      <c r="T119" s="195"/>
    </row>
    <row r="120" spans="1:20" s="134" customFormat="1" ht="15">
      <c r="A120" s="91"/>
      <c r="B120" s="169">
        <f>'дод. 3'!A65</f>
        <v>0</v>
      </c>
      <c r="C120" s="169">
        <f>'дод. 3'!B65</f>
        <v>0</v>
      </c>
      <c r="D120" s="119" t="str">
        <f>'дод. 3'!C65</f>
        <v>у т.ч. за рахунок субвенцій з держбюджету</v>
      </c>
      <c r="E120" s="93">
        <f>F120+I120</f>
        <v>66261200</v>
      </c>
      <c r="F120" s="93">
        <v>66261200</v>
      </c>
      <c r="G120" s="93"/>
      <c r="H120" s="93"/>
      <c r="I120" s="93"/>
      <c r="J120" s="93">
        <f>K120+N120</f>
        <v>0</v>
      </c>
      <c r="K120" s="93"/>
      <c r="L120" s="93"/>
      <c r="M120" s="93"/>
      <c r="N120" s="93"/>
      <c r="O120" s="93"/>
      <c r="P120" s="93">
        <f>E120+J120</f>
        <v>66261200</v>
      </c>
      <c r="Q120" s="252"/>
      <c r="R120" s="195"/>
      <c r="S120" s="195"/>
      <c r="T120" s="195"/>
    </row>
    <row r="121" spans="1:20" s="134" customFormat="1" ht="37.5" customHeight="1">
      <c r="A121" s="91" t="s">
        <v>531</v>
      </c>
      <c r="B121" s="169" t="str">
        <f>'дод. 3'!A66</f>
        <v>3012</v>
      </c>
      <c r="C121" s="169">
        <f>'дод. 3'!B66</f>
        <v>1060</v>
      </c>
      <c r="D121" s="119" t="str">
        <f>'дод. 3'!C66</f>
        <v>Надання субсидій населенню для відшкодування витрат на оплату житлово-комунальних послуг</v>
      </c>
      <c r="E121" s="93">
        <f>F121+I121</f>
        <v>705970900</v>
      </c>
      <c r="F121" s="93">
        <v>705970900</v>
      </c>
      <c r="G121" s="93"/>
      <c r="H121" s="93"/>
      <c r="I121" s="93"/>
      <c r="J121" s="93">
        <f>K121+N121</f>
        <v>0</v>
      </c>
      <c r="K121" s="93"/>
      <c r="L121" s="93"/>
      <c r="M121" s="93"/>
      <c r="N121" s="93"/>
      <c r="O121" s="93"/>
      <c r="P121" s="93">
        <f>E121+J121</f>
        <v>705970900</v>
      </c>
      <c r="Q121" s="252"/>
      <c r="R121" s="195"/>
      <c r="S121" s="195"/>
      <c r="T121" s="195"/>
    </row>
    <row r="122" spans="1:20" s="134" customFormat="1" ht="15">
      <c r="A122" s="91"/>
      <c r="B122" s="169">
        <f>'дод. 3'!A67</f>
        <v>0</v>
      </c>
      <c r="C122" s="169">
        <f>'дод. 3'!B67</f>
        <v>0</v>
      </c>
      <c r="D122" s="119" t="str">
        <f>'дод. 3'!C67</f>
        <v>у т.ч. за рахунок субвенцій з держбюджету</v>
      </c>
      <c r="E122" s="93">
        <f>F122+I122</f>
        <v>705970900</v>
      </c>
      <c r="F122" s="93">
        <v>705970900</v>
      </c>
      <c r="G122" s="93"/>
      <c r="H122" s="93"/>
      <c r="I122" s="93"/>
      <c r="J122" s="93">
        <f>K122+N122</f>
        <v>0</v>
      </c>
      <c r="K122" s="93"/>
      <c r="L122" s="93"/>
      <c r="M122" s="93"/>
      <c r="N122" s="93"/>
      <c r="O122" s="93"/>
      <c r="P122" s="93">
        <f>E122+J122</f>
        <v>705970900</v>
      </c>
      <c r="Q122" s="252"/>
      <c r="R122" s="195"/>
      <c r="S122" s="195"/>
      <c r="T122" s="195"/>
    </row>
    <row r="123" spans="1:20" s="4" customFormat="1" ht="45" customHeight="1">
      <c r="A123" s="88" t="s">
        <v>532</v>
      </c>
      <c r="B123" s="162" t="str">
        <f>'дод. 3'!A68</f>
        <v>3020</v>
      </c>
      <c r="C123" s="162">
        <f>'дод. 3'!B68</f>
        <v>0</v>
      </c>
      <c r="D123" s="122" t="str">
        <f>'дод. 3'!C68</f>
        <v>Надання пільг та субсидій населенню на придбання твердого та рідкого пічного побутового палива і скрапленого газу</v>
      </c>
      <c r="E123" s="90">
        <f aca="true" t="shared" si="45" ref="E123:P123">E125+E127</f>
        <v>375400</v>
      </c>
      <c r="F123" s="90">
        <f t="shared" si="45"/>
        <v>375400</v>
      </c>
      <c r="G123" s="90">
        <f t="shared" si="45"/>
        <v>0</v>
      </c>
      <c r="H123" s="90">
        <f t="shared" si="45"/>
        <v>0</v>
      </c>
      <c r="I123" s="90">
        <f t="shared" si="45"/>
        <v>0</v>
      </c>
      <c r="J123" s="90">
        <f t="shared" si="45"/>
        <v>0</v>
      </c>
      <c r="K123" s="90">
        <f t="shared" si="45"/>
        <v>0</v>
      </c>
      <c r="L123" s="90">
        <f t="shared" si="45"/>
        <v>0</v>
      </c>
      <c r="M123" s="90">
        <f t="shared" si="45"/>
        <v>0</v>
      </c>
      <c r="N123" s="90">
        <f t="shared" si="45"/>
        <v>0</v>
      </c>
      <c r="O123" s="90">
        <f t="shared" si="45"/>
        <v>0</v>
      </c>
      <c r="P123" s="90">
        <f t="shared" si="45"/>
        <v>375400</v>
      </c>
      <c r="Q123" s="252"/>
      <c r="R123" s="198"/>
      <c r="S123" s="198"/>
      <c r="T123" s="198"/>
    </row>
    <row r="124" spans="1:20" s="4" customFormat="1" ht="15">
      <c r="A124" s="88"/>
      <c r="B124" s="162">
        <f>'дод. 3'!A69</f>
        <v>0</v>
      </c>
      <c r="C124" s="162">
        <f>'дод. 3'!B69</f>
        <v>0</v>
      </c>
      <c r="D124" s="122" t="str">
        <f>'дод. 3'!C69</f>
        <v>у т.ч. за рахунок субвенцій з держбюджету</v>
      </c>
      <c r="E124" s="90">
        <f aca="true" t="shared" si="46" ref="E124:P124">E126+E128</f>
        <v>375400</v>
      </c>
      <c r="F124" s="90">
        <f t="shared" si="46"/>
        <v>375400</v>
      </c>
      <c r="G124" s="90">
        <f t="shared" si="46"/>
        <v>0</v>
      </c>
      <c r="H124" s="90">
        <f t="shared" si="46"/>
        <v>0</v>
      </c>
      <c r="I124" s="90">
        <f t="shared" si="46"/>
        <v>0</v>
      </c>
      <c r="J124" s="90">
        <f t="shared" si="46"/>
        <v>0</v>
      </c>
      <c r="K124" s="90">
        <f t="shared" si="46"/>
        <v>0</v>
      </c>
      <c r="L124" s="90">
        <f t="shared" si="46"/>
        <v>0</v>
      </c>
      <c r="M124" s="90">
        <f t="shared" si="46"/>
        <v>0</v>
      </c>
      <c r="N124" s="90">
        <f t="shared" si="46"/>
        <v>0</v>
      </c>
      <c r="O124" s="90">
        <f t="shared" si="46"/>
        <v>0</v>
      </c>
      <c r="P124" s="90">
        <f t="shared" si="46"/>
        <v>375400</v>
      </c>
      <c r="Q124" s="252"/>
      <c r="R124" s="198"/>
      <c r="S124" s="198"/>
      <c r="T124" s="198"/>
    </row>
    <row r="125" spans="1:20" s="134" customFormat="1" ht="59.25" customHeight="1">
      <c r="A125" s="91" t="s">
        <v>533</v>
      </c>
      <c r="B125" s="169" t="str">
        <f>'дод. 3'!A70</f>
        <v>3021</v>
      </c>
      <c r="C125" s="169">
        <f>'дод. 3'!B70</f>
        <v>1030</v>
      </c>
      <c r="D125" s="119" t="str">
        <f>'дод. 3'!C70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5" s="93">
        <f>F125+I125</f>
        <v>57630</v>
      </c>
      <c r="F125" s="93">
        <v>57630</v>
      </c>
      <c r="G125" s="93"/>
      <c r="H125" s="93"/>
      <c r="I125" s="93"/>
      <c r="J125" s="93">
        <f>K125+N125</f>
        <v>0</v>
      </c>
      <c r="K125" s="93"/>
      <c r="L125" s="93"/>
      <c r="M125" s="93"/>
      <c r="N125" s="93"/>
      <c r="O125" s="93"/>
      <c r="P125" s="93">
        <f>E125+J125</f>
        <v>57630</v>
      </c>
      <c r="Q125" s="252"/>
      <c r="R125" s="195"/>
      <c r="S125" s="195"/>
      <c r="T125" s="195"/>
    </row>
    <row r="126" spans="1:20" s="134" customFormat="1" ht="15">
      <c r="A126" s="91"/>
      <c r="B126" s="169">
        <f>'дод. 3'!A71</f>
        <v>0</v>
      </c>
      <c r="C126" s="169">
        <f>'дод. 3'!B71</f>
        <v>0</v>
      </c>
      <c r="D126" s="119" t="str">
        <f>'дод. 3'!C71</f>
        <v>у т.ч. за рахунок субвенцій з держбюджету</v>
      </c>
      <c r="E126" s="93">
        <f>F126+I126</f>
        <v>57630</v>
      </c>
      <c r="F126" s="93">
        <v>57630</v>
      </c>
      <c r="G126" s="93"/>
      <c r="H126" s="93"/>
      <c r="I126" s="93"/>
      <c r="J126" s="93">
        <f>K126+N126</f>
        <v>0</v>
      </c>
      <c r="K126" s="93"/>
      <c r="L126" s="93"/>
      <c r="M126" s="93"/>
      <c r="N126" s="93"/>
      <c r="O126" s="93"/>
      <c r="P126" s="93">
        <f>E126+J126</f>
        <v>57630</v>
      </c>
      <c r="Q126" s="252"/>
      <c r="R126" s="195"/>
      <c r="S126" s="195"/>
      <c r="T126" s="195"/>
    </row>
    <row r="127" spans="1:20" s="134" customFormat="1" ht="49.5" customHeight="1">
      <c r="A127" s="91" t="s">
        <v>534</v>
      </c>
      <c r="B127" s="169" t="str">
        <f>'дод. 3'!A72</f>
        <v>3022</v>
      </c>
      <c r="C127" s="169">
        <f>'дод. 3'!B72</f>
        <v>1060</v>
      </c>
      <c r="D127" s="119" t="str">
        <f>'дод. 3'!C72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7" s="93">
        <f>F127+I127</f>
        <v>317770</v>
      </c>
      <c r="F127" s="93">
        <v>317770</v>
      </c>
      <c r="G127" s="93"/>
      <c r="H127" s="93"/>
      <c r="I127" s="93"/>
      <c r="J127" s="93">
        <f>K127+N127</f>
        <v>0</v>
      </c>
      <c r="K127" s="93"/>
      <c r="L127" s="93"/>
      <c r="M127" s="93"/>
      <c r="N127" s="93"/>
      <c r="O127" s="93"/>
      <c r="P127" s="93">
        <f>E127+J127</f>
        <v>317770</v>
      </c>
      <c r="Q127" s="252"/>
      <c r="R127" s="195"/>
      <c r="S127" s="195"/>
      <c r="T127" s="195"/>
    </row>
    <row r="128" spans="1:20" s="134" customFormat="1" ht="15">
      <c r="A128" s="91"/>
      <c r="B128" s="169">
        <f>'дод. 3'!A73</f>
        <v>0</v>
      </c>
      <c r="C128" s="169">
        <f>'дод. 3'!B73</f>
        <v>0</v>
      </c>
      <c r="D128" s="119" t="str">
        <f>'дод. 3'!C73</f>
        <v>у т.ч. за рахунок субвенцій з держбюджету</v>
      </c>
      <c r="E128" s="93">
        <f>F128+I128</f>
        <v>317770</v>
      </c>
      <c r="F128" s="93">
        <v>317770</v>
      </c>
      <c r="G128" s="93"/>
      <c r="H128" s="93"/>
      <c r="I128" s="93"/>
      <c r="J128" s="93">
        <f>K128+N128</f>
        <v>0</v>
      </c>
      <c r="K128" s="93"/>
      <c r="L128" s="93"/>
      <c r="M128" s="93"/>
      <c r="N128" s="93"/>
      <c r="O128" s="93"/>
      <c r="P128" s="93">
        <f>E128+J128</f>
        <v>317770</v>
      </c>
      <c r="Q128" s="252"/>
      <c r="R128" s="195"/>
      <c r="S128" s="195"/>
      <c r="T128" s="195"/>
    </row>
    <row r="129" spans="1:21" s="145" customFormat="1" ht="60">
      <c r="A129" s="94" t="s">
        <v>293</v>
      </c>
      <c r="B129" s="94" t="str">
        <f>'дод. 3'!A74</f>
        <v>3030</v>
      </c>
      <c r="C129" s="94">
        <f>'дод. 3'!B74</f>
        <v>0</v>
      </c>
      <c r="D129" s="120" t="str">
        <f>'дод. 3'!C74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29" s="96">
        <f>E130+E131+E132+E133</f>
        <v>38674126</v>
      </c>
      <c r="F129" s="96">
        <f aca="true" t="shared" si="47" ref="F129:P129">F130+F131+F132+F133</f>
        <v>38674126</v>
      </c>
      <c r="G129" s="96">
        <f t="shared" si="47"/>
        <v>0</v>
      </c>
      <c r="H129" s="96">
        <f t="shared" si="47"/>
        <v>0</v>
      </c>
      <c r="I129" s="96">
        <f t="shared" si="47"/>
        <v>0</v>
      </c>
      <c r="J129" s="96">
        <f t="shared" si="47"/>
        <v>214000</v>
      </c>
      <c r="K129" s="96">
        <f t="shared" si="47"/>
        <v>0</v>
      </c>
      <c r="L129" s="96">
        <f t="shared" si="47"/>
        <v>0</v>
      </c>
      <c r="M129" s="96">
        <f t="shared" si="47"/>
        <v>0</v>
      </c>
      <c r="N129" s="96">
        <f t="shared" si="47"/>
        <v>214000</v>
      </c>
      <c r="O129" s="96">
        <f t="shared" si="47"/>
        <v>214000</v>
      </c>
      <c r="P129" s="96">
        <f t="shared" si="47"/>
        <v>38888126</v>
      </c>
      <c r="Q129" s="252"/>
      <c r="R129" s="194"/>
      <c r="S129" s="194"/>
      <c r="T129" s="194"/>
      <c r="U129" s="153"/>
    </row>
    <row r="130" spans="1:20" s="146" customFormat="1" ht="36" customHeight="1">
      <c r="A130" s="91" t="s">
        <v>294</v>
      </c>
      <c r="B130" s="91" t="str">
        <f>'дод. 3'!A75</f>
        <v>3031</v>
      </c>
      <c r="C130" s="91" t="str">
        <f>'дод. 3'!B75</f>
        <v>1030</v>
      </c>
      <c r="D130" s="119" t="str">
        <f>'дод. 3'!C75</f>
        <v>Надання інших пільг окремим категоріям громадян відповідно до законодавства</v>
      </c>
      <c r="E130" s="93">
        <f>F130+I130</f>
        <v>371502</v>
      </c>
      <c r="F130" s="93">
        <v>371502</v>
      </c>
      <c r="G130" s="93"/>
      <c r="H130" s="93"/>
      <c r="I130" s="93"/>
      <c r="J130" s="93">
        <f>K130+N130</f>
        <v>214000</v>
      </c>
      <c r="K130" s="93"/>
      <c r="L130" s="93"/>
      <c r="M130" s="93"/>
      <c r="N130" s="93">
        <v>214000</v>
      </c>
      <c r="O130" s="93">
        <v>214000</v>
      </c>
      <c r="P130" s="93">
        <f>E130+J130</f>
        <v>585502</v>
      </c>
      <c r="Q130" s="252"/>
      <c r="R130" s="195"/>
      <c r="S130" s="195"/>
      <c r="T130" s="195"/>
    </row>
    <row r="131" spans="1:20" s="146" customFormat="1" ht="30">
      <c r="A131" s="91" t="s">
        <v>295</v>
      </c>
      <c r="B131" s="91" t="str">
        <f>'дод. 3'!A76</f>
        <v>3032</v>
      </c>
      <c r="C131" s="91" t="str">
        <f>'дод. 3'!B76</f>
        <v>1070</v>
      </c>
      <c r="D131" s="119" t="str">
        <f>'дод. 3'!C76</f>
        <v>Надання пільг окремим категоріям громадян з оплати послуг зв'язку</v>
      </c>
      <c r="E131" s="93">
        <f>F131+I131</f>
        <v>1541402</v>
      </c>
      <c r="F131" s="93">
        <v>1541402</v>
      </c>
      <c r="G131" s="93"/>
      <c r="H131" s="93"/>
      <c r="I131" s="93"/>
      <c r="J131" s="93">
        <f>K131+N131</f>
        <v>0</v>
      </c>
      <c r="K131" s="93"/>
      <c r="L131" s="93"/>
      <c r="M131" s="93"/>
      <c r="N131" s="93"/>
      <c r="O131" s="93"/>
      <c r="P131" s="93">
        <f>E131+J131</f>
        <v>1541402</v>
      </c>
      <c r="Q131" s="252"/>
      <c r="R131" s="195"/>
      <c r="S131" s="195"/>
      <c r="T131" s="195"/>
    </row>
    <row r="132" spans="1:20" s="146" customFormat="1" ht="45">
      <c r="A132" s="91" t="s">
        <v>296</v>
      </c>
      <c r="B132" s="91" t="str">
        <f>'дод. 3'!A77</f>
        <v>3033</v>
      </c>
      <c r="C132" s="91" t="str">
        <f>'дод. 3'!B77</f>
        <v>1070</v>
      </c>
      <c r="D132" s="119" t="str">
        <f>'дод. 3'!C77</f>
        <v>Компенсаційні виплати на пільговий проїзд автомобільним транспортом окремим категоріям громадян</v>
      </c>
      <c r="E132" s="93">
        <f>F132+I132</f>
        <v>9567796</v>
      </c>
      <c r="F132" s="93">
        <f>9466596+101200</f>
        <v>9567796</v>
      </c>
      <c r="G132" s="93"/>
      <c r="H132" s="93"/>
      <c r="I132" s="93"/>
      <c r="J132" s="93">
        <f>K132+N132</f>
        <v>0</v>
      </c>
      <c r="K132" s="93"/>
      <c r="L132" s="93"/>
      <c r="M132" s="93"/>
      <c r="N132" s="93"/>
      <c r="O132" s="93"/>
      <c r="P132" s="93">
        <f>E132+J132</f>
        <v>9567796</v>
      </c>
      <c r="Q132" s="252"/>
      <c r="R132" s="195"/>
      <c r="S132" s="195"/>
      <c r="T132" s="195"/>
    </row>
    <row r="133" spans="1:20" s="146" customFormat="1" ht="39.75" customHeight="1">
      <c r="A133" s="91" t="s">
        <v>297</v>
      </c>
      <c r="B133" s="91" t="str">
        <f>'дод. 3'!A78</f>
        <v>3036</v>
      </c>
      <c r="C133" s="91" t="str">
        <f>'дод. 3'!B78</f>
        <v>1070</v>
      </c>
      <c r="D133" s="119" t="str">
        <f>'дод. 3'!C78</f>
        <v>Компенсаційні виплати на пільговий проїзд електротранспортом окремим категоріям громадян</v>
      </c>
      <c r="E133" s="93">
        <f>F133+I133</f>
        <v>27193426</v>
      </c>
      <c r="F133" s="93">
        <v>27193426</v>
      </c>
      <c r="G133" s="93"/>
      <c r="H133" s="93"/>
      <c r="I133" s="93"/>
      <c r="J133" s="93">
        <f>K133+N133</f>
        <v>0</v>
      </c>
      <c r="K133" s="93"/>
      <c r="L133" s="93"/>
      <c r="M133" s="93"/>
      <c r="N133" s="93"/>
      <c r="O133" s="93"/>
      <c r="P133" s="93">
        <f>E133+J133</f>
        <v>27193426</v>
      </c>
      <c r="Q133" s="252"/>
      <c r="R133" s="195"/>
      <c r="S133" s="195"/>
      <c r="T133" s="195"/>
    </row>
    <row r="134" spans="1:20" s="159" customFormat="1" ht="33" customHeight="1">
      <c r="A134" s="162" t="s">
        <v>551</v>
      </c>
      <c r="B134" s="162" t="str">
        <f>'дод. 3'!A79</f>
        <v>3040</v>
      </c>
      <c r="C134" s="162">
        <f>'дод. 3'!B79</f>
        <v>0</v>
      </c>
      <c r="D134" s="122" t="str">
        <f>'дод. 3'!C79</f>
        <v>Надання допомоги сім'ям з дітьми, малозабезпеченим сім’ям, тимчасової допомоги дітям</v>
      </c>
      <c r="E134" s="90">
        <f aca="true" t="shared" si="48" ref="E134:P134">E136+E138+E140+E142+E144+E146+E148</f>
        <v>257256180</v>
      </c>
      <c r="F134" s="90">
        <f t="shared" si="48"/>
        <v>257256180</v>
      </c>
      <c r="G134" s="90">
        <f t="shared" si="48"/>
        <v>0</v>
      </c>
      <c r="H134" s="90">
        <f t="shared" si="48"/>
        <v>0</v>
      </c>
      <c r="I134" s="90">
        <f t="shared" si="48"/>
        <v>0</v>
      </c>
      <c r="J134" s="90">
        <f t="shared" si="48"/>
        <v>0</v>
      </c>
      <c r="K134" s="90">
        <f t="shared" si="48"/>
        <v>0</v>
      </c>
      <c r="L134" s="90">
        <f t="shared" si="48"/>
        <v>0</v>
      </c>
      <c r="M134" s="90">
        <f t="shared" si="48"/>
        <v>0</v>
      </c>
      <c r="N134" s="90">
        <f t="shared" si="48"/>
        <v>0</v>
      </c>
      <c r="O134" s="90">
        <f t="shared" si="48"/>
        <v>0</v>
      </c>
      <c r="P134" s="90">
        <f t="shared" si="48"/>
        <v>257256180</v>
      </c>
      <c r="Q134" s="252"/>
      <c r="R134" s="198"/>
      <c r="S134" s="198"/>
      <c r="T134" s="198"/>
    </row>
    <row r="135" spans="1:20" s="159" customFormat="1" ht="19.5" customHeight="1">
      <c r="A135" s="162"/>
      <c r="B135" s="162">
        <f>'дод. 3'!A80</f>
        <v>0</v>
      </c>
      <c r="C135" s="162">
        <f>'дод. 3'!B80</f>
        <v>0</v>
      </c>
      <c r="D135" s="122" t="str">
        <f>'дод. 3'!C80</f>
        <v>у т.ч. за рахунок субвенцій з держбюджету</v>
      </c>
      <c r="E135" s="90">
        <f aca="true" t="shared" si="49" ref="E135:P135">E137+E139+E141+E143+E145+E147+E149</f>
        <v>257256180</v>
      </c>
      <c r="F135" s="90">
        <f t="shared" si="49"/>
        <v>257256180</v>
      </c>
      <c r="G135" s="90">
        <f t="shared" si="49"/>
        <v>0</v>
      </c>
      <c r="H135" s="90">
        <f t="shared" si="49"/>
        <v>0</v>
      </c>
      <c r="I135" s="90">
        <f t="shared" si="49"/>
        <v>0</v>
      </c>
      <c r="J135" s="90">
        <f t="shared" si="49"/>
        <v>0</v>
      </c>
      <c r="K135" s="90">
        <f t="shared" si="49"/>
        <v>0</v>
      </c>
      <c r="L135" s="90">
        <f t="shared" si="49"/>
        <v>0</v>
      </c>
      <c r="M135" s="90">
        <f t="shared" si="49"/>
        <v>0</v>
      </c>
      <c r="N135" s="90">
        <f t="shared" si="49"/>
        <v>0</v>
      </c>
      <c r="O135" s="90">
        <f t="shared" si="49"/>
        <v>0</v>
      </c>
      <c r="P135" s="90">
        <f t="shared" si="49"/>
        <v>257256180</v>
      </c>
      <c r="Q135" s="252"/>
      <c r="R135" s="198"/>
      <c r="S135" s="198"/>
      <c r="T135" s="198"/>
    </row>
    <row r="136" spans="1:20" s="146" customFormat="1" ht="27" customHeight="1">
      <c r="A136" s="169" t="s">
        <v>552</v>
      </c>
      <c r="B136" s="169" t="str">
        <f>'дод. 3'!A81</f>
        <v>3041</v>
      </c>
      <c r="C136" s="169" t="str">
        <f>'дод. 3'!B81</f>
        <v>1040</v>
      </c>
      <c r="D136" s="119" t="str">
        <f>'дод. 3'!C81</f>
        <v>Надання допомоги у зв'язку з вагітністю і пологами</v>
      </c>
      <c r="E136" s="93">
        <f aca="true" t="shared" si="50" ref="E136:E150">F136+I136</f>
        <v>3598320</v>
      </c>
      <c r="F136" s="93">
        <v>3598320</v>
      </c>
      <c r="G136" s="93"/>
      <c r="H136" s="93"/>
      <c r="I136" s="93"/>
      <c r="J136" s="93">
        <f>K136+N136</f>
        <v>0</v>
      </c>
      <c r="K136" s="93"/>
      <c r="L136" s="93"/>
      <c r="M136" s="93"/>
      <c r="N136" s="93"/>
      <c r="O136" s="93"/>
      <c r="P136" s="93">
        <f aca="true" t="shared" si="51" ref="P136:P150">E136+J136</f>
        <v>3598320</v>
      </c>
      <c r="Q136" s="252"/>
      <c r="R136" s="195"/>
      <c r="S136" s="195"/>
      <c r="T136" s="195"/>
    </row>
    <row r="137" spans="1:20" s="146" customFormat="1" ht="19.5" customHeight="1">
      <c r="A137" s="169"/>
      <c r="B137" s="169">
        <f>'дод. 3'!A82</f>
        <v>0</v>
      </c>
      <c r="C137" s="169">
        <f>'дод. 3'!B82</f>
        <v>0</v>
      </c>
      <c r="D137" s="119" t="str">
        <f>'дод. 3'!C82</f>
        <v>у т.ч. за рахунок субвенцій з держбюджету</v>
      </c>
      <c r="E137" s="93">
        <f t="shared" si="50"/>
        <v>3598320</v>
      </c>
      <c r="F137" s="93">
        <v>3598320</v>
      </c>
      <c r="G137" s="93"/>
      <c r="H137" s="93"/>
      <c r="I137" s="93"/>
      <c r="J137" s="93">
        <f aca="true" t="shared" si="52" ref="J137:J149">K137+N137</f>
        <v>0</v>
      </c>
      <c r="K137" s="93"/>
      <c r="L137" s="93"/>
      <c r="M137" s="93"/>
      <c r="N137" s="93"/>
      <c r="O137" s="93"/>
      <c r="P137" s="93">
        <f t="shared" si="51"/>
        <v>3598320</v>
      </c>
      <c r="Q137" s="252"/>
      <c r="R137" s="195"/>
      <c r="S137" s="195"/>
      <c r="T137" s="195"/>
    </row>
    <row r="138" spans="1:20" s="146" customFormat="1" ht="21" customHeight="1">
      <c r="A138" s="169" t="s">
        <v>553</v>
      </c>
      <c r="B138" s="169" t="str">
        <f>'дод. 3'!A83</f>
        <v>3042</v>
      </c>
      <c r="C138" s="169" t="str">
        <f>'дод. 3'!B83</f>
        <v>1040</v>
      </c>
      <c r="D138" s="119" t="str">
        <f>'дод. 3'!C83</f>
        <v>Надання допомоги при усиновленні дитини</v>
      </c>
      <c r="E138" s="93">
        <f t="shared" si="50"/>
        <v>392160</v>
      </c>
      <c r="F138" s="93">
        <v>392160</v>
      </c>
      <c r="G138" s="93"/>
      <c r="H138" s="93"/>
      <c r="I138" s="93"/>
      <c r="J138" s="93">
        <f t="shared" si="52"/>
        <v>0</v>
      </c>
      <c r="K138" s="93"/>
      <c r="L138" s="93"/>
      <c r="M138" s="93"/>
      <c r="N138" s="93"/>
      <c r="O138" s="93"/>
      <c r="P138" s="93">
        <f t="shared" si="51"/>
        <v>392160</v>
      </c>
      <c r="Q138" s="252">
        <v>19</v>
      </c>
      <c r="R138" s="195"/>
      <c r="S138" s="195"/>
      <c r="T138" s="195"/>
    </row>
    <row r="139" spans="1:20" s="146" customFormat="1" ht="19.5" customHeight="1">
      <c r="A139" s="169"/>
      <c r="B139" s="169">
        <f>'дод. 3'!A84</f>
        <v>0</v>
      </c>
      <c r="C139" s="169">
        <f>'дод. 3'!B84</f>
        <v>0</v>
      </c>
      <c r="D139" s="119" t="str">
        <f>'дод. 3'!C84</f>
        <v>у т.ч. за рахунок субвенцій з держбюджету</v>
      </c>
      <c r="E139" s="93">
        <f t="shared" si="50"/>
        <v>392160</v>
      </c>
      <c r="F139" s="93">
        <v>392160</v>
      </c>
      <c r="G139" s="93"/>
      <c r="H139" s="93"/>
      <c r="I139" s="93"/>
      <c r="J139" s="93">
        <f t="shared" si="52"/>
        <v>0</v>
      </c>
      <c r="K139" s="93"/>
      <c r="L139" s="93"/>
      <c r="M139" s="93"/>
      <c r="N139" s="93"/>
      <c r="O139" s="93"/>
      <c r="P139" s="93">
        <f t="shared" si="51"/>
        <v>392160</v>
      </c>
      <c r="Q139" s="252"/>
      <c r="R139" s="195"/>
      <c r="S139" s="195"/>
      <c r="T139" s="195"/>
    </row>
    <row r="140" spans="1:20" s="146" customFormat="1" ht="19.5" customHeight="1">
      <c r="A140" s="169" t="s">
        <v>554</v>
      </c>
      <c r="B140" s="169" t="str">
        <f>'дод. 3'!A85</f>
        <v>3043</v>
      </c>
      <c r="C140" s="169" t="str">
        <f>'дод. 3'!B85</f>
        <v>1040</v>
      </c>
      <c r="D140" s="119" t="str">
        <f>'дод. 3'!C85</f>
        <v>Надання допомоги при народженні дитини</v>
      </c>
      <c r="E140" s="93">
        <f t="shared" si="50"/>
        <v>134165700</v>
      </c>
      <c r="F140" s="93">
        <v>134165700</v>
      </c>
      <c r="G140" s="93"/>
      <c r="H140" s="93"/>
      <c r="I140" s="93"/>
      <c r="J140" s="93">
        <f t="shared" si="52"/>
        <v>0</v>
      </c>
      <c r="K140" s="93"/>
      <c r="L140" s="93"/>
      <c r="M140" s="93"/>
      <c r="N140" s="93"/>
      <c r="O140" s="93"/>
      <c r="P140" s="93">
        <f t="shared" si="51"/>
        <v>134165700</v>
      </c>
      <c r="Q140" s="252"/>
      <c r="R140" s="195"/>
      <c r="S140" s="195"/>
      <c r="T140" s="195"/>
    </row>
    <row r="141" spans="1:20" s="146" customFormat="1" ht="19.5" customHeight="1">
      <c r="A141" s="169"/>
      <c r="B141" s="169">
        <f>'дод. 3'!A86</f>
        <v>0</v>
      </c>
      <c r="C141" s="169">
        <f>'дод. 3'!B86</f>
        <v>0</v>
      </c>
      <c r="D141" s="119" t="str">
        <f>'дод. 3'!C86</f>
        <v>у т.ч. за рахунок субвенцій з держбюджету</v>
      </c>
      <c r="E141" s="93">
        <f t="shared" si="50"/>
        <v>134165700</v>
      </c>
      <c r="F141" s="93">
        <v>134165700</v>
      </c>
      <c r="G141" s="93"/>
      <c r="H141" s="93"/>
      <c r="I141" s="93"/>
      <c r="J141" s="93">
        <f t="shared" si="52"/>
        <v>0</v>
      </c>
      <c r="K141" s="93"/>
      <c r="L141" s="93"/>
      <c r="M141" s="93"/>
      <c r="N141" s="93"/>
      <c r="O141" s="93"/>
      <c r="P141" s="93">
        <f t="shared" si="51"/>
        <v>134165700</v>
      </c>
      <c r="Q141" s="252"/>
      <c r="R141" s="195"/>
      <c r="S141" s="195"/>
      <c r="T141" s="195"/>
    </row>
    <row r="142" spans="1:20" s="146" customFormat="1" ht="30.75" customHeight="1">
      <c r="A142" s="169" t="s">
        <v>555</v>
      </c>
      <c r="B142" s="169" t="str">
        <f>'дод. 3'!A87</f>
        <v>3044</v>
      </c>
      <c r="C142" s="169" t="str">
        <f>'дод. 3'!B87</f>
        <v>1040</v>
      </c>
      <c r="D142" s="119" t="str">
        <f>'дод. 3'!C87</f>
        <v>Надання допомоги на дітей, над якими встановлено опіку чи піклування</v>
      </c>
      <c r="E142" s="93">
        <f t="shared" si="50"/>
        <v>10265200</v>
      </c>
      <c r="F142" s="93">
        <v>10265200</v>
      </c>
      <c r="G142" s="93"/>
      <c r="H142" s="93"/>
      <c r="I142" s="93"/>
      <c r="J142" s="93">
        <f t="shared" si="52"/>
        <v>0</v>
      </c>
      <c r="K142" s="93"/>
      <c r="L142" s="93"/>
      <c r="M142" s="93"/>
      <c r="N142" s="93"/>
      <c r="O142" s="93"/>
      <c r="P142" s="93">
        <f t="shared" si="51"/>
        <v>10265200</v>
      </c>
      <c r="Q142" s="252"/>
      <c r="R142" s="195"/>
      <c r="S142" s="195"/>
      <c r="T142" s="195"/>
    </row>
    <row r="143" spans="1:20" s="146" customFormat="1" ht="19.5" customHeight="1">
      <c r="A143" s="169"/>
      <c r="B143" s="169">
        <f>'дод. 3'!A88</f>
        <v>0</v>
      </c>
      <c r="C143" s="169">
        <f>'дод. 3'!B88</f>
        <v>0</v>
      </c>
      <c r="D143" s="119" t="str">
        <f>'дод. 3'!C88</f>
        <v>у т.ч. за рахунок субвенцій з держбюджету</v>
      </c>
      <c r="E143" s="93">
        <f t="shared" si="50"/>
        <v>10265200</v>
      </c>
      <c r="F143" s="93">
        <v>10265200</v>
      </c>
      <c r="G143" s="93"/>
      <c r="H143" s="93"/>
      <c r="I143" s="93"/>
      <c r="J143" s="93">
        <f t="shared" si="52"/>
        <v>0</v>
      </c>
      <c r="K143" s="93"/>
      <c r="L143" s="93"/>
      <c r="M143" s="93"/>
      <c r="N143" s="93"/>
      <c r="O143" s="93"/>
      <c r="P143" s="93">
        <f t="shared" si="51"/>
        <v>10265200</v>
      </c>
      <c r="Q143" s="252"/>
      <c r="R143" s="195"/>
      <c r="S143" s="195"/>
      <c r="T143" s="195"/>
    </row>
    <row r="144" spans="1:20" s="146" customFormat="1" ht="22.5" customHeight="1">
      <c r="A144" s="169" t="s">
        <v>556</v>
      </c>
      <c r="B144" s="169" t="str">
        <f>'дод. 3'!A89</f>
        <v>3045</v>
      </c>
      <c r="C144" s="169" t="str">
        <f>'дод. 3'!B89</f>
        <v>1040</v>
      </c>
      <c r="D144" s="119" t="str">
        <f>'дод. 3'!C89</f>
        <v>Надання допомоги на дітей одиноким матерям</v>
      </c>
      <c r="E144" s="93">
        <f t="shared" si="50"/>
        <v>50558840</v>
      </c>
      <c r="F144" s="93">
        <v>50558840</v>
      </c>
      <c r="G144" s="93"/>
      <c r="H144" s="93"/>
      <c r="I144" s="93"/>
      <c r="J144" s="93">
        <f t="shared" si="52"/>
        <v>0</v>
      </c>
      <c r="K144" s="93"/>
      <c r="L144" s="93"/>
      <c r="M144" s="93"/>
      <c r="N144" s="93"/>
      <c r="O144" s="93"/>
      <c r="P144" s="93">
        <f t="shared" si="51"/>
        <v>50558840</v>
      </c>
      <c r="Q144" s="252"/>
      <c r="R144" s="195"/>
      <c r="S144" s="195"/>
      <c r="T144" s="195"/>
    </row>
    <row r="145" spans="1:20" s="146" customFormat="1" ht="19.5" customHeight="1">
      <c r="A145" s="169"/>
      <c r="B145" s="169">
        <f>'дод. 3'!A90</f>
        <v>0</v>
      </c>
      <c r="C145" s="169">
        <f>'дод. 3'!B90</f>
        <v>0</v>
      </c>
      <c r="D145" s="119" t="str">
        <f>'дод. 3'!C90</f>
        <v>у т.ч. за рахунок субвенцій з держбюджету</v>
      </c>
      <c r="E145" s="93">
        <f t="shared" si="50"/>
        <v>50558840</v>
      </c>
      <c r="F145" s="93">
        <v>50558840</v>
      </c>
      <c r="G145" s="93"/>
      <c r="H145" s="93"/>
      <c r="I145" s="93"/>
      <c r="J145" s="93">
        <f t="shared" si="52"/>
        <v>0</v>
      </c>
      <c r="K145" s="93"/>
      <c r="L145" s="93"/>
      <c r="M145" s="93"/>
      <c r="N145" s="93"/>
      <c r="O145" s="93"/>
      <c r="P145" s="93">
        <f t="shared" si="51"/>
        <v>50558840</v>
      </c>
      <c r="Q145" s="252"/>
      <c r="R145" s="195"/>
      <c r="S145" s="195"/>
      <c r="T145" s="195"/>
    </row>
    <row r="146" spans="1:20" s="146" customFormat="1" ht="20.25" customHeight="1">
      <c r="A146" s="169" t="s">
        <v>557</v>
      </c>
      <c r="B146" s="169" t="str">
        <f>'дод. 3'!A91</f>
        <v>3046</v>
      </c>
      <c r="C146" s="169" t="str">
        <f>'дод. 3'!B91</f>
        <v>1040</v>
      </c>
      <c r="D146" s="119" t="str">
        <f>'дод. 3'!C91</f>
        <v>Надання тимчасової державної допомоги дітям</v>
      </c>
      <c r="E146" s="93">
        <f t="shared" si="50"/>
        <v>2245360</v>
      </c>
      <c r="F146" s="93">
        <v>2245360</v>
      </c>
      <c r="G146" s="93"/>
      <c r="H146" s="93"/>
      <c r="I146" s="93"/>
      <c r="J146" s="93">
        <f t="shared" si="52"/>
        <v>0</v>
      </c>
      <c r="K146" s="93"/>
      <c r="L146" s="93"/>
      <c r="M146" s="93"/>
      <c r="N146" s="93"/>
      <c r="O146" s="93"/>
      <c r="P146" s="93">
        <f t="shared" si="51"/>
        <v>2245360</v>
      </c>
      <c r="Q146" s="252"/>
      <c r="R146" s="195"/>
      <c r="S146" s="195"/>
      <c r="T146" s="195"/>
    </row>
    <row r="147" spans="1:20" s="146" customFormat="1" ht="19.5" customHeight="1">
      <c r="A147" s="169"/>
      <c r="B147" s="169">
        <f>'дод. 3'!A92</f>
        <v>0</v>
      </c>
      <c r="C147" s="169">
        <f>'дод. 3'!B92</f>
        <v>0</v>
      </c>
      <c r="D147" s="119" t="str">
        <f>'дод. 3'!C92</f>
        <v>у т.ч. за рахунок субвенцій з держбюджету</v>
      </c>
      <c r="E147" s="93">
        <f t="shared" si="50"/>
        <v>2245360</v>
      </c>
      <c r="F147" s="93">
        <v>2245360</v>
      </c>
      <c r="G147" s="93"/>
      <c r="H147" s="93"/>
      <c r="I147" s="93"/>
      <c r="J147" s="93">
        <f t="shared" si="52"/>
        <v>0</v>
      </c>
      <c r="K147" s="93"/>
      <c r="L147" s="93"/>
      <c r="M147" s="93"/>
      <c r="N147" s="93"/>
      <c r="O147" s="93"/>
      <c r="P147" s="93">
        <f t="shared" si="51"/>
        <v>2245360</v>
      </c>
      <c r="Q147" s="252"/>
      <c r="R147" s="195"/>
      <c r="S147" s="195"/>
      <c r="T147" s="195"/>
    </row>
    <row r="148" spans="1:20" s="146" customFormat="1" ht="31.5" customHeight="1">
      <c r="A148" s="169" t="s">
        <v>558</v>
      </c>
      <c r="B148" s="169" t="str">
        <f>'дод. 3'!A93</f>
        <v>3047</v>
      </c>
      <c r="C148" s="169" t="str">
        <f>'дод. 3'!B93</f>
        <v>1040</v>
      </c>
      <c r="D148" s="119" t="str">
        <f>'дод. 3'!C93</f>
        <v>Надання державної соціальної допомоги малозабезпеченим сім’ям</v>
      </c>
      <c r="E148" s="93">
        <f t="shared" si="50"/>
        <v>56030600</v>
      </c>
      <c r="F148" s="93">
        <v>56030600</v>
      </c>
      <c r="G148" s="93"/>
      <c r="H148" s="93"/>
      <c r="I148" s="93"/>
      <c r="J148" s="93">
        <f t="shared" si="52"/>
        <v>0</v>
      </c>
      <c r="K148" s="93"/>
      <c r="L148" s="93"/>
      <c r="M148" s="93"/>
      <c r="N148" s="93"/>
      <c r="O148" s="93"/>
      <c r="P148" s="93">
        <f t="shared" si="51"/>
        <v>56030600</v>
      </c>
      <c r="Q148" s="252"/>
      <c r="R148" s="195"/>
      <c r="S148" s="195"/>
      <c r="T148" s="195"/>
    </row>
    <row r="149" spans="1:20" s="146" customFormat="1" ht="19.5" customHeight="1">
      <c r="A149" s="169"/>
      <c r="B149" s="169">
        <f>'дод. 3'!A94</f>
        <v>0</v>
      </c>
      <c r="C149" s="169">
        <f>'дод. 3'!B94</f>
        <v>0</v>
      </c>
      <c r="D149" s="119" t="str">
        <f>'дод. 3'!C94</f>
        <v>у т.ч. за рахунок субвенцій з держбюджету</v>
      </c>
      <c r="E149" s="93">
        <f t="shared" si="50"/>
        <v>56030600</v>
      </c>
      <c r="F149" s="93">
        <v>56030600</v>
      </c>
      <c r="G149" s="93"/>
      <c r="H149" s="93"/>
      <c r="I149" s="93"/>
      <c r="J149" s="93">
        <f t="shared" si="52"/>
        <v>0</v>
      </c>
      <c r="K149" s="93"/>
      <c r="L149" s="93"/>
      <c r="M149" s="93"/>
      <c r="N149" s="93"/>
      <c r="O149" s="93"/>
      <c r="P149" s="93">
        <f t="shared" si="51"/>
        <v>56030600</v>
      </c>
      <c r="Q149" s="252"/>
      <c r="R149" s="195"/>
      <c r="S149" s="195"/>
      <c r="T149" s="195"/>
    </row>
    <row r="150" spans="1:20" s="4" customFormat="1" ht="30.75" customHeight="1">
      <c r="A150" s="94" t="s">
        <v>298</v>
      </c>
      <c r="B150" s="94" t="str">
        <f>'дод. 3'!A95</f>
        <v>3050</v>
      </c>
      <c r="C150" s="94" t="str">
        <f>'дод. 3'!B95</f>
        <v>1070</v>
      </c>
      <c r="D150" s="120" t="str">
        <f>'дод. 3'!C95</f>
        <v>Пільгове медичне обслуговування осіб, які постраждали внаслідок Чорнобильської катастрофи</v>
      </c>
      <c r="E150" s="96">
        <f t="shared" si="50"/>
        <v>1203435</v>
      </c>
      <c r="F150" s="96">
        <f>578335+625100</f>
        <v>1203435</v>
      </c>
      <c r="G150" s="96"/>
      <c r="H150" s="96"/>
      <c r="I150" s="96"/>
      <c r="J150" s="96">
        <f>K150+N150</f>
        <v>0</v>
      </c>
      <c r="K150" s="96"/>
      <c r="L150" s="96"/>
      <c r="M150" s="96"/>
      <c r="N150" s="96"/>
      <c r="O150" s="96"/>
      <c r="P150" s="96">
        <f t="shared" si="51"/>
        <v>1203435</v>
      </c>
      <c r="Q150" s="252"/>
      <c r="R150" s="193"/>
      <c r="S150" s="193"/>
      <c r="T150" s="193"/>
    </row>
    <row r="151" spans="1:20" s="4" customFormat="1" ht="138.75" customHeight="1">
      <c r="A151" s="94" t="s">
        <v>573</v>
      </c>
      <c r="B151" s="94" t="str">
        <f>'дод. 3'!A96</f>
        <v>3080</v>
      </c>
      <c r="C151" s="94">
        <f>'дод. 3'!B96</f>
        <v>0</v>
      </c>
      <c r="D151" s="89" t="s">
        <v>565</v>
      </c>
      <c r="E151" s="96">
        <f aca="true" t="shared" si="53" ref="E151:P151">E153+E155+E157+E159+E161</f>
        <v>97227520</v>
      </c>
      <c r="F151" s="96">
        <f t="shared" si="53"/>
        <v>97227520</v>
      </c>
      <c r="G151" s="96">
        <f t="shared" si="53"/>
        <v>0</v>
      </c>
      <c r="H151" s="96">
        <f t="shared" si="53"/>
        <v>0</v>
      </c>
      <c r="I151" s="96">
        <f t="shared" si="53"/>
        <v>0</v>
      </c>
      <c r="J151" s="96">
        <f t="shared" si="53"/>
        <v>0</v>
      </c>
      <c r="K151" s="96">
        <f t="shared" si="53"/>
        <v>0</v>
      </c>
      <c r="L151" s="96">
        <f t="shared" si="53"/>
        <v>0</v>
      </c>
      <c r="M151" s="96">
        <f t="shared" si="53"/>
        <v>0</v>
      </c>
      <c r="N151" s="96">
        <f t="shared" si="53"/>
        <v>0</v>
      </c>
      <c r="O151" s="96">
        <f t="shared" si="53"/>
        <v>0</v>
      </c>
      <c r="P151" s="96">
        <f t="shared" si="53"/>
        <v>97227520</v>
      </c>
      <c r="Q151" s="252"/>
      <c r="R151" s="201"/>
      <c r="S151" s="201"/>
      <c r="T151" s="201"/>
    </row>
    <row r="152" spans="1:20" s="4" customFormat="1" ht="24.75" customHeight="1">
      <c r="A152" s="94"/>
      <c r="B152" s="94">
        <f>'дод. 3'!A97</f>
        <v>0</v>
      </c>
      <c r="C152" s="94">
        <f>'дод. 3'!B97</f>
        <v>0</v>
      </c>
      <c r="D152" s="120" t="str">
        <f>'дод. 3'!C97</f>
        <v>у т.ч. за рахунок субвенцій з держбюджету</v>
      </c>
      <c r="E152" s="96">
        <f aca="true" t="shared" si="54" ref="E152:P152">E154+E156+E158+E160+E162</f>
        <v>97227520</v>
      </c>
      <c r="F152" s="96">
        <f t="shared" si="54"/>
        <v>97227520</v>
      </c>
      <c r="G152" s="96">
        <f t="shared" si="54"/>
        <v>0</v>
      </c>
      <c r="H152" s="96">
        <f t="shared" si="54"/>
        <v>0</v>
      </c>
      <c r="I152" s="96">
        <f t="shared" si="54"/>
        <v>0</v>
      </c>
      <c r="J152" s="96">
        <f t="shared" si="54"/>
        <v>0</v>
      </c>
      <c r="K152" s="96">
        <f t="shared" si="54"/>
        <v>0</v>
      </c>
      <c r="L152" s="96">
        <f t="shared" si="54"/>
        <v>0</v>
      </c>
      <c r="M152" s="96">
        <f t="shared" si="54"/>
        <v>0</v>
      </c>
      <c r="N152" s="96">
        <f t="shared" si="54"/>
        <v>0</v>
      </c>
      <c r="O152" s="96">
        <f t="shared" si="54"/>
        <v>0</v>
      </c>
      <c r="P152" s="96">
        <f t="shared" si="54"/>
        <v>97227520</v>
      </c>
      <c r="Q152" s="252"/>
      <c r="R152" s="201"/>
      <c r="S152" s="201"/>
      <c r="T152" s="201"/>
    </row>
    <row r="153" spans="1:20" s="134" customFormat="1" ht="35.25" customHeight="1">
      <c r="A153" s="91" t="s">
        <v>574</v>
      </c>
      <c r="B153" s="91" t="str">
        <f>'дод. 3'!A98</f>
        <v>3081</v>
      </c>
      <c r="C153" s="91" t="str">
        <f>'дод. 3'!B98</f>
        <v>1010</v>
      </c>
      <c r="D153" s="119" t="str">
        <f>'дод. 3'!C98</f>
        <v>Надання державної соціальної допомоги особам з інвалідністю з дитинства та дітям з інвалідністю</v>
      </c>
      <c r="E153" s="93">
        <f aca="true" t="shared" si="55" ref="E153:E163">F153+I153</f>
        <v>62044050</v>
      </c>
      <c r="F153" s="93">
        <v>62044050</v>
      </c>
      <c r="G153" s="93"/>
      <c r="H153" s="93"/>
      <c r="I153" s="93"/>
      <c r="J153" s="93">
        <f>K153+N153</f>
        <v>0</v>
      </c>
      <c r="K153" s="93"/>
      <c r="L153" s="93"/>
      <c r="M153" s="93"/>
      <c r="N153" s="93"/>
      <c r="O153" s="93"/>
      <c r="P153" s="93">
        <f aca="true" t="shared" si="56" ref="P153:P163">E153+J153</f>
        <v>62044050</v>
      </c>
      <c r="Q153" s="252"/>
      <c r="R153" s="195"/>
      <c r="S153" s="195"/>
      <c r="T153" s="195"/>
    </row>
    <row r="154" spans="1:20" s="134" customFormat="1" ht="25.5" customHeight="1">
      <c r="A154" s="91"/>
      <c r="B154" s="91">
        <f>'дод. 3'!A99</f>
        <v>0</v>
      </c>
      <c r="C154" s="91">
        <f>'дод. 3'!B99</f>
        <v>0</v>
      </c>
      <c r="D154" s="119" t="str">
        <f>'дод. 3'!C99</f>
        <v>у т.ч. за рахунок субвенцій з держбюджету</v>
      </c>
      <c r="E154" s="93">
        <f t="shared" si="55"/>
        <v>62044050</v>
      </c>
      <c r="F154" s="93">
        <v>62044050</v>
      </c>
      <c r="G154" s="93"/>
      <c r="H154" s="93"/>
      <c r="I154" s="93"/>
      <c r="J154" s="93">
        <f aca="true" t="shared" si="57" ref="J154:J162">K154+N154</f>
        <v>0</v>
      </c>
      <c r="K154" s="93"/>
      <c r="L154" s="93"/>
      <c r="M154" s="93"/>
      <c r="N154" s="93"/>
      <c r="O154" s="93"/>
      <c r="P154" s="93">
        <f t="shared" si="56"/>
        <v>62044050</v>
      </c>
      <c r="Q154" s="252"/>
      <c r="R154" s="195"/>
      <c r="S154" s="195"/>
      <c r="T154" s="195"/>
    </row>
    <row r="155" spans="1:20" s="134" customFormat="1" ht="63" customHeight="1">
      <c r="A155" s="91" t="s">
        <v>575</v>
      </c>
      <c r="B155" s="91" t="str">
        <f>'дод. 3'!A100</f>
        <v>3082</v>
      </c>
      <c r="C155" s="91" t="str">
        <f>'дод. 3'!B100</f>
        <v>1010</v>
      </c>
      <c r="D155" s="119" t="str">
        <f>'дод. 3'!C100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5" s="93">
        <f t="shared" si="55"/>
        <v>12251650</v>
      </c>
      <c r="F155" s="93">
        <v>12251650</v>
      </c>
      <c r="G155" s="93"/>
      <c r="H155" s="93"/>
      <c r="I155" s="93"/>
      <c r="J155" s="93">
        <f t="shared" si="57"/>
        <v>0</v>
      </c>
      <c r="K155" s="93"/>
      <c r="L155" s="93"/>
      <c r="M155" s="93"/>
      <c r="N155" s="93"/>
      <c r="O155" s="93"/>
      <c r="P155" s="93">
        <f t="shared" si="56"/>
        <v>12251650</v>
      </c>
      <c r="Q155" s="252"/>
      <c r="R155" s="195"/>
      <c r="S155" s="195"/>
      <c r="T155" s="195"/>
    </row>
    <row r="156" spans="1:20" s="134" customFormat="1" ht="21" customHeight="1">
      <c r="A156" s="91"/>
      <c r="B156" s="91">
        <f>'дод. 3'!A101</f>
        <v>0</v>
      </c>
      <c r="C156" s="91">
        <f>'дод. 3'!B101</f>
        <v>0</v>
      </c>
      <c r="D156" s="119" t="str">
        <f>'дод. 3'!C101</f>
        <v>у т.ч. за рахунок субвенцій з держбюджету</v>
      </c>
      <c r="E156" s="93">
        <f t="shared" si="55"/>
        <v>12251650</v>
      </c>
      <c r="F156" s="93">
        <v>12251650</v>
      </c>
      <c r="G156" s="93"/>
      <c r="H156" s="93"/>
      <c r="I156" s="93"/>
      <c r="J156" s="93">
        <f t="shared" si="57"/>
        <v>0</v>
      </c>
      <c r="K156" s="93"/>
      <c r="L156" s="93"/>
      <c r="M156" s="93"/>
      <c r="N156" s="93"/>
      <c r="O156" s="93"/>
      <c r="P156" s="93">
        <f t="shared" si="56"/>
        <v>12251650</v>
      </c>
      <c r="Q156" s="252"/>
      <c r="R156" s="195"/>
      <c r="S156" s="195"/>
      <c r="T156" s="195"/>
    </row>
    <row r="157" spans="1:20" s="134" customFormat="1" ht="51.75" customHeight="1">
      <c r="A157" s="91" t="s">
        <v>576</v>
      </c>
      <c r="B157" s="91" t="str">
        <f>'дод. 3'!A102</f>
        <v>3083</v>
      </c>
      <c r="C157" s="91" t="str">
        <f>'дод. 3'!B102</f>
        <v>1010</v>
      </c>
      <c r="D157" s="119" t="str">
        <f>'дод. 3'!C102</f>
        <v>Надання допомоги по догляду за особами з інвалідністю I чи II групи внаслідок психічного розладу</v>
      </c>
      <c r="E157" s="93">
        <f t="shared" si="55"/>
        <v>11516480</v>
      </c>
      <c r="F157" s="93">
        <v>11516480</v>
      </c>
      <c r="G157" s="93"/>
      <c r="H157" s="93"/>
      <c r="I157" s="93"/>
      <c r="J157" s="93">
        <f t="shared" si="57"/>
        <v>0</v>
      </c>
      <c r="K157" s="93"/>
      <c r="L157" s="93"/>
      <c r="M157" s="93"/>
      <c r="N157" s="93"/>
      <c r="O157" s="93"/>
      <c r="P157" s="93">
        <f t="shared" si="56"/>
        <v>11516480</v>
      </c>
      <c r="Q157" s="252"/>
      <c r="R157" s="195"/>
      <c r="S157" s="195"/>
      <c r="T157" s="195"/>
    </row>
    <row r="158" spans="1:20" s="134" customFormat="1" ht="22.5" customHeight="1">
      <c r="A158" s="91"/>
      <c r="B158" s="91">
        <f>'дод. 3'!A103</f>
        <v>0</v>
      </c>
      <c r="C158" s="91">
        <f>'дод. 3'!B103</f>
        <v>0</v>
      </c>
      <c r="D158" s="119" t="str">
        <f>'дод. 3'!C103</f>
        <v>у т.ч. за рахунок субвенцій з держбюджету</v>
      </c>
      <c r="E158" s="93">
        <f t="shared" si="55"/>
        <v>11516480</v>
      </c>
      <c r="F158" s="93">
        <v>11516480</v>
      </c>
      <c r="G158" s="93"/>
      <c r="H158" s="93"/>
      <c r="I158" s="93"/>
      <c r="J158" s="93">
        <f t="shared" si="57"/>
        <v>0</v>
      </c>
      <c r="K158" s="93"/>
      <c r="L158" s="93"/>
      <c r="M158" s="93"/>
      <c r="N158" s="93"/>
      <c r="O158" s="93"/>
      <c r="P158" s="93">
        <f t="shared" si="56"/>
        <v>11516480</v>
      </c>
      <c r="Q158" s="252"/>
      <c r="R158" s="195"/>
      <c r="S158" s="195"/>
      <c r="T158" s="195"/>
    </row>
    <row r="159" spans="1:20" s="134" customFormat="1" ht="47.25" customHeight="1">
      <c r="A159" s="91" t="s">
        <v>577</v>
      </c>
      <c r="B159" s="91" t="str">
        <f>'дод. 3'!A104</f>
        <v>3084</v>
      </c>
      <c r="C159" s="91" t="str">
        <f>'дод. 3'!B104</f>
        <v>1040</v>
      </c>
      <c r="D159" s="119" t="str">
        <f>'дод. 3'!C104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9" s="93">
        <f t="shared" si="55"/>
        <v>11267070</v>
      </c>
      <c r="F159" s="93">
        <v>11267070</v>
      </c>
      <c r="G159" s="93"/>
      <c r="H159" s="93"/>
      <c r="I159" s="93"/>
      <c r="J159" s="93">
        <f t="shared" si="57"/>
        <v>0</v>
      </c>
      <c r="K159" s="93"/>
      <c r="L159" s="93"/>
      <c r="M159" s="93"/>
      <c r="N159" s="93"/>
      <c r="O159" s="93"/>
      <c r="P159" s="93">
        <f t="shared" si="56"/>
        <v>11267070</v>
      </c>
      <c r="Q159" s="252"/>
      <c r="R159" s="195"/>
      <c r="S159" s="195"/>
      <c r="T159" s="195"/>
    </row>
    <row r="160" spans="1:20" s="134" customFormat="1" ht="21.75" customHeight="1">
      <c r="A160" s="91"/>
      <c r="B160" s="91">
        <f>'дод. 3'!A105</f>
        <v>0</v>
      </c>
      <c r="C160" s="91">
        <f>'дод. 3'!B105</f>
        <v>0</v>
      </c>
      <c r="D160" s="119" t="str">
        <f>'дод. 3'!C105</f>
        <v>у т.ч. за рахунок субвенцій з держбюджету</v>
      </c>
      <c r="E160" s="93">
        <f t="shared" si="55"/>
        <v>11267070</v>
      </c>
      <c r="F160" s="93">
        <v>11267070</v>
      </c>
      <c r="G160" s="93"/>
      <c r="H160" s="93"/>
      <c r="I160" s="93"/>
      <c r="J160" s="93">
        <f t="shared" si="57"/>
        <v>0</v>
      </c>
      <c r="K160" s="93"/>
      <c r="L160" s="93"/>
      <c r="M160" s="93"/>
      <c r="N160" s="93"/>
      <c r="O160" s="93"/>
      <c r="P160" s="93">
        <f t="shared" si="56"/>
        <v>11267070</v>
      </c>
      <c r="Q160" s="252"/>
      <c r="R160" s="195"/>
      <c r="S160" s="195"/>
      <c r="T160" s="195"/>
    </row>
    <row r="161" spans="1:20" s="134" customFormat="1" ht="60.75" customHeight="1">
      <c r="A161" s="91" t="s">
        <v>578</v>
      </c>
      <c r="B161" s="91" t="str">
        <f>'дод. 3'!A106</f>
        <v>3085</v>
      </c>
      <c r="C161" s="91" t="str">
        <f>'дод. 3'!B106</f>
        <v>1010</v>
      </c>
      <c r="D161" s="119" t="str">
        <f>'дод. 3'!C106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61" s="93">
        <f t="shared" si="55"/>
        <v>148270</v>
      </c>
      <c r="F161" s="93">
        <v>148270</v>
      </c>
      <c r="G161" s="93"/>
      <c r="H161" s="93"/>
      <c r="I161" s="93"/>
      <c r="J161" s="93">
        <f t="shared" si="57"/>
        <v>0</v>
      </c>
      <c r="K161" s="93"/>
      <c r="L161" s="93"/>
      <c r="M161" s="93"/>
      <c r="N161" s="93"/>
      <c r="O161" s="93"/>
      <c r="P161" s="93">
        <f t="shared" si="56"/>
        <v>148270</v>
      </c>
      <c r="Q161" s="252"/>
      <c r="R161" s="195"/>
      <c r="S161" s="195"/>
      <c r="T161" s="195"/>
    </row>
    <row r="162" spans="1:20" s="134" customFormat="1" ht="15.75" customHeight="1">
      <c r="A162" s="91"/>
      <c r="B162" s="91">
        <f>'дод. 3'!A107</f>
        <v>0</v>
      </c>
      <c r="C162" s="91">
        <f>'дод. 3'!B107</f>
        <v>0</v>
      </c>
      <c r="D162" s="119" t="str">
        <f>'дод. 3'!C107</f>
        <v>у т.ч. за рахунок субвенцій з держбюджету</v>
      </c>
      <c r="E162" s="93">
        <f t="shared" si="55"/>
        <v>148270</v>
      </c>
      <c r="F162" s="93">
        <v>148270</v>
      </c>
      <c r="G162" s="93"/>
      <c r="H162" s="93"/>
      <c r="I162" s="93"/>
      <c r="J162" s="93">
        <f t="shared" si="57"/>
        <v>0</v>
      </c>
      <c r="K162" s="93"/>
      <c r="L162" s="93"/>
      <c r="M162" s="93"/>
      <c r="N162" s="93"/>
      <c r="O162" s="93"/>
      <c r="P162" s="93">
        <f t="shared" si="56"/>
        <v>148270</v>
      </c>
      <c r="Q162" s="252"/>
      <c r="R162" s="195"/>
      <c r="S162" s="195"/>
      <c r="T162" s="195"/>
    </row>
    <row r="163" spans="1:20" s="4" customFormat="1" ht="30.75" customHeight="1">
      <c r="A163" s="94" t="s">
        <v>503</v>
      </c>
      <c r="B163" s="94" t="str">
        <f>'дод. 3'!A108</f>
        <v>3090</v>
      </c>
      <c r="C163" s="94" t="str">
        <f>'дод. 3'!B108</f>
        <v>1030</v>
      </c>
      <c r="D163" s="120" t="str">
        <f>'дод. 3'!C108</f>
        <v>Видатки на поховання учасників бойових дій та осіб з інвалідністю внаслідок війни</v>
      </c>
      <c r="E163" s="96">
        <f t="shared" si="55"/>
        <v>200700</v>
      </c>
      <c r="F163" s="96">
        <v>200700</v>
      </c>
      <c r="G163" s="96"/>
      <c r="H163" s="96"/>
      <c r="I163" s="96"/>
      <c r="J163" s="96">
        <f>K163+N163</f>
        <v>0</v>
      </c>
      <c r="K163" s="96"/>
      <c r="L163" s="96"/>
      <c r="M163" s="96"/>
      <c r="N163" s="96"/>
      <c r="O163" s="96"/>
      <c r="P163" s="96">
        <f t="shared" si="56"/>
        <v>200700</v>
      </c>
      <c r="Q163" s="252"/>
      <c r="R163" s="193"/>
      <c r="S163" s="193"/>
      <c r="T163" s="193"/>
    </row>
    <row r="164" spans="1:20" s="4" customFormat="1" ht="62.25" customHeight="1">
      <c r="A164" s="94" t="s">
        <v>299</v>
      </c>
      <c r="B164" s="94" t="str">
        <f>'дод. 3'!A109</f>
        <v>3100</v>
      </c>
      <c r="C164" s="94">
        <f>'дод. 3'!B109</f>
        <v>0</v>
      </c>
      <c r="D164" s="120" t="str">
        <f>'дод. 3'!C109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64" s="96">
        <f>E165</f>
        <v>9191915</v>
      </c>
      <c r="F164" s="96">
        <f aca="true" t="shared" si="58" ref="F164:P164">F165</f>
        <v>9191915</v>
      </c>
      <c r="G164" s="96">
        <f t="shared" si="58"/>
        <v>6946900</v>
      </c>
      <c r="H164" s="96">
        <f t="shared" si="58"/>
        <v>193245</v>
      </c>
      <c r="I164" s="96">
        <f t="shared" si="58"/>
        <v>0</v>
      </c>
      <c r="J164" s="96">
        <f t="shared" si="58"/>
        <v>76400</v>
      </c>
      <c r="K164" s="96">
        <f t="shared" si="58"/>
        <v>57900</v>
      </c>
      <c r="L164" s="96">
        <f t="shared" si="58"/>
        <v>44700</v>
      </c>
      <c r="M164" s="96">
        <f t="shared" si="58"/>
        <v>0</v>
      </c>
      <c r="N164" s="96">
        <f t="shared" si="58"/>
        <v>18500</v>
      </c>
      <c r="O164" s="96">
        <f t="shared" si="58"/>
        <v>18500</v>
      </c>
      <c r="P164" s="96">
        <f t="shared" si="58"/>
        <v>9268315</v>
      </c>
      <c r="Q164" s="252"/>
      <c r="R164" s="194"/>
      <c r="S164" s="194"/>
      <c r="T164" s="194"/>
    </row>
    <row r="165" spans="1:20" s="134" customFormat="1" ht="60">
      <c r="A165" s="91" t="s">
        <v>300</v>
      </c>
      <c r="B165" s="91" t="str">
        <f>'дод. 3'!A110</f>
        <v>3104</v>
      </c>
      <c r="C165" s="91" t="str">
        <f>'дод. 3'!B110</f>
        <v>1020</v>
      </c>
      <c r="D165" s="119" t="str">
        <f>'дод. 3'!C110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93">
        <f>F165+I165</f>
        <v>9191915</v>
      </c>
      <c r="F165" s="93">
        <v>9191915</v>
      </c>
      <c r="G165" s="93">
        <v>6946900</v>
      </c>
      <c r="H165" s="93">
        <v>193245</v>
      </c>
      <c r="I165" s="93"/>
      <c r="J165" s="93">
        <f>K165+N165</f>
        <v>76400</v>
      </c>
      <c r="K165" s="93">
        <v>57900</v>
      </c>
      <c r="L165" s="93">
        <v>44700</v>
      </c>
      <c r="M165" s="93"/>
      <c r="N165" s="93">
        <v>18500</v>
      </c>
      <c r="O165" s="93">
        <v>18500</v>
      </c>
      <c r="P165" s="93">
        <f>E165+J165</f>
        <v>9268315</v>
      </c>
      <c r="Q165" s="252"/>
      <c r="R165" s="195"/>
      <c r="S165" s="195"/>
      <c r="T165" s="195"/>
    </row>
    <row r="166" spans="1:20" s="4" customFormat="1" ht="81.75" customHeight="1">
      <c r="A166" s="94" t="s">
        <v>301</v>
      </c>
      <c r="B166" s="94" t="str">
        <f>'дод. 3'!A118</f>
        <v>3160</v>
      </c>
      <c r="C166" s="94">
        <f>'дод. 3'!B118</f>
        <v>1010</v>
      </c>
      <c r="D166" s="120" t="str">
        <f>'дод. 3'!C118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96">
        <f>F166+I166</f>
        <v>1673920</v>
      </c>
      <c r="F166" s="96">
        <v>1673920</v>
      </c>
      <c r="G166" s="96"/>
      <c r="H166" s="96"/>
      <c r="I166" s="96"/>
      <c r="J166" s="96">
        <f>O166</f>
        <v>0</v>
      </c>
      <c r="K166" s="96"/>
      <c r="L166" s="96"/>
      <c r="M166" s="96"/>
      <c r="N166" s="96"/>
      <c r="O166" s="96">
        <v>0</v>
      </c>
      <c r="P166" s="96">
        <f>J166+E166</f>
        <v>1673920</v>
      </c>
      <c r="Q166" s="252">
        <v>20</v>
      </c>
      <c r="R166" s="193"/>
      <c r="S166" s="193"/>
      <c r="T166" s="193"/>
    </row>
    <row r="167" spans="1:20" s="4" customFormat="1" ht="36" customHeight="1">
      <c r="A167" s="94" t="s">
        <v>512</v>
      </c>
      <c r="B167" s="94" t="str">
        <f>'дод. 3'!A119</f>
        <v>3170</v>
      </c>
      <c r="C167" s="94">
        <f>'дод. 3'!B119</f>
        <v>0</v>
      </c>
      <c r="D167" s="120" t="str">
        <f>'дод. 3'!C119</f>
        <v>Забезпечення реалізації окремих програм для осіб з інвалідністю</v>
      </c>
      <c r="E167" s="96">
        <f aca="true" t="shared" si="59" ref="E167:P167">E168+E169</f>
        <v>188864</v>
      </c>
      <c r="F167" s="96">
        <f t="shared" si="59"/>
        <v>188864</v>
      </c>
      <c r="G167" s="96">
        <f t="shared" si="59"/>
        <v>0</v>
      </c>
      <c r="H167" s="96">
        <f t="shared" si="59"/>
        <v>0</v>
      </c>
      <c r="I167" s="96">
        <f t="shared" si="59"/>
        <v>0</v>
      </c>
      <c r="J167" s="96">
        <f t="shared" si="59"/>
        <v>0</v>
      </c>
      <c r="K167" s="96">
        <f t="shared" si="59"/>
        <v>0</v>
      </c>
      <c r="L167" s="96">
        <f t="shared" si="59"/>
        <v>0</v>
      </c>
      <c r="M167" s="96">
        <f t="shared" si="59"/>
        <v>0</v>
      </c>
      <c r="N167" s="96">
        <f t="shared" si="59"/>
        <v>0</v>
      </c>
      <c r="O167" s="96">
        <f t="shared" si="59"/>
        <v>0</v>
      </c>
      <c r="P167" s="96">
        <f t="shared" si="59"/>
        <v>188864</v>
      </c>
      <c r="Q167" s="252"/>
      <c r="R167" s="201"/>
      <c r="S167" s="201"/>
      <c r="T167" s="201"/>
    </row>
    <row r="168" spans="1:20" s="134" customFormat="1" ht="52.5" customHeight="1">
      <c r="A168" s="91" t="s">
        <v>513</v>
      </c>
      <c r="B168" s="94" t="str">
        <f>'дод. 3'!A120</f>
        <v>3171</v>
      </c>
      <c r="C168" s="94">
        <f>'дод. 3'!B120</f>
        <v>1010</v>
      </c>
      <c r="D168" s="119" t="str">
        <f>'дод. 3'!C120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8" s="93">
        <f>F168+I168</f>
        <v>188024</v>
      </c>
      <c r="F168" s="93">
        <v>188024</v>
      </c>
      <c r="G168" s="93"/>
      <c r="H168" s="93"/>
      <c r="I168" s="93"/>
      <c r="J168" s="93">
        <f>K168+N168</f>
        <v>0</v>
      </c>
      <c r="K168" s="93"/>
      <c r="L168" s="93"/>
      <c r="M168" s="93"/>
      <c r="N168" s="93"/>
      <c r="O168" s="93"/>
      <c r="P168" s="93">
        <f>E168+J168</f>
        <v>188024</v>
      </c>
      <c r="Q168" s="252"/>
      <c r="R168" s="195"/>
      <c r="S168" s="195"/>
      <c r="T168" s="195"/>
    </row>
    <row r="169" spans="1:20" s="134" customFormat="1" ht="33.75" customHeight="1">
      <c r="A169" s="91" t="s">
        <v>514</v>
      </c>
      <c r="B169" s="94" t="str">
        <f>'дод. 3'!A121</f>
        <v>3172</v>
      </c>
      <c r="C169" s="94">
        <f>'дод. 3'!B121</f>
        <v>1010</v>
      </c>
      <c r="D169" s="119" t="str">
        <f>'дод. 3'!C121</f>
        <v>Встановлення телефонів особам з інвалідністю I і II груп</v>
      </c>
      <c r="E169" s="93">
        <f>F169+I169</f>
        <v>840</v>
      </c>
      <c r="F169" s="93">
        <v>840</v>
      </c>
      <c r="G169" s="93"/>
      <c r="H169" s="93"/>
      <c r="I169" s="93"/>
      <c r="J169" s="93">
        <f>K169+N169</f>
        <v>0</v>
      </c>
      <c r="K169" s="93"/>
      <c r="L169" s="93"/>
      <c r="M169" s="93"/>
      <c r="N169" s="93"/>
      <c r="O169" s="93"/>
      <c r="P169" s="93">
        <f>E169+J169</f>
        <v>840</v>
      </c>
      <c r="Q169" s="252"/>
      <c r="R169" s="195"/>
      <c r="S169" s="195"/>
      <c r="T169" s="195"/>
    </row>
    <row r="170" spans="1:20" s="4" customFormat="1" ht="66" customHeight="1">
      <c r="A170" s="94" t="s">
        <v>302</v>
      </c>
      <c r="B170" s="94" t="str">
        <f>'дод. 3'!A122</f>
        <v>3180</v>
      </c>
      <c r="C170" s="94" t="str">
        <f>'дод. 3'!B122</f>
        <v>1060</v>
      </c>
      <c r="D170" s="120" t="str">
        <f>'дод. 3'!C122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70" s="96">
        <f>F170+I170</f>
        <v>1242491</v>
      </c>
      <c r="F170" s="96">
        <v>1242491</v>
      </c>
      <c r="G170" s="96"/>
      <c r="H170" s="96"/>
      <c r="I170" s="96"/>
      <c r="J170" s="96">
        <f>K170+N170</f>
        <v>0</v>
      </c>
      <c r="K170" s="96"/>
      <c r="L170" s="96"/>
      <c r="M170" s="96"/>
      <c r="N170" s="96"/>
      <c r="O170" s="96"/>
      <c r="P170" s="96">
        <f>E170+J170</f>
        <v>1242491</v>
      </c>
      <c r="Q170" s="252"/>
      <c r="R170" s="193"/>
      <c r="S170" s="193"/>
      <c r="T170" s="193"/>
    </row>
    <row r="171" spans="1:20" s="4" customFormat="1" ht="21.75" customHeight="1">
      <c r="A171" s="94" t="s">
        <v>487</v>
      </c>
      <c r="B171" s="94" t="str">
        <f>'дод. 3'!A123</f>
        <v>3190</v>
      </c>
      <c r="C171" s="94">
        <f>'дод. 3'!B123</f>
        <v>0</v>
      </c>
      <c r="D171" s="120" t="str">
        <f>'дод. 3'!C123</f>
        <v>Соціальний захист ветеранів війни та праці</v>
      </c>
      <c r="E171" s="96">
        <f>E172+E173</f>
        <v>2940434</v>
      </c>
      <c r="F171" s="96">
        <f aca="true" t="shared" si="60" ref="F171:P171">F172+F173</f>
        <v>2940434</v>
      </c>
      <c r="G171" s="96">
        <f t="shared" si="60"/>
        <v>0</v>
      </c>
      <c r="H171" s="96">
        <f t="shared" si="60"/>
        <v>0</v>
      </c>
      <c r="I171" s="96">
        <f t="shared" si="60"/>
        <v>0</v>
      </c>
      <c r="J171" s="96">
        <f t="shared" si="60"/>
        <v>0</v>
      </c>
      <c r="K171" s="96">
        <f t="shared" si="60"/>
        <v>0</v>
      </c>
      <c r="L171" s="96">
        <f t="shared" si="60"/>
        <v>0</v>
      </c>
      <c r="M171" s="96">
        <f t="shared" si="60"/>
        <v>0</v>
      </c>
      <c r="N171" s="96">
        <f t="shared" si="60"/>
        <v>0</v>
      </c>
      <c r="O171" s="96">
        <f t="shared" si="60"/>
        <v>0</v>
      </c>
      <c r="P171" s="96">
        <f t="shared" si="60"/>
        <v>2940434</v>
      </c>
      <c r="Q171" s="252"/>
      <c r="R171" s="194"/>
      <c r="S171" s="194"/>
      <c r="T171" s="194"/>
    </row>
    <row r="172" spans="1:20" s="134" customFormat="1" ht="30">
      <c r="A172" s="91" t="s">
        <v>488</v>
      </c>
      <c r="B172" s="91" t="str">
        <f>'дод. 3'!A124</f>
        <v>3191</v>
      </c>
      <c r="C172" s="91" t="str">
        <f>'дод. 3'!B124</f>
        <v>1030</v>
      </c>
      <c r="D172" s="119" t="str">
        <f>'дод. 3'!C124</f>
        <v>Інші видатки на соціальний захист ветеранів війни та праці</v>
      </c>
      <c r="E172" s="93">
        <f aca="true" t="shared" si="61" ref="E172:E177">F172+I172</f>
        <v>1748334</v>
      </c>
      <c r="F172" s="93">
        <f>1736305-10378+22407</f>
        <v>1748334</v>
      </c>
      <c r="G172" s="93"/>
      <c r="H172" s="93"/>
      <c r="I172" s="93"/>
      <c r="J172" s="93">
        <f aca="true" t="shared" si="62" ref="J172:J182">K172+N172</f>
        <v>0</v>
      </c>
      <c r="K172" s="93"/>
      <c r="L172" s="93"/>
      <c r="M172" s="93"/>
      <c r="N172" s="93"/>
      <c r="O172" s="93"/>
      <c r="P172" s="93">
        <f aca="true" t="shared" si="63" ref="P172:P177">E172+J172</f>
        <v>1748334</v>
      </c>
      <c r="Q172" s="252"/>
      <c r="R172" s="195"/>
      <c r="S172" s="195"/>
      <c r="T172" s="195"/>
    </row>
    <row r="173" spans="1:20" s="134" customFormat="1" ht="60">
      <c r="A173" s="91" t="s">
        <v>489</v>
      </c>
      <c r="B173" s="91" t="str">
        <f>'дод. 3'!A125</f>
        <v>3192</v>
      </c>
      <c r="C173" s="91" t="str">
        <f>'дод. 3'!B125</f>
        <v>1030</v>
      </c>
      <c r="D173" s="119" t="str">
        <f>'дод. 3'!C125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3" s="93">
        <f t="shared" si="61"/>
        <v>1192100</v>
      </c>
      <c r="F173" s="93">
        <v>1192100</v>
      </c>
      <c r="G173" s="93"/>
      <c r="H173" s="93"/>
      <c r="I173" s="93"/>
      <c r="J173" s="93">
        <f t="shared" si="62"/>
        <v>0</v>
      </c>
      <c r="K173" s="93"/>
      <c r="L173" s="93"/>
      <c r="M173" s="93"/>
      <c r="N173" s="93"/>
      <c r="O173" s="93"/>
      <c r="P173" s="93">
        <f t="shared" si="63"/>
        <v>1192100</v>
      </c>
      <c r="Q173" s="252"/>
      <c r="R173" s="195"/>
      <c r="S173" s="195"/>
      <c r="T173" s="195"/>
    </row>
    <row r="174" spans="1:20" s="4" customFormat="1" ht="30">
      <c r="A174" s="94" t="s">
        <v>303</v>
      </c>
      <c r="B174" s="94" t="str">
        <f>'дод. 3'!A126</f>
        <v>3200</v>
      </c>
      <c r="C174" s="94" t="str">
        <f>'дод. 3'!B126</f>
        <v>1090</v>
      </c>
      <c r="D174" s="120" t="str">
        <f>'дод. 3'!C126</f>
        <v>Забезпечення обробки інформації з нарахування та виплати допомог і компенсацій </v>
      </c>
      <c r="E174" s="96">
        <f t="shared" si="61"/>
        <v>75000</v>
      </c>
      <c r="F174" s="96">
        <v>75000</v>
      </c>
      <c r="G174" s="96"/>
      <c r="H174" s="96"/>
      <c r="I174" s="96"/>
      <c r="J174" s="96">
        <f t="shared" si="62"/>
        <v>0</v>
      </c>
      <c r="K174" s="96"/>
      <c r="L174" s="96"/>
      <c r="M174" s="96"/>
      <c r="N174" s="96"/>
      <c r="O174" s="96"/>
      <c r="P174" s="96">
        <f t="shared" si="63"/>
        <v>75000</v>
      </c>
      <c r="Q174" s="252"/>
      <c r="R174" s="193"/>
      <c r="S174" s="193"/>
      <c r="T174" s="193"/>
    </row>
    <row r="175" spans="1:20" s="4" customFormat="1" ht="19.5" customHeight="1">
      <c r="A175" s="97" t="s">
        <v>490</v>
      </c>
      <c r="B175" s="97" t="str">
        <f>'дод. 3'!A127</f>
        <v>3210</v>
      </c>
      <c r="C175" s="97" t="str">
        <f>'дод. 3'!B127</f>
        <v>1050</v>
      </c>
      <c r="D175" s="125" t="str">
        <f>'дод. 3'!C127</f>
        <v>Організація та проведення громадських робіт</v>
      </c>
      <c r="E175" s="96">
        <f t="shared" si="61"/>
        <v>300000</v>
      </c>
      <c r="F175" s="96">
        <v>300000</v>
      </c>
      <c r="G175" s="96">
        <v>245902</v>
      </c>
      <c r="H175" s="96"/>
      <c r="I175" s="96"/>
      <c r="J175" s="96">
        <f t="shared" si="62"/>
        <v>0</v>
      </c>
      <c r="K175" s="96"/>
      <c r="L175" s="96"/>
      <c r="M175" s="96"/>
      <c r="N175" s="96"/>
      <c r="O175" s="96"/>
      <c r="P175" s="96">
        <f t="shared" si="63"/>
        <v>300000</v>
      </c>
      <c r="Q175" s="252"/>
      <c r="R175" s="193"/>
      <c r="S175" s="193"/>
      <c r="T175" s="193"/>
    </row>
    <row r="176" spans="1:20" s="4" customFormat="1" ht="153.75" customHeight="1">
      <c r="A176" s="97" t="s">
        <v>579</v>
      </c>
      <c r="B176" s="171" t="str">
        <f>'дод. 3'!A128</f>
        <v>3230</v>
      </c>
      <c r="C176" s="171" t="str">
        <f>'дод. 3'!B128</f>
        <v>1040</v>
      </c>
      <c r="D176" s="89" t="s">
        <v>567</v>
      </c>
      <c r="E176" s="96">
        <f t="shared" si="61"/>
        <v>2695700</v>
      </c>
      <c r="F176" s="96">
        <v>2695700</v>
      </c>
      <c r="G176" s="96"/>
      <c r="H176" s="96"/>
      <c r="I176" s="96"/>
      <c r="J176" s="96">
        <f t="shared" si="62"/>
        <v>0</v>
      </c>
      <c r="K176" s="96"/>
      <c r="L176" s="96"/>
      <c r="M176" s="96"/>
      <c r="N176" s="96"/>
      <c r="O176" s="96"/>
      <c r="P176" s="96">
        <f t="shared" si="63"/>
        <v>2695700</v>
      </c>
      <c r="Q176" s="252"/>
      <c r="R176" s="193"/>
      <c r="S176" s="193"/>
      <c r="T176" s="193"/>
    </row>
    <row r="177" spans="1:20" s="4" customFormat="1" ht="19.5" customHeight="1">
      <c r="A177" s="97"/>
      <c r="B177" s="171">
        <f>'дод. 3'!A129</f>
        <v>0</v>
      </c>
      <c r="C177" s="171">
        <f>'дод. 3'!B129</f>
        <v>0</v>
      </c>
      <c r="D177" s="125" t="str">
        <f>'дод. 3'!C129</f>
        <v>у т.ч. за рахунок субвенцій з держбюджету</v>
      </c>
      <c r="E177" s="96">
        <f t="shared" si="61"/>
        <v>2695700</v>
      </c>
      <c r="F177" s="96">
        <v>2695700</v>
      </c>
      <c r="G177" s="96"/>
      <c r="H177" s="96"/>
      <c r="I177" s="96"/>
      <c r="J177" s="96">
        <f t="shared" si="62"/>
        <v>0</v>
      </c>
      <c r="K177" s="96"/>
      <c r="L177" s="96"/>
      <c r="M177" s="96"/>
      <c r="N177" s="96"/>
      <c r="O177" s="96"/>
      <c r="P177" s="96">
        <f t="shared" si="63"/>
        <v>2695700</v>
      </c>
      <c r="Q177" s="252"/>
      <c r="R177" s="193"/>
      <c r="S177" s="193"/>
      <c r="T177" s="193"/>
    </row>
    <row r="178" spans="1:20" s="4" customFormat="1" ht="22.5" customHeight="1">
      <c r="A178" s="94" t="s">
        <v>483</v>
      </c>
      <c r="B178" s="94" t="str">
        <f>'дод. 3'!A130</f>
        <v>3240</v>
      </c>
      <c r="C178" s="94">
        <f>'дод. 3'!B130</f>
        <v>0</v>
      </c>
      <c r="D178" s="120" t="str">
        <f>'дод. 3'!C130</f>
        <v>Інші заклади та заходи</v>
      </c>
      <c r="E178" s="96">
        <f>E179+E180</f>
        <v>32554485</v>
      </c>
      <c r="F178" s="96">
        <f aca="true" t="shared" si="64" ref="F178:P178">F179+F180</f>
        <v>32554485</v>
      </c>
      <c r="G178" s="96">
        <f t="shared" si="64"/>
        <v>2332125</v>
      </c>
      <c r="H178" s="96">
        <f t="shared" si="64"/>
        <v>673281</v>
      </c>
      <c r="I178" s="96">
        <f t="shared" si="64"/>
        <v>0</v>
      </c>
      <c r="J178" s="96">
        <f t="shared" si="64"/>
        <v>375000</v>
      </c>
      <c r="K178" s="96">
        <f t="shared" si="64"/>
        <v>0</v>
      </c>
      <c r="L178" s="96">
        <f t="shared" si="64"/>
        <v>0</v>
      </c>
      <c r="M178" s="96">
        <f t="shared" si="64"/>
        <v>0</v>
      </c>
      <c r="N178" s="96">
        <f t="shared" si="64"/>
        <v>375000</v>
      </c>
      <c r="O178" s="96">
        <f t="shared" si="64"/>
        <v>375000</v>
      </c>
      <c r="P178" s="96">
        <f t="shared" si="64"/>
        <v>32929485</v>
      </c>
      <c r="Q178" s="252"/>
      <c r="R178" s="194"/>
      <c r="S178" s="194"/>
      <c r="T178" s="194"/>
    </row>
    <row r="179" spans="1:20" s="33" customFormat="1" ht="31.5" customHeight="1">
      <c r="A179" s="91" t="s">
        <v>482</v>
      </c>
      <c r="B179" s="91" t="str">
        <f>'дод. 3'!A131</f>
        <v>3241</v>
      </c>
      <c r="C179" s="91" t="str">
        <f>'дод. 3'!B131</f>
        <v>1090</v>
      </c>
      <c r="D179" s="119" t="str">
        <f>'дод. 3'!C131</f>
        <v>Забезпечення діяльності інших закладів у сфері соціального захисту і соціального забезпечення</v>
      </c>
      <c r="E179" s="93">
        <f>F179+I179</f>
        <v>4241010</v>
      </c>
      <c r="F179" s="93">
        <v>4241010</v>
      </c>
      <c r="G179" s="93">
        <v>2332125</v>
      </c>
      <c r="H179" s="93">
        <v>673281</v>
      </c>
      <c r="I179" s="93"/>
      <c r="J179" s="93">
        <f t="shared" si="62"/>
        <v>300000</v>
      </c>
      <c r="K179" s="93"/>
      <c r="L179" s="93"/>
      <c r="M179" s="93"/>
      <c r="N179" s="93">
        <v>300000</v>
      </c>
      <c r="O179" s="93">
        <v>300000</v>
      </c>
      <c r="P179" s="93">
        <f>E179+J179</f>
        <v>4541010</v>
      </c>
      <c r="Q179" s="252"/>
      <c r="R179" s="195"/>
      <c r="S179" s="195"/>
      <c r="T179" s="195"/>
    </row>
    <row r="180" spans="1:20" s="33" customFormat="1" ht="29.25" customHeight="1">
      <c r="A180" s="91" t="s">
        <v>484</v>
      </c>
      <c r="B180" s="91" t="str">
        <f>'дод. 3'!A132</f>
        <v>3242</v>
      </c>
      <c r="C180" s="91" t="str">
        <f>'дод. 3'!B132</f>
        <v>1090</v>
      </c>
      <c r="D180" s="119" t="str">
        <f>'дод. 3'!C132</f>
        <v>Інші заходи у сфері соціального захисту і соціального забезпечення</v>
      </c>
      <c r="E180" s="93">
        <f>F180+I180</f>
        <v>28313475</v>
      </c>
      <c r="F180" s="93">
        <f>11768030+16000000-4024-26631+175000+401100</f>
        <v>28313475</v>
      </c>
      <c r="G180" s="93"/>
      <c r="H180" s="93"/>
      <c r="I180" s="93"/>
      <c r="J180" s="93">
        <f t="shared" si="62"/>
        <v>75000</v>
      </c>
      <c r="K180" s="93"/>
      <c r="L180" s="93"/>
      <c r="M180" s="93"/>
      <c r="N180" s="93">
        <v>75000</v>
      </c>
      <c r="O180" s="93">
        <v>75000</v>
      </c>
      <c r="P180" s="93">
        <f>E180+J180</f>
        <v>28388475</v>
      </c>
      <c r="Q180" s="252"/>
      <c r="R180" s="195"/>
      <c r="S180" s="195"/>
      <c r="T180" s="195"/>
    </row>
    <row r="181" spans="1:20" s="134" customFormat="1" ht="19.5" customHeight="1">
      <c r="A181" s="94" t="s">
        <v>304</v>
      </c>
      <c r="B181" s="94" t="str">
        <f>'дод. 3'!A181</f>
        <v>7640</v>
      </c>
      <c r="C181" s="94" t="str">
        <f>'дод. 3'!B181</f>
        <v>0470</v>
      </c>
      <c r="D181" s="126" t="str">
        <f>'дод. 3'!C181</f>
        <v>Заходи з енергозбереження</v>
      </c>
      <c r="E181" s="96">
        <f>F181+I181</f>
        <v>29000</v>
      </c>
      <c r="F181" s="96">
        <v>29000</v>
      </c>
      <c r="G181" s="96"/>
      <c r="H181" s="96"/>
      <c r="I181" s="96"/>
      <c r="J181" s="96">
        <f t="shared" si="62"/>
        <v>0</v>
      </c>
      <c r="K181" s="96"/>
      <c r="L181" s="96"/>
      <c r="M181" s="96"/>
      <c r="N181" s="96"/>
      <c r="O181" s="96"/>
      <c r="P181" s="96">
        <f>E181+J181</f>
        <v>29000</v>
      </c>
      <c r="Q181" s="252"/>
      <c r="R181" s="193"/>
      <c r="S181" s="193"/>
      <c r="T181" s="193"/>
    </row>
    <row r="182" spans="1:20" s="134" customFormat="1" ht="23.25" customHeight="1">
      <c r="A182" s="94" t="s">
        <v>414</v>
      </c>
      <c r="B182" s="94" t="str">
        <f>'дод. 3'!A206</f>
        <v>9770</v>
      </c>
      <c r="C182" s="94" t="str">
        <f>'дод. 3'!B206</f>
        <v>0180</v>
      </c>
      <c r="D182" s="126" t="str">
        <f>'дод. 3'!C206</f>
        <v>Інші субвенції з місцевого бюджету </v>
      </c>
      <c r="E182" s="96">
        <f>F182+I182</f>
        <v>611000</v>
      </c>
      <c r="F182" s="96">
        <v>611000</v>
      </c>
      <c r="G182" s="96"/>
      <c r="H182" s="96"/>
      <c r="I182" s="96"/>
      <c r="J182" s="96">
        <f t="shared" si="62"/>
        <v>0</v>
      </c>
      <c r="K182" s="96"/>
      <c r="L182" s="96"/>
      <c r="M182" s="96"/>
      <c r="N182" s="96"/>
      <c r="O182" s="96"/>
      <c r="P182" s="96">
        <f>E182+J182</f>
        <v>611000</v>
      </c>
      <c r="Q182" s="252"/>
      <c r="R182" s="193"/>
      <c r="S182" s="193"/>
      <c r="T182" s="193"/>
    </row>
    <row r="183" spans="1:20" s="129" customFormat="1" ht="21" customHeight="1">
      <c r="A183" s="139" t="s">
        <v>305</v>
      </c>
      <c r="B183" s="140"/>
      <c r="C183" s="140"/>
      <c r="D183" s="36" t="s">
        <v>59</v>
      </c>
      <c r="E183" s="47">
        <f>E184</f>
        <v>3804000</v>
      </c>
      <c r="F183" s="47">
        <f aca="true" t="shared" si="65" ref="F183:P183">F184</f>
        <v>3804000</v>
      </c>
      <c r="G183" s="47">
        <f t="shared" si="65"/>
        <v>2969000</v>
      </c>
      <c r="H183" s="47">
        <f t="shared" si="65"/>
        <v>37220</v>
      </c>
      <c r="I183" s="47">
        <f t="shared" si="65"/>
        <v>0</v>
      </c>
      <c r="J183" s="47">
        <f t="shared" si="65"/>
        <v>0</v>
      </c>
      <c r="K183" s="47">
        <f t="shared" si="65"/>
        <v>0</v>
      </c>
      <c r="L183" s="47">
        <f t="shared" si="65"/>
        <v>0</v>
      </c>
      <c r="M183" s="47">
        <f t="shared" si="65"/>
        <v>0</v>
      </c>
      <c r="N183" s="47">
        <f t="shared" si="65"/>
        <v>0</v>
      </c>
      <c r="O183" s="47">
        <f t="shared" si="65"/>
        <v>0</v>
      </c>
      <c r="P183" s="47">
        <f t="shared" si="65"/>
        <v>3804000</v>
      </c>
      <c r="Q183" s="252"/>
      <c r="R183" s="191"/>
      <c r="S183" s="191"/>
      <c r="T183" s="191"/>
    </row>
    <row r="184" spans="1:20" s="132" customFormat="1" ht="21.75" customHeight="1">
      <c r="A184" s="141" t="s">
        <v>306</v>
      </c>
      <c r="B184" s="142"/>
      <c r="C184" s="142"/>
      <c r="D184" s="143" t="s">
        <v>59</v>
      </c>
      <c r="E184" s="87">
        <f>E185+E186</f>
        <v>3804000</v>
      </c>
      <c r="F184" s="87">
        <f aca="true" t="shared" si="66" ref="F184:P184">F185+F186</f>
        <v>3804000</v>
      </c>
      <c r="G184" s="87">
        <f t="shared" si="66"/>
        <v>2969000</v>
      </c>
      <c r="H184" s="87">
        <f t="shared" si="66"/>
        <v>37220</v>
      </c>
      <c r="I184" s="87">
        <f t="shared" si="66"/>
        <v>0</v>
      </c>
      <c r="J184" s="87">
        <f t="shared" si="66"/>
        <v>0</v>
      </c>
      <c r="K184" s="87">
        <f t="shared" si="66"/>
        <v>0</v>
      </c>
      <c r="L184" s="87">
        <f t="shared" si="66"/>
        <v>0</v>
      </c>
      <c r="M184" s="87">
        <f t="shared" si="66"/>
        <v>0</v>
      </c>
      <c r="N184" s="87">
        <f t="shared" si="66"/>
        <v>0</v>
      </c>
      <c r="O184" s="87">
        <f t="shared" si="66"/>
        <v>0</v>
      </c>
      <c r="P184" s="87">
        <f t="shared" si="66"/>
        <v>3804000</v>
      </c>
      <c r="Q184" s="252"/>
      <c r="R184" s="200"/>
      <c r="S184" s="200"/>
      <c r="T184" s="200"/>
    </row>
    <row r="185" spans="1:20" s="4" customFormat="1" ht="45">
      <c r="A185" s="88" t="s">
        <v>307</v>
      </c>
      <c r="B185" s="88" t="str">
        <f>'дод. 3'!A13</f>
        <v>0160</v>
      </c>
      <c r="C185" s="88" t="str">
        <f>'дод. 3'!B13</f>
        <v>0111</v>
      </c>
      <c r="D185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85" s="90">
        <f>F185+I185</f>
        <v>3724000</v>
      </c>
      <c r="F185" s="90">
        <f>3538900+211500-26400</f>
        <v>3724000</v>
      </c>
      <c r="G185" s="90">
        <v>2969000</v>
      </c>
      <c r="H185" s="90">
        <v>37220</v>
      </c>
      <c r="I185" s="90"/>
      <c r="J185" s="90">
        <f>K185+N185</f>
        <v>0</v>
      </c>
      <c r="K185" s="90"/>
      <c r="L185" s="90"/>
      <c r="M185" s="90"/>
      <c r="N185" s="90">
        <f>27000-27000</f>
        <v>0</v>
      </c>
      <c r="O185" s="90">
        <f>27000-27000</f>
        <v>0</v>
      </c>
      <c r="P185" s="90">
        <f>E185+J185</f>
        <v>3724000</v>
      </c>
      <c r="Q185" s="252"/>
      <c r="R185" s="193"/>
      <c r="S185" s="193"/>
      <c r="T185" s="193"/>
    </row>
    <row r="186" spans="1:20" s="4" customFormat="1" ht="30.75" customHeight="1">
      <c r="A186" s="88" t="s">
        <v>308</v>
      </c>
      <c r="B186" s="88" t="str">
        <f>'дод. 3'!A111</f>
        <v>3110</v>
      </c>
      <c r="C186" s="88">
        <f>'дод. 3'!B111</f>
        <v>0</v>
      </c>
      <c r="D186" s="122" t="str">
        <f>'дод. 3'!C111</f>
        <v>Заклади і заходи з питань дітей та їх соціального захисту</v>
      </c>
      <c r="E186" s="90">
        <f>E187</f>
        <v>80000</v>
      </c>
      <c r="F186" s="90">
        <f aca="true" t="shared" si="67" ref="F186:P186">F187</f>
        <v>80000</v>
      </c>
      <c r="G186" s="90">
        <f t="shared" si="67"/>
        <v>0</v>
      </c>
      <c r="H186" s="90">
        <f t="shared" si="67"/>
        <v>0</v>
      </c>
      <c r="I186" s="90">
        <f t="shared" si="67"/>
        <v>0</v>
      </c>
      <c r="J186" s="90">
        <f t="shared" si="67"/>
        <v>0</v>
      </c>
      <c r="K186" s="90">
        <f t="shared" si="67"/>
        <v>0</v>
      </c>
      <c r="L186" s="90">
        <f t="shared" si="67"/>
        <v>0</v>
      </c>
      <c r="M186" s="90">
        <f t="shared" si="67"/>
        <v>0</v>
      </c>
      <c r="N186" s="90">
        <f t="shared" si="67"/>
        <v>0</v>
      </c>
      <c r="O186" s="90">
        <f t="shared" si="67"/>
        <v>0</v>
      </c>
      <c r="P186" s="90">
        <f t="shared" si="67"/>
        <v>80000</v>
      </c>
      <c r="Q186" s="252"/>
      <c r="R186" s="194">
        <f>R187</f>
        <v>0</v>
      </c>
      <c r="S186" s="194">
        <f>S187</f>
        <v>0</v>
      </c>
      <c r="T186" s="194"/>
    </row>
    <row r="187" spans="1:20" s="134" customFormat="1" ht="36.75" customHeight="1">
      <c r="A187" s="91" t="s">
        <v>309</v>
      </c>
      <c r="B187" s="91" t="str">
        <f>'дод. 3'!A112</f>
        <v>3112</v>
      </c>
      <c r="C187" s="91" t="str">
        <f>'дод. 3'!B112</f>
        <v>1040</v>
      </c>
      <c r="D187" s="119" t="str">
        <f>'дод. 3'!C112</f>
        <v>Заходи державної політики з питань дітей та їх соціального захисту</v>
      </c>
      <c r="E187" s="93">
        <f>F187+I187</f>
        <v>80000</v>
      </c>
      <c r="F187" s="93">
        <v>80000</v>
      </c>
      <c r="G187" s="93"/>
      <c r="H187" s="93"/>
      <c r="I187" s="93"/>
      <c r="J187" s="93">
        <f>K187+N187</f>
        <v>0</v>
      </c>
      <c r="K187" s="93"/>
      <c r="L187" s="93"/>
      <c r="M187" s="93"/>
      <c r="N187" s="93"/>
      <c r="O187" s="93"/>
      <c r="P187" s="93">
        <f>E187+J187</f>
        <v>80000</v>
      </c>
      <c r="Q187" s="252"/>
      <c r="R187" s="195"/>
      <c r="S187" s="195"/>
      <c r="T187" s="195"/>
    </row>
    <row r="188" spans="1:20" s="129" customFormat="1" ht="20.25" customHeight="1">
      <c r="A188" s="127" t="s">
        <v>50</v>
      </c>
      <c r="B188" s="37"/>
      <c r="C188" s="37"/>
      <c r="D188" s="36" t="s">
        <v>61</v>
      </c>
      <c r="E188" s="47">
        <f>E189</f>
        <v>50408300</v>
      </c>
      <c r="F188" s="47">
        <f aca="true" t="shared" si="68" ref="F188:P188">F189</f>
        <v>50408300</v>
      </c>
      <c r="G188" s="47">
        <f t="shared" si="68"/>
        <v>36885629</v>
      </c>
      <c r="H188" s="47">
        <f t="shared" si="68"/>
        <v>1862231</v>
      </c>
      <c r="I188" s="47">
        <f t="shared" si="68"/>
        <v>0</v>
      </c>
      <c r="J188" s="47">
        <f t="shared" si="68"/>
        <v>4348550</v>
      </c>
      <c r="K188" s="47">
        <f t="shared" si="68"/>
        <v>2135830</v>
      </c>
      <c r="L188" s="47">
        <f t="shared" si="68"/>
        <v>1726450</v>
      </c>
      <c r="M188" s="47">
        <f t="shared" si="68"/>
        <v>0</v>
      </c>
      <c r="N188" s="47">
        <f t="shared" si="68"/>
        <v>2212720</v>
      </c>
      <c r="O188" s="47">
        <f t="shared" si="68"/>
        <v>2208000</v>
      </c>
      <c r="P188" s="47">
        <f t="shared" si="68"/>
        <v>54756850</v>
      </c>
      <c r="Q188" s="252"/>
      <c r="R188" s="191">
        <f>R190+R191+R192+R194+R195+R196</f>
        <v>0</v>
      </c>
      <c r="S188" s="191">
        <f>S190+S191+S192+S194+S195+S196</f>
        <v>0</v>
      </c>
      <c r="T188" s="191"/>
    </row>
    <row r="189" spans="1:20" s="132" customFormat="1" ht="24.75" customHeight="1">
      <c r="A189" s="130" t="s">
        <v>310</v>
      </c>
      <c r="B189" s="144"/>
      <c r="C189" s="144"/>
      <c r="D189" s="143" t="s">
        <v>61</v>
      </c>
      <c r="E189" s="87">
        <f>E190+E191+E192+E193+E196</f>
        <v>50408300</v>
      </c>
      <c r="F189" s="87">
        <f aca="true" t="shared" si="69" ref="F189:P189">F190+F191+F192+F193+F196</f>
        <v>50408300</v>
      </c>
      <c r="G189" s="87">
        <f t="shared" si="69"/>
        <v>36885629</v>
      </c>
      <c r="H189" s="87">
        <f t="shared" si="69"/>
        <v>1862231</v>
      </c>
      <c r="I189" s="87">
        <f t="shared" si="69"/>
        <v>0</v>
      </c>
      <c r="J189" s="87">
        <f t="shared" si="69"/>
        <v>4348550</v>
      </c>
      <c r="K189" s="87">
        <f t="shared" si="69"/>
        <v>2135830</v>
      </c>
      <c r="L189" s="87">
        <f t="shared" si="69"/>
        <v>1726450</v>
      </c>
      <c r="M189" s="87">
        <f t="shared" si="69"/>
        <v>0</v>
      </c>
      <c r="N189" s="87">
        <f t="shared" si="69"/>
        <v>2212720</v>
      </c>
      <c r="O189" s="87">
        <f t="shared" si="69"/>
        <v>2208000</v>
      </c>
      <c r="P189" s="87">
        <f t="shared" si="69"/>
        <v>54756850</v>
      </c>
      <c r="Q189" s="252"/>
      <c r="R189" s="200">
        <f>R190+R191+R192+R193+R196</f>
        <v>0</v>
      </c>
      <c r="S189" s="200">
        <f>S190+S191+S192+S193+S196</f>
        <v>0</v>
      </c>
      <c r="T189" s="200"/>
    </row>
    <row r="190" spans="1:20" s="4" customFormat="1" ht="45">
      <c r="A190" s="88" t="s">
        <v>220</v>
      </c>
      <c r="B190" s="88" t="str">
        <f>'дод. 3'!A13</f>
        <v>0160</v>
      </c>
      <c r="C190" s="88" t="str">
        <f>'дод. 3'!B13</f>
        <v>0111</v>
      </c>
      <c r="D190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90" s="90">
        <f>F190+I190</f>
        <v>1423100</v>
      </c>
      <c r="F190" s="90">
        <f>1461500-38400</f>
        <v>1423100</v>
      </c>
      <c r="G190" s="90">
        <v>1101670</v>
      </c>
      <c r="H190" s="90">
        <v>14960</v>
      </c>
      <c r="I190" s="90"/>
      <c r="J190" s="90">
        <f aca="true" t="shared" si="70" ref="J190:J196">K190+N190</f>
        <v>10000</v>
      </c>
      <c r="K190" s="90"/>
      <c r="L190" s="90"/>
      <c r="M190" s="90"/>
      <c r="N190" s="90">
        <v>10000</v>
      </c>
      <c r="O190" s="90">
        <v>10000</v>
      </c>
      <c r="P190" s="90">
        <f>E190+J190</f>
        <v>1433100</v>
      </c>
      <c r="Q190" s="252"/>
      <c r="R190" s="193"/>
      <c r="S190" s="193"/>
      <c r="T190" s="193"/>
    </row>
    <row r="191" spans="1:20" s="4" customFormat="1" ht="52.5" customHeight="1">
      <c r="A191" s="88" t="s">
        <v>351</v>
      </c>
      <c r="B191" s="88" t="str">
        <f>'дод. 3'!A25</f>
        <v>1100</v>
      </c>
      <c r="C191" s="88" t="str">
        <f>'дод. 3'!B25</f>
        <v>0960</v>
      </c>
      <c r="D191" s="122" t="str">
        <f>'дод. 3'!C25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1" s="90">
        <f>F191+I191</f>
        <v>29741300</v>
      </c>
      <c r="F191" s="90">
        <v>29741300</v>
      </c>
      <c r="G191" s="90">
        <v>23498774</v>
      </c>
      <c r="H191" s="90">
        <v>711900</v>
      </c>
      <c r="I191" s="90"/>
      <c r="J191" s="90">
        <f t="shared" si="70"/>
        <v>2313550</v>
      </c>
      <c r="K191" s="90">
        <f>2108830</f>
        <v>2108830</v>
      </c>
      <c r="L191" s="90">
        <v>1721450</v>
      </c>
      <c r="M191" s="90"/>
      <c r="N191" s="90">
        <f>200000+4720</f>
        <v>204720</v>
      </c>
      <c r="O191" s="90">
        <v>200000</v>
      </c>
      <c r="P191" s="90">
        <f>E191+J191</f>
        <v>32054850</v>
      </c>
      <c r="Q191" s="252"/>
      <c r="R191" s="193"/>
      <c r="S191" s="193"/>
      <c r="T191" s="193"/>
    </row>
    <row r="192" spans="1:20" s="4" customFormat="1" ht="21" customHeight="1">
      <c r="A192" s="88" t="s">
        <v>311</v>
      </c>
      <c r="B192" s="88" t="str">
        <f>'дод. 3'!A134</f>
        <v>4030</v>
      </c>
      <c r="C192" s="88" t="str">
        <f>'дод. 3'!B134</f>
        <v>0824</v>
      </c>
      <c r="D192" s="123" t="str">
        <f>'дод. 3'!C134</f>
        <v>Забезпечення діяльності бібліотек</v>
      </c>
      <c r="E192" s="90">
        <f>F192+I192</f>
        <v>16071720</v>
      </c>
      <c r="F192" s="90">
        <f>15733720+338000</f>
        <v>16071720</v>
      </c>
      <c r="G192" s="90">
        <v>11407051</v>
      </c>
      <c r="H192" s="90">
        <v>1115260</v>
      </c>
      <c r="I192" s="90"/>
      <c r="J192" s="90">
        <f t="shared" si="70"/>
        <v>327000</v>
      </c>
      <c r="K192" s="90">
        <f>27000</f>
        <v>27000</v>
      </c>
      <c r="L192" s="90">
        <v>5000</v>
      </c>
      <c r="M192" s="90"/>
      <c r="N192" s="90">
        <v>300000</v>
      </c>
      <c r="O192" s="90">
        <v>300000</v>
      </c>
      <c r="P192" s="90">
        <f>E192+J192</f>
        <v>16398720</v>
      </c>
      <c r="Q192" s="252"/>
      <c r="R192" s="193"/>
      <c r="S192" s="193"/>
      <c r="T192" s="193"/>
    </row>
    <row r="193" spans="1:20" s="4" customFormat="1" ht="25.5" customHeight="1">
      <c r="A193" s="88" t="s">
        <v>312</v>
      </c>
      <c r="B193" s="88" t="str">
        <f>'дод. 3'!A135</f>
        <v>4080</v>
      </c>
      <c r="C193" s="88">
        <f>'дод. 3'!B135</f>
        <v>0</v>
      </c>
      <c r="D193" s="147" t="str">
        <f>'дод. 3'!C135</f>
        <v>Інші заклади та заходи в галузі культури і мистецтва</v>
      </c>
      <c r="E193" s="90">
        <f>E194+E195</f>
        <v>3112180</v>
      </c>
      <c r="F193" s="90">
        <f aca="true" t="shared" si="71" ref="F193:P193">F194+F195</f>
        <v>3112180</v>
      </c>
      <c r="G193" s="90">
        <f t="shared" si="71"/>
        <v>878134</v>
      </c>
      <c r="H193" s="90">
        <f t="shared" si="71"/>
        <v>20111</v>
      </c>
      <c r="I193" s="90">
        <f t="shared" si="71"/>
        <v>0</v>
      </c>
      <c r="J193" s="90">
        <f t="shared" si="71"/>
        <v>50000</v>
      </c>
      <c r="K193" s="90">
        <f t="shared" si="71"/>
        <v>0</v>
      </c>
      <c r="L193" s="90">
        <f t="shared" si="71"/>
        <v>0</v>
      </c>
      <c r="M193" s="90">
        <f t="shared" si="71"/>
        <v>0</v>
      </c>
      <c r="N193" s="90">
        <f t="shared" si="71"/>
        <v>50000</v>
      </c>
      <c r="O193" s="90">
        <f t="shared" si="71"/>
        <v>50000</v>
      </c>
      <c r="P193" s="90">
        <f t="shared" si="71"/>
        <v>3162180</v>
      </c>
      <c r="Q193" s="252">
        <v>21</v>
      </c>
      <c r="R193" s="194"/>
      <c r="S193" s="194"/>
      <c r="T193" s="194"/>
    </row>
    <row r="194" spans="1:20" s="134" customFormat="1" ht="33.75" customHeight="1">
      <c r="A194" s="101">
        <v>1014081</v>
      </c>
      <c r="B194" s="91" t="str">
        <f>'дод. 3'!A136</f>
        <v>4081</v>
      </c>
      <c r="C194" s="91" t="str">
        <f>'дод. 3'!B136</f>
        <v>0829</v>
      </c>
      <c r="D194" s="149" t="str">
        <f>'дод. 3'!C136</f>
        <v>Забезпечення діяльності інших закладів в галузі культури і мистецтва </v>
      </c>
      <c r="E194" s="93">
        <f>F194+I194</f>
        <v>1212180</v>
      </c>
      <c r="F194" s="93">
        <v>1212180</v>
      </c>
      <c r="G194" s="93">
        <v>878134</v>
      </c>
      <c r="H194" s="93">
        <v>20111</v>
      </c>
      <c r="I194" s="93"/>
      <c r="J194" s="93">
        <f t="shared" si="70"/>
        <v>50000</v>
      </c>
      <c r="K194" s="93"/>
      <c r="L194" s="93"/>
      <c r="M194" s="93"/>
      <c r="N194" s="93">
        <v>50000</v>
      </c>
      <c r="O194" s="93">
        <v>50000</v>
      </c>
      <c r="P194" s="93">
        <f>E194+J194</f>
        <v>1262180</v>
      </c>
      <c r="Q194" s="252"/>
      <c r="R194" s="195"/>
      <c r="S194" s="195"/>
      <c r="T194" s="195"/>
    </row>
    <row r="195" spans="1:20" s="134" customFormat="1" ht="25.5" customHeight="1">
      <c r="A195" s="101">
        <v>1014082</v>
      </c>
      <c r="B195" s="91" t="str">
        <f>'дод. 3'!A137</f>
        <v>4082</v>
      </c>
      <c r="C195" s="91" t="str">
        <f>'дод. 3'!B137</f>
        <v>0829</v>
      </c>
      <c r="D195" s="149" t="str">
        <f>'дод. 3'!C137</f>
        <v>Інші заходи в галузі культури і мистецтва</v>
      </c>
      <c r="E195" s="93">
        <f>F195+I195</f>
        <v>1900000</v>
      </c>
      <c r="F195" s="93">
        <v>1900000</v>
      </c>
      <c r="G195" s="93"/>
      <c r="H195" s="93"/>
      <c r="I195" s="93"/>
      <c r="J195" s="93">
        <f t="shared" si="70"/>
        <v>0</v>
      </c>
      <c r="K195" s="93"/>
      <c r="L195" s="93"/>
      <c r="M195" s="93"/>
      <c r="N195" s="93"/>
      <c r="O195" s="93"/>
      <c r="P195" s="93">
        <f>E195+J195</f>
        <v>1900000</v>
      </c>
      <c r="Q195" s="252"/>
      <c r="R195" s="195"/>
      <c r="S195" s="195"/>
      <c r="T195" s="195"/>
    </row>
    <row r="196" spans="1:20" s="4" customFormat="1" ht="22.5" customHeight="1">
      <c r="A196" s="88" t="s">
        <v>233</v>
      </c>
      <c r="B196" s="88" t="str">
        <f>'дод. 3'!A181</f>
        <v>7640</v>
      </c>
      <c r="C196" s="88" t="str">
        <f>'дод. 3'!B181</f>
        <v>0470</v>
      </c>
      <c r="D196" s="123" t="str">
        <f>'дод. 3'!C181</f>
        <v>Заходи з енергозбереження</v>
      </c>
      <c r="E196" s="90">
        <f>F196+I196</f>
        <v>60000</v>
      </c>
      <c r="F196" s="90">
        <v>60000</v>
      </c>
      <c r="G196" s="90"/>
      <c r="H196" s="90"/>
      <c r="I196" s="90"/>
      <c r="J196" s="90">
        <f t="shared" si="70"/>
        <v>1648000</v>
      </c>
      <c r="K196" s="90"/>
      <c r="L196" s="90"/>
      <c r="M196" s="90"/>
      <c r="N196" s="90">
        <v>1648000</v>
      </c>
      <c r="O196" s="90">
        <v>1648000</v>
      </c>
      <c r="P196" s="90">
        <f>E196+J196</f>
        <v>1708000</v>
      </c>
      <c r="Q196" s="252"/>
      <c r="R196" s="193"/>
      <c r="S196" s="193"/>
      <c r="T196" s="193"/>
    </row>
    <row r="197" spans="1:20" s="129" customFormat="1" ht="28.5">
      <c r="A197" s="127" t="s">
        <v>313</v>
      </c>
      <c r="B197" s="37"/>
      <c r="C197" s="37"/>
      <c r="D197" s="36" t="s">
        <v>63</v>
      </c>
      <c r="E197" s="47">
        <f>E198</f>
        <v>78728680</v>
      </c>
      <c r="F197" s="47">
        <f aca="true" t="shared" si="72" ref="F197:P197">F198</f>
        <v>74791805</v>
      </c>
      <c r="G197" s="47">
        <f t="shared" si="72"/>
        <v>7603186.1</v>
      </c>
      <c r="H197" s="47">
        <f t="shared" si="72"/>
        <v>17608620</v>
      </c>
      <c r="I197" s="47">
        <f t="shared" si="72"/>
        <v>3936875</v>
      </c>
      <c r="J197" s="47">
        <f t="shared" si="72"/>
        <v>134552104</v>
      </c>
      <c r="K197" s="47">
        <f t="shared" si="72"/>
        <v>1791500</v>
      </c>
      <c r="L197" s="47">
        <f t="shared" si="72"/>
        <v>0</v>
      </c>
      <c r="M197" s="47">
        <f t="shared" si="72"/>
        <v>0</v>
      </c>
      <c r="N197" s="47">
        <f t="shared" si="72"/>
        <v>132760604</v>
      </c>
      <c r="O197" s="47">
        <f t="shared" si="72"/>
        <v>130420604</v>
      </c>
      <c r="P197" s="47">
        <f t="shared" si="72"/>
        <v>213280784</v>
      </c>
      <c r="Q197" s="252"/>
      <c r="R197" s="191"/>
      <c r="S197" s="191"/>
      <c r="T197" s="191"/>
    </row>
    <row r="198" spans="1:20" s="132" customFormat="1" ht="30">
      <c r="A198" s="130" t="s">
        <v>314</v>
      </c>
      <c r="B198" s="144"/>
      <c r="C198" s="144"/>
      <c r="D198" s="143" t="s">
        <v>63</v>
      </c>
      <c r="E198" s="87">
        <f>E199+E200+E201+E206+E207+E208+E209+E210+E211+E212+E213+E215+E216+E217</f>
        <v>78728680</v>
      </c>
      <c r="F198" s="87">
        <f aca="true" t="shared" si="73" ref="F198:P198">F199+F200+F201+F206+F207+F208+F209+F210+F211+F212+F213+F215+F216+F217</f>
        <v>74791805</v>
      </c>
      <c r="G198" s="87">
        <f t="shared" si="73"/>
        <v>7603186.1</v>
      </c>
      <c r="H198" s="87">
        <f t="shared" si="73"/>
        <v>17608620</v>
      </c>
      <c r="I198" s="87">
        <f t="shared" si="73"/>
        <v>3936875</v>
      </c>
      <c r="J198" s="87">
        <f t="shared" si="73"/>
        <v>134552104</v>
      </c>
      <c r="K198" s="87">
        <f t="shared" si="73"/>
        <v>1791500</v>
      </c>
      <c r="L198" s="87">
        <f t="shared" si="73"/>
        <v>0</v>
      </c>
      <c r="M198" s="87">
        <f t="shared" si="73"/>
        <v>0</v>
      </c>
      <c r="N198" s="87">
        <f t="shared" si="73"/>
        <v>132760604</v>
      </c>
      <c r="O198" s="87">
        <f t="shared" si="73"/>
        <v>130420604</v>
      </c>
      <c r="P198" s="87">
        <f t="shared" si="73"/>
        <v>213280784</v>
      </c>
      <c r="Q198" s="252"/>
      <c r="R198" s="200"/>
      <c r="S198" s="200"/>
      <c r="T198" s="200"/>
    </row>
    <row r="199" spans="1:20" s="4" customFormat="1" ht="45">
      <c r="A199" s="88" t="s">
        <v>315</v>
      </c>
      <c r="B199" s="88" t="str">
        <f>'дод. 3'!A13</f>
        <v>0160</v>
      </c>
      <c r="C199" s="88" t="str">
        <f>'дод. 3'!B13</f>
        <v>0111</v>
      </c>
      <c r="D199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99" s="90">
        <f>F199+I199</f>
        <v>9699700</v>
      </c>
      <c r="F199" s="90">
        <f>9793300-93600</f>
        <v>9699700</v>
      </c>
      <c r="G199" s="90">
        <v>7590891</v>
      </c>
      <c r="H199" s="90">
        <v>102300</v>
      </c>
      <c r="I199" s="90"/>
      <c r="J199" s="90">
        <f>K199+N199</f>
        <v>62500</v>
      </c>
      <c r="K199" s="90"/>
      <c r="L199" s="90"/>
      <c r="M199" s="90"/>
      <c r="N199" s="90">
        <f>200000-137500</f>
        <v>62500</v>
      </c>
      <c r="O199" s="90">
        <f>200000-137500</f>
        <v>62500</v>
      </c>
      <c r="P199" s="90">
        <f>E199+J199</f>
        <v>9762200</v>
      </c>
      <c r="Q199" s="252"/>
      <c r="R199" s="193"/>
      <c r="S199" s="193"/>
      <c r="T199" s="193"/>
    </row>
    <row r="200" spans="1:20" s="4" customFormat="1" ht="19.5" customHeight="1">
      <c r="A200" s="98" t="s">
        <v>474</v>
      </c>
      <c r="B200" s="98" t="str">
        <f>'дод. 3'!A127</f>
        <v>3210</v>
      </c>
      <c r="C200" s="98" t="str">
        <f>'дод. 3'!B127</f>
        <v>1050</v>
      </c>
      <c r="D200" s="148" t="str">
        <f>'дод. 3'!C127</f>
        <v>Організація та проведення громадських робіт</v>
      </c>
      <c r="E200" s="90">
        <f>F200+I200</f>
        <v>565000</v>
      </c>
      <c r="F200" s="90">
        <v>565000</v>
      </c>
      <c r="G200" s="90">
        <v>12295.1</v>
      </c>
      <c r="H200" s="90"/>
      <c r="I200" s="90"/>
      <c r="J200" s="90">
        <f aca="true" t="shared" si="74" ref="J200:J217">K200+N200</f>
        <v>0</v>
      </c>
      <c r="K200" s="90"/>
      <c r="L200" s="90"/>
      <c r="M200" s="90"/>
      <c r="N200" s="90"/>
      <c r="O200" s="90"/>
      <c r="P200" s="90">
        <f>E200+J200</f>
        <v>565000</v>
      </c>
      <c r="Q200" s="252"/>
      <c r="R200" s="193"/>
      <c r="S200" s="193"/>
      <c r="T200" s="193"/>
    </row>
    <row r="201" spans="1:20" s="4" customFormat="1" ht="30">
      <c r="A201" s="88" t="s">
        <v>316</v>
      </c>
      <c r="B201" s="88" t="str">
        <f>'дод. 3'!A149</f>
        <v>6010</v>
      </c>
      <c r="C201" s="88">
        <f>'дод. 3'!B149</f>
        <v>0</v>
      </c>
      <c r="D201" s="147" t="str">
        <f>'дод. 3'!C149</f>
        <v>Утримання та ефективна експлуатація об’єктів житлово-комунального господарства</v>
      </c>
      <c r="E201" s="90">
        <f>E202+E203+E204+E205</f>
        <v>4799000</v>
      </c>
      <c r="F201" s="90">
        <f aca="true" t="shared" si="75" ref="F201:P201">F202+F203+F204+F205</f>
        <v>1703000</v>
      </c>
      <c r="G201" s="90">
        <f t="shared" si="75"/>
        <v>0</v>
      </c>
      <c r="H201" s="90">
        <f t="shared" si="75"/>
        <v>0</v>
      </c>
      <c r="I201" s="90">
        <f t="shared" si="75"/>
        <v>3096000</v>
      </c>
      <c r="J201" s="90">
        <f t="shared" si="75"/>
        <v>60750000</v>
      </c>
      <c r="K201" s="90">
        <f t="shared" si="75"/>
        <v>0</v>
      </c>
      <c r="L201" s="90">
        <f t="shared" si="75"/>
        <v>0</v>
      </c>
      <c r="M201" s="90">
        <f t="shared" si="75"/>
        <v>0</v>
      </c>
      <c r="N201" s="90">
        <f t="shared" si="75"/>
        <v>60750000</v>
      </c>
      <c r="O201" s="90">
        <f t="shared" si="75"/>
        <v>60750000</v>
      </c>
      <c r="P201" s="90">
        <f t="shared" si="75"/>
        <v>65549000</v>
      </c>
      <c r="Q201" s="252"/>
      <c r="R201" s="194"/>
      <c r="S201" s="194"/>
      <c r="T201" s="194"/>
    </row>
    <row r="202" spans="1:20" s="134" customFormat="1" ht="30">
      <c r="A202" s="91" t="s">
        <v>317</v>
      </c>
      <c r="B202" s="91" t="str">
        <f>'дод. 3'!A150</f>
        <v>6011</v>
      </c>
      <c r="C202" s="91" t="str">
        <f>'дод. 3'!B150</f>
        <v>0620</v>
      </c>
      <c r="D202" s="149" t="str">
        <f>'дод. 3'!C150</f>
        <v>Експлуатація та технічне обслуговування житлового фонду</v>
      </c>
      <c r="E202" s="93">
        <f aca="true" t="shared" si="76" ref="E202:E212">F202+I202</f>
        <v>0</v>
      </c>
      <c r="F202" s="93"/>
      <c r="G202" s="93"/>
      <c r="H202" s="93"/>
      <c r="I202" s="93"/>
      <c r="J202" s="93">
        <f t="shared" si="74"/>
        <v>30750000</v>
      </c>
      <c r="K202" s="93"/>
      <c r="L202" s="93"/>
      <c r="M202" s="93"/>
      <c r="N202" s="93">
        <f>20000000+15000000-150000-4100000</f>
        <v>30750000</v>
      </c>
      <c r="O202" s="93">
        <f>20000000+15000000-150000-4100000</f>
        <v>30750000</v>
      </c>
      <c r="P202" s="93">
        <f aca="true" t="shared" si="77" ref="P202:P212">E202+J202</f>
        <v>30750000</v>
      </c>
      <c r="Q202" s="252"/>
      <c r="R202" s="195"/>
      <c r="S202" s="195"/>
      <c r="T202" s="195"/>
    </row>
    <row r="203" spans="1:20" s="134" customFormat="1" ht="30">
      <c r="A203" s="91" t="s">
        <v>318</v>
      </c>
      <c r="B203" s="91" t="str">
        <f>'дод. 3'!A151</f>
        <v>6013</v>
      </c>
      <c r="C203" s="91" t="str">
        <f>'дод. 3'!B151</f>
        <v>0620</v>
      </c>
      <c r="D203" s="149" t="str">
        <f>'дод. 3'!C151</f>
        <v>Забезпечення діяльності водопровідно-каналізаційного господарства</v>
      </c>
      <c r="E203" s="93">
        <f t="shared" si="76"/>
        <v>3296000</v>
      </c>
      <c r="F203" s="93">
        <f>200000</f>
        <v>200000</v>
      </c>
      <c r="G203" s="93"/>
      <c r="H203" s="93"/>
      <c r="I203" s="93">
        <v>3096000</v>
      </c>
      <c r="J203" s="93">
        <f t="shared" si="74"/>
        <v>0</v>
      </c>
      <c r="K203" s="93"/>
      <c r="L203" s="93"/>
      <c r="M203" s="93"/>
      <c r="N203" s="93"/>
      <c r="O203" s="93"/>
      <c r="P203" s="93">
        <f t="shared" si="77"/>
        <v>3296000</v>
      </c>
      <c r="Q203" s="252"/>
      <c r="R203" s="195"/>
      <c r="S203" s="195"/>
      <c r="T203" s="195"/>
    </row>
    <row r="204" spans="1:20" s="134" customFormat="1" ht="30">
      <c r="A204" s="91" t="s">
        <v>405</v>
      </c>
      <c r="B204" s="91" t="str">
        <f>'дод. 3'!A152</f>
        <v>6015</v>
      </c>
      <c r="C204" s="91" t="str">
        <f>'дод. 3'!B152</f>
        <v>0620</v>
      </c>
      <c r="D204" s="149" t="str">
        <f>'дод. 3'!C152</f>
        <v>Забезпечення надійної та безперебійної експлуатації ліфтів</v>
      </c>
      <c r="E204" s="93">
        <f t="shared" si="76"/>
        <v>503000</v>
      </c>
      <c r="F204" s="93">
        <f>350000+153000</f>
        <v>503000</v>
      </c>
      <c r="G204" s="93"/>
      <c r="H204" s="93"/>
      <c r="I204" s="93"/>
      <c r="J204" s="93">
        <f>K204+N204</f>
        <v>30000000</v>
      </c>
      <c r="K204" s="93"/>
      <c r="L204" s="93"/>
      <c r="M204" s="93"/>
      <c r="N204" s="93">
        <f>20000000+10000000</f>
        <v>30000000</v>
      </c>
      <c r="O204" s="93">
        <f>20000000+10000000</f>
        <v>30000000</v>
      </c>
      <c r="P204" s="93">
        <f t="shared" si="77"/>
        <v>30503000</v>
      </c>
      <c r="Q204" s="252"/>
      <c r="R204" s="195"/>
      <c r="S204" s="195"/>
      <c r="T204" s="195"/>
    </row>
    <row r="205" spans="1:20" s="134" customFormat="1" ht="38.25" customHeight="1">
      <c r="A205" s="91" t="s">
        <v>408</v>
      </c>
      <c r="B205" s="91" t="str">
        <f>'дод. 3'!A153</f>
        <v>6017</v>
      </c>
      <c r="C205" s="91" t="str">
        <f>'дод. 3'!B153</f>
        <v>0620</v>
      </c>
      <c r="D205" s="149" t="str">
        <f>'дод. 3'!C153</f>
        <v>Інша діяльність, пов’язана з експлуатацією об’єктів житлово-комунального господарства </v>
      </c>
      <c r="E205" s="93">
        <f t="shared" si="76"/>
        <v>1000000</v>
      </c>
      <c r="F205" s="93">
        <v>1000000</v>
      </c>
      <c r="G205" s="93"/>
      <c r="H205" s="93"/>
      <c r="I205" s="93"/>
      <c r="J205" s="93">
        <f t="shared" si="74"/>
        <v>0</v>
      </c>
      <c r="K205" s="93"/>
      <c r="L205" s="93"/>
      <c r="M205" s="93"/>
      <c r="N205" s="93"/>
      <c r="O205" s="93"/>
      <c r="P205" s="93">
        <f t="shared" si="77"/>
        <v>1000000</v>
      </c>
      <c r="Q205" s="252"/>
      <c r="R205" s="195"/>
      <c r="S205" s="195"/>
      <c r="T205" s="195"/>
    </row>
    <row r="206" spans="1:20" s="134" customFormat="1" ht="60">
      <c r="A206" s="94" t="s">
        <v>319</v>
      </c>
      <c r="B206" s="94" t="str">
        <f>'дод. 3'!A154</f>
        <v>6020</v>
      </c>
      <c r="C206" s="94" t="str">
        <f>'дод. 3'!B154</f>
        <v>0620</v>
      </c>
      <c r="D206" s="120" t="str">
        <f>'дод. 3'!C154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6" s="96">
        <f t="shared" si="76"/>
        <v>300000</v>
      </c>
      <c r="F206" s="96"/>
      <c r="G206" s="96"/>
      <c r="H206" s="96"/>
      <c r="I206" s="96">
        <v>300000</v>
      </c>
      <c r="J206" s="96">
        <f t="shared" si="74"/>
        <v>0</v>
      </c>
      <c r="K206" s="96"/>
      <c r="L206" s="96"/>
      <c r="M206" s="96"/>
      <c r="N206" s="96"/>
      <c r="O206" s="96"/>
      <c r="P206" s="96">
        <f t="shared" si="77"/>
        <v>300000</v>
      </c>
      <c r="Q206" s="252"/>
      <c r="R206" s="193"/>
      <c r="S206" s="193"/>
      <c r="T206" s="193"/>
    </row>
    <row r="207" spans="1:20" s="4" customFormat="1" ht="21.75" customHeight="1">
      <c r="A207" s="94" t="s">
        <v>320</v>
      </c>
      <c r="B207" s="94" t="str">
        <f>'дод. 3'!A155</f>
        <v>6030</v>
      </c>
      <c r="C207" s="94" t="str">
        <f>'дод. 3'!B155</f>
        <v>0620</v>
      </c>
      <c r="D207" s="120" t="str">
        <f>'дод. 3'!C155</f>
        <v>Організація благоустрою населених пунктів</v>
      </c>
      <c r="E207" s="96">
        <f t="shared" si="76"/>
        <v>58516210</v>
      </c>
      <c r="F207" s="96">
        <f>51058210+4128000+3150000</f>
        <v>58336210</v>
      </c>
      <c r="G207" s="96"/>
      <c r="H207" s="96">
        <f>16966320+500000</f>
        <v>17466320</v>
      </c>
      <c r="I207" s="96">
        <v>180000</v>
      </c>
      <c r="J207" s="96">
        <f t="shared" si="74"/>
        <v>57338104</v>
      </c>
      <c r="K207" s="96"/>
      <c r="L207" s="96"/>
      <c r="M207" s="96"/>
      <c r="N207" s="96">
        <f>37188104+9000000+9000000+3150000-1000000</f>
        <v>57338104</v>
      </c>
      <c r="O207" s="96">
        <f>37188104+9000000+9000000+3150000-1000000</f>
        <v>57338104</v>
      </c>
      <c r="P207" s="96">
        <f t="shared" si="77"/>
        <v>115854314</v>
      </c>
      <c r="Q207" s="252"/>
      <c r="R207" s="193"/>
      <c r="S207" s="193"/>
      <c r="T207" s="202"/>
    </row>
    <row r="208" spans="1:20" s="4" customFormat="1" ht="31.5" customHeight="1">
      <c r="A208" s="94" t="s">
        <v>396</v>
      </c>
      <c r="B208" s="94" t="str">
        <f>'дод. 3'!A158</f>
        <v>6090</v>
      </c>
      <c r="C208" s="94" t="str">
        <f>'дод. 3'!B158</f>
        <v>0640</v>
      </c>
      <c r="D208" s="120" t="str">
        <f>'дод. 3'!C158</f>
        <v>Інша діяльність у сфері житлово-комунального господарства</v>
      </c>
      <c r="E208" s="96">
        <f t="shared" si="76"/>
        <v>2512170</v>
      </c>
      <c r="F208" s="96">
        <f>391104+1450191+670875-160875</f>
        <v>2351295</v>
      </c>
      <c r="G208" s="96"/>
      <c r="H208" s="96">
        <f>30000+10000</f>
        <v>40000</v>
      </c>
      <c r="I208" s="96">
        <v>160875</v>
      </c>
      <c r="J208" s="96">
        <f t="shared" si="74"/>
        <v>0</v>
      </c>
      <c r="K208" s="96"/>
      <c r="L208" s="96"/>
      <c r="M208" s="96"/>
      <c r="N208" s="96"/>
      <c r="O208" s="96"/>
      <c r="P208" s="96">
        <f t="shared" si="77"/>
        <v>2512170</v>
      </c>
      <c r="Q208" s="252"/>
      <c r="R208" s="193"/>
      <c r="S208" s="193"/>
      <c r="T208" s="193"/>
    </row>
    <row r="209" spans="1:20" s="4" customFormat="1" ht="36.75" customHeight="1">
      <c r="A209" s="94" t="s">
        <v>424</v>
      </c>
      <c r="B209" s="94" t="str">
        <f>'дод. 3'!A163</f>
        <v>7310</v>
      </c>
      <c r="C209" s="94" t="str">
        <f>'дод. 3'!B163</f>
        <v>0443</v>
      </c>
      <c r="D209" s="120" t="str">
        <f>'дод. 3'!C163</f>
        <v>Будівництво об'єктів житлово-комунального господарства</v>
      </c>
      <c r="E209" s="96">
        <f t="shared" si="76"/>
        <v>0</v>
      </c>
      <c r="F209" s="96"/>
      <c r="G209" s="96"/>
      <c r="H209" s="96"/>
      <c r="I209" s="96"/>
      <c r="J209" s="96">
        <f>K209+N209</f>
        <v>2500000</v>
      </c>
      <c r="K209" s="96"/>
      <c r="L209" s="96"/>
      <c r="M209" s="96"/>
      <c r="N209" s="96">
        <f>2000000+500000</f>
        <v>2500000</v>
      </c>
      <c r="O209" s="96">
        <f>2000000+500000</f>
        <v>2500000</v>
      </c>
      <c r="P209" s="96">
        <f t="shared" si="77"/>
        <v>2500000</v>
      </c>
      <c r="Q209" s="252"/>
      <c r="R209" s="193"/>
      <c r="S209" s="193"/>
      <c r="T209" s="193"/>
    </row>
    <row r="210" spans="1:20" s="4" customFormat="1" ht="40.5" customHeight="1">
      <c r="A210" s="94" t="s">
        <v>426</v>
      </c>
      <c r="B210" s="94" t="str">
        <f>'дод. 3'!A168</f>
        <v>7330</v>
      </c>
      <c r="C210" s="94" t="str">
        <f>'дод. 3'!B168</f>
        <v>0443</v>
      </c>
      <c r="D210" s="120" t="str">
        <f>'дод. 3'!C168</f>
        <v>Будівництво інших об'єктів соціальної та виробничої інфраструктури комунальної власності</v>
      </c>
      <c r="E210" s="96">
        <f t="shared" si="76"/>
        <v>0</v>
      </c>
      <c r="F210" s="96"/>
      <c r="G210" s="96"/>
      <c r="H210" s="96"/>
      <c r="I210" s="96"/>
      <c r="J210" s="96">
        <f>K210+N210</f>
        <v>5350000</v>
      </c>
      <c r="K210" s="96"/>
      <c r="L210" s="96"/>
      <c r="M210" s="96"/>
      <c r="N210" s="96">
        <f>1000000+4100000+250000</f>
        <v>5350000</v>
      </c>
      <c r="O210" s="96">
        <f>1000000+4100000+250000</f>
        <v>5350000</v>
      </c>
      <c r="P210" s="96">
        <f t="shared" si="77"/>
        <v>5350000</v>
      </c>
      <c r="Q210" s="252"/>
      <c r="R210" s="193"/>
      <c r="S210" s="193"/>
      <c r="T210" s="193"/>
    </row>
    <row r="211" spans="1:20" s="4" customFormat="1" ht="36" customHeight="1">
      <c r="A211" s="94" t="s">
        <v>321</v>
      </c>
      <c r="B211" s="94" t="str">
        <f>'дод. 3'!A169</f>
        <v>7340</v>
      </c>
      <c r="C211" s="94" t="str">
        <f>'дод. 3'!B169</f>
        <v>0443</v>
      </c>
      <c r="D211" s="120" t="str">
        <f>'дод. 3'!C169</f>
        <v>Проектування, реставрація та охорона пам'яток архітектури</v>
      </c>
      <c r="E211" s="96">
        <f t="shared" si="76"/>
        <v>0</v>
      </c>
      <c r="F211" s="96"/>
      <c r="G211" s="96"/>
      <c r="H211" s="96"/>
      <c r="I211" s="96"/>
      <c r="J211" s="96">
        <f t="shared" si="74"/>
        <v>3200000</v>
      </c>
      <c r="K211" s="96"/>
      <c r="L211" s="96"/>
      <c r="M211" s="96"/>
      <c r="N211" s="96">
        <f>1200000+2000000</f>
        <v>3200000</v>
      </c>
      <c r="O211" s="96">
        <f>1200000+2000000</f>
        <v>3200000</v>
      </c>
      <c r="P211" s="96">
        <f t="shared" si="77"/>
        <v>3200000</v>
      </c>
      <c r="Q211" s="252"/>
      <c r="R211" s="193"/>
      <c r="S211" s="193"/>
      <c r="T211" s="193"/>
    </row>
    <row r="212" spans="1:20" s="4" customFormat="1" ht="24" customHeight="1">
      <c r="A212" s="94" t="s">
        <v>322</v>
      </c>
      <c r="B212" s="94" t="str">
        <f>'дод. 3'!A181</f>
        <v>7640</v>
      </c>
      <c r="C212" s="94" t="str">
        <f>'дод. 3'!B181</f>
        <v>0470</v>
      </c>
      <c r="D212" s="126" t="str">
        <f>'дод. 3'!C181</f>
        <v>Заходи з енергозбереження</v>
      </c>
      <c r="E212" s="96">
        <f t="shared" si="76"/>
        <v>1500000</v>
      </c>
      <c r="F212" s="96">
        <v>1300000</v>
      </c>
      <c r="G212" s="96"/>
      <c r="H212" s="96"/>
      <c r="I212" s="96">
        <v>200000</v>
      </c>
      <c r="J212" s="96">
        <f t="shared" si="74"/>
        <v>0</v>
      </c>
      <c r="K212" s="96"/>
      <c r="L212" s="96"/>
      <c r="M212" s="96"/>
      <c r="N212" s="96">
        <f>2000000-2000000</f>
        <v>0</v>
      </c>
      <c r="O212" s="96">
        <f>2000000-2000000</f>
        <v>0</v>
      </c>
      <c r="P212" s="96">
        <f t="shared" si="77"/>
        <v>1500000</v>
      </c>
      <c r="Q212" s="252"/>
      <c r="R212" s="193"/>
      <c r="S212" s="193"/>
      <c r="T212" s="193"/>
    </row>
    <row r="213" spans="1:20" s="4" customFormat="1" ht="21.75" customHeight="1">
      <c r="A213" s="94" t="s">
        <v>323</v>
      </c>
      <c r="B213" s="94" t="str">
        <f>'дод. 3'!A186</f>
        <v>7690</v>
      </c>
      <c r="C213" s="94">
        <f>'дод. 3'!B186</f>
        <v>0</v>
      </c>
      <c r="D213" s="126" t="str">
        <f>'дод. 3'!C186</f>
        <v>Інша економічна діяльність</v>
      </c>
      <c r="E213" s="96">
        <f>E214</f>
        <v>0</v>
      </c>
      <c r="F213" s="96">
        <f aca="true" t="shared" si="78" ref="F213:P213">F214</f>
        <v>0</v>
      </c>
      <c r="G213" s="96">
        <f t="shared" si="78"/>
        <v>0</v>
      </c>
      <c r="H213" s="96">
        <f t="shared" si="78"/>
        <v>0</v>
      </c>
      <c r="I213" s="96">
        <f t="shared" si="78"/>
        <v>0</v>
      </c>
      <c r="J213" s="96">
        <f t="shared" si="78"/>
        <v>880000</v>
      </c>
      <c r="K213" s="96">
        <f t="shared" si="78"/>
        <v>80000</v>
      </c>
      <c r="L213" s="96">
        <f t="shared" si="78"/>
        <v>0</v>
      </c>
      <c r="M213" s="96">
        <f t="shared" si="78"/>
        <v>0</v>
      </c>
      <c r="N213" s="96">
        <f t="shared" si="78"/>
        <v>800000</v>
      </c>
      <c r="O213" s="96">
        <f t="shared" si="78"/>
        <v>0</v>
      </c>
      <c r="P213" s="96">
        <f t="shared" si="78"/>
        <v>880000</v>
      </c>
      <c r="Q213" s="252"/>
      <c r="R213" s="194"/>
      <c r="S213" s="194"/>
      <c r="T213" s="194"/>
    </row>
    <row r="214" spans="1:20" s="134" customFormat="1" ht="114.75" customHeight="1">
      <c r="A214" s="135" t="s">
        <v>472</v>
      </c>
      <c r="B214" s="112">
        <v>7691</v>
      </c>
      <c r="C214" s="112" t="s">
        <v>126</v>
      </c>
      <c r="D214" s="92" t="s">
        <v>501</v>
      </c>
      <c r="E214" s="93">
        <f>F214+I214</f>
        <v>0</v>
      </c>
      <c r="F214" s="93"/>
      <c r="G214" s="93"/>
      <c r="H214" s="93"/>
      <c r="I214" s="93"/>
      <c r="J214" s="93">
        <f t="shared" si="74"/>
        <v>880000</v>
      </c>
      <c r="K214" s="93">
        <v>80000</v>
      </c>
      <c r="L214" s="93"/>
      <c r="M214" s="93"/>
      <c r="N214" s="93">
        <v>800000</v>
      </c>
      <c r="O214" s="93"/>
      <c r="P214" s="93">
        <f>E214+J214</f>
        <v>880000</v>
      </c>
      <c r="Q214" s="252"/>
      <c r="R214" s="195"/>
      <c r="S214" s="195"/>
      <c r="T214" s="195"/>
    </row>
    <row r="215" spans="1:20" s="4" customFormat="1" ht="21.75" customHeight="1">
      <c r="A215" s="94" t="s">
        <v>324</v>
      </c>
      <c r="B215" s="94" t="str">
        <f>'дод. 3'!A196</f>
        <v>8320</v>
      </c>
      <c r="C215" s="94" t="str">
        <f>'дод. 3'!B196</f>
        <v>0520</v>
      </c>
      <c r="D215" s="126" t="str">
        <f>'дод. 3'!C196</f>
        <v>Збереження природно-заповідного фонду</v>
      </c>
      <c r="E215" s="96">
        <f>F215+I215</f>
        <v>76600</v>
      </c>
      <c r="F215" s="96">
        <v>76600</v>
      </c>
      <c r="G215" s="96"/>
      <c r="H215" s="96"/>
      <c r="I215" s="96"/>
      <c r="J215" s="96">
        <f t="shared" si="74"/>
        <v>0</v>
      </c>
      <c r="K215" s="96"/>
      <c r="L215" s="96"/>
      <c r="M215" s="96"/>
      <c r="N215" s="96"/>
      <c r="O215" s="96"/>
      <c r="P215" s="96">
        <f>E215+J215</f>
        <v>76600</v>
      </c>
      <c r="Q215" s="252"/>
      <c r="R215" s="193"/>
      <c r="S215" s="193"/>
      <c r="T215" s="193"/>
    </row>
    <row r="216" spans="1:20" s="4" customFormat="1" ht="22.5" customHeight="1">
      <c r="A216" s="94" t="s">
        <v>325</v>
      </c>
      <c r="B216" s="94" t="str">
        <f>'дод. 3'!A197</f>
        <v>8340</v>
      </c>
      <c r="C216" s="94" t="str">
        <f>'дод. 3'!B197</f>
        <v>0540</v>
      </c>
      <c r="D216" s="126" t="str">
        <f>'дод. 3'!C197</f>
        <v>Природоохоронні заходи за рахунок цільових фондів</v>
      </c>
      <c r="E216" s="96">
        <f>F216+I216</f>
        <v>0</v>
      </c>
      <c r="F216" s="96"/>
      <c r="G216" s="96"/>
      <c r="H216" s="96"/>
      <c r="I216" s="96"/>
      <c r="J216" s="96">
        <f t="shared" si="74"/>
        <v>3251500</v>
      </c>
      <c r="K216" s="96">
        <v>1711500</v>
      </c>
      <c r="L216" s="96"/>
      <c r="M216" s="96"/>
      <c r="N216" s="96">
        <f>1540000-1000000+1000000</f>
        <v>1540000</v>
      </c>
      <c r="O216" s="96"/>
      <c r="P216" s="96">
        <f>E216+J216</f>
        <v>3251500</v>
      </c>
      <c r="Q216" s="252"/>
      <c r="R216" s="193"/>
      <c r="S216" s="193"/>
      <c r="T216" s="193"/>
    </row>
    <row r="217" spans="1:20" s="4" customFormat="1" ht="24.75" customHeight="1">
      <c r="A217" s="94" t="s">
        <v>326</v>
      </c>
      <c r="B217" s="94" t="str">
        <f>'дод. 3'!A206</f>
        <v>9770</v>
      </c>
      <c r="C217" s="94" t="str">
        <f>'дод. 3'!B206</f>
        <v>0180</v>
      </c>
      <c r="D217" s="126" t="str">
        <f>'дод. 3'!C206</f>
        <v>Інші субвенції з місцевого бюджету </v>
      </c>
      <c r="E217" s="96">
        <f>F217+I217</f>
        <v>760000</v>
      </c>
      <c r="F217" s="96">
        <v>760000</v>
      </c>
      <c r="G217" s="96"/>
      <c r="H217" s="96"/>
      <c r="I217" s="96"/>
      <c r="J217" s="96">
        <f t="shared" si="74"/>
        <v>1220000</v>
      </c>
      <c r="K217" s="96"/>
      <c r="L217" s="96"/>
      <c r="M217" s="96"/>
      <c r="N217" s="96">
        <v>1220000</v>
      </c>
      <c r="O217" s="96">
        <v>1220000</v>
      </c>
      <c r="P217" s="96">
        <f>E217+J217</f>
        <v>1980000</v>
      </c>
      <c r="Q217" s="252"/>
      <c r="R217" s="193"/>
      <c r="S217" s="193"/>
      <c r="T217" s="193"/>
    </row>
    <row r="218" spans="1:20" s="129" customFormat="1" ht="28.5" customHeight="1">
      <c r="A218" s="127" t="s">
        <v>52</v>
      </c>
      <c r="B218" s="37"/>
      <c r="C218" s="37"/>
      <c r="D218" s="36" t="s">
        <v>66</v>
      </c>
      <c r="E218" s="47">
        <f>E219</f>
        <v>5004000</v>
      </c>
      <c r="F218" s="47">
        <f aca="true" t="shared" si="79" ref="F218:P218">F219</f>
        <v>5004000</v>
      </c>
      <c r="G218" s="47">
        <f t="shared" si="79"/>
        <v>3515000</v>
      </c>
      <c r="H218" s="47">
        <f t="shared" si="79"/>
        <v>81850</v>
      </c>
      <c r="I218" s="47">
        <f t="shared" si="79"/>
        <v>0</v>
      </c>
      <c r="J218" s="47">
        <f t="shared" si="79"/>
        <v>10000</v>
      </c>
      <c r="K218" s="47">
        <f t="shared" si="79"/>
        <v>0</v>
      </c>
      <c r="L218" s="47">
        <f t="shared" si="79"/>
        <v>0</v>
      </c>
      <c r="M218" s="47">
        <f t="shared" si="79"/>
        <v>0</v>
      </c>
      <c r="N218" s="47">
        <f t="shared" si="79"/>
        <v>10000</v>
      </c>
      <c r="O218" s="47">
        <f t="shared" si="79"/>
        <v>10000</v>
      </c>
      <c r="P218" s="47">
        <f t="shared" si="79"/>
        <v>5014000</v>
      </c>
      <c r="Q218" s="252"/>
      <c r="R218" s="191"/>
      <c r="S218" s="191"/>
      <c r="T218" s="191"/>
    </row>
    <row r="219" spans="1:20" s="132" customFormat="1" ht="33" customHeight="1">
      <c r="A219" s="130" t="s">
        <v>179</v>
      </c>
      <c r="B219" s="144"/>
      <c r="C219" s="144"/>
      <c r="D219" s="143" t="s">
        <v>66</v>
      </c>
      <c r="E219" s="87">
        <f>E220+E221</f>
        <v>5004000</v>
      </c>
      <c r="F219" s="87">
        <f aca="true" t="shared" si="80" ref="F219:P219">F220+F221</f>
        <v>5004000</v>
      </c>
      <c r="G219" s="87">
        <f t="shared" si="80"/>
        <v>3515000</v>
      </c>
      <c r="H219" s="87">
        <f t="shared" si="80"/>
        <v>81850</v>
      </c>
      <c r="I219" s="87">
        <f t="shared" si="80"/>
        <v>0</v>
      </c>
      <c r="J219" s="87">
        <f t="shared" si="80"/>
        <v>10000</v>
      </c>
      <c r="K219" s="87">
        <f t="shared" si="80"/>
        <v>0</v>
      </c>
      <c r="L219" s="87">
        <f t="shared" si="80"/>
        <v>0</v>
      </c>
      <c r="M219" s="87">
        <f t="shared" si="80"/>
        <v>0</v>
      </c>
      <c r="N219" s="87">
        <f t="shared" si="80"/>
        <v>10000</v>
      </c>
      <c r="O219" s="87">
        <f t="shared" si="80"/>
        <v>10000</v>
      </c>
      <c r="P219" s="87">
        <f t="shared" si="80"/>
        <v>5014000</v>
      </c>
      <c r="Q219" s="252"/>
      <c r="R219" s="200"/>
      <c r="S219" s="200"/>
      <c r="T219" s="200"/>
    </row>
    <row r="220" spans="1:20" s="4" customFormat="1" ht="45">
      <c r="A220" s="88" t="s">
        <v>0</v>
      </c>
      <c r="B220" s="88" t="str">
        <f>'дод. 3'!A13</f>
        <v>0160</v>
      </c>
      <c r="C220" s="88" t="str">
        <f>'дод. 3'!B13</f>
        <v>0111</v>
      </c>
      <c r="D220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20" s="90">
        <f>F220+I220</f>
        <v>4464000</v>
      </c>
      <c r="F220" s="90">
        <f>4516800-52800</f>
        <v>4464000</v>
      </c>
      <c r="G220" s="90">
        <v>3515000</v>
      </c>
      <c r="H220" s="90">
        <v>81850</v>
      </c>
      <c r="I220" s="90"/>
      <c r="J220" s="90">
        <f>K220+N220</f>
        <v>10000</v>
      </c>
      <c r="K220" s="90"/>
      <c r="L220" s="90"/>
      <c r="M220" s="90"/>
      <c r="N220" s="90">
        <f>20000-10000</f>
        <v>10000</v>
      </c>
      <c r="O220" s="90">
        <f>20000-10000</f>
        <v>10000</v>
      </c>
      <c r="P220" s="90">
        <f>E220+J220</f>
        <v>4474000</v>
      </c>
      <c r="Q220" s="252"/>
      <c r="R220" s="193"/>
      <c r="S220" s="193"/>
      <c r="T220" s="193"/>
    </row>
    <row r="221" spans="1:20" s="4" customFormat="1" ht="30">
      <c r="A221" s="88" t="s">
        <v>404</v>
      </c>
      <c r="B221" s="88" t="str">
        <f>'дод. 3'!A158</f>
        <v>6090</v>
      </c>
      <c r="C221" s="88" t="str">
        <f>'дод. 3'!B158</f>
        <v>0640</v>
      </c>
      <c r="D221" s="122" t="str">
        <f>'дод. 3'!C158</f>
        <v>Інша діяльність у сфері житлово-комунального господарства</v>
      </c>
      <c r="E221" s="90">
        <f>F221+I221</f>
        <v>540000</v>
      </c>
      <c r="F221" s="90">
        <v>540000</v>
      </c>
      <c r="G221" s="90"/>
      <c r="H221" s="90"/>
      <c r="I221" s="90"/>
      <c r="J221" s="90">
        <f>K221+N221</f>
        <v>0</v>
      </c>
      <c r="K221" s="90"/>
      <c r="L221" s="90"/>
      <c r="M221" s="90"/>
      <c r="N221" s="90"/>
      <c r="O221" s="90"/>
      <c r="P221" s="90">
        <f>E221+J221</f>
        <v>540000</v>
      </c>
      <c r="Q221" s="252"/>
      <c r="R221" s="193"/>
      <c r="S221" s="193"/>
      <c r="T221" s="193"/>
    </row>
    <row r="222" spans="1:20" s="129" customFormat="1" ht="33" customHeight="1">
      <c r="A222" s="127" t="s">
        <v>54</v>
      </c>
      <c r="B222" s="37"/>
      <c r="C222" s="37"/>
      <c r="D222" s="36" t="s">
        <v>65</v>
      </c>
      <c r="E222" s="47">
        <f>E223</f>
        <v>60084906</v>
      </c>
      <c r="F222" s="47">
        <f aca="true" t="shared" si="81" ref="F222:P222">F223</f>
        <v>60084906</v>
      </c>
      <c r="G222" s="47">
        <f t="shared" si="81"/>
        <v>0</v>
      </c>
      <c r="H222" s="47">
        <f t="shared" si="81"/>
        <v>0</v>
      </c>
      <c r="I222" s="47">
        <f t="shared" si="81"/>
        <v>0</v>
      </c>
      <c r="J222" s="47">
        <f t="shared" si="81"/>
        <v>175818048</v>
      </c>
      <c r="K222" s="47">
        <f>K223</f>
        <v>2289048</v>
      </c>
      <c r="L222" s="47">
        <f t="shared" si="81"/>
        <v>1725540</v>
      </c>
      <c r="M222" s="47">
        <f t="shared" si="81"/>
        <v>46200</v>
      </c>
      <c r="N222" s="47">
        <f t="shared" si="81"/>
        <v>173529000</v>
      </c>
      <c r="O222" s="47">
        <f t="shared" si="81"/>
        <v>173179000</v>
      </c>
      <c r="P222" s="47">
        <f t="shared" si="81"/>
        <v>235902954</v>
      </c>
      <c r="Q222" s="252"/>
      <c r="R222" s="191"/>
      <c r="S222" s="191"/>
      <c r="T222" s="191"/>
    </row>
    <row r="223" spans="1:20" s="132" customFormat="1" ht="38.25" customHeight="1">
      <c r="A223" s="130" t="s">
        <v>55</v>
      </c>
      <c r="B223" s="144"/>
      <c r="C223" s="144"/>
      <c r="D223" s="143" t="s">
        <v>65</v>
      </c>
      <c r="E223" s="87">
        <f aca="true" t="shared" si="82" ref="E223:P223">E224+E225+E226+E228+E229+E233+E236+E234</f>
        <v>60084906</v>
      </c>
      <c r="F223" s="87">
        <f t="shared" si="82"/>
        <v>60084906</v>
      </c>
      <c r="G223" s="87">
        <f t="shared" si="82"/>
        <v>0</v>
      </c>
      <c r="H223" s="87">
        <f t="shared" si="82"/>
        <v>0</v>
      </c>
      <c r="I223" s="87">
        <f t="shared" si="82"/>
        <v>0</v>
      </c>
      <c r="J223" s="87">
        <f t="shared" si="82"/>
        <v>175818048</v>
      </c>
      <c r="K223" s="87">
        <f t="shared" si="82"/>
        <v>2289048</v>
      </c>
      <c r="L223" s="87">
        <f t="shared" si="82"/>
        <v>1725540</v>
      </c>
      <c r="M223" s="87">
        <f t="shared" si="82"/>
        <v>46200</v>
      </c>
      <c r="N223" s="87">
        <f t="shared" si="82"/>
        <v>173529000</v>
      </c>
      <c r="O223" s="87">
        <f t="shared" si="82"/>
        <v>173179000</v>
      </c>
      <c r="P223" s="87">
        <f t="shared" si="82"/>
        <v>235902954</v>
      </c>
      <c r="Q223" s="252"/>
      <c r="R223" s="197"/>
      <c r="S223" s="197"/>
      <c r="T223" s="197"/>
    </row>
    <row r="224" spans="1:20" s="4" customFormat="1" ht="45">
      <c r="A224" s="88" t="s">
        <v>221</v>
      </c>
      <c r="B224" s="88" t="str">
        <f>'дод. 3'!A13</f>
        <v>0160</v>
      </c>
      <c r="C224" s="88" t="str">
        <f>'дод. 3'!B13</f>
        <v>0111</v>
      </c>
      <c r="D224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24" s="90">
        <f>F224+I224</f>
        <v>0</v>
      </c>
      <c r="F224" s="90"/>
      <c r="G224" s="90"/>
      <c r="H224" s="90"/>
      <c r="I224" s="90"/>
      <c r="J224" s="90">
        <f>K224+N224</f>
        <v>2600000</v>
      </c>
      <c r="K224" s="90">
        <v>2250000</v>
      </c>
      <c r="L224" s="90">
        <v>1725540</v>
      </c>
      <c r="M224" s="90">
        <v>46200</v>
      </c>
      <c r="N224" s="90">
        <v>350000</v>
      </c>
      <c r="O224" s="90"/>
      <c r="P224" s="90">
        <f>E224+J224</f>
        <v>2600000</v>
      </c>
      <c r="Q224" s="252">
        <v>22</v>
      </c>
      <c r="R224" s="193"/>
      <c r="S224" s="193"/>
      <c r="T224" s="193"/>
    </row>
    <row r="225" spans="1:20" s="4" customFormat="1" ht="22.5" customHeight="1">
      <c r="A225" s="88" t="s">
        <v>327</v>
      </c>
      <c r="B225" s="88" t="str">
        <f>'дод. 3'!A155</f>
        <v>6030</v>
      </c>
      <c r="C225" s="88" t="str">
        <f>'дод. 3'!B155</f>
        <v>0620</v>
      </c>
      <c r="D225" s="123" t="str">
        <f>'дод. 3'!C155</f>
        <v>Організація благоустрою населених пунктів</v>
      </c>
      <c r="E225" s="90">
        <f>F225+I225</f>
        <v>60000000</v>
      </c>
      <c r="F225" s="90">
        <f>40000000+20000000</f>
        <v>60000000</v>
      </c>
      <c r="G225" s="90"/>
      <c r="H225" s="90"/>
      <c r="I225" s="90"/>
      <c r="J225" s="90">
        <f>K225+N225</f>
        <v>86752000</v>
      </c>
      <c r="K225" s="90"/>
      <c r="L225" s="90"/>
      <c r="M225" s="90"/>
      <c r="N225" s="90">
        <f>60000000+30000000-3248000</f>
        <v>86752000</v>
      </c>
      <c r="O225" s="90">
        <f>60000000+30000000-3248000</f>
        <v>86752000</v>
      </c>
      <c r="P225" s="90">
        <f>E225+J225</f>
        <v>146752000</v>
      </c>
      <c r="Q225" s="252"/>
      <c r="R225" s="193"/>
      <c r="S225" s="193"/>
      <c r="T225" s="202"/>
    </row>
    <row r="226" spans="1:21" s="4" customFormat="1" ht="24" customHeight="1">
      <c r="A226" s="98" t="s">
        <v>328</v>
      </c>
      <c r="B226" s="98" t="str">
        <f>'дод. 3'!A156</f>
        <v>6080</v>
      </c>
      <c r="C226" s="98">
        <f>'дод. 3'!B156</f>
        <v>0</v>
      </c>
      <c r="D226" s="148" t="str">
        <f>'дод. 3'!C156</f>
        <v>Реалізація державних та місцевих житлових програм </v>
      </c>
      <c r="E226" s="90">
        <f>E227</f>
        <v>84906</v>
      </c>
      <c r="F226" s="90">
        <f aca="true" t="shared" si="83" ref="F226:P226">F227</f>
        <v>84906</v>
      </c>
      <c r="G226" s="90">
        <f t="shared" si="83"/>
        <v>0</v>
      </c>
      <c r="H226" s="90">
        <f t="shared" si="83"/>
        <v>0</v>
      </c>
      <c r="I226" s="90">
        <f t="shared" si="83"/>
        <v>0</v>
      </c>
      <c r="J226" s="90">
        <f t="shared" si="83"/>
        <v>39048</v>
      </c>
      <c r="K226" s="90">
        <f>K227</f>
        <v>39048</v>
      </c>
      <c r="L226" s="90">
        <f t="shared" si="83"/>
        <v>0</v>
      </c>
      <c r="M226" s="90">
        <f t="shared" si="83"/>
        <v>0</v>
      </c>
      <c r="N226" s="90">
        <f t="shared" si="83"/>
        <v>0</v>
      </c>
      <c r="O226" s="90">
        <f t="shared" si="83"/>
        <v>0</v>
      </c>
      <c r="P226" s="90">
        <f t="shared" si="83"/>
        <v>123954</v>
      </c>
      <c r="Q226" s="252"/>
      <c r="R226" s="194"/>
      <c r="S226" s="194"/>
      <c r="T226" s="194"/>
      <c r="U226" s="182"/>
    </row>
    <row r="227" spans="1:20" s="134" customFormat="1" ht="68.25" customHeight="1">
      <c r="A227" s="91" t="s">
        <v>329</v>
      </c>
      <c r="B227" s="91" t="str">
        <f>'дод. 3'!A157</f>
        <v>6084</v>
      </c>
      <c r="C227" s="91" t="str">
        <f>'дод. 3'!B157</f>
        <v>0610</v>
      </c>
      <c r="D227" s="119" t="str">
        <f>'дод. 3'!C157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7" s="93">
        <f>F227+I227</f>
        <v>84906</v>
      </c>
      <c r="F227" s="93">
        <v>84906</v>
      </c>
      <c r="G227" s="93"/>
      <c r="H227" s="93"/>
      <c r="I227" s="93"/>
      <c r="J227" s="93">
        <f>K227+N227</f>
        <v>39048</v>
      </c>
      <c r="K227" s="93">
        <v>39048</v>
      </c>
      <c r="L227" s="93"/>
      <c r="M227" s="93"/>
      <c r="N227" s="93"/>
      <c r="O227" s="93"/>
      <c r="P227" s="93">
        <f>E227+J227</f>
        <v>123954</v>
      </c>
      <c r="Q227" s="252"/>
      <c r="R227" s="195"/>
      <c r="S227" s="195"/>
      <c r="T227" s="195"/>
    </row>
    <row r="228" spans="1:20" s="4" customFormat="1" ht="36" customHeight="1">
      <c r="A228" s="88" t="s">
        <v>428</v>
      </c>
      <c r="B228" s="88" t="str">
        <f>'дод. 3'!A163</f>
        <v>7310</v>
      </c>
      <c r="C228" s="88" t="str">
        <f>'дод. 3'!B163</f>
        <v>0443</v>
      </c>
      <c r="D228" s="122" t="str">
        <f>'дод. 3'!C163</f>
        <v>Будівництво об'єктів житлово-комунального господарства</v>
      </c>
      <c r="E228" s="90">
        <f>F228+I228</f>
        <v>0</v>
      </c>
      <c r="F228" s="90"/>
      <c r="G228" s="90"/>
      <c r="H228" s="90"/>
      <c r="I228" s="90"/>
      <c r="J228" s="90">
        <f>K228+N228</f>
        <v>9900000</v>
      </c>
      <c r="K228" s="90"/>
      <c r="L228" s="90"/>
      <c r="M228" s="90"/>
      <c r="N228" s="90">
        <v>9900000</v>
      </c>
      <c r="O228" s="90">
        <v>9900000</v>
      </c>
      <c r="P228" s="90">
        <f>E228+J228</f>
        <v>9900000</v>
      </c>
      <c r="Q228" s="252"/>
      <c r="R228" s="193"/>
      <c r="S228" s="193"/>
      <c r="T228" s="202"/>
    </row>
    <row r="229" spans="1:20" s="4" customFormat="1" ht="36" customHeight="1">
      <c r="A229" s="88" t="s">
        <v>429</v>
      </c>
      <c r="B229" s="88" t="str">
        <f>'дод. 3'!A164</f>
        <v>7320</v>
      </c>
      <c r="C229" s="88" t="str">
        <f>'дод. 3'!B164</f>
        <v>0443</v>
      </c>
      <c r="D229" s="122" t="str">
        <f>'дод. 3'!C164</f>
        <v>Будівництво об'єктів соціально-культурного призначення</v>
      </c>
      <c r="E229" s="90">
        <f>E230+E231+E232</f>
        <v>0</v>
      </c>
      <c r="F229" s="90">
        <f aca="true" t="shared" si="84" ref="F229:P229">F230+F231+F232</f>
        <v>0</v>
      </c>
      <c r="G229" s="90">
        <f t="shared" si="84"/>
        <v>0</v>
      </c>
      <c r="H229" s="90">
        <f t="shared" si="84"/>
        <v>0</v>
      </c>
      <c r="I229" s="90">
        <f t="shared" si="84"/>
        <v>0</v>
      </c>
      <c r="J229" s="90">
        <f t="shared" si="84"/>
        <v>24741000</v>
      </c>
      <c r="K229" s="90">
        <f t="shared" si="84"/>
        <v>0</v>
      </c>
      <c r="L229" s="90">
        <f t="shared" si="84"/>
        <v>0</v>
      </c>
      <c r="M229" s="90">
        <f t="shared" si="84"/>
        <v>0</v>
      </c>
      <c r="N229" s="90">
        <f t="shared" si="84"/>
        <v>24741000</v>
      </c>
      <c r="O229" s="90">
        <f t="shared" si="84"/>
        <v>24741000</v>
      </c>
      <c r="P229" s="90">
        <f t="shared" si="84"/>
        <v>24741000</v>
      </c>
      <c r="Q229" s="252"/>
      <c r="R229" s="194"/>
      <c r="S229" s="194"/>
      <c r="T229" s="194"/>
    </row>
    <row r="230" spans="1:20" s="134" customFormat="1" ht="25.5" customHeight="1">
      <c r="A230" s="91" t="s">
        <v>431</v>
      </c>
      <c r="B230" s="91" t="str">
        <f>'дод. 3'!A165</f>
        <v>7321</v>
      </c>
      <c r="C230" s="91" t="str">
        <f>'дод. 3'!B165</f>
        <v>0443</v>
      </c>
      <c r="D230" s="119" t="str">
        <f>'дод. 3'!C165</f>
        <v>Будівництво освітніх установ та закладів</v>
      </c>
      <c r="E230" s="93">
        <f>F230+I230</f>
        <v>0</v>
      </c>
      <c r="F230" s="93"/>
      <c r="G230" s="93"/>
      <c r="H230" s="93"/>
      <c r="I230" s="93"/>
      <c r="J230" s="93">
        <f>K230+N230</f>
        <v>10741000</v>
      </c>
      <c r="K230" s="93"/>
      <c r="L230" s="93"/>
      <c r="M230" s="93"/>
      <c r="N230" s="93">
        <f>3741000+7000000</f>
        <v>10741000</v>
      </c>
      <c r="O230" s="93">
        <f>3741000+7000000</f>
        <v>10741000</v>
      </c>
      <c r="P230" s="93">
        <f>E230+J230</f>
        <v>10741000</v>
      </c>
      <c r="Q230" s="252"/>
      <c r="R230" s="195"/>
      <c r="S230" s="195"/>
      <c r="T230" s="196"/>
    </row>
    <row r="231" spans="1:20" s="134" customFormat="1" ht="25.5" customHeight="1">
      <c r="A231" s="91" t="s">
        <v>433</v>
      </c>
      <c r="B231" s="91" t="str">
        <f>'дод. 3'!A166</f>
        <v>7322</v>
      </c>
      <c r="C231" s="91" t="str">
        <f>'дод. 3'!B166</f>
        <v>0443</v>
      </c>
      <c r="D231" s="119" t="str">
        <f>'дод. 3'!C166</f>
        <v>Будівництво медичних установ та закладів</v>
      </c>
      <c r="E231" s="93">
        <f>F231+I231</f>
        <v>0</v>
      </c>
      <c r="F231" s="93"/>
      <c r="G231" s="93"/>
      <c r="H231" s="93"/>
      <c r="I231" s="93"/>
      <c r="J231" s="93">
        <f>K231+N231</f>
        <v>5500000</v>
      </c>
      <c r="K231" s="93"/>
      <c r="L231" s="93"/>
      <c r="M231" s="93"/>
      <c r="N231" s="93">
        <v>5500000</v>
      </c>
      <c r="O231" s="93">
        <v>5500000</v>
      </c>
      <c r="P231" s="93">
        <f>E231+J231</f>
        <v>5500000</v>
      </c>
      <c r="Q231" s="252"/>
      <c r="R231" s="195"/>
      <c r="S231" s="195"/>
      <c r="T231" s="195"/>
    </row>
    <row r="232" spans="1:20" s="134" customFormat="1" ht="36" customHeight="1">
      <c r="A232" s="91" t="s">
        <v>435</v>
      </c>
      <c r="B232" s="91" t="str">
        <f>'дод. 3'!A167</f>
        <v>7325</v>
      </c>
      <c r="C232" s="91" t="str">
        <f>'дод. 3'!B167</f>
        <v>0443</v>
      </c>
      <c r="D232" s="119" t="str">
        <f>'дод. 3'!C167</f>
        <v>Будівництво споруд, установ та закладів фізичної культури і спорту</v>
      </c>
      <c r="E232" s="93">
        <f>F232+I232</f>
        <v>0</v>
      </c>
      <c r="F232" s="93"/>
      <c r="G232" s="93"/>
      <c r="H232" s="93"/>
      <c r="I232" s="93"/>
      <c r="J232" s="93">
        <f>K232+N232</f>
        <v>8500000</v>
      </c>
      <c r="K232" s="93"/>
      <c r="L232" s="93"/>
      <c r="M232" s="93"/>
      <c r="N232" s="93">
        <v>8500000</v>
      </c>
      <c r="O232" s="93">
        <v>8500000</v>
      </c>
      <c r="P232" s="93">
        <f>E232+J232</f>
        <v>8500000</v>
      </c>
      <c r="Q232" s="252"/>
      <c r="R232" s="195"/>
      <c r="S232" s="195"/>
      <c r="T232" s="195"/>
    </row>
    <row r="233" spans="1:20" s="4" customFormat="1" ht="36" customHeight="1">
      <c r="A233" s="88" t="s">
        <v>437</v>
      </c>
      <c r="B233" s="88" t="str">
        <f>'дод. 3'!A168</f>
        <v>7330</v>
      </c>
      <c r="C233" s="88" t="str">
        <f>'дод. 3'!B168</f>
        <v>0443</v>
      </c>
      <c r="D233" s="122" t="str">
        <f>'дод. 3'!C168</f>
        <v>Будівництво інших об'єктів соціальної та виробничої інфраструктури комунальної власності</v>
      </c>
      <c r="E233" s="90">
        <f>F233+I233</f>
        <v>0</v>
      </c>
      <c r="F233" s="90"/>
      <c r="G233" s="90"/>
      <c r="H233" s="90"/>
      <c r="I233" s="90"/>
      <c r="J233" s="90">
        <f>K233+N233</f>
        <v>31229000</v>
      </c>
      <c r="K233" s="90"/>
      <c r="L233" s="90"/>
      <c r="M233" s="90"/>
      <c r="N233" s="90">
        <f>30359000+870000</f>
        <v>31229000</v>
      </c>
      <c r="O233" s="90">
        <f>30359000+870000</f>
        <v>31229000</v>
      </c>
      <c r="P233" s="90">
        <f>E233+J233</f>
        <v>31229000</v>
      </c>
      <c r="Q233" s="252"/>
      <c r="R233" s="193"/>
      <c r="S233" s="193"/>
      <c r="T233" s="193"/>
    </row>
    <row r="234" spans="1:20" s="4" customFormat="1" ht="36" customHeight="1">
      <c r="A234" s="88" t="s">
        <v>582</v>
      </c>
      <c r="B234" s="88" t="str">
        <f>'дод. 3'!A173</f>
        <v>7420</v>
      </c>
      <c r="C234" s="88">
        <f>'дод. 3'!B173</f>
        <v>0</v>
      </c>
      <c r="D234" s="122" t="str">
        <f>'дод. 3'!C173</f>
        <v>Забезпечення надання послуг з перевезення пасажирів електротранспортом</v>
      </c>
      <c r="E234" s="90">
        <f aca="true" t="shared" si="85" ref="E234:P234">E235</f>
        <v>0</v>
      </c>
      <c r="F234" s="90">
        <f t="shared" si="85"/>
        <v>0</v>
      </c>
      <c r="G234" s="90">
        <f t="shared" si="85"/>
        <v>0</v>
      </c>
      <c r="H234" s="90">
        <f t="shared" si="85"/>
        <v>0</v>
      </c>
      <c r="I234" s="90">
        <f t="shared" si="85"/>
        <v>0</v>
      </c>
      <c r="J234" s="90">
        <f t="shared" si="85"/>
        <v>2000000</v>
      </c>
      <c r="K234" s="90">
        <f t="shared" si="85"/>
        <v>0</v>
      </c>
      <c r="L234" s="90">
        <f t="shared" si="85"/>
        <v>0</v>
      </c>
      <c r="M234" s="90">
        <f t="shared" si="85"/>
        <v>0</v>
      </c>
      <c r="N234" s="90">
        <f t="shared" si="85"/>
        <v>2000000</v>
      </c>
      <c r="O234" s="90">
        <f t="shared" si="85"/>
        <v>2000000</v>
      </c>
      <c r="P234" s="90">
        <f t="shared" si="85"/>
        <v>2000000</v>
      </c>
      <c r="Q234" s="252"/>
      <c r="R234" s="198"/>
      <c r="S234" s="198"/>
      <c r="T234" s="198"/>
    </row>
    <row r="235" spans="1:20" s="134" customFormat="1" ht="24" customHeight="1">
      <c r="A235" s="91" t="s">
        <v>583</v>
      </c>
      <c r="B235" s="91" t="str">
        <f>'дод. 3'!A175</f>
        <v>7426</v>
      </c>
      <c r="C235" s="91" t="str">
        <f>'дод. 3'!B175</f>
        <v>0453</v>
      </c>
      <c r="D235" s="119" t="str">
        <f>'дод. 3'!C175</f>
        <v>Інші заходи у сфері електротранспорту</v>
      </c>
      <c r="E235" s="93">
        <f>F235+I235</f>
        <v>0</v>
      </c>
      <c r="F235" s="93"/>
      <c r="G235" s="93"/>
      <c r="H235" s="93"/>
      <c r="I235" s="93"/>
      <c r="J235" s="93">
        <f>K235+N235</f>
        <v>2000000</v>
      </c>
      <c r="K235" s="93"/>
      <c r="L235" s="93"/>
      <c r="M235" s="93"/>
      <c r="N235" s="93">
        <v>2000000</v>
      </c>
      <c r="O235" s="93">
        <v>2000000</v>
      </c>
      <c r="P235" s="93">
        <f>E235+J235</f>
        <v>2000000</v>
      </c>
      <c r="Q235" s="252"/>
      <c r="R235" s="195"/>
      <c r="S235" s="195"/>
      <c r="T235" s="195"/>
    </row>
    <row r="236" spans="1:20" s="4" customFormat="1" ht="28.5" customHeight="1">
      <c r="A236" s="94" t="s">
        <v>234</v>
      </c>
      <c r="B236" s="94" t="str">
        <f>'дод. 3'!A181</f>
        <v>7640</v>
      </c>
      <c r="C236" s="94" t="str">
        <f>'дод. 3'!B181</f>
        <v>0470</v>
      </c>
      <c r="D236" s="126" t="str">
        <f>'дод. 3'!C181</f>
        <v>Заходи з енергозбереження</v>
      </c>
      <c r="E236" s="96">
        <f>F236+I236</f>
        <v>0</v>
      </c>
      <c r="F236" s="96"/>
      <c r="G236" s="96"/>
      <c r="H236" s="96"/>
      <c r="I236" s="96"/>
      <c r="J236" s="96">
        <f>K236+N236</f>
        <v>18557000</v>
      </c>
      <c r="K236" s="96"/>
      <c r="L236" s="96"/>
      <c r="M236" s="96"/>
      <c r="N236" s="96">
        <v>18557000</v>
      </c>
      <c r="O236" s="96">
        <v>18557000</v>
      </c>
      <c r="P236" s="96">
        <f>E236+J236</f>
        <v>18557000</v>
      </c>
      <c r="Q236" s="252"/>
      <c r="R236" s="193"/>
      <c r="S236" s="193"/>
      <c r="T236" s="202"/>
    </row>
    <row r="237" spans="1:20" s="132" customFormat="1" ht="28.5">
      <c r="A237" s="127" t="s">
        <v>330</v>
      </c>
      <c r="B237" s="37"/>
      <c r="C237" s="37"/>
      <c r="D237" s="36" t="s">
        <v>72</v>
      </c>
      <c r="E237" s="47">
        <f>E238</f>
        <v>6329600</v>
      </c>
      <c r="F237" s="47">
        <f aca="true" t="shared" si="86" ref="F237:P237">F238</f>
        <v>6329600</v>
      </c>
      <c r="G237" s="47">
        <f t="shared" si="86"/>
        <v>4858230</v>
      </c>
      <c r="H237" s="47">
        <f t="shared" si="86"/>
        <v>81200</v>
      </c>
      <c r="I237" s="47">
        <f t="shared" si="86"/>
        <v>0</v>
      </c>
      <c r="J237" s="47">
        <f t="shared" si="86"/>
        <v>341539</v>
      </c>
      <c r="K237" s="47">
        <f t="shared" si="86"/>
        <v>341539</v>
      </c>
      <c r="L237" s="47">
        <f t="shared" si="86"/>
        <v>0</v>
      </c>
      <c r="M237" s="47">
        <f t="shared" si="86"/>
        <v>0</v>
      </c>
      <c r="N237" s="47">
        <f t="shared" si="86"/>
        <v>0</v>
      </c>
      <c r="O237" s="47">
        <f t="shared" si="86"/>
        <v>0</v>
      </c>
      <c r="P237" s="47">
        <f t="shared" si="86"/>
        <v>6671139</v>
      </c>
      <c r="Q237" s="252"/>
      <c r="R237" s="191"/>
      <c r="S237" s="191"/>
      <c r="T237" s="191"/>
    </row>
    <row r="238" spans="1:21" s="132" customFormat="1" ht="30">
      <c r="A238" s="130" t="s">
        <v>331</v>
      </c>
      <c r="B238" s="144"/>
      <c r="C238" s="144"/>
      <c r="D238" s="143" t="s">
        <v>72</v>
      </c>
      <c r="E238" s="87">
        <f>E239+E241+E240</f>
        <v>6329600</v>
      </c>
      <c r="F238" s="87">
        <f aca="true" t="shared" si="87" ref="F238:P238">F239+F241+F240</f>
        <v>6329600</v>
      </c>
      <c r="G238" s="87">
        <f t="shared" si="87"/>
        <v>4858230</v>
      </c>
      <c r="H238" s="87">
        <f t="shared" si="87"/>
        <v>81200</v>
      </c>
      <c r="I238" s="87">
        <f t="shared" si="87"/>
        <v>0</v>
      </c>
      <c r="J238" s="87">
        <f t="shared" si="87"/>
        <v>341539</v>
      </c>
      <c r="K238" s="87">
        <f t="shared" si="87"/>
        <v>341539</v>
      </c>
      <c r="L238" s="87">
        <f t="shared" si="87"/>
        <v>0</v>
      </c>
      <c r="M238" s="87">
        <f t="shared" si="87"/>
        <v>0</v>
      </c>
      <c r="N238" s="87">
        <f t="shared" si="87"/>
        <v>0</v>
      </c>
      <c r="O238" s="87">
        <f t="shared" si="87"/>
        <v>0</v>
      </c>
      <c r="P238" s="87">
        <f t="shared" si="87"/>
        <v>6671139</v>
      </c>
      <c r="Q238" s="252"/>
      <c r="R238" s="200"/>
      <c r="S238" s="200"/>
      <c r="T238" s="200"/>
      <c r="U238" s="183"/>
    </row>
    <row r="239" spans="1:20" s="4" customFormat="1" ht="45">
      <c r="A239" s="88" t="s">
        <v>332</v>
      </c>
      <c r="B239" s="88" t="str">
        <f>'дод. 3'!A13</f>
        <v>0160</v>
      </c>
      <c r="C239" s="88" t="str">
        <f>'дод. 3'!B13</f>
        <v>0111</v>
      </c>
      <c r="D239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39" s="90">
        <f>F239+I239</f>
        <v>6179600</v>
      </c>
      <c r="F239" s="90">
        <f>6208400-28800</f>
        <v>6179600</v>
      </c>
      <c r="G239" s="90">
        <v>4858230</v>
      </c>
      <c r="H239" s="90">
        <v>81200</v>
      </c>
      <c r="I239" s="90"/>
      <c r="J239" s="90">
        <f>K239+N239</f>
        <v>0</v>
      </c>
      <c r="K239" s="90"/>
      <c r="L239" s="90"/>
      <c r="M239" s="90"/>
      <c r="N239" s="90">
        <f>20000-20000</f>
        <v>0</v>
      </c>
      <c r="O239" s="90">
        <f>20000-20000</f>
        <v>0</v>
      </c>
      <c r="P239" s="90">
        <f>E239+J239</f>
        <v>6179600</v>
      </c>
      <c r="Q239" s="252"/>
      <c r="R239" s="193"/>
      <c r="S239" s="193"/>
      <c r="T239" s="193"/>
    </row>
    <row r="240" spans="1:20" s="4" customFormat="1" ht="32.25" customHeight="1">
      <c r="A240" s="88" t="s">
        <v>491</v>
      </c>
      <c r="B240" s="162" t="str">
        <f>'дод. 3'!A158</f>
        <v>6090</v>
      </c>
      <c r="C240" s="162" t="str">
        <f>'дод. 3'!B158</f>
        <v>0640</v>
      </c>
      <c r="D240" s="122" t="str">
        <f>'дод. 3'!C158</f>
        <v>Інша діяльність у сфері житлово-комунального господарства</v>
      </c>
      <c r="E240" s="90">
        <f>F240+I240</f>
        <v>150000</v>
      </c>
      <c r="F240" s="90">
        <v>150000</v>
      </c>
      <c r="G240" s="90"/>
      <c r="H240" s="90"/>
      <c r="I240" s="90"/>
      <c r="J240" s="90">
        <f>K240+N240</f>
        <v>0</v>
      </c>
      <c r="K240" s="90"/>
      <c r="L240" s="90"/>
      <c r="M240" s="90"/>
      <c r="N240" s="90"/>
      <c r="O240" s="90"/>
      <c r="P240" s="90">
        <f>E240+J240</f>
        <v>150000</v>
      </c>
      <c r="Q240" s="252"/>
      <c r="R240" s="193"/>
      <c r="S240" s="193"/>
      <c r="T240" s="193" t="e">
        <f>#REF!*$T$9</f>
        <v>#REF!</v>
      </c>
    </row>
    <row r="241" spans="1:20" s="4" customFormat="1" ht="18.75" customHeight="1">
      <c r="A241" s="98" t="s">
        <v>333</v>
      </c>
      <c r="B241" s="98" t="str">
        <f>'дод. 3'!A186</f>
        <v>7690</v>
      </c>
      <c r="C241" s="98">
        <f>'дод. 3'!B186</f>
        <v>0</v>
      </c>
      <c r="D241" s="148" t="str">
        <f>'дод. 3'!C186</f>
        <v>Інша економічна діяльність</v>
      </c>
      <c r="E241" s="90">
        <f>E242</f>
        <v>0</v>
      </c>
      <c r="F241" s="90">
        <f aca="true" t="shared" si="88" ref="F241:P241">F242</f>
        <v>0</v>
      </c>
      <c r="G241" s="90">
        <f t="shared" si="88"/>
        <v>0</v>
      </c>
      <c r="H241" s="90">
        <f t="shared" si="88"/>
        <v>0</v>
      </c>
      <c r="I241" s="90">
        <f t="shared" si="88"/>
        <v>0</v>
      </c>
      <c r="J241" s="90">
        <f t="shared" si="88"/>
        <v>341539</v>
      </c>
      <c r="K241" s="90">
        <f t="shared" si="88"/>
        <v>341539</v>
      </c>
      <c r="L241" s="90">
        <f t="shared" si="88"/>
        <v>0</v>
      </c>
      <c r="M241" s="90">
        <f t="shared" si="88"/>
        <v>0</v>
      </c>
      <c r="N241" s="90">
        <f t="shared" si="88"/>
        <v>0</v>
      </c>
      <c r="O241" s="90">
        <f t="shared" si="88"/>
        <v>0</v>
      </c>
      <c r="P241" s="90">
        <f t="shared" si="88"/>
        <v>341539</v>
      </c>
      <c r="Q241" s="252"/>
      <c r="R241" s="194"/>
      <c r="S241" s="194"/>
      <c r="T241" s="194"/>
    </row>
    <row r="242" spans="1:20" s="134" customFormat="1" ht="140.25" customHeight="1">
      <c r="A242" s="135" t="s">
        <v>471</v>
      </c>
      <c r="B242" s="165" t="str">
        <f>'дод. 3'!A187</f>
        <v>7691</v>
      </c>
      <c r="C242" s="165" t="str">
        <f>'дод. 3'!B187</f>
        <v>0490</v>
      </c>
      <c r="D242" s="14" t="s">
        <v>501</v>
      </c>
      <c r="E242" s="93">
        <f>F242+I242</f>
        <v>0</v>
      </c>
      <c r="F242" s="93"/>
      <c r="G242" s="93"/>
      <c r="H242" s="93"/>
      <c r="I242" s="93"/>
      <c r="J242" s="93">
        <f>K242+N242</f>
        <v>341539</v>
      </c>
      <c r="K242" s="93">
        <v>341539</v>
      </c>
      <c r="L242" s="93"/>
      <c r="M242" s="93"/>
      <c r="N242" s="93"/>
      <c r="O242" s="93"/>
      <c r="P242" s="93">
        <f>E242+J242</f>
        <v>341539</v>
      </c>
      <c r="Q242" s="252"/>
      <c r="R242" s="195"/>
      <c r="S242" s="195"/>
      <c r="T242" s="195"/>
    </row>
    <row r="243" spans="1:20" s="132" customFormat="1" ht="36.75" customHeight="1">
      <c r="A243" s="127" t="s">
        <v>336</v>
      </c>
      <c r="B243" s="37"/>
      <c r="C243" s="37"/>
      <c r="D243" s="36" t="s">
        <v>75</v>
      </c>
      <c r="E243" s="47">
        <f>E244</f>
        <v>3506700</v>
      </c>
      <c r="F243" s="47">
        <f aca="true" t="shared" si="89" ref="F243:P244">F244</f>
        <v>3506700</v>
      </c>
      <c r="G243" s="47">
        <f t="shared" si="89"/>
        <v>2745200</v>
      </c>
      <c r="H243" s="47">
        <f t="shared" si="89"/>
        <v>36300</v>
      </c>
      <c r="I243" s="47">
        <f t="shared" si="89"/>
        <v>0</v>
      </c>
      <c r="J243" s="47">
        <f t="shared" si="89"/>
        <v>40000</v>
      </c>
      <c r="K243" s="47">
        <f t="shared" si="89"/>
        <v>0</v>
      </c>
      <c r="L243" s="47">
        <f t="shared" si="89"/>
        <v>0</v>
      </c>
      <c r="M243" s="47">
        <f t="shared" si="89"/>
        <v>0</v>
      </c>
      <c r="N243" s="47">
        <f t="shared" si="89"/>
        <v>40000</v>
      </c>
      <c r="O243" s="47">
        <f t="shared" si="89"/>
        <v>40000</v>
      </c>
      <c r="P243" s="47">
        <f t="shared" si="89"/>
        <v>3546700</v>
      </c>
      <c r="Q243" s="252"/>
      <c r="R243" s="191"/>
      <c r="S243" s="191"/>
      <c r="T243" s="191"/>
    </row>
    <row r="244" spans="1:20" s="132" customFormat="1" ht="41.25" customHeight="1">
      <c r="A244" s="130" t="s">
        <v>334</v>
      </c>
      <c r="B244" s="144"/>
      <c r="C244" s="144"/>
      <c r="D244" s="143" t="s">
        <v>75</v>
      </c>
      <c r="E244" s="87">
        <f>E245</f>
        <v>3506700</v>
      </c>
      <c r="F244" s="87">
        <f t="shared" si="89"/>
        <v>3506700</v>
      </c>
      <c r="G244" s="87">
        <f t="shared" si="89"/>
        <v>2745200</v>
      </c>
      <c r="H244" s="87">
        <f t="shared" si="89"/>
        <v>36300</v>
      </c>
      <c r="I244" s="87">
        <f t="shared" si="89"/>
        <v>0</v>
      </c>
      <c r="J244" s="87">
        <f t="shared" si="89"/>
        <v>40000</v>
      </c>
      <c r="K244" s="87">
        <f t="shared" si="89"/>
        <v>0</v>
      </c>
      <c r="L244" s="87">
        <f t="shared" si="89"/>
        <v>0</v>
      </c>
      <c r="M244" s="87">
        <f t="shared" si="89"/>
        <v>0</v>
      </c>
      <c r="N244" s="87">
        <f t="shared" si="89"/>
        <v>40000</v>
      </c>
      <c r="O244" s="87">
        <f t="shared" si="89"/>
        <v>40000</v>
      </c>
      <c r="P244" s="87">
        <f t="shared" si="89"/>
        <v>3546700</v>
      </c>
      <c r="Q244" s="252"/>
      <c r="R244" s="192"/>
      <c r="S244" s="192"/>
      <c r="T244" s="192"/>
    </row>
    <row r="245" spans="1:20" s="134" customFormat="1" ht="47.25" customHeight="1">
      <c r="A245" s="88" t="s">
        <v>335</v>
      </c>
      <c r="B245" s="88" t="str">
        <f>'дод. 3'!A13</f>
        <v>0160</v>
      </c>
      <c r="C245" s="88" t="str">
        <f>'дод. 3'!B13</f>
        <v>0111</v>
      </c>
      <c r="D245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45" s="90">
        <f>F245+I245</f>
        <v>3506700</v>
      </c>
      <c r="F245" s="90">
        <f>3525900-19200</f>
        <v>3506700</v>
      </c>
      <c r="G245" s="90">
        <v>2745200</v>
      </c>
      <c r="H245" s="90">
        <v>36300</v>
      </c>
      <c r="I245" s="90"/>
      <c r="J245" s="90">
        <f>K245+N245</f>
        <v>40000</v>
      </c>
      <c r="K245" s="90"/>
      <c r="L245" s="90"/>
      <c r="M245" s="90"/>
      <c r="N245" s="90">
        <v>40000</v>
      </c>
      <c r="O245" s="90">
        <v>40000</v>
      </c>
      <c r="P245" s="90">
        <f>E245+J245</f>
        <v>3546700</v>
      </c>
      <c r="Q245" s="252"/>
      <c r="R245" s="193"/>
      <c r="S245" s="193"/>
      <c r="T245" s="193"/>
    </row>
    <row r="246" spans="1:20" s="129" customFormat="1" ht="28.5">
      <c r="A246" s="127" t="s">
        <v>337</v>
      </c>
      <c r="B246" s="37"/>
      <c r="C246" s="37"/>
      <c r="D246" s="36" t="s">
        <v>71</v>
      </c>
      <c r="E246" s="47">
        <f>E247</f>
        <v>17290300</v>
      </c>
      <c r="F246" s="47">
        <f aca="true" t="shared" si="90" ref="F246:P246">F247</f>
        <v>16390300</v>
      </c>
      <c r="G246" s="47">
        <f t="shared" si="90"/>
        <v>11700000</v>
      </c>
      <c r="H246" s="47">
        <f t="shared" si="90"/>
        <v>250267</v>
      </c>
      <c r="I246" s="47">
        <f t="shared" si="90"/>
        <v>900000</v>
      </c>
      <c r="J246" s="47">
        <f t="shared" si="90"/>
        <v>69500</v>
      </c>
      <c r="K246" s="47">
        <f t="shared" si="90"/>
        <v>0</v>
      </c>
      <c r="L246" s="47">
        <f t="shared" si="90"/>
        <v>0</v>
      </c>
      <c r="M246" s="47">
        <f t="shared" si="90"/>
        <v>0</v>
      </c>
      <c r="N246" s="47">
        <f t="shared" si="90"/>
        <v>69500</v>
      </c>
      <c r="O246" s="47">
        <f t="shared" si="90"/>
        <v>69500</v>
      </c>
      <c r="P246" s="47">
        <f t="shared" si="90"/>
        <v>17359800</v>
      </c>
      <c r="Q246" s="252"/>
      <c r="R246" s="191"/>
      <c r="S246" s="191"/>
      <c r="T246" s="191"/>
    </row>
    <row r="247" spans="1:20" s="132" customFormat="1" ht="30.75" customHeight="1">
      <c r="A247" s="130" t="s">
        <v>338</v>
      </c>
      <c r="B247" s="144"/>
      <c r="C247" s="144"/>
      <c r="D247" s="143" t="s">
        <v>71</v>
      </c>
      <c r="E247" s="87">
        <f>E248+E249+E250+E251+E252+E253</f>
        <v>17290300</v>
      </c>
      <c r="F247" s="87">
        <f aca="true" t="shared" si="91" ref="F247:P247">F248+F249+F250+F251+F252+F253</f>
        <v>16390300</v>
      </c>
      <c r="G247" s="87">
        <f t="shared" si="91"/>
        <v>11700000</v>
      </c>
      <c r="H247" s="87">
        <f t="shared" si="91"/>
        <v>250267</v>
      </c>
      <c r="I247" s="87">
        <f t="shared" si="91"/>
        <v>900000</v>
      </c>
      <c r="J247" s="87">
        <f t="shared" si="91"/>
        <v>69500</v>
      </c>
      <c r="K247" s="87">
        <f t="shared" si="91"/>
        <v>0</v>
      </c>
      <c r="L247" s="87">
        <f t="shared" si="91"/>
        <v>0</v>
      </c>
      <c r="M247" s="87">
        <f t="shared" si="91"/>
        <v>0</v>
      </c>
      <c r="N247" s="87">
        <f t="shared" si="91"/>
        <v>69500</v>
      </c>
      <c r="O247" s="87">
        <f t="shared" si="91"/>
        <v>69500</v>
      </c>
      <c r="P247" s="87">
        <f t="shared" si="91"/>
        <v>17359800</v>
      </c>
      <c r="Q247" s="252"/>
      <c r="R247" s="200"/>
      <c r="S247" s="200"/>
      <c r="T247" s="200"/>
    </row>
    <row r="248" spans="1:20" s="129" customFormat="1" ht="54" customHeight="1">
      <c r="A248" s="88" t="s">
        <v>339</v>
      </c>
      <c r="B248" s="88" t="str">
        <f>'дод. 3'!A13</f>
        <v>0160</v>
      </c>
      <c r="C248" s="88" t="str">
        <f>'дод. 3'!B13</f>
        <v>0111</v>
      </c>
      <c r="D248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48" s="90">
        <f>F248+I248</f>
        <v>15013300</v>
      </c>
      <c r="F248" s="90">
        <f>15102100-88800</f>
        <v>15013300</v>
      </c>
      <c r="G248" s="90">
        <v>11700000</v>
      </c>
      <c r="H248" s="90">
        <v>250267</v>
      </c>
      <c r="I248" s="90"/>
      <c r="J248" s="90">
        <f>K248+N248</f>
        <v>19500</v>
      </c>
      <c r="K248" s="90"/>
      <c r="L248" s="90"/>
      <c r="M248" s="90"/>
      <c r="N248" s="90">
        <f>150000-130500</f>
        <v>19500</v>
      </c>
      <c r="O248" s="90">
        <f>150000-130500</f>
        <v>19500</v>
      </c>
      <c r="P248" s="90">
        <f>E248+J248</f>
        <v>15032800</v>
      </c>
      <c r="Q248" s="252"/>
      <c r="R248" s="193"/>
      <c r="S248" s="193"/>
      <c r="T248" s="193"/>
    </row>
    <row r="249" spans="1:20" s="152" customFormat="1" ht="29.25" customHeight="1">
      <c r="A249" s="88" t="s">
        <v>340</v>
      </c>
      <c r="B249" s="88" t="str">
        <f>'дод. 3'!A161</f>
        <v>7130</v>
      </c>
      <c r="C249" s="88" t="str">
        <f>'дод. 3'!B161</f>
        <v>0421</v>
      </c>
      <c r="D249" s="123" t="str">
        <f>'дод. 3'!C161</f>
        <v>Здійснення  заходів із землеустрою</v>
      </c>
      <c r="E249" s="90">
        <f>F249+I249</f>
        <v>550000</v>
      </c>
      <c r="F249" s="150">
        <f>50000+500000</f>
        <v>550000</v>
      </c>
      <c r="G249" s="151"/>
      <c r="H249" s="151"/>
      <c r="I249" s="151"/>
      <c r="J249" s="90">
        <f>K249+N249</f>
        <v>0</v>
      </c>
      <c r="K249" s="151"/>
      <c r="L249" s="151"/>
      <c r="M249" s="151"/>
      <c r="N249" s="151"/>
      <c r="O249" s="151"/>
      <c r="P249" s="90">
        <f>E249+J249</f>
        <v>550000</v>
      </c>
      <c r="Q249" s="252"/>
      <c r="R249" s="193"/>
      <c r="S249" s="193"/>
      <c r="T249" s="193"/>
    </row>
    <row r="250" spans="1:20" s="4" customFormat="1" ht="30">
      <c r="A250" s="98" t="s">
        <v>341</v>
      </c>
      <c r="B250" s="98" t="str">
        <f>'дод. 3'!A180</f>
        <v>7610</v>
      </c>
      <c r="C250" s="98" t="str">
        <f>'дод. 3'!B180</f>
        <v>0411</v>
      </c>
      <c r="D250" s="121" t="str">
        <f>'дод. 3'!C180</f>
        <v>Сприяння розвитку малого та середнього підприємництва</v>
      </c>
      <c r="E250" s="90">
        <f>F250+I250</f>
        <v>1085000</v>
      </c>
      <c r="F250" s="90">
        <v>185000</v>
      </c>
      <c r="G250" s="90"/>
      <c r="H250" s="90"/>
      <c r="I250" s="90">
        <v>900000</v>
      </c>
      <c r="J250" s="90">
        <f>K250+N250</f>
        <v>0</v>
      </c>
      <c r="K250" s="90"/>
      <c r="L250" s="90"/>
      <c r="M250" s="90"/>
      <c r="N250" s="90"/>
      <c r="O250" s="90"/>
      <c r="P250" s="90">
        <f>E250+J250</f>
        <v>1085000</v>
      </c>
      <c r="Q250" s="252"/>
      <c r="R250" s="193"/>
      <c r="S250" s="193"/>
      <c r="T250" s="193"/>
    </row>
    <row r="251" spans="1:20" s="137" customFormat="1" ht="37.5" customHeight="1">
      <c r="A251" s="98" t="s">
        <v>417</v>
      </c>
      <c r="B251" s="98" t="str">
        <f>'дод. 3'!A182</f>
        <v>7650</v>
      </c>
      <c r="C251" s="98" t="str">
        <f>'дод. 3'!B182</f>
        <v>0490</v>
      </c>
      <c r="D251" s="121" t="str">
        <f>'дод. 3'!C182</f>
        <v>Проведення експертної  грошової  оцінки  земельної ділянки чи права на неї</v>
      </c>
      <c r="E251" s="90">
        <f>F251+I251</f>
        <v>0</v>
      </c>
      <c r="F251" s="90"/>
      <c r="G251" s="90"/>
      <c r="H251" s="90"/>
      <c r="I251" s="90"/>
      <c r="J251" s="90">
        <f>K251+N251</f>
        <v>25000</v>
      </c>
      <c r="K251" s="90"/>
      <c r="L251" s="90"/>
      <c r="M251" s="90"/>
      <c r="N251" s="90">
        <v>25000</v>
      </c>
      <c r="O251" s="90">
        <v>25000</v>
      </c>
      <c r="P251" s="90">
        <f>E251+J251</f>
        <v>25000</v>
      </c>
      <c r="Q251" s="251">
        <v>23</v>
      </c>
      <c r="R251" s="193"/>
      <c r="S251" s="193"/>
      <c r="T251" s="193"/>
    </row>
    <row r="252" spans="1:20" s="137" customFormat="1" ht="60">
      <c r="A252" s="98" t="s">
        <v>419</v>
      </c>
      <c r="B252" s="98" t="str">
        <f>'дод. 3'!A183</f>
        <v>7660</v>
      </c>
      <c r="C252" s="98" t="str">
        <f>'дод. 3'!B183</f>
        <v>0490</v>
      </c>
      <c r="D252" s="121" t="str">
        <f>'дод. 3'!C183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2" s="90">
        <f>F252+I252</f>
        <v>0</v>
      </c>
      <c r="F252" s="90"/>
      <c r="G252" s="90"/>
      <c r="H252" s="90"/>
      <c r="I252" s="90"/>
      <c r="J252" s="90">
        <f>K252+N252</f>
        <v>25000</v>
      </c>
      <c r="K252" s="90"/>
      <c r="L252" s="90"/>
      <c r="M252" s="90"/>
      <c r="N252" s="90">
        <v>25000</v>
      </c>
      <c r="O252" s="90">
        <v>25000</v>
      </c>
      <c r="P252" s="90">
        <f>E252+J252</f>
        <v>25000</v>
      </c>
      <c r="Q252" s="251"/>
      <c r="R252" s="193"/>
      <c r="S252" s="193"/>
      <c r="T252" s="193"/>
    </row>
    <row r="253" spans="1:20" s="4" customFormat="1" ht="22.5" customHeight="1">
      <c r="A253" s="98" t="s">
        <v>411</v>
      </c>
      <c r="B253" s="98" t="str">
        <f>'дод. 3'!A186</f>
        <v>7690</v>
      </c>
      <c r="C253" s="98">
        <f>'дод. 3'!B186</f>
        <v>0</v>
      </c>
      <c r="D253" s="121" t="str">
        <f>'дод. 3'!C186</f>
        <v>Інша економічна діяльність</v>
      </c>
      <c r="E253" s="90">
        <f>E254</f>
        <v>642000</v>
      </c>
      <c r="F253" s="90">
        <f aca="true" t="shared" si="92" ref="F253:P253">F254</f>
        <v>642000</v>
      </c>
      <c r="G253" s="90">
        <f t="shared" si="92"/>
        <v>0</v>
      </c>
      <c r="H253" s="90">
        <f t="shared" si="92"/>
        <v>0</v>
      </c>
      <c r="I253" s="90">
        <f t="shared" si="92"/>
        <v>0</v>
      </c>
      <c r="J253" s="90">
        <f t="shared" si="92"/>
        <v>0</v>
      </c>
      <c r="K253" s="90">
        <f t="shared" si="92"/>
        <v>0</v>
      </c>
      <c r="L253" s="90">
        <f t="shared" si="92"/>
        <v>0</v>
      </c>
      <c r="M253" s="90">
        <f t="shared" si="92"/>
        <v>0</v>
      </c>
      <c r="N253" s="90">
        <f t="shared" si="92"/>
        <v>0</v>
      </c>
      <c r="O253" s="90">
        <f t="shared" si="92"/>
        <v>0</v>
      </c>
      <c r="P253" s="90">
        <f t="shared" si="92"/>
        <v>642000</v>
      </c>
      <c r="Q253" s="251"/>
      <c r="R253" s="194">
        <f>R254</f>
        <v>0</v>
      </c>
      <c r="S253" s="194">
        <f>S254</f>
        <v>0</v>
      </c>
      <c r="T253" s="194"/>
    </row>
    <row r="254" spans="1:20" s="134" customFormat="1" ht="23.25" customHeight="1">
      <c r="A254" s="135" t="s">
        <v>412</v>
      </c>
      <c r="B254" s="135" t="str">
        <f>'дод. 3'!A188</f>
        <v>7693</v>
      </c>
      <c r="C254" s="135" t="str">
        <f>'дод. 3'!B188</f>
        <v>0490</v>
      </c>
      <c r="D254" s="136" t="str">
        <f>'дод. 3'!C188</f>
        <v>Інші заходи, пов'язані з економічною діяльністю</v>
      </c>
      <c r="E254" s="93">
        <f>F254+I254</f>
        <v>642000</v>
      </c>
      <c r="F254" s="93">
        <v>642000</v>
      </c>
      <c r="G254" s="93"/>
      <c r="H254" s="93"/>
      <c r="I254" s="93"/>
      <c r="J254" s="93">
        <f>K254+N254</f>
        <v>0</v>
      </c>
      <c r="K254" s="93"/>
      <c r="L254" s="93"/>
      <c r="M254" s="93"/>
      <c r="N254" s="93"/>
      <c r="O254" s="93"/>
      <c r="P254" s="93">
        <f>E254+J254</f>
        <v>642000</v>
      </c>
      <c r="Q254" s="251"/>
      <c r="R254" s="195"/>
      <c r="S254" s="195"/>
      <c r="T254" s="195"/>
    </row>
    <row r="255" spans="1:20" s="129" customFormat="1" ht="28.5">
      <c r="A255" s="127" t="s">
        <v>347</v>
      </c>
      <c r="B255" s="37"/>
      <c r="C255" s="37"/>
      <c r="D255" s="36" t="s">
        <v>350</v>
      </c>
      <c r="E255" s="47">
        <f>E256</f>
        <v>146700</v>
      </c>
      <c r="F255" s="47">
        <f aca="true" t="shared" si="93" ref="F255:P256">F256</f>
        <v>146700</v>
      </c>
      <c r="G255" s="47">
        <f t="shared" si="93"/>
        <v>120245</v>
      </c>
      <c r="H255" s="47">
        <f t="shared" si="93"/>
        <v>0</v>
      </c>
      <c r="I255" s="47">
        <f t="shared" si="93"/>
        <v>0</v>
      </c>
      <c r="J255" s="47">
        <f t="shared" si="93"/>
        <v>0</v>
      </c>
      <c r="K255" s="47">
        <f t="shared" si="93"/>
        <v>0</v>
      </c>
      <c r="L255" s="47">
        <f t="shared" si="93"/>
        <v>0</v>
      </c>
      <c r="M255" s="47">
        <f t="shared" si="93"/>
        <v>0</v>
      </c>
      <c r="N255" s="47">
        <f t="shared" si="93"/>
        <v>0</v>
      </c>
      <c r="O255" s="47">
        <f t="shared" si="93"/>
        <v>0</v>
      </c>
      <c r="P255" s="47">
        <f t="shared" si="93"/>
        <v>146700</v>
      </c>
      <c r="Q255" s="251"/>
      <c r="R255" s="191">
        <f>R257</f>
        <v>0</v>
      </c>
      <c r="S255" s="191">
        <f>S257</f>
        <v>0</v>
      </c>
      <c r="T255" s="191">
        <f>T257</f>
        <v>0</v>
      </c>
    </row>
    <row r="256" spans="1:20" s="132" customFormat="1" ht="36.75" customHeight="1">
      <c r="A256" s="130" t="s">
        <v>348</v>
      </c>
      <c r="B256" s="144"/>
      <c r="C256" s="144"/>
      <c r="D256" s="143" t="s">
        <v>350</v>
      </c>
      <c r="E256" s="87">
        <f>E257</f>
        <v>146700</v>
      </c>
      <c r="F256" s="87">
        <f t="shared" si="93"/>
        <v>146700</v>
      </c>
      <c r="G256" s="87">
        <f t="shared" si="93"/>
        <v>120245</v>
      </c>
      <c r="H256" s="87">
        <f t="shared" si="93"/>
        <v>0</v>
      </c>
      <c r="I256" s="87">
        <f t="shared" si="93"/>
        <v>0</v>
      </c>
      <c r="J256" s="87">
        <f t="shared" si="93"/>
        <v>0</v>
      </c>
      <c r="K256" s="87">
        <f t="shared" si="93"/>
        <v>0</v>
      </c>
      <c r="L256" s="87">
        <f t="shared" si="93"/>
        <v>0</v>
      </c>
      <c r="M256" s="87">
        <f t="shared" si="93"/>
        <v>0</v>
      </c>
      <c r="N256" s="87">
        <f t="shared" si="93"/>
        <v>0</v>
      </c>
      <c r="O256" s="87">
        <f t="shared" si="93"/>
        <v>0</v>
      </c>
      <c r="P256" s="87">
        <f t="shared" si="93"/>
        <v>146700</v>
      </c>
      <c r="Q256" s="251"/>
      <c r="R256" s="200">
        <f>R257</f>
        <v>0</v>
      </c>
      <c r="S256" s="200">
        <f>S257</f>
        <v>0</v>
      </c>
      <c r="T256" s="200">
        <f>T257</f>
        <v>0</v>
      </c>
    </row>
    <row r="257" spans="1:20" s="4" customFormat="1" ht="45">
      <c r="A257" s="88" t="s">
        <v>349</v>
      </c>
      <c r="B257" s="88" t="str">
        <f>'дод. 3'!A13</f>
        <v>0160</v>
      </c>
      <c r="C257" s="88" t="str">
        <f>'дод. 3'!B13</f>
        <v>0111</v>
      </c>
      <c r="D257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57" s="90">
        <f>F257+I257</f>
        <v>146700</v>
      </c>
      <c r="F257" s="90">
        <v>146700</v>
      </c>
      <c r="G257" s="90">
        <v>120245</v>
      </c>
      <c r="H257" s="90"/>
      <c r="I257" s="90"/>
      <c r="J257" s="90">
        <f>K257+N257</f>
        <v>0</v>
      </c>
      <c r="K257" s="90"/>
      <c r="L257" s="90"/>
      <c r="M257" s="90"/>
      <c r="N257" s="90"/>
      <c r="O257" s="90"/>
      <c r="P257" s="90">
        <f>E257+J257</f>
        <v>146700</v>
      </c>
      <c r="Q257" s="251"/>
      <c r="R257" s="193"/>
      <c r="S257" s="193"/>
      <c r="T257" s="193"/>
    </row>
    <row r="258" spans="1:20" s="129" customFormat="1" ht="33" customHeight="1">
      <c r="A258" s="127" t="s">
        <v>342</v>
      </c>
      <c r="B258" s="37"/>
      <c r="C258" s="37"/>
      <c r="D258" s="36" t="s">
        <v>73</v>
      </c>
      <c r="E258" s="47">
        <f>E259</f>
        <v>118314795.67</v>
      </c>
      <c r="F258" s="47">
        <f aca="true" t="shared" si="94" ref="F258:P258">F259</f>
        <v>104114152.41</v>
      </c>
      <c r="G258" s="47">
        <f t="shared" si="94"/>
        <v>12928412</v>
      </c>
      <c r="H258" s="47">
        <f t="shared" si="94"/>
        <v>183655</v>
      </c>
      <c r="I258" s="47">
        <f t="shared" si="94"/>
        <v>0</v>
      </c>
      <c r="J258" s="47">
        <f t="shared" si="94"/>
        <v>581000</v>
      </c>
      <c r="K258" s="47">
        <f t="shared" si="94"/>
        <v>20000</v>
      </c>
      <c r="L258" s="47">
        <f t="shared" si="94"/>
        <v>0</v>
      </c>
      <c r="M258" s="47">
        <f t="shared" si="94"/>
        <v>0</v>
      </c>
      <c r="N258" s="47">
        <f t="shared" si="94"/>
        <v>561000</v>
      </c>
      <c r="O258" s="47">
        <f t="shared" si="94"/>
        <v>561000</v>
      </c>
      <c r="P258" s="47">
        <f t="shared" si="94"/>
        <v>118895795.67</v>
      </c>
      <c r="Q258" s="251"/>
      <c r="R258" s="191"/>
      <c r="S258" s="191"/>
      <c r="T258" s="191"/>
    </row>
    <row r="259" spans="1:20" s="132" customFormat="1" ht="30.75" customHeight="1">
      <c r="A259" s="130" t="s">
        <v>343</v>
      </c>
      <c r="B259" s="144"/>
      <c r="C259" s="144"/>
      <c r="D259" s="143" t="s">
        <v>73</v>
      </c>
      <c r="E259" s="87">
        <f aca="true" t="shared" si="95" ref="E259:P259">E260+E261+E262+E263+E264+E265+E266</f>
        <v>118314795.67</v>
      </c>
      <c r="F259" s="87">
        <f t="shared" si="95"/>
        <v>104114152.41</v>
      </c>
      <c r="G259" s="87">
        <f t="shared" si="95"/>
        <v>12928412</v>
      </c>
      <c r="H259" s="87">
        <f t="shared" si="95"/>
        <v>183655</v>
      </c>
      <c r="I259" s="87">
        <f t="shared" si="95"/>
        <v>0</v>
      </c>
      <c r="J259" s="87">
        <f t="shared" si="95"/>
        <v>581000</v>
      </c>
      <c r="K259" s="87">
        <f t="shared" si="95"/>
        <v>20000</v>
      </c>
      <c r="L259" s="87">
        <f t="shared" si="95"/>
        <v>0</v>
      </c>
      <c r="M259" s="87">
        <f t="shared" si="95"/>
        <v>0</v>
      </c>
      <c r="N259" s="87">
        <f t="shared" si="95"/>
        <v>561000</v>
      </c>
      <c r="O259" s="87">
        <f t="shared" si="95"/>
        <v>561000</v>
      </c>
      <c r="P259" s="87">
        <f t="shared" si="95"/>
        <v>118895795.67</v>
      </c>
      <c r="Q259" s="251"/>
      <c r="R259" s="197"/>
      <c r="S259" s="197"/>
      <c r="T259" s="197"/>
    </row>
    <row r="260" spans="1:20" s="4" customFormat="1" ht="45">
      <c r="A260" s="88" t="s">
        <v>344</v>
      </c>
      <c r="B260" s="88" t="str">
        <f>'дод. 3'!A13</f>
        <v>0160</v>
      </c>
      <c r="C260" s="88" t="str">
        <f>'дод. 3'!B13</f>
        <v>0111</v>
      </c>
      <c r="D260" s="89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60" s="90">
        <f>F260+I260</f>
        <v>16561600</v>
      </c>
      <c r="F260" s="90">
        <f>16667200-105600</f>
        <v>16561600</v>
      </c>
      <c r="G260" s="90">
        <v>12928412</v>
      </c>
      <c r="H260" s="90">
        <v>183655</v>
      </c>
      <c r="I260" s="90"/>
      <c r="J260" s="90">
        <f aca="true" t="shared" si="96" ref="J260:J266">K260+N260</f>
        <v>61000</v>
      </c>
      <c r="K260" s="90"/>
      <c r="L260" s="90"/>
      <c r="M260" s="90"/>
      <c r="N260" s="90">
        <f>184000-123000</f>
        <v>61000</v>
      </c>
      <c r="O260" s="90">
        <f>184000-123000</f>
        <v>61000</v>
      </c>
      <c r="P260" s="90">
        <f aca="true" t="shared" si="97" ref="P260:P266">E260+J260</f>
        <v>16622600</v>
      </c>
      <c r="Q260" s="251"/>
      <c r="R260" s="193"/>
      <c r="S260" s="193"/>
      <c r="T260" s="193"/>
    </row>
    <row r="261" spans="1:20" s="4" customFormat="1" ht="23.25" customHeight="1">
      <c r="A261" s="88" t="s">
        <v>403</v>
      </c>
      <c r="B261" s="88" t="str">
        <f>'дод. 3'!A181</f>
        <v>7640</v>
      </c>
      <c r="C261" s="88" t="str">
        <f>'дод. 3'!B181</f>
        <v>0470</v>
      </c>
      <c r="D261" s="122" t="str">
        <f>'дод. 3'!C181</f>
        <v>Заходи з енергозбереження</v>
      </c>
      <c r="E261" s="90">
        <f>F261+I261</f>
        <v>75000</v>
      </c>
      <c r="F261" s="90">
        <v>75000</v>
      </c>
      <c r="G261" s="90"/>
      <c r="H261" s="90"/>
      <c r="I261" s="90"/>
      <c r="J261" s="90">
        <f>K261+N261</f>
        <v>0</v>
      </c>
      <c r="K261" s="90"/>
      <c r="L261" s="90"/>
      <c r="M261" s="90"/>
      <c r="N261" s="90"/>
      <c r="O261" s="90"/>
      <c r="P261" s="90">
        <f t="shared" si="97"/>
        <v>75000</v>
      </c>
      <c r="Q261" s="251"/>
      <c r="R261" s="193"/>
      <c r="S261" s="193"/>
      <c r="T261" s="193"/>
    </row>
    <row r="262" spans="1:20" s="4" customFormat="1" ht="27" customHeight="1">
      <c r="A262" s="88" t="s">
        <v>345</v>
      </c>
      <c r="B262" s="88" t="str">
        <f>'дод. 3'!A197</f>
        <v>8340</v>
      </c>
      <c r="C262" s="88" t="str">
        <f>'дод. 3'!B197</f>
        <v>0540</v>
      </c>
      <c r="D262" s="122" t="str">
        <f>'дод. 3'!C197</f>
        <v>Природоохоронні заходи за рахунок цільових фондів</v>
      </c>
      <c r="E262" s="90">
        <f>F262+I262</f>
        <v>0</v>
      </c>
      <c r="F262" s="90"/>
      <c r="G262" s="90"/>
      <c r="H262" s="90"/>
      <c r="I262" s="90"/>
      <c r="J262" s="90">
        <f t="shared" si="96"/>
        <v>20000</v>
      </c>
      <c r="K262" s="90">
        <v>20000</v>
      </c>
      <c r="L262" s="90"/>
      <c r="M262" s="90"/>
      <c r="N262" s="90"/>
      <c r="O262" s="90"/>
      <c r="P262" s="90">
        <f t="shared" si="97"/>
        <v>20000</v>
      </c>
      <c r="Q262" s="251"/>
      <c r="R262" s="193"/>
      <c r="S262" s="193"/>
      <c r="T262" s="193"/>
    </row>
    <row r="263" spans="1:20" s="4" customFormat="1" ht="22.5" customHeight="1">
      <c r="A263" s="88" t="s">
        <v>346</v>
      </c>
      <c r="B263" s="88" t="str">
        <f>'дод. 3'!A200</f>
        <v>8600</v>
      </c>
      <c r="C263" s="88" t="str">
        <f>'дод. 3'!B200</f>
        <v>0170</v>
      </c>
      <c r="D263" s="122" t="str">
        <f>'дод. 3'!C200</f>
        <v>Обслуговування місцевого боргу</v>
      </c>
      <c r="E263" s="90">
        <f>F263+I263</f>
        <v>177952.41</v>
      </c>
      <c r="F263" s="90">
        <f>180850-2897.59</f>
        <v>177952.41</v>
      </c>
      <c r="G263" s="90"/>
      <c r="H263" s="90"/>
      <c r="I263" s="90"/>
      <c r="J263" s="90">
        <f t="shared" si="96"/>
        <v>0</v>
      </c>
      <c r="K263" s="90"/>
      <c r="L263" s="90"/>
      <c r="M263" s="90"/>
      <c r="N263" s="90"/>
      <c r="O263" s="90"/>
      <c r="P263" s="90">
        <f t="shared" si="97"/>
        <v>177952.41</v>
      </c>
      <c r="Q263" s="251"/>
      <c r="R263" s="193"/>
      <c r="S263" s="193"/>
      <c r="T263" s="193"/>
    </row>
    <row r="264" spans="1:20" s="4" customFormat="1" ht="21" customHeight="1">
      <c r="A264" s="88" t="s">
        <v>374</v>
      </c>
      <c r="B264" s="88" t="str">
        <f>'дод. 3'!A201</f>
        <v>8700</v>
      </c>
      <c r="C264" s="88" t="str">
        <f>'дод. 3'!B201</f>
        <v>0133</v>
      </c>
      <c r="D264" s="122" t="str">
        <f>'дод. 3'!C201</f>
        <v>Резервний фонд</v>
      </c>
      <c r="E264" s="90">
        <f>15430600-500000-700000-211500+200000+41298+669995.82-6700-262200-22626-43510-50000-50000-30100+313616-175000-500000+42959.44+25000+13710+15100</f>
        <v>14200643.26</v>
      </c>
      <c r="F264" s="90"/>
      <c r="G264" s="90"/>
      <c r="H264" s="90"/>
      <c r="I264" s="90"/>
      <c r="J264" s="90">
        <f t="shared" si="96"/>
        <v>0</v>
      </c>
      <c r="K264" s="90"/>
      <c r="L264" s="90"/>
      <c r="M264" s="90"/>
      <c r="N264" s="90"/>
      <c r="O264" s="90"/>
      <c r="P264" s="90">
        <f t="shared" si="97"/>
        <v>14200643.26</v>
      </c>
      <c r="Q264" s="251"/>
      <c r="R264" s="193"/>
      <c r="S264" s="193"/>
      <c r="T264" s="193"/>
    </row>
    <row r="265" spans="1:20" s="4" customFormat="1" ht="21.75" customHeight="1">
      <c r="A265" s="88" t="s">
        <v>375</v>
      </c>
      <c r="B265" s="88" t="str">
        <f>'дод. 3'!A204</f>
        <v>9110</v>
      </c>
      <c r="C265" s="88" t="str">
        <f>'дод. 3'!B204</f>
        <v>0180</v>
      </c>
      <c r="D265" s="122" t="str">
        <f>'дод. 3'!C204</f>
        <v>Реверсна дотація</v>
      </c>
      <c r="E265" s="90">
        <f>F265+I265</f>
        <v>87299600</v>
      </c>
      <c r="F265" s="90">
        <v>87299600</v>
      </c>
      <c r="G265" s="90"/>
      <c r="H265" s="90"/>
      <c r="I265" s="90"/>
      <c r="J265" s="90">
        <f t="shared" si="96"/>
        <v>0</v>
      </c>
      <c r="K265" s="90"/>
      <c r="L265" s="90"/>
      <c r="M265" s="90"/>
      <c r="N265" s="90"/>
      <c r="O265" s="90"/>
      <c r="P265" s="90">
        <f t="shared" si="97"/>
        <v>87299600</v>
      </c>
      <c r="Q265" s="251"/>
      <c r="R265" s="193"/>
      <c r="S265" s="193"/>
      <c r="T265" s="193"/>
    </row>
    <row r="266" spans="1:20" s="4" customFormat="1" ht="21.75" customHeight="1">
      <c r="A266" s="88" t="s">
        <v>502</v>
      </c>
      <c r="B266" s="88" t="str">
        <f>'дод. 3'!A206</f>
        <v>9770</v>
      </c>
      <c r="C266" s="88" t="str">
        <f>'дод. 3'!B206</f>
        <v>0180</v>
      </c>
      <c r="D266" s="123" t="str">
        <f>'дод. 3'!C206</f>
        <v>Інші субвенції з місцевого бюджету </v>
      </c>
      <c r="E266" s="90">
        <f>F266+I266</f>
        <v>0</v>
      </c>
      <c r="F266" s="90"/>
      <c r="G266" s="90"/>
      <c r="H266" s="90"/>
      <c r="I266" s="90"/>
      <c r="J266" s="90">
        <f t="shared" si="96"/>
        <v>500000</v>
      </c>
      <c r="K266" s="90"/>
      <c r="L266" s="90"/>
      <c r="M266" s="90"/>
      <c r="N266" s="90">
        <v>500000</v>
      </c>
      <c r="O266" s="90">
        <v>500000</v>
      </c>
      <c r="P266" s="90">
        <f t="shared" si="97"/>
        <v>500000</v>
      </c>
      <c r="Q266" s="251"/>
      <c r="R266" s="193"/>
      <c r="S266" s="193"/>
      <c r="T266" s="193"/>
    </row>
    <row r="267" spans="1:20" s="129" customFormat="1" ht="20.25" customHeight="1">
      <c r="A267" s="38"/>
      <c r="B267" s="37"/>
      <c r="C267" s="37"/>
      <c r="D267" s="36" t="s">
        <v>39</v>
      </c>
      <c r="E267" s="47">
        <f aca="true" t="shared" si="98" ref="E267:P267">E11+E57+E82+E113+E183+E188+E197+E218+E222+E237+E243+E246+E255+E258</f>
        <v>2805649586.67</v>
      </c>
      <c r="F267" s="47">
        <f t="shared" si="98"/>
        <v>2765067432.41</v>
      </c>
      <c r="G267" s="47">
        <f t="shared" si="98"/>
        <v>663396378.1</v>
      </c>
      <c r="H267" s="47">
        <f t="shared" si="98"/>
        <v>95161855</v>
      </c>
      <c r="I267" s="47">
        <f t="shared" si="98"/>
        <v>26381511</v>
      </c>
      <c r="J267" s="47">
        <f t="shared" si="98"/>
        <v>474640332</v>
      </c>
      <c r="K267" s="47">
        <f t="shared" si="98"/>
        <v>72333808</v>
      </c>
      <c r="L267" s="47">
        <f t="shared" si="98"/>
        <v>6315206</v>
      </c>
      <c r="M267" s="47">
        <f t="shared" si="98"/>
        <v>2472134</v>
      </c>
      <c r="N267" s="47">
        <f t="shared" si="98"/>
        <v>402306524</v>
      </c>
      <c r="O267" s="47">
        <f t="shared" si="98"/>
        <v>399370104</v>
      </c>
      <c r="P267" s="47">
        <f t="shared" si="98"/>
        <v>3280289918.67</v>
      </c>
      <c r="Q267" s="251"/>
      <c r="R267" s="191"/>
      <c r="S267" s="191"/>
      <c r="T267" s="191"/>
    </row>
    <row r="268" spans="1:20" s="129" customFormat="1" ht="27.75" customHeight="1">
      <c r="A268" s="60"/>
      <c r="B268" s="61"/>
      <c r="C268" s="61"/>
      <c r="D268" s="36" t="s">
        <v>416</v>
      </c>
      <c r="E268" s="48">
        <f aca="true" t="shared" si="99" ref="E268:P268">E59+E84+E115</f>
        <v>1629008100</v>
      </c>
      <c r="F268" s="48">
        <f t="shared" si="99"/>
        <v>1629008100</v>
      </c>
      <c r="G268" s="48">
        <f t="shared" si="99"/>
        <v>212872900</v>
      </c>
      <c r="H268" s="48">
        <f t="shared" si="99"/>
        <v>0</v>
      </c>
      <c r="I268" s="48">
        <f t="shared" si="99"/>
        <v>0</v>
      </c>
      <c r="J268" s="48">
        <f t="shared" si="99"/>
        <v>0</v>
      </c>
      <c r="K268" s="48">
        <f t="shared" si="99"/>
        <v>0</v>
      </c>
      <c r="L268" s="48">
        <f t="shared" si="99"/>
        <v>0</v>
      </c>
      <c r="M268" s="48">
        <f t="shared" si="99"/>
        <v>0</v>
      </c>
      <c r="N268" s="48">
        <f t="shared" si="99"/>
        <v>0</v>
      </c>
      <c r="O268" s="48">
        <f t="shared" si="99"/>
        <v>0</v>
      </c>
      <c r="P268" s="48">
        <f t="shared" si="99"/>
        <v>1629008100</v>
      </c>
      <c r="Q268" s="251"/>
      <c r="R268" s="104"/>
      <c r="S268" s="104"/>
      <c r="T268" s="104"/>
    </row>
    <row r="269" spans="1:17" s="203" customFormat="1" ht="79.5" customHeight="1">
      <c r="A269" s="105"/>
      <c r="B269" s="102"/>
      <c r="C269" s="102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251"/>
    </row>
    <row r="270" spans="1:17" s="203" customFormat="1" ht="51.75" customHeight="1">
      <c r="A270" s="224"/>
      <c r="B270" s="242" t="s">
        <v>593</v>
      </c>
      <c r="C270" s="242"/>
      <c r="D270" s="242"/>
      <c r="E270" s="242"/>
      <c r="F270" s="173"/>
      <c r="G270" s="173"/>
      <c r="H270" s="173"/>
      <c r="I270" s="173"/>
      <c r="J270" s="173"/>
      <c r="K270" s="173"/>
      <c r="L270" s="173"/>
      <c r="M270" s="236" t="s">
        <v>594</v>
      </c>
      <c r="N270" s="236"/>
      <c r="O270" s="236"/>
      <c r="P270" s="104"/>
      <c r="Q270" s="251"/>
    </row>
    <row r="271" spans="1:17" s="203" customFormat="1" ht="27.75" customHeight="1">
      <c r="A271" s="240"/>
      <c r="B271" s="240"/>
      <c r="C271" s="240"/>
      <c r="D271" s="240"/>
      <c r="E271" s="240"/>
      <c r="F271" s="240"/>
      <c r="G271" s="173"/>
      <c r="H271" s="173"/>
      <c r="I271" s="225"/>
      <c r="J271" s="173"/>
      <c r="K271" s="236"/>
      <c r="L271" s="236"/>
      <c r="M271" s="236"/>
      <c r="N271" s="236"/>
      <c r="O271" s="104"/>
      <c r="P271" s="104"/>
      <c r="Q271" s="251"/>
    </row>
    <row r="272" spans="1:20" s="34" customFormat="1" ht="27.75" customHeight="1">
      <c r="A272" s="174"/>
      <c r="B272" s="175"/>
      <c r="C272" s="174"/>
      <c r="D272" s="176"/>
      <c r="E272" s="176"/>
      <c r="F272" s="176"/>
      <c r="G272" s="176"/>
      <c r="H272" s="176"/>
      <c r="I272" s="176"/>
      <c r="J272" s="176"/>
      <c r="K272" s="176"/>
      <c r="L272" s="176"/>
      <c r="M272" s="174"/>
      <c r="N272" s="174"/>
      <c r="O272" s="104"/>
      <c r="P272" s="104"/>
      <c r="Q272" s="251"/>
      <c r="R272" s="203"/>
      <c r="S272" s="203"/>
      <c r="T272" s="203"/>
    </row>
    <row r="273" spans="1:20" s="34" customFormat="1" ht="27.75" customHeight="1">
      <c r="A273" s="105"/>
      <c r="B273" s="102"/>
      <c r="C273" s="102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63"/>
      <c r="P273" s="104"/>
      <c r="Q273" s="251"/>
      <c r="R273" s="203"/>
      <c r="S273" s="203"/>
      <c r="T273" s="203"/>
    </row>
    <row r="274" spans="1:20" s="34" customFormat="1" ht="27.75" customHeight="1">
      <c r="A274" s="105"/>
      <c r="B274" s="102"/>
      <c r="C274" s="102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251"/>
      <c r="R274" s="203"/>
      <c r="S274" s="203"/>
      <c r="T274" s="203"/>
    </row>
    <row r="275" spans="1:25" s="34" customFormat="1" ht="27.75" customHeight="1">
      <c r="A275" s="105"/>
      <c r="B275" s="102"/>
      <c r="C275" s="102"/>
      <c r="D275" s="103"/>
      <c r="E275" s="104">
        <f>E267-'дод. 3'!D207</f>
        <v>0</v>
      </c>
      <c r="F275" s="104">
        <f>F267-'дод. 3'!E207</f>
        <v>0</v>
      </c>
      <c r="G275" s="104">
        <f>G267-'дод. 3'!F207</f>
        <v>0</v>
      </c>
      <c r="H275" s="104">
        <f>H267-'дод. 3'!G207</f>
        <v>0</v>
      </c>
      <c r="I275" s="104">
        <f>I267-'дод. 3'!H207</f>
        <v>0</v>
      </c>
      <c r="J275" s="104">
        <f>J267-'дод. 3'!I207</f>
        <v>0</v>
      </c>
      <c r="K275" s="104">
        <f>K267-'дод. 3'!J207</f>
        <v>0</v>
      </c>
      <c r="L275" s="104">
        <f>L267-'дод. 3'!K207</f>
        <v>0</v>
      </c>
      <c r="M275" s="104">
        <f>M267-'дод. 3'!L207</f>
        <v>0</v>
      </c>
      <c r="N275" s="104">
        <f>N267-'дод. 3'!M207</f>
        <v>0</v>
      </c>
      <c r="O275" s="104">
        <f>O267-'дод. 3'!N207</f>
        <v>0</v>
      </c>
      <c r="P275" s="104">
        <f>P267-'дод. 3'!O207</f>
        <v>0</v>
      </c>
      <c r="Q275" s="251"/>
      <c r="R275" s="104">
        <f>R267-'дод. 3'!AG207</f>
        <v>0</v>
      </c>
      <c r="S275" s="104">
        <f>S267-'дод. 3'!AH207</f>
        <v>0</v>
      </c>
      <c r="T275" s="104">
        <f>T267-'дод. 3'!AI207</f>
        <v>0</v>
      </c>
      <c r="U275" s="104">
        <f>U267-'дод. 3'!AJ207</f>
        <v>0</v>
      </c>
      <c r="V275" s="104">
        <f>V267-'дод. 3'!AK207</f>
        <v>0</v>
      </c>
      <c r="W275" s="104">
        <f>W267-'дод. 3'!AL207</f>
        <v>0</v>
      </c>
      <c r="X275" s="104">
        <f>X267-'дод. 3'!AM207</f>
        <v>0</v>
      </c>
      <c r="Y275" s="104">
        <f>Y267-'дод. 3'!AN207</f>
        <v>0</v>
      </c>
    </row>
    <row r="276" spans="1:25" s="34" customFormat="1" ht="27.75" customHeight="1">
      <c r="A276" s="105"/>
      <c r="B276" s="102"/>
      <c r="C276" s="102"/>
      <c r="D276" s="103"/>
      <c r="E276" s="104">
        <f>E268-'дод. 3'!D208</f>
        <v>0</v>
      </c>
      <c r="F276" s="104">
        <f>F268-'дод. 3'!E208</f>
        <v>0</v>
      </c>
      <c r="G276" s="104">
        <f>G268-'дод. 3'!F208</f>
        <v>0</v>
      </c>
      <c r="H276" s="104">
        <f>H268-'дод. 3'!G208</f>
        <v>0</v>
      </c>
      <c r="I276" s="104">
        <f>I268-'дод. 3'!H208</f>
        <v>0</v>
      </c>
      <c r="J276" s="104">
        <f>J268-'дод. 3'!I208</f>
        <v>0</v>
      </c>
      <c r="K276" s="104">
        <f>K268-'дод. 3'!J208</f>
        <v>0</v>
      </c>
      <c r="L276" s="104">
        <f>L268-'дод. 3'!K208</f>
        <v>0</v>
      </c>
      <c r="M276" s="104">
        <f>M268-'дод. 3'!L208</f>
        <v>0</v>
      </c>
      <c r="N276" s="104">
        <f>N268-'дод. 3'!M208</f>
        <v>0</v>
      </c>
      <c r="O276" s="104">
        <f>O268-'дод. 3'!N208</f>
        <v>0</v>
      </c>
      <c r="P276" s="104">
        <f>P268-'дод. 3'!O208</f>
        <v>0</v>
      </c>
      <c r="Q276" s="251"/>
      <c r="R276" s="104">
        <f>R268-'дод. 3'!AG208</f>
        <v>0</v>
      </c>
      <c r="S276" s="104">
        <f>S268-'дод. 3'!AH208</f>
        <v>0</v>
      </c>
      <c r="T276" s="104">
        <f>T268-'дод. 3'!AI208</f>
        <v>0</v>
      </c>
      <c r="U276" s="104">
        <f>U268-'дод. 3'!AJ208</f>
        <v>0</v>
      </c>
      <c r="V276" s="104">
        <f>V268-'дод. 3'!AK208</f>
        <v>0</v>
      </c>
      <c r="W276" s="104">
        <f>W268-'дод. 3'!AL208</f>
        <v>0</v>
      </c>
      <c r="X276" s="104">
        <f>X268-'дод. 3'!AM208</f>
        <v>0</v>
      </c>
      <c r="Y276" s="104">
        <f>Y268-'дод. 3'!AN208</f>
        <v>0</v>
      </c>
    </row>
    <row r="277" spans="1:20" s="4" customFormat="1" ht="20.25" customHeight="1">
      <c r="A277" s="69"/>
      <c r="B277" s="70"/>
      <c r="C277" s="70"/>
      <c r="D277" s="71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251"/>
      <c r="R277" s="104"/>
      <c r="S277" s="104"/>
      <c r="T277" s="104"/>
    </row>
    <row r="278" spans="1:16" ht="22.5" customHeight="1">
      <c r="A278" s="72"/>
      <c r="B278" s="73"/>
      <c r="C278" s="73"/>
      <c r="D278" s="74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20" s="154" customFormat="1" ht="22.5" customHeight="1">
      <c r="A279" s="72"/>
      <c r="B279" s="73"/>
      <c r="C279" s="73"/>
      <c r="D279" s="84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85"/>
      <c r="Q279" s="250"/>
      <c r="R279" s="179"/>
      <c r="S279" s="179"/>
      <c r="T279" s="179"/>
    </row>
    <row r="280" spans="1:20" s="154" customFormat="1" ht="22.5" customHeight="1">
      <c r="A280" s="72"/>
      <c r="B280" s="73"/>
      <c r="C280" s="73"/>
      <c r="D280" s="84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85"/>
      <c r="Q280" s="250"/>
      <c r="R280" s="179"/>
      <c r="S280" s="156"/>
      <c r="T280" s="180"/>
    </row>
    <row r="281" spans="1:20" s="154" customFormat="1" ht="22.5" customHeight="1">
      <c r="A281" s="72"/>
      <c r="B281" s="73"/>
      <c r="C281" s="73"/>
      <c r="D281" s="84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85"/>
      <c r="Q281" s="250"/>
      <c r="R281" s="179"/>
      <c r="S281" s="156"/>
      <c r="T281" s="180"/>
    </row>
    <row r="282" spans="1:20" s="154" customFormat="1" ht="22.5" customHeight="1">
      <c r="A282" s="72"/>
      <c r="B282" s="73"/>
      <c r="C282" s="73"/>
      <c r="D282" s="84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181"/>
      <c r="P282" s="85"/>
      <c r="Q282" s="250"/>
      <c r="R282" s="179"/>
      <c r="S282" s="156"/>
      <c r="T282" s="180"/>
    </row>
    <row r="283" spans="1:20" s="154" customFormat="1" ht="22.5" customHeight="1">
      <c r="A283" s="72"/>
      <c r="B283" s="73"/>
      <c r="C283" s="73"/>
      <c r="D283" s="84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85"/>
      <c r="Q283" s="250"/>
      <c r="R283" s="179"/>
      <c r="S283" s="156"/>
      <c r="T283" s="180"/>
    </row>
    <row r="284" spans="1:20" s="154" customFormat="1" ht="22.5" customHeight="1">
      <c r="A284" s="72"/>
      <c r="B284" s="73"/>
      <c r="C284" s="73"/>
      <c r="D284" s="84"/>
      <c r="E284" s="75"/>
      <c r="F284" s="75"/>
      <c r="G284" s="75"/>
      <c r="H284" s="75"/>
      <c r="I284" s="75"/>
      <c r="J284" s="75"/>
      <c r="K284" s="75"/>
      <c r="L284" s="75"/>
      <c r="M284" s="75"/>
      <c r="N284" s="73"/>
      <c r="O284" s="75"/>
      <c r="P284" s="85"/>
      <c r="Q284" s="250"/>
      <c r="R284" s="179"/>
      <c r="S284" s="156"/>
      <c r="T284" s="180"/>
    </row>
    <row r="285" spans="1:20" s="154" customFormat="1" ht="35.25" customHeight="1">
      <c r="A285" s="72"/>
      <c r="B285" s="73"/>
      <c r="C285" s="73"/>
      <c r="D285" s="84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85"/>
      <c r="Q285" s="250"/>
      <c r="R285" s="179"/>
      <c r="T285" s="180"/>
    </row>
    <row r="286" spans="1:20" s="154" customFormat="1" ht="22.5" customHeight="1">
      <c r="A286" s="72"/>
      <c r="B286" s="73"/>
      <c r="C286" s="73"/>
      <c r="D286" s="84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85"/>
      <c r="Q286" s="250"/>
      <c r="R286" s="179"/>
      <c r="S286" s="156"/>
      <c r="T286" s="180"/>
    </row>
    <row r="287" spans="1:20" s="154" customFormat="1" ht="22.5" customHeight="1">
      <c r="A287" s="72"/>
      <c r="B287" s="73"/>
      <c r="C287" s="73"/>
      <c r="D287" s="84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85"/>
      <c r="Q287" s="250"/>
      <c r="R287" s="179"/>
      <c r="S287" s="156"/>
      <c r="T287" s="180"/>
    </row>
    <row r="288" spans="1:20" s="154" customFormat="1" ht="22.5" customHeight="1">
      <c r="A288" s="72"/>
      <c r="B288" s="73"/>
      <c r="C288" s="73"/>
      <c r="D288" s="84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85"/>
      <c r="Q288" s="250"/>
      <c r="R288" s="179"/>
      <c r="S288" s="156"/>
      <c r="T288" s="180"/>
    </row>
    <row r="289" spans="1:20" s="154" customFormat="1" ht="22.5" customHeight="1">
      <c r="A289" s="72"/>
      <c r="B289" s="73"/>
      <c r="C289" s="73"/>
      <c r="D289" s="84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85"/>
      <c r="Q289" s="250"/>
      <c r="R289" s="179"/>
      <c r="S289" s="179"/>
      <c r="T289" s="179"/>
    </row>
    <row r="290" spans="1:20" s="30" customFormat="1" ht="24.75" customHeight="1">
      <c r="A290" s="109"/>
      <c r="B290" s="239"/>
      <c r="C290" s="239"/>
      <c r="D290" s="239"/>
      <c r="E290" s="75"/>
      <c r="F290" s="73"/>
      <c r="G290" s="73"/>
      <c r="H290" s="73"/>
      <c r="I290" s="73"/>
      <c r="J290" s="73"/>
      <c r="K290" s="73"/>
      <c r="L290" s="73"/>
      <c r="M290" s="73"/>
      <c r="N290" s="73"/>
      <c r="O290" s="75"/>
      <c r="P290" s="86"/>
      <c r="Q290" s="250"/>
      <c r="R290" s="179"/>
      <c r="S290" s="179"/>
      <c r="T290" s="179"/>
    </row>
    <row r="291" spans="1:20" s="30" customFormat="1" ht="24.75" customHeight="1">
      <c r="A291" s="109"/>
      <c r="B291" s="83"/>
      <c r="C291" s="83"/>
      <c r="D291" s="83"/>
      <c r="E291" s="75"/>
      <c r="F291" s="73"/>
      <c r="G291" s="73"/>
      <c r="H291" s="73"/>
      <c r="I291" s="73"/>
      <c r="J291" s="73"/>
      <c r="K291" s="73"/>
      <c r="L291" s="73"/>
      <c r="M291" s="73"/>
      <c r="N291" s="73"/>
      <c r="O291" s="75"/>
      <c r="P291" s="86"/>
      <c r="Q291" s="250"/>
      <c r="R291" s="179"/>
      <c r="S291" s="179"/>
      <c r="T291" s="179"/>
    </row>
    <row r="292" spans="1:20" s="30" customFormat="1" ht="24.75" customHeight="1">
      <c r="A292" s="109"/>
      <c r="B292" s="83"/>
      <c r="C292" s="83"/>
      <c r="D292" s="83"/>
      <c r="E292" s="75"/>
      <c r="F292" s="73"/>
      <c r="G292" s="73"/>
      <c r="H292" s="73"/>
      <c r="I292" s="73"/>
      <c r="J292" s="73"/>
      <c r="K292" s="73"/>
      <c r="L292" s="73"/>
      <c r="M292" s="73"/>
      <c r="N292" s="73"/>
      <c r="O292" s="75"/>
      <c r="P292" s="86"/>
      <c r="Q292" s="250"/>
      <c r="R292" s="179"/>
      <c r="S292" s="179"/>
      <c r="T292" s="179"/>
    </row>
    <row r="293" spans="1:20" s="30" customFormat="1" ht="24.75" customHeight="1">
      <c r="A293" s="109"/>
      <c r="B293" s="83"/>
      <c r="C293" s="83"/>
      <c r="D293" s="83"/>
      <c r="E293" s="75"/>
      <c r="F293" s="73"/>
      <c r="G293" s="73"/>
      <c r="H293" s="73"/>
      <c r="I293" s="73"/>
      <c r="J293" s="73"/>
      <c r="K293" s="73"/>
      <c r="L293" s="73"/>
      <c r="M293" s="73"/>
      <c r="N293" s="73"/>
      <c r="O293" s="75"/>
      <c r="P293" s="86"/>
      <c r="Q293" s="250"/>
      <c r="R293" s="179"/>
      <c r="S293" s="179"/>
      <c r="T293" s="179"/>
    </row>
    <row r="294" spans="1:20" s="30" customFormat="1" ht="15">
      <c r="A294" s="78"/>
      <c r="B294" s="80"/>
      <c r="C294" s="73"/>
      <c r="D294" s="115"/>
      <c r="E294" s="75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86"/>
      <c r="Q294" s="250"/>
      <c r="R294" s="179"/>
      <c r="S294" s="179"/>
      <c r="T294" s="179"/>
    </row>
    <row r="295" spans="1:20" s="30" customFormat="1" ht="15">
      <c r="A295" s="110"/>
      <c r="B295" s="73"/>
      <c r="C295" s="73"/>
      <c r="D295" s="74"/>
      <c r="E295" s="75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250"/>
      <c r="R295" s="179"/>
      <c r="S295" s="179"/>
      <c r="T295" s="179"/>
    </row>
    <row r="296" spans="1:20" s="30" customFormat="1" ht="15">
      <c r="A296" s="72"/>
      <c r="B296" s="79"/>
      <c r="C296" s="80"/>
      <c r="D296" s="116"/>
      <c r="E296" s="75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250"/>
      <c r="R296" s="179"/>
      <c r="S296" s="179"/>
      <c r="T296" s="179"/>
    </row>
    <row r="297" spans="1:20" s="30" customFormat="1" ht="15">
      <c r="A297" s="79"/>
      <c r="B297" s="80"/>
      <c r="C297" s="80"/>
      <c r="D297" s="117"/>
      <c r="E297" s="73"/>
      <c r="F297" s="73"/>
      <c r="G297" s="75"/>
      <c r="H297" s="75"/>
      <c r="I297" s="75"/>
      <c r="J297" s="73"/>
      <c r="K297" s="73"/>
      <c r="L297" s="73"/>
      <c r="M297" s="73"/>
      <c r="N297" s="73"/>
      <c r="O297" s="73"/>
      <c r="P297" s="73"/>
      <c r="Q297" s="250"/>
      <c r="R297" s="179"/>
      <c r="S297" s="179"/>
      <c r="T297" s="179"/>
    </row>
    <row r="298" spans="1:20" s="30" customFormat="1" ht="15">
      <c r="A298" s="109"/>
      <c r="B298" s="111"/>
      <c r="C298" s="111"/>
      <c r="D298" s="116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250"/>
      <c r="R298" s="179"/>
      <c r="S298" s="179"/>
      <c r="T298" s="179"/>
    </row>
    <row r="299" spans="1:20" s="30" customFormat="1" ht="15">
      <c r="A299" s="109"/>
      <c r="B299" s="111"/>
      <c r="C299" s="111"/>
      <c r="D299" s="116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250"/>
      <c r="R299" s="179"/>
      <c r="S299" s="179"/>
      <c r="T299" s="179"/>
    </row>
    <row r="300" spans="1:20" s="30" customFormat="1" ht="15">
      <c r="A300" s="109"/>
      <c r="B300" s="111"/>
      <c r="C300" s="111"/>
      <c r="D300" s="116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250"/>
      <c r="R300" s="179"/>
      <c r="S300" s="179"/>
      <c r="T300" s="179"/>
    </row>
    <row r="301" spans="1:20" s="30" customFormat="1" ht="15">
      <c r="A301" s="109"/>
      <c r="B301" s="111"/>
      <c r="C301" s="111"/>
      <c r="D301" s="116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250"/>
      <c r="R301" s="179"/>
      <c r="S301" s="179"/>
      <c r="T301" s="179"/>
    </row>
    <row r="302" spans="1:20" s="30" customFormat="1" ht="15">
      <c r="A302" s="109"/>
      <c r="B302" s="111"/>
      <c r="C302" s="111"/>
      <c r="D302" s="116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250"/>
      <c r="R302" s="179"/>
      <c r="S302" s="179"/>
      <c r="T302" s="179"/>
    </row>
    <row r="303" spans="1:20" s="30" customFormat="1" ht="15">
      <c r="A303" s="109"/>
      <c r="B303" s="111"/>
      <c r="C303" s="111"/>
      <c r="D303" s="116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250"/>
      <c r="R303" s="179"/>
      <c r="S303" s="179"/>
      <c r="T303" s="179"/>
    </row>
    <row r="304" spans="1:20" s="30" customFormat="1" ht="26.25" customHeight="1">
      <c r="A304" s="109"/>
      <c r="B304" s="111"/>
      <c r="C304" s="111"/>
      <c r="D304" s="116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250"/>
      <c r="R304" s="179"/>
      <c r="S304" s="179"/>
      <c r="T304" s="179"/>
    </row>
    <row r="305" spans="1:20" s="30" customFormat="1" ht="26.25" customHeight="1">
      <c r="A305" s="76"/>
      <c r="B305" s="77"/>
      <c r="C305" s="77"/>
      <c r="D305" s="118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250"/>
      <c r="R305" s="179"/>
      <c r="S305" s="179"/>
      <c r="T305" s="179"/>
    </row>
    <row r="306" spans="1:20" s="30" customFormat="1" ht="26.25" customHeight="1">
      <c r="A306" s="76"/>
      <c r="B306" s="77"/>
      <c r="C306" s="77"/>
      <c r="D306" s="118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250"/>
      <c r="R306" s="179"/>
      <c r="S306" s="179"/>
      <c r="T306" s="179"/>
    </row>
    <row r="307" spans="1:20" s="30" customFormat="1" ht="26.25" customHeight="1">
      <c r="A307" s="76"/>
      <c r="B307" s="77"/>
      <c r="C307" s="77"/>
      <c r="D307" s="118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250"/>
      <c r="R307" s="179"/>
      <c r="S307" s="179"/>
      <c r="T307" s="179"/>
    </row>
    <row r="308" spans="1:20" s="30" customFormat="1" ht="26.25" customHeight="1">
      <c r="A308" s="76"/>
      <c r="B308" s="77"/>
      <c r="C308" s="77"/>
      <c r="D308" s="118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250"/>
      <c r="R308" s="179"/>
      <c r="S308" s="179"/>
      <c r="T308" s="179"/>
    </row>
    <row r="309" spans="1:20" s="30" customFormat="1" ht="15">
      <c r="A309" s="76"/>
      <c r="B309" s="77"/>
      <c r="C309" s="77"/>
      <c r="D309" s="118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250"/>
      <c r="R309" s="179"/>
      <c r="S309" s="179"/>
      <c r="T309" s="179"/>
    </row>
    <row r="310" spans="1:20" s="30" customFormat="1" ht="15">
      <c r="A310" s="76"/>
      <c r="B310" s="77"/>
      <c r="C310" s="77"/>
      <c r="D310" s="118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250"/>
      <c r="R310" s="179"/>
      <c r="S310" s="179"/>
      <c r="T310" s="179"/>
    </row>
    <row r="311" spans="1:20" s="30" customFormat="1" ht="15">
      <c r="A311" s="76"/>
      <c r="B311" s="77"/>
      <c r="C311" s="77"/>
      <c r="D311" s="118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250"/>
      <c r="R311" s="179"/>
      <c r="S311" s="179"/>
      <c r="T311" s="179"/>
    </row>
    <row r="312" spans="1:20" s="30" customFormat="1" ht="15">
      <c r="A312" s="76"/>
      <c r="B312" s="77"/>
      <c r="C312" s="77"/>
      <c r="D312" s="118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250"/>
      <c r="R312" s="179"/>
      <c r="S312" s="179"/>
      <c r="T312" s="179"/>
    </row>
    <row r="313" spans="1:20" s="30" customFormat="1" ht="15">
      <c r="A313" s="76"/>
      <c r="B313" s="77"/>
      <c r="C313" s="77"/>
      <c r="D313" s="118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250"/>
      <c r="R313" s="179"/>
      <c r="S313" s="179"/>
      <c r="T313" s="179"/>
    </row>
    <row r="314" spans="1:20" s="30" customFormat="1" ht="15">
      <c r="A314" s="76"/>
      <c r="B314" s="77"/>
      <c r="C314" s="77"/>
      <c r="D314" s="118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250"/>
      <c r="R314" s="179"/>
      <c r="S314" s="179"/>
      <c r="T314" s="179"/>
    </row>
    <row r="315" spans="1:20" s="30" customFormat="1" ht="15">
      <c r="A315" s="76"/>
      <c r="B315" s="77"/>
      <c r="C315" s="77"/>
      <c r="D315" s="118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250"/>
      <c r="R315" s="179"/>
      <c r="S315" s="179"/>
      <c r="T315" s="179"/>
    </row>
    <row r="316" spans="1:20" s="30" customFormat="1" ht="15">
      <c r="A316" s="76"/>
      <c r="B316" s="77"/>
      <c r="C316" s="77"/>
      <c r="D316" s="118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250"/>
      <c r="R316" s="179"/>
      <c r="S316" s="179"/>
      <c r="T316" s="179"/>
    </row>
    <row r="317" spans="1:20" s="30" customFormat="1" ht="15">
      <c r="A317" s="76"/>
      <c r="B317" s="77"/>
      <c r="C317" s="77"/>
      <c r="D317" s="118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250"/>
      <c r="R317" s="179"/>
      <c r="S317" s="179"/>
      <c r="T317" s="179"/>
    </row>
    <row r="318" spans="1:20" s="30" customFormat="1" ht="15">
      <c r="A318" s="76"/>
      <c r="B318" s="77"/>
      <c r="C318" s="77"/>
      <c r="D318" s="118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250"/>
      <c r="R318" s="179"/>
      <c r="S318" s="179"/>
      <c r="T318" s="179"/>
    </row>
    <row r="319" spans="1:20" s="30" customFormat="1" ht="15">
      <c r="A319" s="76"/>
      <c r="B319" s="77"/>
      <c r="C319" s="77"/>
      <c r="D319" s="118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250"/>
      <c r="R319" s="179"/>
      <c r="S319" s="179"/>
      <c r="T319" s="179"/>
    </row>
    <row r="320" spans="1:20" s="30" customFormat="1" ht="15">
      <c r="A320" s="76"/>
      <c r="B320" s="77"/>
      <c r="C320" s="77"/>
      <c r="D320" s="118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250"/>
      <c r="R320" s="179"/>
      <c r="S320" s="179"/>
      <c r="T320" s="179"/>
    </row>
    <row r="321" spans="1:20" s="30" customFormat="1" ht="15">
      <c r="A321" s="76"/>
      <c r="B321" s="77"/>
      <c r="C321" s="77"/>
      <c r="D321" s="118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250"/>
      <c r="R321" s="179"/>
      <c r="S321" s="179"/>
      <c r="T321" s="179"/>
    </row>
    <row r="322" spans="1:20" s="30" customFormat="1" ht="15">
      <c r="A322" s="76"/>
      <c r="B322" s="77"/>
      <c r="C322" s="77"/>
      <c r="D322" s="118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250"/>
      <c r="R322" s="179"/>
      <c r="S322" s="179"/>
      <c r="T322" s="179"/>
    </row>
    <row r="323" spans="1:20" s="30" customFormat="1" ht="15">
      <c r="A323" s="76"/>
      <c r="B323" s="77"/>
      <c r="C323" s="77"/>
      <c r="D323" s="118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250"/>
      <c r="R323" s="179"/>
      <c r="S323" s="179"/>
      <c r="T323" s="179"/>
    </row>
    <row r="324" spans="1:20" s="30" customFormat="1" ht="15">
      <c r="A324" s="76"/>
      <c r="B324" s="77"/>
      <c r="C324" s="77"/>
      <c r="D324" s="118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250"/>
      <c r="R324" s="179"/>
      <c r="S324" s="179"/>
      <c r="T324" s="179"/>
    </row>
    <row r="325" spans="1:20" s="30" customFormat="1" ht="15">
      <c r="A325" s="76"/>
      <c r="B325" s="77"/>
      <c r="C325" s="77"/>
      <c r="D325" s="118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161"/>
      <c r="Q325" s="250"/>
      <c r="R325" s="179"/>
      <c r="S325" s="179"/>
      <c r="T325" s="179"/>
    </row>
    <row r="326" spans="1:20" s="30" customFormat="1" ht="15">
      <c r="A326" s="76"/>
      <c r="B326" s="77"/>
      <c r="C326" s="77"/>
      <c r="D326" s="118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157"/>
      <c r="Q326" s="250"/>
      <c r="R326" s="179"/>
      <c r="S326" s="179"/>
      <c r="T326" s="179"/>
    </row>
    <row r="327" spans="1:20" s="30" customFormat="1" ht="15">
      <c r="A327" s="76"/>
      <c r="B327" s="77"/>
      <c r="C327" s="77"/>
      <c r="D327" s="118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157"/>
      <c r="Q327" s="250"/>
      <c r="R327" s="179"/>
      <c r="S327" s="179"/>
      <c r="T327" s="179"/>
    </row>
    <row r="328" spans="1:20" s="30" customFormat="1" ht="15">
      <c r="A328" s="76"/>
      <c r="B328" s="77"/>
      <c r="C328" s="77"/>
      <c r="D328" s="118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157"/>
      <c r="Q328" s="250"/>
      <c r="R328" s="179"/>
      <c r="S328" s="179"/>
      <c r="T328" s="179"/>
    </row>
    <row r="329" spans="1:20" s="30" customFormat="1" ht="15">
      <c r="A329" s="76"/>
      <c r="B329" s="77"/>
      <c r="C329" s="77"/>
      <c r="D329" s="118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157"/>
      <c r="Q329" s="250"/>
      <c r="R329" s="179"/>
      <c r="S329" s="179"/>
      <c r="T329" s="179"/>
    </row>
    <row r="330" spans="1:20" s="30" customFormat="1" ht="15">
      <c r="A330" s="76"/>
      <c r="B330" s="77"/>
      <c r="C330" s="77"/>
      <c r="D330" s="118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157"/>
      <c r="Q330" s="250"/>
      <c r="R330" s="179"/>
      <c r="S330" s="179"/>
      <c r="T330" s="179"/>
    </row>
    <row r="331" spans="1:20" s="30" customFormat="1" ht="15">
      <c r="A331" s="76"/>
      <c r="B331" s="77"/>
      <c r="C331" s="77"/>
      <c r="D331" s="118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157"/>
      <c r="Q331" s="250"/>
      <c r="R331" s="179"/>
      <c r="S331" s="179"/>
      <c r="T331" s="179"/>
    </row>
    <row r="332" ht="15">
      <c r="B332" s="77"/>
    </row>
    <row r="333" ht="15">
      <c r="B333" s="77"/>
    </row>
    <row r="334" ht="15">
      <c r="B334" s="77"/>
    </row>
    <row r="335" ht="15">
      <c r="B335" s="77"/>
    </row>
    <row r="336" ht="15">
      <c r="B336" s="77"/>
    </row>
    <row r="337" ht="15">
      <c r="B337" s="77"/>
    </row>
    <row r="338" ht="15">
      <c r="B338" s="77"/>
    </row>
    <row r="339" ht="15">
      <c r="B339" s="77"/>
    </row>
    <row r="340" ht="15">
      <c r="B340" s="77"/>
    </row>
    <row r="341" ht="15">
      <c r="B341" s="77"/>
    </row>
    <row r="342" ht="15">
      <c r="B342" s="77"/>
    </row>
    <row r="343" ht="15">
      <c r="B343" s="77"/>
    </row>
    <row r="344" ht="15">
      <c r="B344" s="77"/>
    </row>
    <row r="345" ht="15">
      <c r="B345" s="77"/>
    </row>
    <row r="346" ht="15">
      <c r="B346" s="77"/>
    </row>
    <row r="347" ht="15">
      <c r="B347" s="77"/>
    </row>
    <row r="348" ht="15">
      <c r="B348" s="77"/>
    </row>
    <row r="349" ht="15">
      <c r="B349" s="77"/>
    </row>
    <row r="350" ht="15">
      <c r="B350" s="77"/>
    </row>
    <row r="351" ht="15">
      <c r="B351" s="77"/>
    </row>
    <row r="352" ht="15">
      <c r="B352" s="77"/>
    </row>
    <row r="353" ht="15">
      <c r="B353" s="77"/>
    </row>
    <row r="354" ht="15">
      <c r="B354" s="77"/>
    </row>
    <row r="355" ht="15">
      <c r="B355" s="77"/>
    </row>
    <row r="356" ht="15">
      <c r="B356" s="77"/>
    </row>
    <row r="357" ht="15">
      <c r="B357" s="77"/>
    </row>
    <row r="358" ht="15">
      <c r="B358" s="77"/>
    </row>
    <row r="359" ht="15">
      <c r="B359" s="77"/>
    </row>
    <row r="360" ht="15">
      <c r="B360" s="77"/>
    </row>
    <row r="361" ht="15">
      <c r="B361" s="77"/>
    </row>
    <row r="362" ht="15">
      <c r="B362" s="77"/>
    </row>
    <row r="363" ht="15">
      <c r="B363" s="77"/>
    </row>
    <row r="364" ht="15">
      <c r="B364" s="77"/>
    </row>
    <row r="365" ht="15">
      <c r="B365" s="77"/>
    </row>
    <row r="366" ht="15">
      <c r="B366" s="77"/>
    </row>
    <row r="367" ht="15">
      <c r="B367" s="77"/>
    </row>
    <row r="368" ht="15">
      <c r="B368" s="77"/>
    </row>
    <row r="369" ht="15">
      <c r="B369" s="77"/>
    </row>
    <row r="370" ht="15">
      <c r="B370" s="77"/>
    </row>
    <row r="371" ht="15">
      <c r="B371" s="77"/>
    </row>
    <row r="372" ht="15">
      <c r="B372" s="77"/>
    </row>
    <row r="373" ht="15">
      <c r="B373" s="77"/>
    </row>
    <row r="374" ht="15">
      <c r="B374" s="77"/>
    </row>
    <row r="375" ht="15">
      <c r="B375" s="77"/>
    </row>
    <row r="376" ht="15">
      <c r="B376" s="77"/>
    </row>
    <row r="377" ht="15">
      <c r="B377" s="77"/>
    </row>
    <row r="378" ht="15">
      <c r="B378" s="77"/>
    </row>
    <row r="379" ht="15">
      <c r="B379" s="77"/>
    </row>
    <row r="380" ht="15">
      <c r="B380" s="77"/>
    </row>
    <row r="381" ht="15">
      <c r="B381" s="77"/>
    </row>
    <row r="382" ht="15">
      <c r="B382" s="77"/>
    </row>
    <row r="383" ht="15">
      <c r="B383" s="77"/>
    </row>
    <row r="384" ht="15">
      <c r="B384" s="77"/>
    </row>
    <row r="385" ht="15">
      <c r="B385" s="77"/>
    </row>
    <row r="386" ht="15">
      <c r="B386" s="77"/>
    </row>
    <row r="387" ht="15">
      <c r="B387" s="77"/>
    </row>
    <row r="388" ht="15">
      <c r="B388" s="77"/>
    </row>
    <row r="389" ht="15">
      <c r="B389" s="77"/>
    </row>
    <row r="390" ht="15">
      <c r="B390" s="77"/>
    </row>
    <row r="391" ht="15">
      <c r="B391" s="77"/>
    </row>
    <row r="392" ht="15">
      <c r="B392" s="77"/>
    </row>
    <row r="393" ht="15">
      <c r="B393" s="77"/>
    </row>
    <row r="394" ht="15">
      <c r="B394" s="77"/>
    </row>
    <row r="395" ht="15">
      <c r="B395" s="77"/>
    </row>
    <row r="396" ht="15">
      <c r="B396" s="77"/>
    </row>
    <row r="397" ht="15">
      <c r="B397" s="77"/>
    </row>
    <row r="398" ht="15">
      <c r="B398" s="77"/>
    </row>
    <row r="399" ht="15">
      <c r="B399" s="77"/>
    </row>
    <row r="400" ht="15">
      <c r="B400" s="77"/>
    </row>
    <row r="401" ht="15">
      <c r="B401" s="77"/>
    </row>
    <row r="402" ht="15">
      <c r="B402" s="77"/>
    </row>
    <row r="403" ht="15">
      <c r="B403" s="77"/>
    </row>
    <row r="404" ht="15">
      <c r="B404" s="77"/>
    </row>
    <row r="405" ht="15">
      <c r="B405" s="77"/>
    </row>
    <row r="406" ht="15">
      <c r="B406" s="77"/>
    </row>
    <row r="407" ht="15">
      <c r="B407" s="77"/>
    </row>
    <row r="408" ht="15">
      <c r="B408" s="77"/>
    </row>
    <row r="409" ht="15">
      <c r="B409" s="77"/>
    </row>
    <row r="410" ht="15">
      <c r="B410" s="77"/>
    </row>
    <row r="411" ht="15">
      <c r="B411" s="77"/>
    </row>
    <row r="412" ht="15">
      <c r="B412" s="77"/>
    </row>
    <row r="413" ht="15">
      <c r="B413" s="77"/>
    </row>
    <row r="414" ht="15">
      <c r="B414" s="77"/>
    </row>
    <row r="415" ht="15">
      <c r="B415" s="77"/>
    </row>
    <row r="416" ht="15">
      <c r="B416" s="77"/>
    </row>
    <row r="417" ht="15">
      <c r="B417" s="77"/>
    </row>
    <row r="418" ht="15">
      <c r="B418" s="77"/>
    </row>
    <row r="419" ht="15">
      <c r="B419" s="77"/>
    </row>
    <row r="420" ht="15">
      <c r="B420" s="77"/>
    </row>
    <row r="421" ht="15">
      <c r="B421" s="77"/>
    </row>
    <row r="422" ht="15">
      <c r="B422" s="77"/>
    </row>
    <row r="423" ht="15">
      <c r="B423" s="77"/>
    </row>
    <row r="424" ht="15">
      <c r="B424" s="77"/>
    </row>
    <row r="425" ht="15">
      <c r="B425" s="77"/>
    </row>
    <row r="426" ht="15">
      <c r="B426" s="77"/>
    </row>
    <row r="427" ht="15">
      <c r="B427" s="77"/>
    </row>
    <row r="428" ht="15">
      <c r="B428" s="77"/>
    </row>
    <row r="429" ht="15">
      <c r="B429" s="77"/>
    </row>
    <row r="430" ht="15">
      <c r="B430" s="77"/>
    </row>
    <row r="431" ht="15">
      <c r="B431" s="77"/>
    </row>
    <row r="432" ht="15">
      <c r="B432" s="77"/>
    </row>
    <row r="433" ht="15">
      <c r="B433" s="77"/>
    </row>
    <row r="434" ht="15">
      <c r="B434" s="77"/>
    </row>
    <row r="435" ht="15">
      <c r="B435" s="77"/>
    </row>
    <row r="436" ht="15">
      <c r="B436" s="77"/>
    </row>
    <row r="437" ht="15">
      <c r="B437" s="77"/>
    </row>
    <row r="438" ht="15">
      <c r="B438" s="77"/>
    </row>
    <row r="439" ht="15">
      <c r="B439" s="77"/>
    </row>
    <row r="440" ht="15">
      <c r="B440" s="77"/>
    </row>
    <row r="441" ht="15">
      <c r="B441" s="77"/>
    </row>
    <row r="442" ht="15">
      <c r="B442" s="77"/>
    </row>
  </sheetData>
  <sheetProtection/>
  <mergeCells count="37">
    <mergeCell ref="Q166:Q192"/>
    <mergeCell ref="Q193:Q223"/>
    <mergeCell ref="Q224:Q250"/>
    <mergeCell ref="Q251:Q277"/>
    <mergeCell ref="Q34:Q65"/>
    <mergeCell ref="Q66:Q103"/>
    <mergeCell ref="Q104:Q137"/>
    <mergeCell ref="Q138:Q165"/>
    <mergeCell ref="M3:Q3"/>
    <mergeCell ref="P7:P10"/>
    <mergeCell ref="L8:M8"/>
    <mergeCell ref="Q5:Q33"/>
    <mergeCell ref="H9:H10"/>
    <mergeCell ref="B270:E270"/>
    <mergeCell ref="L9:L10"/>
    <mergeCell ref="M270:O270"/>
    <mergeCell ref="I8:I10"/>
    <mergeCell ref="K8:K10"/>
    <mergeCell ref="E7:I7"/>
    <mergeCell ref="F8:F10"/>
    <mergeCell ref="B290:D290"/>
    <mergeCell ref="G8:H8"/>
    <mergeCell ref="A271:F271"/>
    <mergeCell ref="A7:A10"/>
    <mergeCell ref="B7:B10"/>
    <mergeCell ref="D7:D10"/>
    <mergeCell ref="C7:C10"/>
    <mergeCell ref="E8:E10"/>
    <mergeCell ref="N8:N10"/>
    <mergeCell ref="K271:N271"/>
    <mergeCell ref="M1:P1"/>
    <mergeCell ref="M9:M10"/>
    <mergeCell ref="O9:O10"/>
    <mergeCell ref="J7:O7"/>
    <mergeCell ref="J8:J10"/>
    <mergeCell ref="D5:O5"/>
    <mergeCell ref="G9:G10"/>
  </mergeCells>
  <printOptions horizontalCentered="1"/>
  <pageMargins left="0.1968503937007874" right="0.1968503937007874" top="0.44" bottom="0.41" header="0.2" footer="0.2"/>
  <pageSetup fitToHeight="10" fitToWidth="1" horizontalDpi="600" verticalDpi="600" orientation="landscape" paperSize="9" scale="45" r:id="rId1"/>
  <headerFooter alignWithMargins="0">
    <oddHeader>&amp;R&amp;20Продовження додатку 2</oddHeader>
  </headerFooter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4"/>
  <sheetViews>
    <sheetView showGridLines="0" showZeros="0" tabSelected="1" view="pageBreakPreview" zoomScale="25" zoomScaleNormal="70" zoomScaleSheetLayoutView="25" zoomScalePageLayoutView="0" workbookViewId="0" topLeftCell="A169">
      <selection activeCell="P212" sqref="P212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5.33203125" style="43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" style="250" customWidth="1"/>
    <col min="17" max="17" width="21.5" style="154" customWidth="1"/>
    <col min="18" max="18" width="23" style="154" customWidth="1"/>
    <col min="19" max="26" width="17.5" style="154" customWidth="1"/>
    <col min="27" max="27" width="20.83203125" style="154" customWidth="1"/>
    <col min="28" max="28" width="21.5" style="154" customWidth="1"/>
    <col min="29" max="29" width="17.5" style="154" customWidth="1"/>
    <col min="30" max="30" width="19.66015625" style="154" customWidth="1"/>
    <col min="31" max="34" width="17.5" style="154" customWidth="1"/>
    <col min="35" max="35" width="17.5" style="155" customWidth="1"/>
    <col min="36" max="16384" width="9.16015625" style="2" customWidth="1"/>
  </cols>
  <sheetData>
    <row r="1" spans="1:15" ht="26.25" customHeight="1">
      <c r="A1" s="17"/>
      <c r="K1" s="237" t="s">
        <v>589</v>
      </c>
      <c r="L1" s="237"/>
      <c r="M1" s="237"/>
      <c r="N1" s="237"/>
      <c r="O1" s="177"/>
    </row>
    <row r="2" spans="1:16" ht="26.25" customHeight="1">
      <c r="A2" s="17"/>
      <c r="K2" s="177" t="s">
        <v>590</v>
      </c>
      <c r="L2" s="177"/>
      <c r="M2" s="177"/>
      <c r="N2" s="177"/>
      <c r="O2" s="177"/>
      <c r="P2" s="251">
        <v>24</v>
      </c>
    </row>
    <row r="3" spans="1:16" ht="26.25">
      <c r="A3" s="17"/>
      <c r="K3" s="243" t="s">
        <v>591</v>
      </c>
      <c r="L3" s="243"/>
      <c r="M3" s="243"/>
      <c r="N3" s="243"/>
      <c r="O3" s="243"/>
      <c r="P3" s="251"/>
    </row>
    <row r="4" spans="1:16" ht="15.75">
      <c r="A4" s="17"/>
      <c r="P4" s="251"/>
    </row>
    <row r="5" spans="1:16" ht="12.75" customHeight="1">
      <c r="A5" s="17"/>
      <c r="B5" s="6"/>
      <c r="C5" s="44"/>
      <c r="P5" s="251"/>
    </row>
    <row r="6" spans="1:16" ht="77.25" customHeight="1">
      <c r="A6" s="238" t="s">
        <v>361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P6" s="251"/>
    </row>
    <row r="7" spans="1:35" s="16" customFormat="1" ht="24" customHeight="1">
      <c r="A7" s="17"/>
      <c r="B7" s="24"/>
      <c r="C7" s="45"/>
      <c r="O7" s="16" t="s">
        <v>373</v>
      </c>
      <c r="P7" s="251"/>
      <c r="Q7" s="227"/>
      <c r="R7" s="227"/>
      <c r="S7" s="227"/>
      <c r="T7" s="227"/>
      <c r="U7" s="227"/>
      <c r="V7" s="227"/>
      <c r="W7" s="227"/>
      <c r="X7" s="227"/>
      <c r="Y7" s="227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35" ht="21.75" customHeight="1">
      <c r="A8" s="246" t="s">
        <v>165</v>
      </c>
      <c r="B8" s="246" t="s">
        <v>80</v>
      </c>
      <c r="C8" s="246" t="s">
        <v>178</v>
      </c>
      <c r="D8" s="235" t="s">
        <v>362</v>
      </c>
      <c r="E8" s="235"/>
      <c r="F8" s="235"/>
      <c r="G8" s="235"/>
      <c r="H8" s="235"/>
      <c r="I8" s="235" t="s">
        <v>363</v>
      </c>
      <c r="J8" s="235"/>
      <c r="K8" s="235"/>
      <c r="L8" s="235"/>
      <c r="M8" s="235"/>
      <c r="N8" s="235"/>
      <c r="O8" s="235" t="s">
        <v>364</v>
      </c>
      <c r="P8" s="251"/>
      <c r="Q8" s="227"/>
      <c r="R8" s="227"/>
      <c r="S8" s="227"/>
      <c r="T8" s="227"/>
      <c r="U8" s="227"/>
      <c r="V8" s="227"/>
      <c r="W8" s="227"/>
      <c r="X8" s="227"/>
      <c r="Y8" s="227"/>
      <c r="Z8" s="244"/>
      <c r="AA8" s="244"/>
      <c r="AB8" s="244"/>
      <c r="AC8" s="244"/>
      <c r="AD8" s="244"/>
      <c r="AE8" s="244"/>
      <c r="AF8" s="244"/>
      <c r="AG8" s="244"/>
      <c r="AH8" s="244"/>
      <c r="AI8" s="244"/>
    </row>
    <row r="9" spans="1:35" ht="29.25" customHeight="1">
      <c r="A9" s="246"/>
      <c r="B9" s="246"/>
      <c r="C9" s="246"/>
      <c r="D9" s="235" t="s">
        <v>365</v>
      </c>
      <c r="E9" s="235" t="s">
        <v>366</v>
      </c>
      <c r="F9" s="235"/>
      <c r="G9" s="235"/>
      <c r="H9" s="235" t="s">
        <v>368</v>
      </c>
      <c r="I9" s="235" t="s">
        <v>365</v>
      </c>
      <c r="J9" s="235" t="s">
        <v>366</v>
      </c>
      <c r="K9" s="235" t="s">
        <v>367</v>
      </c>
      <c r="L9" s="235"/>
      <c r="M9" s="235" t="s">
        <v>368</v>
      </c>
      <c r="N9" s="39" t="s">
        <v>367</v>
      </c>
      <c r="O9" s="235"/>
      <c r="P9" s="251"/>
      <c r="Q9" s="227"/>
      <c r="R9" s="227"/>
      <c r="S9" s="227"/>
      <c r="T9" s="227"/>
      <c r="U9" s="227"/>
      <c r="V9" s="227"/>
      <c r="W9" s="227"/>
      <c r="X9" s="227"/>
      <c r="Y9" s="226"/>
      <c r="Z9" s="244"/>
      <c r="AA9" s="244"/>
      <c r="AB9" s="244"/>
      <c r="AC9" s="244"/>
      <c r="AD9" s="244"/>
      <c r="AE9" s="244"/>
      <c r="AF9" s="244"/>
      <c r="AG9" s="204"/>
      <c r="AH9" s="204"/>
      <c r="AI9" s="205"/>
    </row>
    <row r="10" spans="1:35" ht="20.25" customHeight="1">
      <c r="A10" s="246"/>
      <c r="B10" s="246"/>
      <c r="C10" s="246"/>
      <c r="D10" s="235"/>
      <c r="E10" s="235"/>
      <c r="F10" s="235" t="s">
        <v>369</v>
      </c>
      <c r="G10" s="235" t="s">
        <v>370</v>
      </c>
      <c r="H10" s="235"/>
      <c r="I10" s="235"/>
      <c r="J10" s="235"/>
      <c r="K10" s="235" t="s">
        <v>369</v>
      </c>
      <c r="L10" s="235" t="s">
        <v>370</v>
      </c>
      <c r="M10" s="235"/>
      <c r="N10" s="235" t="s">
        <v>371</v>
      </c>
      <c r="O10" s="235"/>
      <c r="P10" s="251"/>
      <c r="Q10" s="228"/>
      <c r="R10" s="229"/>
      <c r="S10" s="229"/>
      <c r="T10" s="227"/>
      <c r="U10" s="227"/>
      <c r="V10" s="227"/>
      <c r="W10" s="229"/>
      <c r="X10" s="229"/>
      <c r="Y10" s="229"/>
      <c r="Z10" s="232"/>
      <c r="AA10" s="233"/>
      <c r="AB10" s="207"/>
      <c r="AC10" s="207"/>
      <c r="AD10" s="244"/>
      <c r="AE10" s="244"/>
      <c r="AF10" s="244"/>
      <c r="AG10" s="207"/>
      <c r="AH10" s="207"/>
      <c r="AI10" s="208"/>
    </row>
    <row r="11" spans="1:35" ht="71.25" customHeight="1">
      <c r="A11" s="246"/>
      <c r="B11" s="246"/>
      <c r="C11" s="246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51"/>
      <c r="Q11" s="226"/>
      <c r="R11" s="226"/>
      <c r="S11" s="230"/>
      <c r="T11" s="227"/>
      <c r="U11" s="227"/>
      <c r="V11" s="227"/>
      <c r="W11" s="227"/>
      <c r="X11" s="227"/>
      <c r="Y11" s="230"/>
      <c r="Z11" s="232"/>
      <c r="AA11" s="234"/>
      <c r="AB11" s="204"/>
      <c r="AC11" s="206"/>
      <c r="AD11" s="244"/>
      <c r="AE11" s="244"/>
      <c r="AF11" s="244"/>
      <c r="AG11" s="204"/>
      <c r="AH11" s="204"/>
      <c r="AI11" s="209"/>
    </row>
    <row r="12" spans="1:35" s="22" customFormat="1" ht="27.75" customHeight="1">
      <c r="A12" s="23" t="s">
        <v>76</v>
      </c>
      <c r="B12" s="35"/>
      <c r="C12" s="40" t="s">
        <v>77</v>
      </c>
      <c r="D12" s="56">
        <f>D13+D14</f>
        <v>177634200</v>
      </c>
      <c r="E12" s="56">
        <f aca="true" t="shared" si="0" ref="E12:N12">E13+E14</f>
        <v>177634200</v>
      </c>
      <c r="F12" s="56">
        <f t="shared" si="0"/>
        <v>134907298</v>
      </c>
      <c r="G12" s="56">
        <f t="shared" si="0"/>
        <v>3676960</v>
      </c>
      <c r="H12" s="56">
        <f t="shared" si="0"/>
        <v>0</v>
      </c>
      <c r="I12" s="56">
        <f t="shared" si="0"/>
        <v>6096000</v>
      </c>
      <c r="J12" s="56">
        <f t="shared" si="0"/>
        <v>2250000</v>
      </c>
      <c r="K12" s="56">
        <f t="shared" si="0"/>
        <v>1725540</v>
      </c>
      <c r="L12" s="56">
        <f t="shared" si="0"/>
        <v>46200</v>
      </c>
      <c r="M12" s="56">
        <f t="shared" si="0"/>
        <v>3846000</v>
      </c>
      <c r="N12" s="56">
        <f t="shared" si="0"/>
        <v>3496000</v>
      </c>
      <c r="O12" s="56">
        <f>O13+O14</f>
        <v>183730200</v>
      </c>
      <c r="P12" s="251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</row>
    <row r="13" spans="1:35" ht="57.75" customHeight="1">
      <c r="A13" s="5" t="s">
        <v>180</v>
      </c>
      <c r="B13" s="5" t="s">
        <v>79</v>
      </c>
      <c r="C13" s="18" t="s">
        <v>181</v>
      </c>
      <c r="D13" s="52">
        <f>'дод. 2'!E13+'дод. 2'!E60+'дод. 2'!E85+'дод. 2'!E116+'дод. 2'!E185+'дод. 2'!E190+'дод. 2'!E199+'дод. 2'!E220+'дод. 2'!E224+'дод. 2'!E239+'дод. 2'!E245+'дод. 2'!E248+'дод. 2'!E257+'дод. 2'!E260</f>
        <v>177534200</v>
      </c>
      <c r="E13" s="52">
        <f>'дод. 2'!F13+'дод. 2'!F60+'дод. 2'!F85+'дод. 2'!F116+'дод. 2'!F185+'дод. 2'!F190+'дод. 2'!F199+'дод. 2'!F220+'дод. 2'!F224+'дод. 2'!F239+'дод. 2'!F245+'дод. 2'!F248+'дод. 2'!F257+'дод. 2'!F260</f>
        <v>177534200</v>
      </c>
      <c r="F13" s="52">
        <f>'дод. 2'!G13+'дод. 2'!G60+'дод. 2'!G85+'дод. 2'!G116+'дод. 2'!G185+'дод. 2'!G190+'дод. 2'!G199+'дод. 2'!G220+'дод. 2'!G224+'дод. 2'!G239+'дод. 2'!G245+'дод. 2'!G248+'дод. 2'!G257+'дод. 2'!G260</f>
        <v>134907298</v>
      </c>
      <c r="G13" s="52">
        <f>'дод. 2'!H13+'дод. 2'!H60+'дод. 2'!H85+'дод. 2'!H116+'дод. 2'!H185+'дод. 2'!H190+'дод. 2'!H199+'дод. 2'!H220+'дод. 2'!H224+'дод. 2'!H239+'дод. 2'!H245+'дод. 2'!H248+'дод. 2'!H257+'дод. 2'!H260</f>
        <v>3676960</v>
      </c>
      <c r="H13" s="52">
        <f>'дод. 2'!I13+'дод. 2'!I60+'дод. 2'!I85+'дод. 2'!I116+'дод. 2'!I185+'дод. 2'!I190+'дод. 2'!I199+'дод. 2'!I220+'дод. 2'!I224+'дод. 2'!I239+'дод. 2'!I245+'дод. 2'!I248+'дод. 2'!I257+'дод. 2'!I260</f>
        <v>0</v>
      </c>
      <c r="I13" s="52">
        <f>'дод. 2'!J13+'дод. 2'!J60+'дод. 2'!J85+'дод. 2'!J116+'дод. 2'!J185+'дод. 2'!J190+'дод. 2'!J199+'дод. 2'!J220+'дод. 2'!J224+'дод. 2'!J239+'дод. 2'!J245+'дод. 2'!J248+'дод. 2'!J257+'дод. 2'!J260</f>
        <v>6096000</v>
      </c>
      <c r="J13" s="52">
        <f>'дод. 2'!K13+'дод. 2'!K60+'дод. 2'!K85+'дод. 2'!K116+'дод. 2'!K185+'дод. 2'!K190+'дод. 2'!K199+'дод. 2'!K220+'дод. 2'!K224+'дод. 2'!K239+'дод. 2'!K245+'дод. 2'!K248+'дод. 2'!K257+'дод. 2'!K260</f>
        <v>2250000</v>
      </c>
      <c r="K13" s="52">
        <f>'дод. 2'!L13+'дод. 2'!L60+'дод. 2'!L85+'дод. 2'!L116+'дод. 2'!L185+'дод. 2'!L190+'дод. 2'!L199+'дод. 2'!L220+'дод. 2'!L224+'дод. 2'!L239+'дод. 2'!L245+'дод. 2'!L248+'дод. 2'!L257+'дод. 2'!L260</f>
        <v>1725540</v>
      </c>
      <c r="L13" s="52">
        <f>'дод. 2'!M13+'дод. 2'!M60+'дод. 2'!M85+'дод. 2'!M116+'дод. 2'!M185+'дод. 2'!M190+'дод. 2'!M199+'дод. 2'!M220+'дод. 2'!M224+'дод. 2'!M239+'дод. 2'!M245+'дод. 2'!M248+'дод. 2'!M257+'дод. 2'!M260</f>
        <v>46200</v>
      </c>
      <c r="M13" s="52">
        <f>'дод. 2'!N13+'дод. 2'!N60+'дод. 2'!N85+'дод. 2'!N116+'дод. 2'!N185+'дод. 2'!N190+'дод. 2'!N199+'дод. 2'!N220+'дод. 2'!N224+'дод. 2'!N239+'дод. 2'!N245+'дод. 2'!N248+'дод. 2'!N257+'дод. 2'!N260</f>
        <v>3846000</v>
      </c>
      <c r="N13" s="52">
        <f>'дод. 2'!O13+'дод. 2'!O60+'дод. 2'!O85+'дод. 2'!O116+'дод. 2'!O185+'дод. 2'!O190+'дод. 2'!O199+'дод. 2'!O220+'дод. 2'!O224+'дод. 2'!O239+'дод. 2'!O245+'дод. 2'!O248+'дод. 2'!O257+'дод. 2'!O260</f>
        <v>3496000</v>
      </c>
      <c r="O13" s="52">
        <f>'дод. 2'!P13+'дод. 2'!P60+'дод. 2'!P85+'дод. 2'!P116+'дод. 2'!P185+'дод. 2'!P190+'дод. 2'!P199+'дод. 2'!P220+'дод. 2'!P224+'дод. 2'!P239+'дод. 2'!P245+'дод. 2'!P248+'дод. 2'!P257+'дод. 2'!P260</f>
        <v>183630200</v>
      </c>
      <c r="P13" s="25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</row>
    <row r="14" spans="1:35" ht="27" customHeight="1">
      <c r="A14" s="5" t="s">
        <v>78</v>
      </c>
      <c r="B14" s="5" t="s">
        <v>140</v>
      </c>
      <c r="C14" s="18" t="s">
        <v>386</v>
      </c>
      <c r="D14" s="52">
        <f>'дод. 2'!E14</f>
        <v>100000</v>
      </c>
      <c r="E14" s="52">
        <f>'дод. 2'!F14</f>
        <v>100000</v>
      </c>
      <c r="F14" s="52">
        <f>'дод. 2'!G14</f>
        <v>0</v>
      </c>
      <c r="G14" s="52">
        <f>'дод. 2'!H14</f>
        <v>0</v>
      </c>
      <c r="H14" s="52">
        <f>'дод. 2'!I14</f>
        <v>0</v>
      </c>
      <c r="I14" s="52">
        <f>'дод. 2'!J14</f>
        <v>0</v>
      </c>
      <c r="J14" s="52">
        <f>'дод. 2'!K14</f>
        <v>0</v>
      </c>
      <c r="K14" s="52">
        <f>'дод. 2'!L14</f>
        <v>0</v>
      </c>
      <c r="L14" s="52">
        <f>'дод. 2'!M14</f>
        <v>0</v>
      </c>
      <c r="M14" s="52">
        <f>'дод. 2'!N14</f>
        <v>0</v>
      </c>
      <c r="N14" s="52">
        <f>'дод. 2'!O14</f>
        <v>0</v>
      </c>
      <c r="O14" s="52">
        <f>'дод. 2'!P14</f>
        <v>100000</v>
      </c>
      <c r="P14" s="25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</row>
    <row r="15" spans="1:35" s="22" customFormat="1" ht="24" customHeight="1">
      <c r="A15" s="23" t="s">
        <v>81</v>
      </c>
      <c r="B15" s="35"/>
      <c r="C15" s="40" t="s">
        <v>82</v>
      </c>
      <c r="D15" s="56">
        <f aca="true" t="shared" si="1" ref="D15:O15">D17+D18+D20+D22+D24+D25+D26+D28+D29</f>
        <v>751428160</v>
      </c>
      <c r="E15" s="56">
        <f t="shared" si="1"/>
        <v>751428160</v>
      </c>
      <c r="F15" s="56">
        <f t="shared" si="1"/>
        <v>490630374</v>
      </c>
      <c r="G15" s="56">
        <f t="shared" si="1"/>
        <v>70210860</v>
      </c>
      <c r="H15" s="56">
        <f t="shared" si="1"/>
        <v>0</v>
      </c>
      <c r="I15" s="56">
        <f t="shared" si="1"/>
        <v>62045798</v>
      </c>
      <c r="J15" s="56">
        <f t="shared" si="1"/>
        <v>50066378</v>
      </c>
      <c r="K15" s="56">
        <f t="shared" si="1"/>
        <v>4398944</v>
      </c>
      <c r="L15" s="56">
        <f t="shared" si="1"/>
        <v>2371330</v>
      </c>
      <c r="M15" s="56">
        <f t="shared" si="1"/>
        <v>11979420</v>
      </c>
      <c r="N15" s="56">
        <f t="shared" si="1"/>
        <v>11780000</v>
      </c>
      <c r="O15" s="56">
        <f t="shared" si="1"/>
        <v>813473958</v>
      </c>
      <c r="P15" s="251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</row>
    <row r="16" spans="1:35" s="29" customFormat="1" ht="24" customHeight="1">
      <c r="A16" s="23"/>
      <c r="B16" s="35"/>
      <c r="C16" s="11" t="s">
        <v>416</v>
      </c>
      <c r="D16" s="56">
        <f>D19+D21+D23+D27</f>
        <v>259300600</v>
      </c>
      <c r="E16" s="56">
        <f aca="true" t="shared" si="2" ref="E16:O16">E19+E21+E23+E27</f>
        <v>259300600</v>
      </c>
      <c r="F16" s="56">
        <f t="shared" si="2"/>
        <v>212872900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0</v>
      </c>
      <c r="L16" s="56">
        <f t="shared" si="2"/>
        <v>0</v>
      </c>
      <c r="M16" s="56">
        <f t="shared" si="2"/>
        <v>0</v>
      </c>
      <c r="N16" s="56">
        <f t="shared" si="2"/>
        <v>0</v>
      </c>
      <c r="O16" s="56">
        <f t="shared" si="2"/>
        <v>259300600</v>
      </c>
      <c r="P16" s="251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</row>
    <row r="17" spans="1:35" ht="27" customHeight="1">
      <c r="A17" s="5" t="s">
        <v>83</v>
      </c>
      <c r="B17" s="5" t="s">
        <v>84</v>
      </c>
      <c r="C17" s="18" t="s">
        <v>222</v>
      </c>
      <c r="D17" s="52">
        <f>'дод. 2'!E61</f>
        <v>190467470</v>
      </c>
      <c r="E17" s="52">
        <f>'дод. 2'!F61</f>
        <v>190467470</v>
      </c>
      <c r="F17" s="52">
        <f>'дод. 2'!G61</f>
        <v>119291300</v>
      </c>
      <c r="G17" s="52">
        <f>'дод. 2'!H61</f>
        <v>22031690</v>
      </c>
      <c r="H17" s="52">
        <f>'дод. 2'!I61</f>
        <v>0</v>
      </c>
      <c r="I17" s="52">
        <f>'дод. 2'!J61</f>
        <v>19565511</v>
      </c>
      <c r="J17" s="52">
        <f>'дод. 2'!K61</f>
        <v>16065511</v>
      </c>
      <c r="K17" s="52">
        <f>'дод. 2'!L61</f>
        <v>0</v>
      </c>
      <c r="L17" s="52">
        <f>'дод. 2'!M61</f>
        <v>0</v>
      </c>
      <c r="M17" s="52">
        <f>'дод. 2'!N61</f>
        <v>3500000</v>
      </c>
      <c r="N17" s="52">
        <f>'дод. 2'!O61</f>
        <v>3500000</v>
      </c>
      <c r="O17" s="52">
        <f>'дод. 2'!P61</f>
        <v>210032981</v>
      </c>
      <c r="P17" s="25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</row>
    <row r="18" spans="1:35" ht="71.25" customHeight="1">
      <c r="A18" s="5" t="s">
        <v>85</v>
      </c>
      <c r="B18" s="5" t="s">
        <v>86</v>
      </c>
      <c r="C18" s="18" t="s">
        <v>584</v>
      </c>
      <c r="D18" s="52">
        <f>'дод. 2'!E62</f>
        <v>397808220</v>
      </c>
      <c r="E18" s="52">
        <f>'дод. 2'!F62</f>
        <v>397808220</v>
      </c>
      <c r="F18" s="52">
        <f>'дод. 2'!G62</f>
        <v>266335300</v>
      </c>
      <c r="G18" s="52">
        <f>'дод. 2'!H62</f>
        <v>34867640</v>
      </c>
      <c r="H18" s="52">
        <f>'дод. 2'!I62</f>
        <v>0</v>
      </c>
      <c r="I18" s="52">
        <f>'дод. 2'!J62</f>
        <v>32777767</v>
      </c>
      <c r="J18" s="52">
        <f>'дод. 2'!K62</f>
        <v>25377767</v>
      </c>
      <c r="K18" s="52">
        <f>'дод. 2'!L62</f>
        <v>624000</v>
      </c>
      <c r="L18" s="52">
        <f>'дод. 2'!M62</f>
        <v>36920</v>
      </c>
      <c r="M18" s="52">
        <f>'дод. 2'!N62</f>
        <v>7400000</v>
      </c>
      <c r="N18" s="52">
        <f>'дод. 2'!O62</f>
        <v>7400000</v>
      </c>
      <c r="O18" s="52">
        <f>'дод. 2'!P62</f>
        <v>430585987</v>
      </c>
      <c r="P18" s="25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</row>
    <row r="19" spans="2:35" ht="28.5" customHeight="1">
      <c r="B19" s="5"/>
      <c r="C19" s="13" t="s">
        <v>416</v>
      </c>
      <c r="D19" s="52">
        <f>'дод. 2'!E63</f>
        <v>244384200</v>
      </c>
      <c r="E19" s="52">
        <f>'дод. 2'!F63</f>
        <v>244384200</v>
      </c>
      <c r="F19" s="52">
        <f>'дод. 2'!G63</f>
        <v>200639900</v>
      </c>
      <c r="G19" s="52">
        <f>'дод. 2'!H63</f>
        <v>0</v>
      </c>
      <c r="H19" s="52">
        <f>'дод. 2'!I63</f>
        <v>0</v>
      </c>
      <c r="I19" s="52">
        <f>'дод. 2'!J63</f>
        <v>0</v>
      </c>
      <c r="J19" s="52">
        <f>'дод. 2'!K63</f>
        <v>0</v>
      </c>
      <c r="K19" s="52">
        <f>'дод. 2'!L63</f>
        <v>0</v>
      </c>
      <c r="L19" s="52">
        <f>'дод. 2'!M63</f>
        <v>0</v>
      </c>
      <c r="M19" s="52">
        <f>'дод. 2'!N63</f>
        <v>0</v>
      </c>
      <c r="N19" s="52">
        <f>'дод. 2'!O63</f>
        <v>0</v>
      </c>
      <c r="O19" s="52">
        <f>'дод. 2'!P63</f>
        <v>244384200</v>
      </c>
      <c r="P19" s="25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</row>
    <row r="20" spans="1:35" ht="42.75" customHeight="1">
      <c r="A20" s="5" t="s">
        <v>87</v>
      </c>
      <c r="B20" s="5" t="s">
        <v>86</v>
      </c>
      <c r="C20" s="18" t="s">
        <v>49</v>
      </c>
      <c r="D20" s="52">
        <f>'дод. 2'!E64</f>
        <v>778340</v>
      </c>
      <c r="E20" s="52">
        <f>'дод. 2'!F64</f>
        <v>778340</v>
      </c>
      <c r="F20" s="52">
        <f>'дод. 2'!G64</f>
        <v>637000</v>
      </c>
      <c r="G20" s="52">
        <f>'дод. 2'!H64</f>
        <v>0</v>
      </c>
      <c r="H20" s="52">
        <f>'дод. 2'!I64</f>
        <v>0</v>
      </c>
      <c r="I20" s="52">
        <f>'дод. 2'!J64</f>
        <v>0</v>
      </c>
      <c r="J20" s="52">
        <f>'дод. 2'!K64</f>
        <v>0</v>
      </c>
      <c r="K20" s="52">
        <f>'дод. 2'!L64</f>
        <v>0</v>
      </c>
      <c r="L20" s="52">
        <f>'дод. 2'!M64</f>
        <v>0</v>
      </c>
      <c r="M20" s="52">
        <f>'дод. 2'!N64</f>
        <v>0</v>
      </c>
      <c r="N20" s="52">
        <f>'дод. 2'!O64</f>
        <v>0</v>
      </c>
      <c r="O20" s="52">
        <f>'дод. 2'!P64</f>
        <v>778340</v>
      </c>
      <c r="P20" s="25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</row>
    <row r="21" spans="2:35" ht="24.75" customHeight="1">
      <c r="B21" s="5"/>
      <c r="C21" s="13" t="s">
        <v>416</v>
      </c>
      <c r="D21" s="52">
        <f>'дод. 2'!E65</f>
        <v>777140</v>
      </c>
      <c r="E21" s="52">
        <f>'дод. 2'!F65</f>
        <v>777140</v>
      </c>
      <c r="F21" s="52">
        <f>'дод. 2'!G65</f>
        <v>637000</v>
      </c>
      <c r="G21" s="52">
        <f>'дод. 2'!H65</f>
        <v>0</v>
      </c>
      <c r="H21" s="52">
        <f>'дод. 2'!I65</f>
        <v>0</v>
      </c>
      <c r="I21" s="52">
        <f>'дод. 2'!J65</f>
        <v>0</v>
      </c>
      <c r="J21" s="52">
        <f>'дод. 2'!K65</f>
        <v>0</v>
      </c>
      <c r="K21" s="52">
        <f>'дод. 2'!L65</f>
        <v>0</v>
      </c>
      <c r="L21" s="52">
        <f>'дод. 2'!M65</f>
        <v>0</v>
      </c>
      <c r="M21" s="52">
        <f>'дод. 2'!N65</f>
        <v>0</v>
      </c>
      <c r="N21" s="52">
        <f>'дод. 2'!O65</f>
        <v>0</v>
      </c>
      <c r="O21" s="52">
        <f>'дод. 2'!P65</f>
        <v>777140</v>
      </c>
      <c r="P21" s="25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</row>
    <row r="22" spans="1:35" ht="87" customHeight="1">
      <c r="A22" s="5" t="s">
        <v>89</v>
      </c>
      <c r="B22" s="5" t="s">
        <v>90</v>
      </c>
      <c r="C22" s="18" t="s">
        <v>182</v>
      </c>
      <c r="D22" s="52">
        <f>'дод. 2'!E66</f>
        <v>7458330</v>
      </c>
      <c r="E22" s="52">
        <f>'дод. 2'!F66</f>
        <v>7458330</v>
      </c>
      <c r="F22" s="52">
        <f>'дод. 2'!G66</f>
        <v>5205700</v>
      </c>
      <c r="G22" s="52">
        <f>'дод. 2'!H66</f>
        <v>615230</v>
      </c>
      <c r="H22" s="52">
        <f>'дод. 2'!I66</f>
        <v>0</v>
      </c>
      <c r="I22" s="52">
        <f>'дод. 2'!J66</f>
        <v>100000</v>
      </c>
      <c r="J22" s="52">
        <f>'дод. 2'!K66</f>
        <v>0</v>
      </c>
      <c r="K22" s="52">
        <f>'дод. 2'!L66</f>
        <v>0</v>
      </c>
      <c r="L22" s="52">
        <f>'дод. 2'!M66</f>
        <v>0</v>
      </c>
      <c r="M22" s="52">
        <f>'дод. 2'!N66</f>
        <v>100000</v>
      </c>
      <c r="N22" s="52">
        <f>'дод. 2'!O66</f>
        <v>100000</v>
      </c>
      <c r="O22" s="52">
        <f>'дод. 2'!P66</f>
        <v>7558330</v>
      </c>
      <c r="P22" s="25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</row>
    <row r="23" spans="2:35" ht="21.75" customHeight="1">
      <c r="B23" s="5"/>
      <c r="C23" s="13" t="s">
        <v>416</v>
      </c>
      <c r="D23" s="52">
        <f>'дод. 2'!E67</f>
        <v>4957260</v>
      </c>
      <c r="E23" s="52">
        <f>'дод. 2'!F67</f>
        <v>4957260</v>
      </c>
      <c r="F23" s="52">
        <f>'дод. 2'!G67</f>
        <v>4070000</v>
      </c>
      <c r="G23" s="52">
        <f>'дод. 2'!H67</f>
        <v>0</v>
      </c>
      <c r="H23" s="52">
        <f>'дод. 2'!I67</f>
        <v>0</v>
      </c>
      <c r="I23" s="52">
        <f>'дод. 2'!J67</f>
        <v>0</v>
      </c>
      <c r="J23" s="52">
        <f>'дод. 2'!K67</f>
        <v>0</v>
      </c>
      <c r="K23" s="52">
        <f>'дод. 2'!L67</f>
        <v>0</v>
      </c>
      <c r="L23" s="52">
        <f>'дод. 2'!M67</f>
        <v>0</v>
      </c>
      <c r="M23" s="52">
        <f>'дод. 2'!N67</f>
        <v>0</v>
      </c>
      <c r="N23" s="52">
        <f>'дод. 2'!O67</f>
        <v>0</v>
      </c>
      <c r="O23" s="52">
        <f>'дод. 2'!P67</f>
        <v>4957260</v>
      </c>
      <c r="P23" s="25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1:35" ht="33" customHeight="1">
      <c r="A24" s="5" t="s">
        <v>91</v>
      </c>
      <c r="B24" s="5" t="s">
        <v>92</v>
      </c>
      <c r="C24" s="18" t="s">
        <v>223</v>
      </c>
      <c r="D24" s="52">
        <f>'дод. 2'!E68</f>
        <v>21531690</v>
      </c>
      <c r="E24" s="52">
        <f>'дод. 2'!F68</f>
        <v>21531690</v>
      </c>
      <c r="F24" s="52">
        <f>'дод. 2'!G68</f>
        <v>15425500</v>
      </c>
      <c r="G24" s="52">
        <f>'дод. 2'!H68</f>
        <v>2331620</v>
      </c>
      <c r="H24" s="52">
        <f>'дод. 2'!I68</f>
        <v>0</v>
      </c>
      <c r="I24" s="52">
        <f>'дод. 2'!J68</f>
        <v>400000</v>
      </c>
      <c r="J24" s="52">
        <f>'дод. 2'!K68</f>
        <v>0</v>
      </c>
      <c r="K24" s="52">
        <f>'дод. 2'!L68</f>
        <v>0</v>
      </c>
      <c r="L24" s="52">
        <f>'дод. 2'!M68</f>
        <v>0</v>
      </c>
      <c r="M24" s="52">
        <f>'дод. 2'!N68</f>
        <v>400000</v>
      </c>
      <c r="N24" s="52">
        <f>'дод. 2'!O68</f>
        <v>400000</v>
      </c>
      <c r="O24" s="52">
        <f>'дод. 2'!P68</f>
        <v>21931690</v>
      </c>
      <c r="P24" s="25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</row>
    <row r="25" spans="1:35" ht="57.75" customHeight="1">
      <c r="A25" s="5" t="s">
        <v>93</v>
      </c>
      <c r="B25" s="5" t="s">
        <v>92</v>
      </c>
      <c r="C25" s="18" t="s">
        <v>30</v>
      </c>
      <c r="D25" s="52">
        <f>'дод. 2'!E191</f>
        <v>29741300</v>
      </c>
      <c r="E25" s="52">
        <f>'дод. 2'!F191</f>
        <v>29741300</v>
      </c>
      <c r="F25" s="52">
        <f>'дод. 2'!G191</f>
        <v>23498774</v>
      </c>
      <c r="G25" s="52">
        <f>'дод. 2'!H191</f>
        <v>711900</v>
      </c>
      <c r="H25" s="52">
        <f>'дод. 2'!I191</f>
        <v>0</v>
      </c>
      <c r="I25" s="52">
        <f>'дод. 2'!J191</f>
        <v>2313550</v>
      </c>
      <c r="J25" s="52">
        <f>'дод. 2'!K191</f>
        <v>2108830</v>
      </c>
      <c r="K25" s="52">
        <f>'дод. 2'!L191</f>
        <v>1721450</v>
      </c>
      <c r="L25" s="52">
        <f>'дод. 2'!M191</f>
        <v>0</v>
      </c>
      <c r="M25" s="52">
        <f>'дод. 2'!N191</f>
        <v>204720</v>
      </c>
      <c r="N25" s="52">
        <f>'дод. 2'!O191</f>
        <v>200000</v>
      </c>
      <c r="O25" s="52">
        <f>'дод. 2'!P191</f>
        <v>32054850</v>
      </c>
      <c r="P25" s="25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</row>
    <row r="26" spans="1:35" ht="39.75" customHeight="1">
      <c r="A26" s="5" t="s">
        <v>352</v>
      </c>
      <c r="B26" s="5" t="s">
        <v>94</v>
      </c>
      <c r="C26" s="18" t="s">
        <v>183</v>
      </c>
      <c r="D26" s="52">
        <f>'дод. 2'!E69</f>
        <v>93735900</v>
      </c>
      <c r="E26" s="52">
        <f>'дод. 2'!F69</f>
        <v>93735900</v>
      </c>
      <c r="F26" s="52">
        <f>'дод. 2'!G69</f>
        <v>52999200</v>
      </c>
      <c r="G26" s="52">
        <f>'дод. 2'!H69</f>
        <v>9089100</v>
      </c>
      <c r="H26" s="52">
        <f>'дод. 2'!I69</f>
        <v>0</v>
      </c>
      <c r="I26" s="52">
        <f>'дод. 2'!J69</f>
        <v>6708970</v>
      </c>
      <c r="J26" s="52">
        <f>'дод. 2'!K69</f>
        <v>6514270</v>
      </c>
      <c r="K26" s="52">
        <f>'дод. 2'!L69</f>
        <v>2053494</v>
      </c>
      <c r="L26" s="52">
        <f>'дод. 2'!M69</f>
        <v>2334410</v>
      </c>
      <c r="M26" s="52">
        <f>'дод. 2'!N69</f>
        <v>194700</v>
      </c>
      <c r="N26" s="52">
        <f>'дод. 2'!O69</f>
        <v>0</v>
      </c>
      <c r="O26" s="52">
        <f>'дод. 2'!P69</f>
        <v>100444870</v>
      </c>
      <c r="P26" s="25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</row>
    <row r="27" spans="2:35" ht="21" customHeight="1">
      <c r="B27" s="5"/>
      <c r="C27" s="13" t="s">
        <v>416</v>
      </c>
      <c r="D27" s="52">
        <f>'дод. 2'!E70</f>
        <v>9182000</v>
      </c>
      <c r="E27" s="52">
        <f>'дод. 2'!F70</f>
        <v>9182000</v>
      </c>
      <c r="F27" s="52">
        <f>'дод. 2'!G70</f>
        <v>7526000</v>
      </c>
      <c r="G27" s="52">
        <f>'дод. 2'!H70</f>
        <v>0</v>
      </c>
      <c r="H27" s="52">
        <f>'дод. 2'!I70</f>
        <v>0</v>
      </c>
      <c r="I27" s="52">
        <f>'дод. 2'!J70</f>
        <v>0</v>
      </c>
      <c r="J27" s="52">
        <f>'дод. 2'!K70</f>
        <v>0</v>
      </c>
      <c r="K27" s="52">
        <f>'дод. 2'!L70</f>
        <v>0</v>
      </c>
      <c r="L27" s="52">
        <f>'дод. 2'!M70</f>
        <v>0</v>
      </c>
      <c r="M27" s="52">
        <f>'дод. 2'!N70</f>
        <v>0</v>
      </c>
      <c r="N27" s="52">
        <f>'дод. 2'!O70</f>
        <v>0</v>
      </c>
      <c r="O27" s="52">
        <f>'дод. 2'!P70</f>
        <v>9182000</v>
      </c>
      <c r="P27" s="25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</row>
    <row r="28" spans="1:35" ht="33" customHeight="1">
      <c r="A28" s="5" t="s">
        <v>184</v>
      </c>
      <c r="B28" s="5" t="s">
        <v>95</v>
      </c>
      <c r="C28" s="18" t="s">
        <v>585</v>
      </c>
      <c r="D28" s="52">
        <f>'дод. 2'!E71</f>
        <v>3118910</v>
      </c>
      <c r="E28" s="52">
        <f>'дод. 2'!F71</f>
        <v>3118910</v>
      </c>
      <c r="F28" s="52">
        <f>'дод. 2'!G71</f>
        <v>2440000</v>
      </c>
      <c r="G28" s="52">
        <f>'дод. 2'!H71</f>
        <v>103210</v>
      </c>
      <c r="H28" s="52">
        <f>'дод. 2'!I71</f>
        <v>0</v>
      </c>
      <c r="I28" s="52">
        <f>'дод. 2'!J71</f>
        <v>0</v>
      </c>
      <c r="J28" s="52">
        <f>'дод. 2'!K71</f>
        <v>0</v>
      </c>
      <c r="K28" s="52">
        <f>'дод. 2'!L71</f>
        <v>0</v>
      </c>
      <c r="L28" s="52">
        <f>'дод. 2'!M71</f>
        <v>0</v>
      </c>
      <c r="M28" s="52">
        <f>'дод. 2'!N71</f>
        <v>0</v>
      </c>
      <c r="N28" s="52">
        <f>'дод. 2'!O71</f>
        <v>0</v>
      </c>
      <c r="O28" s="52">
        <f>'дод. 2'!P71</f>
        <v>3118910</v>
      </c>
      <c r="P28" s="25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</row>
    <row r="29" spans="1:35" ht="25.5" customHeight="1">
      <c r="A29" s="5" t="s">
        <v>358</v>
      </c>
      <c r="B29" s="5"/>
      <c r="C29" s="18" t="s">
        <v>356</v>
      </c>
      <c r="D29" s="52">
        <f>D30+D31</f>
        <v>6788000</v>
      </c>
      <c r="E29" s="52">
        <f aca="true" t="shared" si="3" ref="E29:O29">E30+E31</f>
        <v>6788000</v>
      </c>
      <c r="F29" s="52">
        <f t="shared" si="3"/>
        <v>4797600</v>
      </c>
      <c r="G29" s="52">
        <f t="shared" si="3"/>
        <v>460470</v>
      </c>
      <c r="H29" s="52">
        <f t="shared" si="3"/>
        <v>0</v>
      </c>
      <c r="I29" s="52">
        <f t="shared" si="3"/>
        <v>180000</v>
      </c>
      <c r="J29" s="52">
        <f t="shared" si="3"/>
        <v>0</v>
      </c>
      <c r="K29" s="52">
        <f t="shared" si="3"/>
        <v>0</v>
      </c>
      <c r="L29" s="52">
        <f t="shared" si="3"/>
        <v>0</v>
      </c>
      <c r="M29" s="52">
        <f t="shared" si="3"/>
        <v>180000</v>
      </c>
      <c r="N29" s="52">
        <f t="shared" si="3"/>
        <v>180000</v>
      </c>
      <c r="O29" s="52">
        <f t="shared" si="3"/>
        <v>6968000</v>
      </c>
      <c r="P29" s="25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1:35" s="8" customFormat="1" ht="36" customHeight="1">
      <c r="A30" s="7" t="s">
        <v>444</v>
      </c>
      <c r="B30" s="7" t="s">
        <v>95</v>
      </c>
      <c r="C30" s="41" t="s">
        <v>446</v>
      </c>
      <c r="D30" s="53">
        <f>'дод. 2'!E73</f>
        <v>6712200</v>
      </c>
      <c r="E30" s="53">
        <f>'дод. 2'!F73</f>
        <v>6712200</v>
      </c>
      <c r="F30" s="53">
        <f>'дод. 2'!G73</f>
        <v>4797600</v>
      </c>
      <c r="G30" s="53">
        <f>'дод. 2'!H73</f>
        <v>460470</v>
      </c>
      <c r="H30" s="53">
        <f>'дод. 2'!I73</f>
        <v>0</v>
      </c>
      <c r="I30" s="53">
        <f>'дод. 2'!J73</f>
        <v>180000</v>
      </c>
      <c r="J30" s="53">
        <f>'дод. 2'!K73</f>
        <v>0</v>
      </c>
      <c r="K30" s="53">
        <f>'дод. 2'!L73</f>
        <v>0</v>
      </c>
      <c r="L30" s="53">
        <f>'дод. 2'!M73</f>
        <v>0</v>
      </c>
      <c r="M30" s="53">
        <f>'дод. 2'!N73</f>
        <v>180000</v>
      </c>
      <c r="N30" s="53">
        <f>'дод. 2'!O73</f>
        <v>180000</v>
      </c>
      <c r="O30" s="53">
        <f>'дод. 2'!P73</f>
        <v>6892200</v>
      </c>
      <c r="P30" s="251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</row>
    <row r="31" spans="1:35" s="8" customFormat="1" ht="25.5" customHeight="1">
      <c r="A31" s="7" t="s">
        <v>445</v>
      </c>
      <c r="B31" s="7" t="s">
        <v>95</v>
      </c>
      <c r="C31" s="41" t="s">
        <v>447</v>
      </c>
      <c r="D31" s="53">
        <f>'дод. 2'!E74</f>
        <v>75800</v>
      </c>
      <c r="E31" s="53">
        <f>'дод. 2'!F74</f>
        <v>75800</v>
      </c>
      <c r="F31" s="53">
        <f>'дод. 2'!G74</f>
        <v>0</v>
      </c>
      <c r="G31" s="53">
        <f>'дод. 2'!H74</f>
        <v>0</v>
      </c>
      <c r="H31" s="53">
        <f>'дод. 2'!I74</f>
        <v>0</v>
      </c>
      <c r="I31" s="53">
        <f>'дод. 2'!J74</f>
        <v>0</v>
      </c>
      <c r="J31" s="53">
        <f>'дод. 2'!K74</f>
        <v>0</v>
      </c>
      <c r="K31" s="53">
        <f>'дод. 2'!L74</f>
        <v>0</v>
      </c>
      <c r="L31" s="53">
        <f>'дод. 2'!M74</f>
        <v>0</v>
      </c>
      <c r="M31" s="53">
        <f>'дод. 2'!N74</f>
        <v>0</v>
      </c>
      <c r="N31" s="53">
        <f>'дод. 2'!O74</f>
        <v>0</v>
      </c>
      <c r="O31" s="53">
        <f>'дод. 2'!P74</f>
        <v>75800</v>
      </c>
      <c r="P31" s="251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</row>
    <row r="32" spans="1:35" s="22" customFormat="1" ht="23.25" customHeight="1">
      <c r="A32" s="23" t="s">
        <v>96</v>
      </c>
      <c r="B32" s="35"/>
      <c r="C32" s="40" t="s">
        <v>97</v>
      </c>
      <c r="D32" s="56">
        <f>D34+D36+D38+D40+D42+D48+D54</f>
        <v>323002700</v>
      </c>
      <c r="E32" s="56">
        <f aca="true" t="shared" si="4" ref="E32:O32">E34+E36+E38+E40+E42+E48+E54</f>
        <v>323002700</v>
      </c>
      <c r="F32" s="56">
        <f t="shared" si="4"/>
        <v>0</v>
      </c>
      <c r="G32" s="56">
        <f t="shared" si="4"/>
        <v>0</v>
      </c>
      <c r="H32" s="56">
        <f t="shared" si="4"/>
        <v>0</v>
      </c>
      <c r="I32" s="56">
        <f t="shared" si="4"/>
        <v>37333749</v>
      </c>
      <c r="J32" s="56">
        <f t="shared" si="4"/>
        <v>16983749</v>
      </c>
      <c r="K32" s="56">
        <f t="shared" si="4"/>
        <v>0</v>
      </c>
      <c r="L32" s="56">
        <f t="shared" si="4"/>
        <v>0</v>
      </c>
      <c r="M32" s="56">
        <f t="shared" si="4"/>
        <v>20350000</v>
      </c>
      <c r="N32" s="56">
        <f t="shared" si="4"/>
        <v>20350000</v>
      </c>
      <c r="O32" s="56">
        <f t="shared" si="4"/>
        <v>360336449</v>
      </c>
      <c r="P32" s="251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</row>
    <row r="33" spans="1:35" s="22" customFormat="1" ht="23.25" customHeight="1">
      <c r="A33" s="23"/>
      <c r="B33" s="35"/>
      <c r="C33" s="11" t="s">
        <v>416</v>
      </c>
      <c r="D33" s="56">
        <f aca="true" t="shared" si="5" ref="D33:O33">D35+D37+D39+D41+D43+D55+D49</f>
        <v>239920600</v>
      </c>
      <c r="E33" s="56">
        <f t="shared" si="5"/>
        <v>239920600</v>
      </c>
      <c r="F33" s="56">
        <f t="shared" si="5"/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  <c r="M33" s="56">
        <f t="shared" si="5"/>
        <v>0</v>
      </c>
      <c r="N33" s="56">
        <f t="shared" si="5"/>
        <v>0</v>
      </c>
      <c r="O33" s="56">
        <f t="shared" si="5"/>
        <v>239920600</v>
      </c>
      <c r="P33" s="251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</row>
    <row r="34" spans="1:35" ht="31.5">
      <c r="A34" s="5" t="s">
        <v>98</v>
      </c>
      <c r="B34" s="5" t="s">
        <v>99</v>
      </c>
      <c r="C34" s="18" t="s">
        <v>53</v>
      </c>
      <c r="D34" s="52">
        <f>'дод. 2'!E86</f>
        <v>227372854</v>
      </c>
      <c r="E34" s="52">
        <f>'дод. 2'!F86</f>
        <v>227372854</v>
      </c>
      <c r="F34" s="52">
        <f>'дод. 2'!G86</f>
        <v>0</v>
      </c>
      <c r="G34" s="52">
        <f>'дод. 2'!H86</f>
        <v>0</v>
      </c>
      <c r="H34" s="52">
        <f>'дод. 2'!I86</f>
        <v>0</v>
      </c>
      <c r="I34" s="52">
        <f>'дод. 2'!J86</f>
        <v>31668360</v>
      </c>
      <c r="J34" s="52">
        <f>'дод. 2'!K86</f>
        <v>11318360</v>
      </c>
      <c r="K34" s="52">
        <f>'дод. 2'!L86</f>
        <v>0</v>
      </c>
      <c r="L34" s="52">
        <f>'дод. 2'!M86</f>
        <v>0</v>
      </c>
      <c r="M34" s="52">
        <f>'дод. 2'!N86</f>
        <v>20350000</v>
      </c>
      <c r="N34" s="52">
        <f>'дод. 2'!O86</f>
        <v>20350000</v>
      </c>
      <c r="O34" s="52">
        <f>'дод. 2'!P86</f>
        <v>259041214</v>
      </c>
      <c r="P34" s="25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</row>
    <row r="35" spans="2:35" ht="15.75" customHeight="1">
      <c r="B35" s="5"/>
      <c r="C35" s="13" t="s">
        <v>416</v>
      </c>
      <c r="D35" s="52">
        <f>'дод. 2'!E87</f>
        <v>156832009</v>
      </c>
      <c r="E35" s="52">
        <f>'дод. 2'!F87</f>
        <v>156832009</v>
      </c>
      <c r="F35" s="52">
        <f>'дод. 2'!G87</f>
        <v>0</v>
      </c>
      <c r="G35" s="52">
        <f>'дод. 2'!H87</f>
        <v>0</v>
      </c>
      <c r="H35" s="52">
        <f>'дод. 2'!I87</f>
        <v>0</v>
      </c>
      <c r="I35" s="52">
        <f>'дод. 2'!J87</f>
        <v>0</v>
      </c>
      <c r="J35" s="52">
        <f>'дод. 2'!K87</f>
        <v>0</v>
      </c>
      <c r="K35" s="52">
        <f>'дод. 2'!L87</f>
        <v>0</v>
      </c>
      <c r="L35" s="52">
        <f>'дод. 2'!M87</f>
        <v>0</v>
      </c>
      <c r="M35" s="52">
        <f>'дод. 2'!N87</f>
        <v>0</v>
      </c>
      <c r="N35" s="52">
        <f>'дод. 2'!O87</f>
        <v>0</v>
      </c>
      <c r="O35" s="52">
        <f>'дод. 2'!P87</f>
        <v>156832009</v>
      </c>
      <c r="P35" s="25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</row>
    <row r="36" spans="1:35" ht="42.75" customHeight="1">
      <c r="A36" s="5" t="s">
        <v>185</v>
      </c>
      <c r="B36" s="5" t="s">
        <v>100</v>
      </c>
      <c r="C36" s="18" t="s">
        <v>186</v>
      </c>
      <c r="D36" s="52">
        <f>'дод. 2'!E88</f>
        <v>34579826</v>
      </c>
      <c r="E36" s="52">
        <f>'дод. 2'!F88</f>
        <v>34579826</v>
      </c>
      <c r="F36" s="52">
        <f>'дод. 2'!G88</f>
        <v>0</v>
      </c>
      <c r="G36" s="52">
        <f>'дод. 2'!H88</f>
        <v>0</v>
      </c>
      <c r="H36" s="52">
        <f>'дод. 2'!I88</f>
        <v>0</v>
      </c>
      <c r="I36" s="52">
        <f>'дод. 2'!J88</f>
        <v>27300</v>
      </c>
      <c r="J36" s="52">
        <f>'дод. 2'!K88</f>
        <v>27300</v>
      </c>
      <c r="K36" s="52">
        <f>'дод. 2'!L88</f>
        <v>0</v>
      </c>
      <c r="L36" s="52">
        <f>'дод. 2'!M88</f>
        <v>0</v>
      </c>
      <c r="M36" s="52">
        <f>'дод. 2'!N88</f>
        <v>0</v>
      </c>
      <c r="N36" s="52">
        <f>'дод. 2'!O88</f>
        <v>0</v>
      </c>
      <c r="O36" s="52">
        <f>'дод. 2'!P88</f>
        <v>34607126</v>
      </c>
      <c r="P36" s="25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</row>
    <row r="37" spans="2:35" ht="24" customHeight="1">
      <c r="B37" s="5"/>
      <c r="C37" s="13" t="s">
        <v>416</v>
      </c>
      <c r="D37" s="52">
        <f>'дод. 2'!E89</f>
        <v>24119993</v>
      </c>
      <c r="E37" s="52">
        <f>'дод. 2'!F89</f>
        <v>24119993</v>
      </c>
      <c r="F37" s="52">
        <f>'дод. 2'!G89</f>
        <v>0</v>
      </c>
      <c r="G37" s="52">
        <f>'дод. 2'!H89</f>
        <v>0</v>
      </c>
      <c r="H37" s="52">
        <f>'дод. 2'!I89</f>
        <v>0</v>
      </c>
      <c r="I37" s="52">
        <f>'дод. 2'!J89</f>
        <v>0</v>
      </c>
      <c r="J37" s="52">
        <f>'дод. 2'!K89</f>
        <v>0</v>
      </c>
      <c r="K37" s="52">
        <f>'дод. 2'!L89</f>
        <v>0</v>
      </c>
      <c r="L37" s="52">
        <f>'дод. 2'!M89</f>
        <v>0</v>
      </c>
      <c r="M37" s="52">
        <f>'дод. 2'!N89</f>
        <v>0</v>
      </c>
      <c r="N37" s="52">
        <f>'дод. 2'!O89</f>
        <v>0</v>
      </c>
      <c r="O37" s="52">
        <f>'дод. 2'!P89</f>
        <v>24119993</v>
      </c>
      <c r="P37" s="255">
        <v>25</v>
      </c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</row>
    <row r="38" spans="1:35" ht="33" customHeight="1">
      <c r="A38" s="5" t="s">
        <v>187</v>
      </c>
      <c r="B38" s="5" t="s">
        <v>101</v>
      </c>
      <c r="C38" s="18" t="s">
        <v>497</v>
      </c>
      <c r="D38" s="52">
        <f>'дод. 2'!E90</f>
        <v>1039928</v>
      </c>
      <c r="E38" s="52">
        <f>'дод. 2'!F90</f>
        <v>1039928</v>
      </c>
      <c r="F38" s="52">
        <f>'дод. 2'!G90</f>
        <v>0</v>
      </c>
      <c r="G38" s="52">
        <f>'дод. 2'!H90</f>
        <v>0</v>
      </c>
      <c r="H38" s="52">
        <f>'дод. 2'!I90</f>
        <v>0</v>
      </c>
      <c r="I38" s="52">
        <f>'дод. 2'!J90</f>
        <v>412100</v>
      </c>
      <c r="J38" s="52">
        <f>'дод. 2'!K90</f>
        <v>412100</v>
      </c>
      <c r="K38" s="52">
        <f>'дод. 2'!L90</f>
        <v>0</v>
      </c>
      <c r="L38" s="52">
        <f>'дод. 2'!M90</f>
        <v>0</v>
      </c>
      <c r="M38" s="52">
        <f>'дод. 2'!N90</f>
        <v>0</v>
      </c>
      <c r="N38" s="52">
        <f>'дод. 2'!O90</f>
        <v>0</v>
      </c>
      <c r="O38" s="52">
        <f>'дод. 2'!P90</f>
        <v>1452028</v>
      </c>
      <c r="P38" s="255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</row>
    <row r="39" spans="2:35" ht="27" customHeight="1">
      <c r="B39" s="5"/>
      <c r="C39" s="13" t="s">
        <v>416</v>
      </c>
      <c r="D39" s="52">
        <f>'дод. 2'!E91</f>
        <v>925907</v>
      </c>
      <c r="E39" s="52">
        <f>'дод. 2'!F91</f>
        <v>925907</v>
      </c>
      <c r="F39" s="52">
        <f>'дод. 2'!G91</f>
        <v>0</v>
      </c>
      <c r="G39" s="52">
        <f>'дод. 2'!H91</f>
        <v>0</v>
      </c>
      <c r="H39" s="52">
        <f>'дод. 2'!I91</f>
        <v>0</v>
      </c>
      <c r="I39" s="52">
        <f>'дод. 2'!J91</f>
        <v>0</v>
      </c>
      <c r="J39" s="52">
        <f>'дод. 2'!K91</f>
        <v>0</v>
      </c>
      <c r="K39" s="52">
        <f>'дод. 2'!L91</f>
        <v>0</v>
      </c>
      <c r="L39" s="52">
        <f>'дод. 2'!M91</f>
        <v>0</v>
      </c>
      <c r="M39" s="52">
        <f>'дод. 2'!N91</f>
        <v>0</v>
      </c>
      <c r="N39" s="52">
        <f>'дод. 2'!O91</f>
        <v>0</v>
      </c>
      <c r="O39" s="52">
        <f>'дод. 2'!P91</f>
        <v>925907</v>
      </c>
      <c r="P39" s="255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</row>
    <row r="40" spans="1:35" ht="25.5" customHeight="1">
      <c r="A40" s="5" t="s">
        <v>188</v>
      </c>
      <c r="B40" s="5" t="s">
        <v>102</v>
      </c>
      <c r="C40" s="18" t="s">
        <v>189</v>
      </c>
      <c r="D40" s="52">
        <f>'дод. 2'!E92</f>
        <v>5454842</v>
      </c>
      <c r="E40" s="52">
        <f>'дод. 2'!F92</f>
        <v>5454842</v>
      </c>
      <c r="F40" s="52">
        <f>'дод. 2'!G92</f>
        <v>0</v>
      </c>
      <c r="G40" s="52">
        <f>'дод. 2'!H92</f>
        <v>0</v>
      </c>
      <c r="H40" s="52">
        <f>'дод. 2'!I92</f>
        <v>0</v>
      </c>
      <c r="I40" s="52">
        <f>'дод. 2'!J92</f>
        <v>5058989</v>
      </c>
      <c r="J40" s="52">
        <f>'дод. 2'!K92</f>
        <v>5058989</v>
      </c>
      <c r="K40" s="52">
        <f>'дод. 2'!L92</f>
        <v>0</v>
      </c>
      <c r="L40" s="52">
        <f>'дод. 2'!M92</f>
        <v>0</v>
      </c>
      <c r="M40" s="52">
        <f>'дод. 2'!N92</f>
        <v>0</v>
      </c>
      <c r="N40" s="52">
        <f>'дод. 2'!O92</f>
        <v>0</v>
      </c>
      <c r="O40" s="52">
        <f>'дод. 2'!P92</f>
        <v>10513831</v>
      </c>
      <c r="P40" s="255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</row>
    <row r="41" spans="2:35" ht="25.5" customHeight="1">
      <c r="B41" s="5"/>
      <c r="C41" s="13" t="s">
        <v>416</v>
      </c>
      <c r="D41" s="52">
        <f>'дод. 2'!E93</f>
        <v>4325025</v>
      </c>
      <c r="E41" s="52">
        <f>'дод. 2'!F93</f>
        <v>4325025</v>
      </c>
      <c r="F41" s="52">
        <f>'дод. 2'!G93</f>
        <v>0</v>
      </c>
      <c r="G41" s="52">
        <f>'дод. 2'!H93</f>
        <v>0</v>
      </c>
      <c r="H41" s="52">
        <f>'дод. 2'!I93</f>
        <v>0</v>
      </c>
      <c r="I41" s="52">
        <f>'дод. 2'!J93</f>
        <v>0</v>
      </c>
      <c r="J41" s="52">
        <f>'дод. 2'!K93</f>
        <v>0</v>
      </c>
      <c r="K41" s="52">
        <f>'дод. 2'!L93</f>
        <v>0</v>
      </c>
      <c r="L41" s="52">
        <f>'дод. 2'!M93</f>
        <v>0</v>
      </c>
      <c r="M41" s="52">
        <f>'дод. 2'!N93</f>
        <v>0</v>
      </c>
      <c r="N41" s="52">
        <f>'дод. 2'!O93</f>
        <v>0</v>
      </c>
      <c r="O41" s="52">
        <f>'дод. 2'!P93</f>
        <v>4325025</v>
      </c>
      <c r="P41" s="255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</row>
    <row r="42" spans="1:35" ht="22.5" customHeight="1">
      <c r="A42" s="5" t="s">
        <v>190</v>
      </c>
      <c r="B42" s="5"/>
      <c r="C42" s="42" t="s">
        <v>498</v>
      </c>
      <c r="D42" s="52">
        <f>D44+D46</f>
        <v>36578306</v>
      </c>
      <c r="E42" s="52">
        <f aca="true" t="shared" si="6" ref="E42:O42">E44+E46</f>
        <v>36578306</v>
      </c>
      <c r="F42" s="52">
        <f t="shared" si="6"/>
        <v>0</v>
      </c>
      <c r="G42" s="52">
        <f t="shared" si="6"/>
        <v>0</v>
      </c>
      <c r="H42" s="52">
        <f t="shared" si="6"/>
        <v>0</v>
      </c>
      <c r="I42" s="52">
        <f t="shared" si="6"/>
        <v>167000</v>
      </c>
      <c r="J42" s="52">
        <f t="shared" si="6"/>
        <v>167000</v>
      </c>
      <c r="K42" s="52">
        <f t="shared" si="6"/>
        <v>0</v>
      </c>
      <c r="L42" s="52">
        <f t="shared" si="6"/>
        <v>0</v>
      </c>
      <c r="M42" s="52">
        <f t="shared" si="6"/>
        <v>0</v>
      </c>
      <c r="N42" s="52">
        <f t="shared" si="6"/>
        <v>0</v>
      </c>
      <c r="O42" s="52">
        <f t="shared" si="6"/>
        <v>36745306</v>
      </c>
      <c r="P42" s="255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</row>
    <row r="43" spans="2:35" ht="22.5" customHeight="1">
      <c r="B43" s="5"/>
      <c r="C43" s="13" t="s">
        <v>416</v>
      </c>
      <c r="D43" s="52">
        <f>D45+D47</f>
        <v>35777500</v>
      </c>
      <c r="E43" s="52">
        <f aca="true" t="shared" si="7" ref="E43:O43">E45+E47</f>
        <v>35777500</v>
      </c>
      <c r="F43" s="52">
        <f t="shared" si="7"/>
        <v>0</v>
      </c>
      <c r="G43" s="52">
        <f t="shared" si="7"/>
        <v>0</v>
      </c>
      <c r="H43" s="52">
        <f t="shared" si="7"/>
        <v>0</v>
      </c>
      <c r="I43" s="52">
        <f t="shared" si="7"/>
        <v>0</v>
      </c>
      <c r="J43" s="52">
        <f t="shared" si="7"/>
        <v>0</v>
      </c>
      <c r="K43" s="52">
        <f t="shared" si="7"/>
        <v>0</v>
      </c>
      <c r="L43" s="52">
        <f t="shared" si="7"/>
        <v>0</v>
      </c>
      <c r="M43" s="52">
        <f t="shared" si="7"/>
        <v>0</v>
      </c>
      <c r="N43" s="52">
        <f t="shared" si="7"/>
        <v>0</v>
      </c>
      <c r="O43" s="52">
        <f t="shared" si="7"/>
        <v>35777500</v>
      </c>
      <c r="P43" s="255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</row>
    <row r="44" spans="1:35" s="8" customFormat="1" ht="54" customHeight="1">
      <c r="A44" s="7" t="s">
        <v>191</v>
      </c>
      <c r="B44" s="7" t="s">
        <v>499</v>
      </c>
      <c r="C44" s="41" t="s">
        <v>192</v>
      </c>
      <c r="D44" s="53">
        <f>'дод. 2'!E96</f>
        <v>8672485</v>
      </c>
      <c r="E44" s="53">
        <f>'дод. 2'!F96</f>
        <v>8672485</v>
      </c>
      <c r="F44" s="53">
        <f>'дод. 2'!G96</f>
        <v>0</v>
      </c>
      <c r="G44" s="53">
        <f>'дод. 2'!H96</f>
        <v>0</v>
      </c>
      <c r="H44" s="53">
        <f>'дод. 2'!I96</f>
        <v>0</v>
      </c>
      <c r="I44" s="53">
        <f>'дод. 2'!J96</f>
        <v>167000</v>
      </c>
      <c r="J44" s="53">
        <f>'дод. 2'!K96</f>
        <v>167000</v>
      </c>
      <c r="K44" s="53">
        <f>'дод. 2'!L96</f>
        <v>0</v>
      </c>
      <c r="L44" s="53">
        <f>'дод. 2'!M96</f>
        <v>0</v>
      </c>
      <c r="M44" s="53">
        <f>'дод. 2'!N96</f>
        <v>0</v>
      </c>
      <c r="N44" s="53">
        <f>'дод. 2'!O96</f>
        <v>0</v>
      </c>
      <c r="O44" s="53">
        <f>'дод. 2'!P96</f>
        <v>8839485</v>
      </c>
      <c r="P44" s="255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</row>
    <row r="45" spans="1:35" s="8" customFormat="1" ht="21.75" customHeight="1">
      <c r="A45" s="7"/>
      <c r="B45" s="7"/>
      <c r="C45" s="14" t="s">
        <v>416</v>
      </c>
      <c r="D45" s="53">
        <f>'дод. 2'!E97</f>
        <v>7871679</v>
      </c>
      <c r="E45" s="53">
        <f>'дод. 2'!F97</f>
        <v>7871679</v>
      </c>
      <c r="F45" s="53">
        <f>'дод. 2'!G97</f>
        <v>0</v>
      </c>
      <c r="G45" s="53">
        <f>'дод. 2'!H97</f>
        <v>0</v>
      </c>
      <c r="H45" s="53">
        <f>'дод. 2'!I97</f>
        <v>0</v>
      </c>
      <c r="I45" s="53">
        <f>'дод. 2'!J97</f>
        <v>0</v>
      </c>
      <c r="J45" s="53">
        <f>'дод. 2'!K97</f>
        <v>0</v>
      </c>
      <c r="K45" s="53">
        <f>'дод. 2'!L97</f>
        <v>0</v>
      </c>
      <c r="L45" s="53">
        <f>'дод. 2'!M97</f>
        <v>0</v>
      </c>
      <c r="M45" s="53">
        <f>'дод. 2'!N97</f>
        <v>0</v>
      </c>
      <c r="N45" s="53">
        <f>'дод. 2'!O97</f>
        <v>0</v>
      </c>
      <c r="O45" s="53">
        <f>'дод. 2'!P97</f>
        <v>7871679</v>
      </c>
      <c r="P45" s="255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</row>
    <row r="46" spans="1:35" s="8" customFormat="1" ht="33.75" customHeight="1">
      <c r="A46" s="7" t="s">
        <v>588</v>
      </c>
      <c r="B46" s="7" t="s">
        <v>101</v>
      </c>
      <c r="C46" s="92" t="s">
        <v>586</v>
      </c>
      <c r="D46" s="53">
        <f>'дод. 2'!E98</f>
        <v>27905821</v>
      </c>
      <c r="E46" s="53">
        <f>'дод. 2'!F98</f>
        <v>27905821</v>
      </c>
      <c r="F46" s="53">
        <f>'дод. 2'!G98</f>
        <v>0</v>
      </c>
      <c r="G46" s="53">
        <f>'дод. 2'!H98</f>
        <v>0</v>
      </c>
      <c r="H46" s="53">
        <f>'дод. 2'!I98</f>
        <v>0</v>
      </c>
      <c r="I46" s="53">
        <f>'дод. 2'!J98</f>
        <v>0</v>
      </c>
      <c r="J46" s="53">
        <f>'дод. 2'!K98</f>
        <v>0</v>
      </c>
      <c r="K46" s="53">
        <f>'дод. 2'!L98</f>
        <v>0</v>
      </c>
      <c r="L46" s="53">
        <f>'дод. 2'!M98</f>
        <v>0</v>
      </c>
      <c r="M46" s="53">
        <f>'дод. 2'!N98</f>
        <v>0</v>
      </c>
      <c r="N46" s="53">
        <f>'дод. 2'!O98</f>
        <v>0</v>
      </c>
      <c r="O46" s="53">
        <f>'дод. 2'!P98</f>
        <v>27905821</v>
      </c>
      <c r="P46" s="255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</row>
    <row r="47" spans="1:35" s="8" customFormat="1" ht="21.75" customHeight="1">
      <c r="A47" s="7"/>
      <c r="B47" s="7"/>
      <c r="C47" s="14" t="s">
        <v>416</v>
      </c>
      <c r="D47" s="53">
        <f>'дод. 2'!E99</f>
        <v>27905821</v>
      </c>
      <c r="E47" s="53">
        <f>'дод. 2'!F99</f>
        <v>27905821</v>
      </c>
      <c r="F47" s="53">
        <f>'дод. 2'!G99</f>
        <v>0</v>
      </c>
      <c r="G47" s="53">
        <f>'дод. 2'!H99</f>
        <v>0</v>
      </c>
      <c r="H47" s="53">
        <f>'дод. 2'!I99</f>
        <v>0</v>
      </c>
      <c r="I47" s="53">
        <f>'дод. 2'!J99</f>
        <v>0</v>
      </c>
      <c r="J47" s="53">
        <f>'дод. 2'!K99</f>
        <v>0</v>
      </c>
      <c r="K47" s="53">
        <f>'дод. 2'!L99</f>
        <v>0</v>
      </c>
      <c r="L47" s="53">
        <f>'дод. 2'!M99</f>
        <v>0</v>
      </c>
      <c r="M47" s="53">
        <f>'дод. 2'!N99</f>
        <v>0</v>
      </c>
      <c r="N47" s="53">
        <f>'дод. 2'!O99</f>
        <v>0</v>
      </c>
      <c r="O47" s="53">
        <f>'дод. 2'!P99</f>
        <v>27905821</v>
      </c>
      <c r="P47" s="255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</row>
    <row r="48" spans="1:35" ht="40.5" customHeight="1">
      <c r="A48" s="25">
        <v>2140</v>
      </c>
      <c r="B48" s="25"/>
      <c r="C48" s="42" t="s">
        <v>167</v>
      </c>
      <c r="D48" s="52">
        <f aca="true" t="shared" si="8" ref="D48:O48">D50+D52</f>
        <v>14043000</v>
      </c>
      <c r="E48" s="52">
        <f t="shared" si="8"/>
        <v>14043000</v>
      </c>
      <c r="F48" s="52">
        <f t="shared" si="8"/>
        <v>0</v>
      </c>
      <c r="G48" s="52">
        <f t="shared" si="8"/>
        <v>0</v>
      </c>
      <c r="H48" s="52">
        <f t="shared" si="8"/>
        <v>0</v>
      </c>
      <c r="I48" s="52">
        <f t="shared" si="8"/>
        <v>0</v>
      </c>
      <c r="J48" s="52">
        <f t="shared" si="8"/>
        <v>0</v>
      </c>
      <c r="K48" s="52">
        <f t="shared" si="8"/>
        <v>0</v>
      </c>
      <c r="L48" s="52">
        <f t="shared" si="8"/>
        <v>0</v>
      </c>
      <c r="M48" s="52">
        <f t="shared" si="8"/>
        <v>0</v>
      </c>
      <c r="N48" s="52">
        <f t="shared" si="8"/>
        <v>0</v>
      </c>
      <c r="O48" s="52">
        <f t="shared" si="8"/>
        <v>14043000</v>
      </c>
      <c r="P48" s="255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</row>
    <row r="49" spans="1:35" ht="22.5" customHeight="1">
      <c r="A49" s="25"/>
      <c r="B49" s="25"/>
      <c r="C49" s="13" t="s">
        <v>416</v>
      </c>
      <c r="D49" s="52">
        <f aca="true" t="shared" si="9" ref="D49:O49">D50+D53</f>
        <v>14043000</v>
      </c>
      <c r="E49" s="52">
        <f t="shared" si="9"/>
        <v>14043000</v>
      </c>
      <c r="F49" s="52">
        <f t="shared" si="9"/>
        <v>0</v>
      </c>
      <c r="G49" s="52">
        <f t="shared" si="9"/>
        <v>0</v>
      </c>
      <c r="H49" s="52">
        <f t="shared" si="9"/>
        <v>0</v>
      </c>
      <c r="I49" s="52">
        <f t="shared" si="9"/>
        <v>0</v>
      </c>
      <c r="J49" s="52">
        <f t="shared" si="9"/>
        <v>0</v>
      </c>
      <c r="K49" s="52">
        <f t="shared" si="9"/>
        <v>0</v>
      </c>
      <c r="L49" s="52">
        <f t="shared" si="9"/>
        <v>0</v>
      </c>
      <c r="M49" s="52">
        <f t="shared" si="9"/>
        <v>0</v>
      </c>
      <c r="N49" s="52">
        <f t="shared" si="9"/>
        <v>0</v>
      </c>
      <c r="O49" s="52">
        <f t="shared" si="9"/>
        <v>14043000</v>
      </c>
      <c r="P49" s="255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</row>
    <row r="50" spans="1:35" s="8" customFormat="1" ht="36.75" customHeight="1">
      <c r="A50" s="26">
        <v>2144</v>
      </c>
      <c r="B50" s="7" t="s">
        <v>103</v>
      </c>
      <c r="C50" s="46" t="s">
        <v>193</v>
      </c>
      <c r="D50" s="53">
        <f>'дод. 2'!E102</f>
        <v>7131500</v>
      </c>
      <c r="E50" s="53">
        <f>'дод. 2'!F102</f>
        <v>7131500</v>
      </c>
      <c r="F50" s="53">
        <f>'дод. 2'!G102</f>
        <v>0</v>
      </c>
      <c r="G50" s="53">
        <f>'дод. 2'!H102</f>
        <v>0</v>
      </c>
      <c r="H50" s="53">
        <f>'дод. 2'!I102</f>
        <v>0</v>
      </c>
      <c r="I50" s="53">
        <f>'дод. 2'!J102</f>
        <v>0</v>
      </c>
      <c r="J50" s="53">
        <f>'дод. 2'!K102</f>
        <v>0</v>
      </c>
      <c r="K50" s="53">
        <f>'дод. 2'!L102</f>
        <v>0</v>
      </c>
      <c r="L50" s="53">
        <f>'дод. 2'!M102</f>
        <v>0</v>
      </c>
      <c r="M50" s="53">
        <f>'дод. 2'!N102</f>
        <v>0</v>
      </c>
      <c r="N50" s="53">
        <f>'дод. 2'!O102</f>
        <v>0</v>
      </c>
      <c r="O50" s="53">
        <f>'дод. 2'!P102</f>
        <v>7131500</v>
      </c>
      <c r="P50" s="25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</row>
    <row r="51" spans="1:35" s="8" customFormat="1" ht="24.75" customHeight="1">
      <c r="A51" s="26"/>
      <c r="B51" s="7"/>
      <c r="C51" s="14" t="s">
        <v>416</v>
      </c>
      <c r="D51" s="53">
        <f>'дод. 2'!E103</f>
        <v>7131500</v>
      </c>
      <c r="E51" s="53">
        <f>'дод. 2'!F103</f>
        <v>7131500</v>
      </c>
      <c r="F51" s="53">
        <f>'дод. 2'!G103</f>
        <v>0</v>
      </c>
      <c r="G51" s="53">
        <f>'дод. 2'!H103</f>
        <v>0</v>
      </c>
      <c r="H51" s="53">
        <f>'дод. 2'!I103</f>
        <v>0</v>
      </c>
      <c r="I51" s="53">
        <f>'дод. 2'!J103</f>
        <v>0</v>
      </c>
      <c r="J51" s="53">
        <f>'дод. 2'!K103</f>
        <v>0</v>
      </c>
      <c r="K51" s="53">
        <f>'дод. 2'!L103</f>
        <v>0</v>
      </c>
      <c r="L51" s="53">
        <f>'дод. 2'!M103</f>
        <v>0</v>
      </c>
      <c r="M51" s="53">
        <f>'дод. 2'!N103</f>
        <v>0</v>
      </c>
      <c r="N51" s="53">
        <f>'дод. 2'!O103</f>
        <v>0</v>
      </c>
      <c r="O51" s="53">
        <f>'дод. 2'!P103</f>
        <v>7131500</v>
      </c>
      <c r="P51" s="25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</row>
    <row r="52" spans="1:35" s="8" customFormat="1" ht="32.25" customHeight="1">
      <c r="A52" s="26">
        <v>2146</v>
      </c>
      <c r="B52" s="7" t="s">
        <v>103</v>
      </c>
      <c r="C52" s="46" t="s">
        <v>515</v>
      </c>
      <c r="D52" s="53">
        <f>'дод. 2'!E104</f>
        <v>6911500</v>
      </c>
      <c r="E52" s="53">
        <f>'дод. 2'!F104</f>
        <v>6911500</v>
      </c>
      <c r="F52" s="53">
        <f>'дод. 2'!G104</f>
        <v>0</v>
      </c>
      <c r="G52" s="53">
        <f>'дод. 2'!H104</f>
        <v>0</v>
      </c>
      <c r="H52" s="53">
        <f>'дод. 2'!I104</f>
        <v>0</v>
      </c>
      <c r="I52" s="53">
        <f>'дод. 2'!J104</f>
        <v>0</v>
      </c>
      <c r="J52" s="53">
        <f>'дод. 2'!K104</f>
        <v>0</v>
      </c>
      <c r="K52" s="53">
        <f>'дод. 2'!L104</f>
        <v>0</v>
      </c>
      <c r="L52" s="53">
        <f>'дод. 2'!M104</f>
        <v>0</v>
      </c>
      <c r="M52" s="53">
        <f>'дод. 2'!N104</f>
        <v>0</v>
      </c>
      <c r="N52" s="53">
        <f>'дод. 2'!O104</f>
        <v>0</v>
      </c>
      <c r="O52" s="53">
        <f>'дод. 2'!P104</f>
        <v>6911500</v>
      </c>
      <c r="P52" s="25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</row>
    <row r="53" spans="1:35" s="8" customFormat="1" ht="24.75" customHeight="1">
      <c r="A53" s="26"/>
      <c r="B53" s="7"/>
      <c r="C53" s="14" t="s">
        <v>416</v>
      </c>
      <c r="D53" s="53">
        <f>'дод. 2'!E105</f>
        <v>6911500</v>
      </c>
      <c r="E53" s="53">
        <f>'дод. 2'!F105</f>
        <v>6911500</v>
      </c>
      <c r="F53" s="53">
        <f>'дод. 2'!G105</f>
        <v>0</v>
      </c>
      <c r="G53" s="53">
        <f>'дод. 2'!H105</f>
        <v>0</v>
      </c>
      <c r="H53" s="53">
        <f>'дод. 2'!I105</f>
        <v>0</v>
      </c>
      <c r="I53" s="53">
        <f>'дод. 2'!J105</f>
        <v>0</v>
      </c>
      <c r="J53" s="53">
        <f>'дод. 2'!K105</f>
        <v>0</v>
      </c>
      <c r="K53" s="53">
        <f>'дод. 2'!L105</f>
        <v>0</v>
      </c>
      <c r="L53" s="53">
        <f>'дод. 2'!M105</f>
        <v>0</v>
      </c>
      <c r="M53" s="53">
        <f>'дод. 2'!N105</f>
        <v>0</v>
      </c>
      <c r="N53" s="53">
        <f>'дод. 2'!O105</f>
        <v>0</v>
      </c>
      <c r="O53" s="53">
        <f>'дод. 2'!P105</f>
        <v>6911500</v>
      </c>
      <c r="P53" s="25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</row>
    <row r="54" spans="1:35" ht="35.25" customHeight="1">
      <c r="A54" s="5" t="s">
        <v>194</v>
      </c>
      <c r="B54" s="5"/>
      <c r="C54" s="18" t="s">
        <v>359</v>
      </c>
      <c r="D54" s="52">
        <f>D56+D58</f>
        <v>3933944</v>
      </c>
      <c r="E54" s="52">
        <f aca="true" t="shared" si="10" ref="E54:O54">E56+E58</f>
        <v>3933944</v>
      </c>
      <c r="F54" s="52">
        <f t="shared" si="10"/>
        <v>0</v>
      </c>
      <c r="G54" s="52">
        <f t="shared" si="10"/>
        <v>0</v>
      </c>
      <c r="H54" s="52">
        <f t="shared" si="10"/>
        <v>0</v>
      </c>
      <c r="I54" s="52">
        <f t="shared" si="10"/>
        <v>0</v>
      </c>
      <c r="J54" s="52">
        <f t="shared" si="10"/>
        <v>0</v>
      </c>
      <c r="K54" s="52">
        <f t="shared" si="10"/>
        <v>0</v>
      </c>
      <c r="L54" s="52">
        <f t="shared" si="10"/>
        <v>0</v>
      </c>
      <c r="M54" s="52">
        <f t="shared" si="10"/>
        <v>0</v>
      </c>
      <c r="N54" s="52">
        <f t="shared" si="10"/>
        <v>0</v>
      </c>
      <c r="O54" s="52">
        <f t="shared" si="10"/>
        <v>3933944</v>
      </c>
      <c r="P54" s="255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</row>
    <row r="55" spans="2:35" ht="21.75" customHeight="1">
      <c r="B55" s="5"/>
      <c r="C55" s="13" t="s">
        <v>416</v>
      </c>
      <c r="D55" s="52">
        <f>D57+D59</f>
        <v>3897166</v>
      </c>
      <c r="E55" s="52">
        <f aca="true" t="shared" si="11" ref="E55:O55">E57+E59</f>
        <v>3897166</v>
      </c>
      <c r="F55" s="52">
        <f t="shared" si="11"/>
        <v>0</v>
      </c>
      <c r="G55" s="52">
        <f t="shared" si="11"/>
        <v>0</v>
      </c>
      <c r="H55" s="52">
        <f t="shared" si="11"/>
        <v>0</v>
      </c>
      <c r="I55" s="52">
        <f t="shared" si="11"/>
        <v>0</v>
      </c>
      <c r="J55" s="52">
        <f t="shared" si="11"/>
        <v>0</v>
      </c>
      <c r="K55" s="52">
        <f t="shared" si="11"/>
        <v>0</v>
      </c>
      <c r="L55" s="52">
        <f t="shared" si="11"/>
        <v>0</v>
      </c>
      <c r="M55" s="52">
        <f t="shared" si="11"/>
        <v>0</v>
      </c>
      <c r="N55" s="52">
        <f t="shared" si="11"/>
        <v>0</v>
      </c>
      <c r="O55" s="52">
        <f t="shared" si="11"/>
        <v>3897166</v>
      </c>
      <c r="P55" s="255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</row>
    <row r="56" spans="1:35" s="8" customFormat="1" ht="37.5" customHeight="1">
      <c r="A56" s="7" t="s">
        <v>448</v>
      </c>
      <c r="B56" s="7" t="s">
        <v>103</v>
      </c>
      <c r="C56" s="14" t="s">
        <v>450</v>
      </c>
      <c r="D56" s="53">
        <f>'дод. 2'!E108</f>
        <v>1975455</v>
      </c>
      <c r="E56" s="53">
        <f>'дод. 2'!F108</f>
        <v>1975455</v>
      </c>
      <c r="F56" s="53">
        <f>'дод. 2'!G108</f>
        <v>0</v>
      </c>
      <c r="G56" s="53">
        <f>'дод. 2'!H108</f>
        <v>0</v>
      </c>
      <c r="H56" s="53">
        <f>'дод. 2'!I108</f>
        <v>0</v>
      </c>
      <c r="I56" s="53">
        <f>'дод. 2'!J108</f>
        <v>0</v>
      </c>
      <c r="J56" s="53">
        <f>'дод. 2'!K108</f>
        <v>0</v>
      </c>
      <c r="K56" s="53">
        <f>'дод. 2'!L108</f>
        <v>0</v>
      </c>
      <c r="L56" s="53">
        <f>'дод. 2'!M108</f>
        <v>0</v>
      </c>
      <c r="M56" s="53">
        <f>'дод. 2'!N108</f>
        <v>0</v>
      </c>
      <c r="N56" s="53">
        <f>'дод. 2'!O108</f>
        <v>0</v>
      </c>
      <c r="O56" s="53">
        <f>'дод. 2'!P108</f>
        <v>1975455</v>
      </c>
      <c r="P56" s="255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</row>
    <row r="57" spans="1:35" s="8" customFormat="1" ht="21.75" customHeight="1">
      <c r="A57" s="7"/>
      <c r="B57" s="7"/>
      <c r="C57" s="14" t="s">
        <v>416</v>
      </c>
      <c r="D57" s="53">
        <f>'дод. 2'!E109</f>
        <v>1938677</v>
      </c>
      <c r="E57" s="53">
        <f>'дод. 2'!F109</f>
        <v>1938677</v>
      </c>
      <c r="F57" s="53">
        <f>'дод. 2'!G109</f>
        <v>0</v>
      </c>
      <c r="G57" s="53">
        <f>'дод. 2'!H109</f>
        <v>0</v>
      </c>
      <c r="H57" s="53">
        <f>'дод. 2'!I109</f>
        <v>0</v>
      </c>
      <c r="I57" s="53">
        <f>'дод. 2'!J109</f>
        <v>0</v>
      </c>
      <c r="J57" s="53">
        <f>'дод. 2'!K109</f>
        <v>0</v>
      </c>
      <c r="K57" s="53">
        <f>'дод. 2'!L109</f>
        <v>0</v>
      </c>
      <c r="L57" s="53">
        <f>'дод. 2'!M109</f>
        <v>0</v>
      </c>
      <c r="M57" s="53">
        <f>'дод. 2'!N109</f>
        <v>0</v>
      </c>
      <c r="N57" s="53">
        <f>'дод. 2'!O109</f>
        <v>0</v>
      </c>
      <c r="O57" s="53">
        <f>'дод. 2'!P109</f>
        <v>1938677</v>
      </c>
      <c r="P57" s="255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</row>
    <row r="58" spans="1:35" s="8" customFormat="1" ht="21.75" customHeight="1">
      <c r="A58" s="7" t="s">
        <v>449</v>
      </c>
      <c r="B58" s="7" t="s">
        <v>103</v>
      </c>
      <c r="C58" s="14" t="s">
        <v>451</v>
      </c>
      <c r="D58" s="53">
        <f>'дод. 2'!E110</f>
        <v>1958489</v>
      </c>
      <c r="E58" s="53">
        <f>'дод. 2'!F110</f>
        <v>1958489</v>
      </c>
      <c r="F58" s="53">
        <f>'дод. 2'!G110</f>
        <v>0</v>
      </c>
      <c r="G58" s="53">
        <f>'дод. 2'!H110</f>
        <v>0</v>
      </c>
      <c r="H58" s="53">
        <f>'дод. 2'!I110</f>
        <v>0</v>
      </c>
      <c r="I58" s="53">
        <f>'дод. 2'!J110</f>
        <v>0</v>
      </c>
      <c r="J58" s="53">
        <f>'дод. 2'!K110</f>
        <v>0</v>
      </c>
      <c r="K58" s="53">
        <f>'дод. 2'!L110</f>
        <v>0</v>
      </c>
      <c r="L58" s="53">
        <f>'дод. 2'!M110</f>
        <v>0</v>
      </c>
      <c r="M58" s="53">
        <f>'дод. 2'!N110</f>
        <v>0</v>
      </c>
      <c r="N58" s="53">
        <f>'дод. 2'!O110</f>
        <v>0</v>
      </c>
      <c r="O58" s="53">
        <f>'дод. 2'!P110</f>
        <v>1958489</v>
      </c>
      <c r="P58" s="255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</row>
    <row r="59" spans="1:35" s="8" customFormat="1" ht="21.75" customHeight="1">
      <c r="A59" s="7"/>
      <c r="B59" s="7"/>
      <c r="C59" s="14" t="s">
        <v>416</v>
      </c>
      <c r="D59" s="53">
        <f>'дод. 2'!E111</f>
        <v>1958489</v>
      </c>
      <c r="E59" s="53">
        <f>'дод. 2'!F111</f>
        <v>1958489</v>
      </c>
      <c r="F59" s="53">
        <f>'дод. 2'!G111</f>
        <v>0</v>
      </c>
      <c r="G59" s="53">
        <f>'дод. 2'!H111</f>
        <v>0</v>
      </c>
      <c r="H59" s="53">
        <f>'дод. 2'!I111</f>
        <v>0</v>
      </c>
      <c r="I59" s="53">
        <f>'дод. 2'!J111</f>
        <v>0</v>
      </c>
      <c r="J59" s="53">
        <f>'дод. 2'!K111</f>
        <v>0</v>
      </c>
      <c r="K59" s="53">
        <f>'дод. 2'!L111</f>
        <v>0</v>
      </c>
      <c r="L59" s="53">
        <f>'дод. 2'!M111</f>
        <v>0</v>
      </c>
      <c r="M59" s="53">
        <f>'дод. 2'!N111</f>
        <v>0</v>
      </c>
      <c r="N59" s="53">
        <f>'дод. 2'!O111</f>
        <v>0</v>
      </c>
      <c r="O59" s="53">
        <f>'дод. 2'!P111</f>
        <v>1958489</v>
      </c>
      <c r="P59" s="255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</row>
    <row r="60" spans="1:35" s="22" customFormat="1" ht="34.5" customHeight="1">
      <c r="A60" s="23" t="s">
        <v>104</v>
      </c>
      <c r="B60" s="11"/>
      <c r="C60" s="11" t="s">
        <v>105</v>
      </c>
      <c r="D60" s="56">
        <f aca="true" t="shared" si="12" ref="D60:O60">D74+D95+D109+D111+D113+D115+D117+D118+D122+D123+D126+D127+D130+D108+D119+D62+D68+D79+D96+D128</f>
        <v>1229652722</v>
      </c>
      <c r="E60" s="56">
        <f t="shared" si="12"/>
        <v>1229652722</v>
      </c>
      <c r="F60" s="56">
        <f t="shared" si="12"/>
        <v>11340882.1</v>
      </c>
      <c r="G60" s="56">
        <f t="shared" si="12"/>
        <v>1020453</v>
      </c>
      <c r="H60" s="56">
        <f t="shared" si="12"/>
        <v>0</v>
      </c>
      <c r="I60" s="56">
        <f t="shared" si="12"/>
        <v>685900</v>
      </c>
      <c r="J60" s="56">
        <f t="shared" si="12"/>
        <v>57900</v>
      </c>
      <c r="K60" s="56">
        <f t="shared" si="12"/>
        <v>44700</v>
      </c>
      <c r="L60" s="56">
        <f t="shared" si="12"/>
        <v>0</v>
      </c>
      <c r="M60" s="56">
        <f t="shared" si="12"/>
        <v>628000</v>
      </c>
      <c r="N60" s="56">
        <f t="shared" si="12"/>
        <v>628000</v>
      </c>
      <c r="O60" s="56">
        <f t="shared" si="12"/>
        <v>1230338622</v>
      </c>
      <c r="P60" s="255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</row>
    <row r="61" spans="1:35" s="22" customFormat="1" ht="21.75" customHeight="1">
      <c r="A61" s="23"/>
      <c r="B61" s="11"/>
      <c r="C61" s="11" t="s">
        <v>416</v>
      </c>
      <c r="D61" s="56">
        <f aca="true" t="shared" si="13" ref="D61:O61">D62+D68+D80+D97+D129</f>
        <v>1129786900</v>
      </c>
      <c r="E61" s="56">
        <f t="shared" si="13"/>
        <v>1129786900</v>
      </c>
      <c r="F61" s="56">
        <f t="shared" si="13"/>
        <v>0</v>
      </c>
      <c r="G61" s="56">
        <f t="shared" si="13"/>
        <v>0</v>
      </c>
      <c r="H61" s="56">
        <f t="shared" si="13"/>
        <v>0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56">
        <f t="shared" si="13"/>
        <v>0</v>
      </c>
      <c r="N61" s="56">
        <f t="shared" si="13"/>
        <v>0</v>
      </c>
      <c r="O61" s="56">
        <f t="shared" si="13"/>
        <v>1129786900</v>
      </c>
      <c r="P61" s="255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</row>
    <row r="62" spans="1:35" ht="67.5" customHeight="1">
      <c r="A62" s="5" t="s">
        <v>517</v>
      </c>
      <c r="B62" s="13"/>
      <c r="C62" s="13" t="s">
        <v>523</v>
      </c>
      <c r="D62" s="52">
        <f aca="true" t="shared" si="14" ref="D62:O62">D64+D66</f>
        <v>772232100</v>
      </c>
      <c r="E62" s="52">
        <f t="shared" si="14"/>
        <v>772232100</v>
      </c>
      <c r="F62" s="52">
        <f t="shared" si="14"/>
        <v>0</v>
      </c>
      <c r="G62" s="52">
        <f t="shared" si="14"/>
        <v>0</v>
      </c>
      <c r="H62" s="52">
        <f t="shared" si="14"/>
        <v>0</v>
      </c>
      <c r="I62" s="52">
        <f t="shared" si="14"/>
        <v>0</v>
      </c>
      <c r="J62" s="52">
        <f t="shared" si="14"/>
        <v>0</v>
      </c>
      <c r="K62" s="52">
        <f t="shared" si="14"/>
        <v>0</v>
      </c>
      <c r="L62" s="52">
        <f t="shared" si="14"/>
        <v>0</v>
      </c>
      <c r="M62" s="52">
        <f t="shared" si="14"/>
        <v>0</v>
      </c>
      <c r="N62" s="52">
        <f t="shared" si="14"/>
        <v>0</v>
      </c>
      <c r="O62" s="52">
        <f t="shared" si="14"/>
        <v>772232100</v>
      </c>
      <c r="P62" s="255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</row>
    <row r="63" spans="2:35" ht="21.75" customHeight="1">
      <c r="B63" s="13"/>
      <c r="C63" s="13" t="s">
        <v>416</v>
      </c>
      <c r="D63" s="52">
        <f aca="true" t="shared" si="15" ref="D63:O63">D65+D67</f>
        <v>772232100</v>
      </c>
      <c r="E63" s="52">
        <f t="shared" si="15"/>
        <v>772232100</v>
      </c>
      <c r="F63" s="52">
        <f t="shared" si="15"/>
        <v>0</v>
      </c>
      <c r="G63" s="52">
        <f t="shared" si="15"/>
        <v>0</v>
      </c>
      <c r="H63" s="52">
        <f t="shared" si="15"/>
        <v>0</v>
      </c>
      <c r="I63" s="52">
        <f t="shared" si="15"/>
        <v>0</v>
      </c>
      <c r="J63" s="52">
        <f t="shared" si="15"/>
        <v>0</v>
      </c>
      <c r="K63" s="52">
        <f t="shared" si="15"/>
        <v>0</v>
      </c>
      <c r="L63" s="52">
        <f t="shared" si="15"/>
        <v>0</v>
      </c>
      <c r="M63" s="52">
        <f t="shared" si="15"/>
        <v>0</v>
      </c>
      <c r="N63" s="52">
        <f t="shared" si="15"/>
        <v>0</v>
      </c>
      <c r="O63" s="52">
        <f t="shared" si="15"/>
        <v>772232100</v>
      </c>
      <c r="P63" s="255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</row>
    <row r="64" spans="1:35" s="8" customFormat="1" ht="49.5" customHeight="1">
      <c r="A64" s="7" t="s">
        <v>518</v>
      </c>
      <c r="B64" s="170">
        <v>1030</v>
      </c>
      <c r="C64" s="14" t="s">
        <v>524</v>
      </c>
      <c r="D64" s="53">
        <f>'дод. 2'!E119</f>
        <v>66261200</v>
      </c>
      <c r="E64" s="53">
        <f>'дод. 2'!F119</f>
        <v>66261200</v>
      </c>
      <c r="F64" s="53">
        <f>'дод. 2'!G119</f>
        <v>0</v>
      </c>
      <c r="G64" s="53">
        <f>'дод. 2'!H119</f>
        <v>0</v>
      </c>
      <c r="H64" s="53">
        <f>'дод. 2'!I119</f>
        <v>0</v>
      </c>
      <c r="I64" s="53">
        <f>'дод. 2'!J119</f>
        <v>0</v>
      </c>
      <c r="J64" s="53">
        <f>'дод. 2'!K119</f>
        <v>0</v>
      </c>
      <c r="K64" s="53">
        <f>'дод. 2'!L119</f>
        <v>0</v>
      </c>
      <c r="L64" s="53">
        <f>'дод. 2'!M119</f>
        <v>0</v>
      </c>
      <c r="M64" s="53">
        <f>'дод. 2'!N119</f>
        <v>0</v>
      </c>
      <c r="N64" s="53">
        <f>'дод. 2'!O119</f>
        <v>0</v>
      </c>
      <c r="O64" s="53">
        <f>'дод. 2'!P119</f>
        <v>66261200</v>
      </c>
      <c r="P64" s="25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</row>
    <row r="65" spans="1:35" s="8" customFormat="1" ht="21.75" customHeight="1">
      <c r="A65" s="7"/>
      <c r="B65" s="170"/>
      <c r="C65" s="14" t="s">
        <v>416</v>
      </c>
      <c r="D65" s="53">
        <f>'дод. 2'!E120</f>
        <v>66261200</v>
      </c>
      <c r="E65" s="53">
        <f>'дод. 2'!F120</f>
        <v>66261200</v>
      </c>
      <c r="F65" s="53">
        <f>'дод. 2'!G120</f>
        <v>0</v>
      </c>
      <c r="G65" s="53">
        <f>'дод. 2'!H120</f>
        <v>0</v>
      </c>
      <c r="H65" s="53">
        <f>'дод. 2'!I120</f>
        <v>0</v>
      </c>
      <c r="I65" s="53">
        <f>'дод. 2'!J120</f>
        <v>0</v>
      </c>
      <c r="J65" s="53">
        <f>'дод. 2'!K120</f>
        <v>0</v>
      </c>
      <c r="K65" s="53">
        <f>'дод. 2'!L120</f>
        <v>0</v>
      </c>
      <c r="L65" s="53">
        <f>'дод. 2'!M120</f>
        <v>0</v>
      </c>
      <c r="M65" s="53">
        <f>'дод. 2'!N120</f>
        <v>0</v>
      </c>
      <c r="N65" s="53">
        <f>'дод. 2'!O120</f>
        <v>0</v>
      </c>
      <c r="O65" s="53">
        <f>'дод. 2'!P120</f>
        <v>66261200</v>
      </c>
      <c r="P65" s="25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</row>
    <row r="66" spans="1:35" s="8" customFormat="1" ht="33" customHeight="1">
      <c r="A66" s="7" t="s">
        <v>519</v>
      </c>
      <c r="B66" s="170">
        <v>1060</v>
      </c>
      <c r="C66" s="14" t="s">
        <v>525</v>
      </c>
      <c r="D66" s="53">
        <f>'дод. 2'!E121</f>
        <v>705970900</v>
      </c>
      <c r="E66" s="53">
        <f>'дод. 2'!F121</f>
        <v>705970900</v>
      </c>
      <c r="F66" s="53">
        <f>'дод. 2'!G121</f>
        <v>0</v>
      </c>
      <c r="G66" s="53">
        <f>'дод. 2'!H121</f>
        <v>0</v>
      </c>
      <c r="H66" s="53">
        <f>'дод. 2'!I121</f>
        <v>0</v>
      </c>
      <c r="I66" s="53">
        <f>'дод. 2'!J121</f>
        <v>0</v>
      </c>
      <c r="J66" s="53">
        <f>'дод. 2'!K121</f>
        <v>0</v>
      </c>
      <c r="K66" s="53">
        <f>'дод. 2'!L121</f>
        <v>0</v>
      </c>
      <c r="L66" s="53">
        <f>'дод. 2'!M121</f>
        <v>0</v>
      </c>
      <c r="M66" s="53">
        <f>'дод. 2'!N121</f>
        <v>0</v>
      </c>
      <c r="N66" s="53">
        <f>'дод. 2'!O121</f>
        <v>0</v>
      </c>
      <c r="O66" s="53">
        <f>'дод. 2'!P121</f>
        <v>705970900</v>
      </c>
      <c r="P66" s="25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</row>
    <row r="67" spans="1:35" s="8" customFormat="1" ht="21.75" customHeight="1">
      <c r="A67" s="7"/>
      <c r="B67" s="14"/>
      <c r="C67" s="14" t="s">
        <v>416</v>
      </c>
      <c r="D67" s="53">
        <f>'дод. 2'!E122</f>
        <v>705970900</v>
      </c>
      <c r="E67" s="53">
        <f>'дод. 2'!F122</f>
        <v>705970900</v>
      </c>
      <c r="F67" s="53">
        <f>'дод. 2'!G122</f>
        <v>0</v>
      </c>
      <c r="G67" s="53">
        <f>'дод. 2'!H122</f>
        <v>0</v>
      </c>
      <c r="H67" s="53">
        <f>'дод. 2'!I122</f>
        <v>0</v>
      </c>
      <c r="I67" s="53">
        <f>'дод. 2'!J122</f>
        <v>0</v>
      </c>
      <c r="J67" s="53">
        <f>'дод. 2'!K122</f>
        <v>0</v>
      </c>
      <c r="K67" s="53">
        <f>'дод. 2'!L122</f>
        <v>0</v>
      </c>
      <c r="L67" s="53">
        <f>'дод. 2'!M122</f>
        <v>0</v>
      </c>
      <c r="M67" s="53">
        <f>'дод. 2'!N122</f>
        <v>0</v>
      </c>
      <c r="N67" s="53">
        <f>'дод. 2'!O122</f>
        <v>0</v>
      </c>
      <c r="O67" s="53">
        <f>'дод. 2'!P122</f>
        <v>705970900</v>
      </c>
      <c r="P67" s="25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</row>
    <row r="68" spans="1:35" ht="52.5" customHeight="1">
      <c r="A68" s="5" t="s">
        <v>520</v>
      </c>
      <c r="B68" s="13"/>
      <c r="C68" s="13" t="s">
        <v>526</v>
      </c>
      <c r="D68" s="52">
        <f aca="true" t="shared" si="16" ref="D68:O68">D70+D72</f>
        <v>375400</v>
      </c>
      <c r="E68" s="52">
        <f t="shared" si="16"/>
        <v>375400</v>
      </c>
      <c r="F68" s="52">
        <f t="shared" si="16"/>
        <v>0</v>
      </c>
      <c r="G68" s="52">
        <f t="shared" si="16"/>
        <v>0</v>
      </c>
      <c r="H68" s="52">
        <f t="shared" si="16"/>
        <v>0</v>
      </c>
      <c r="I68" s="52">
        <f t="shared" si="16"/>
        <v>0</v>
      </c>
      <c r="J68" s="52">
        <f t="shared" si="16"/>
        <v>0</v>
      </c>
      <c r="K68" s="52">
        <f t="shared" si="16"/>
        <v>0</v>
      </c>
      <c r="L68" s="52">
        <f t="shared" si="16"/>
        <v>0</v>
      </c>
      <c r="M68" s="52">
        <f t="shared" si="16"/>
        <v>0</v>
      </c>
      <c r="N68" s="52">
        <f t="shared" si="16"/>
        <v>0</v>
      </c>
      <c r="O68" s="52">
        <f t="shared" si="16"/>
        <v>375400</v>
      </c>
      <c r="P68" s="255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</row>
    <row r="69" spans="2:35" ht="21.75" customHeight="1">
      <c r="B69" s="13"/>
      <c r="C69" s="13" t="s">
        <v>416</v>
      </c>
      <c r="D69" s="52">
        <f aca="true" t="shared" si="17" ref="D69:O69">D71+D73</f>
        <v>375400</v>
      </c>
      <c r="E69" s="52">
        <f t="shared" si="17"/>
        <v>375400</v>
      </c>
      <c r="F69" s="52">
        <f t="shared" si="17"/>
        <v>0</v>
      </c>
      <c r="G69" s="52">
        <f t="shared" si="17"/>
        <v>0</v>
      </c>
      <c r="H69" s="52">
        <f t="shared" si="17"/>
        <v>0</v>
      </c>
      <c r="I69" s="52">
        <f t="shared" si="17"/>
        <v>0</v>
      </c>
      <c r="J69" s="52">
        <f t="shared" si="17"/>
        <v>0</v>
      </c>
      <c r="K69" s="52">
        <f t="shared" si="17"/>
        <v>0</v>
      </c>
      <c r="L69" s="52">
        <f t="shared" si="17"/>
        <v>0</v>
      </c>
      <c r="M69" s="52">
        <f t="shared" si="17"/>
        <v>0</v>
      </c>
      <c r="N69" s="52">
        <f t="shared" si="17"/>
        <v>0</v>
      </c>
      <c r="O69" s="52">
        <f t="shared" si="17"/>
        <v>375400</v>
      </c>
      <c r="P69" s="255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</row>
    <row r="70" spans="1:35" s="8" customFormat="1" ht="64.5" customHeight="1">
      <c r="A70" s="7" t="s">
        <v>521</v>
      </c>
      <c r="B70" s="170">
        <v>1030</v>
      </c>
      <c r="C70" s="14" t="s">
        <v>527</v>
      </c>
      <c r="D70" s="53">
        <f>'дод. 2'!E125</f>
        <v>57630</v>
      </c>
      <c r="E70" s="53">
        <f>'дод. 2'!F125</f>
        <v>57630</v>
      </c>
      <c r="F70" s="53">
        <f>'дод. 2'!G125</f>
        <v>0</v>
      </c>
      <c r="G70" s="53">
        <f>'дод. 2'!H125</f>
        <v>0</v>
      </c>
      <c r="H70" s="53">
        <f>'дод. 2'!I125</f>
        <v>0</v>
      </c>
      <c r="I70" s="53">
        <f>'дод. 2'!J125</f>
        <v>0</v>
      </c>
      <c r="J70" s="53">
        <f>'дод. 2'!K125</f>
        <v>0</v>
      </c>
      <c r="K70" s="53">
        <f>'дод. 2'!L125</f>
        <v>0</v>
      </c>
      <c r="L70" s="53">
        <f>'дод. 2'!M125</f>
        <v>0</v>
      </c>
      <c r="M70" s="53">
        <f>'дод. 2'!N125</f>
        <v>0</v>
      </c>
      <c r="N70" s="53">
        <f>'дод. 2'!O125</f>
        <v>0</v>
      </c>
      <c r="O70" s="53">
        <f>'дод. 2'!P125</f>
        <v>57630</v>
      </c>
      <c r="P70" s="25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</row>
    <row r="71" spans="1:35" s="8" customFormat="1" ht="21.75" customHeight="1">
      <c r="A71" s="7"/>
      <c r="B71" s="14"/>
      <c r="C71" s="14" t="s">
        <v>416</v>
      </c>
      <c r="D71" s="53">
        <f>'дод. 2'!E126</f>
        <v>57630</v>
      </c>
      <c r="E71" s="53">
        <f>'дод. 2'!F126</f>
        <v>57630</v>
      </c>
      <c r="F71" s="53">
        <f>'дод. 2'!G126</f>
        <v>0</v>
      </c>
      <c r="G71" s="53">
        <f>'дод. 2'!H126</f>
        <v>0</v>
      </c>
      <c r="H71" s="53">
        <f>'дод. 2'!I126</f>
        <v>0</v>
      </c>
      <c r="I71" s="53">
        <f>'дод. 2'!J126</f>
        <v>0</v>
      </c>
      <c r="J71" s="53">
        <f>'дод. 2'!K126</f>
        <v>0</v>
      </c>
      <c r="K71" s="53">
        <f>'дод. 2'!L126</f>
        <v>0</v>
      </c>
      <c r="L71" s="53">
        <f>'дод. 2'!M126</f>
        <v>0</v>
      </c>
      <c r="M71" s="53">
        <f>'дод. 2'!N126</f>
        <v>0</v>
      </c>
      <c r="N71" s="53">
        <f>'дод. 2'!O126</f>
        <v>0</v>
      </c>
      <c r="O71" s="53">
        <f>'дод. 2'!P126</f>
        <v>57630</v>
      </c>
      <c r="P71" s="25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</row>
    <row r="72" spans="1:35" s="8" customFormat="1" ht="55.5" customHeight="1">
      <c r="A72" s="7" t="s">
        <v>522</v>
      </c>
      <c r="B72" s="170">
        <v>1060</v>
      </c>
      <c r="C72" s="14" t="s">
        <v>528</v>
      </c>
      <c r="D72" s="53">
        <f>'дод. 2'!E127</f>
        <v>317770</v>
      </c>
      <c r="E72" s="53">
        <f>'дод. 2'!F127</f>
        <v>317770</v>
      </c>
      <c r="F72" s="53">
        <f>'дод. 2'!G127</f>
        <v>0</v>
      </c>
      <c r="G72" s="53">
        <f>'дод. 2'!H127</f>
        <v>0</v>
      </c>
      <c r="H72" s="53">
        <f>'дод. 2'!I127</f>
        <v>0</v>
      </c>
      <c r="I72" s="53">
        <f>'дод. 2'!J127</f>
        <v>0</v>
      </c>
      <c r="J72" s="53">
        <f>'дод. 2'!K127</f>
        <v>0</v>
      </c>
      <c r="K72" s="53">
        <f>'дод. 2'!L127</f>
        <v>0</v>
      </c>
      <c r="L72" s="53">
        <f>'дод. 2'!M127</f>
        <v>0</v>
      </c>
      <c r="M72" s="53">
        <f>'дод. 2'!N127</f>
        <v>0</v>
      </c>
      <c r="N72" s="53">
        <f>'дод. 2'!O127</f>
        <v>0</v>
      </c>
      <c r="O72" s="53">
        <f>'дод. 2'!P127</f>
        <v>317770</v>
      </c>
      <c r="P72" s="255">
        <v>26</v>
      </c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</row>
    <row r="73" spans="1:35" s="8" customFormat="1" ht="21.75" customHeight="1">
      <c r="A73" s="7"/>
      <c r="B73" s="14"/>
      <c r="C73" s="14" t="s">
        <v>416</v>
      </c>
      <c r="D73" s="53">
        <f>'дод. 2'!E128</f>
        <v>317770</v>
      </c>
      <c r="E73" s="53">
        <f>'дод. 2'!F128</f>
        <v>317770</v>
      </c>
      <c r="F73" s="53">
        <f>'дод. 2'!G128</f>
        <v>0</v>
      </c>
      <c r="G73" s="53">
        <f>'дод. 2'!H128</f>
        <v>0</v>
      </c>
      <c r="H73" s="53">
        <f>'дод. 2'!I128</f>
        <v>0</v>
      </c>
      <c r="I73" s="53">
        <f>'дод. 2'!J128</f>
        <v>0</v>
      </c>
      <c r="J73" s="53">
        <f>'дод. 2'!K128</f>
        <v>0</v>
      </c>
      <c r="K73" s="53">
        <f>'дод. 2'!L128</f>
        <v>0</v>
      </c>
      <c r="L73" s="53">
        <f>'дод. 2'!M128</f>
        <v>0</v>
      </c>
      <c r="M73" s="53">
        <f>'дод. 2'!N128</f>
        <v>0</v>
      </c>
      <c r="N73" s="53">
        <f>'дод. 2'!O128</f>
        <v>0</v>
      </c>
      <c r="O73" s="53">
        <f>'дод. 2'!P128</f>
        <v>317770</v>
      </c>
      <c r="P73" s="25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</row>
    <row r="74" spans="1:35" ht="63">
      <c r="A74" s="5" t="s">
        <v>145</v>
      </c>
      <c r="B74" s="32"/>
      <c r="C74" s="13" t="s">
        <v>195</v>
      </c>
      <c r="D74" s="52">
        <f>D75+D76+D77+D78</f>
        <v>38764126</v>
      </c>
      <c r="E74" s="52">
        <f aca="true" t="shared" si="18" ref="E74:O74">E75+E76+E77+E78</f>
        <v>38764126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214000</v>
      </c>
      <c r="J74" s="52">
        <f t="shared" si="18"/>
        <v>0</v>
      </c>
      <c r="K74" s="52">
        <f t="shared" si="18"/>
        <v>0</v>
      </c>
      <c r="L74" s="52">
        <f t="shared" si="18"/>
        <v>0</v>
      </c>
      <c r="M74" s="52">
        <f t="shared" si="18"/>
        <v>214000</v>
      </c>
      <c r="N74" s="52">
        <f t="shared" si="18"/>
        <v>214000</v>
      </c>
      <c r="O74" s="52">
        <f t="shared" si="18"/>
        <v>38978126</v>
      </c>
      <c r="P74" s="255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</row>
    <row r="75" spans="1:35" s="8" customFormat="1" ht="45" customHeight="1">
      <c r="A75" s="7" t="s">
        <v>146</v>
      </c>
      <c r="B75" s="7" t="s">
        <v>87</v>
      </c>
      <c r="C75" s="14" t="s">
        <v>196</v>
      </c>
      <c r="D75" s="53">
        <f>'дод. 2'!E130</f>
        <v>371502</v>
      </c>
      <c r="E75" s="53">
        <f>'дод. 2'!F130</f>
        <v>371502</v>
      </c>
      <c r="F75" s="53">
        <f>'дод. 2'!G130</f>
        <v>0</v>
      </c>
      <c r="G75" s="53">
        <f>'дод. 2'!H130</f>
        <v>0</v>
      </c>
      <c r="H75" s="53">
        <f>'дод. 2'!I130</f>
        <v>0</v>
      </c>
      <c r="I75" s="53">
        <f>'дод. 2'!J130</f>
        <v>214000</v>
      </c>
      <c r="J75" s="53">
        <f>'дод. 2'!K130</f>
        <v>0</v>
      </c>
      <c r="K75" s="53">
        <f>'дод. 2'!L130</f>
        <v>0</v>
      </c>
      <c r="L75" s="53">
        <f>'дод. 2'!M130</f>
        <v>0</v>
      </c>
      <c r="M75" s="53">
        <f>'дод. 2'!N130</f>
        <v>214000</v>
      </c>
      <c r="N75" s="53">
        <f>'дод. 2'!O130</f>
        <v>214000</v>
      </c>
      <c r="O75" s="53">
        <f>'дод. 2'!P130</f>
        <v>585502</v>
      </c>
      <c r="P75" s="255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</row>
    <row r="76" spans="1:35" s="8" customFormat="1" ht="32.25" customHeight="1">
      <c r="A76" s="7" t="s">
        <v>198</v>
      </c>
      <c r="B76" s="7" t="s">
        <v>89</v>
      </c>
      <c r="C76" s="14" t="s">
        <v>197</v>
      </c>
      <c r="D76" s="53">
        <f>'дод. 2'!E131</f>
        <v>1541402</v>
      </c>
      <c r="E76" s="53">
        <f>'дод. 2'!F131</f>
        <v>1541402</v>
      </c>
      <c r="F76" s="53">
        <f>'дод. 2'!G131</f>
        <v>0</v>
      </c>
      <c r="G76" s="53">
        <f>'дод. 2'!H131</f>
        <v>0</v>
      </c>
      <c r="H76" s="53">
        <f>'дод. 2'!I131</f>
        <v>0</v>
      </c>
      <c r="I76" s="53">
        <f>'дод. 2'!J131</f>
        <v>0</v>
      </c>
      <c r="J76" s="53">
        <f>'дод. 2'!K131</f>
        <v>0</v>
      </c>
      <c r="K76" s="53">
        <f>'дод. 2'!L131</f>
        <v>0</v>
      </c>
      <c r="L76" s="53">
        <f>'дод. 2'!M131</f>
        <v>0</v>
      </c>
      <c r="M76" s="53">
        <f>'дод. 2'!N131</f>
        <v>0</v>
      </c>
      <c r="N76" s="53">
        <f>'дод. 2'!O131</f>
        <v>0</v>
      </c>
      <c r="O76" s="53">
        <f>'дод. 2'!P131</f>
        <v>1541402</v>
      </c>
      <c r="P76" s="255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</row>
    <row r="77" spans="1:35" s="8" customFormat="1" ht="54.75" customHeight="1">
      <c r="A77" s="7" t="s">
        <v>147</v>
      </c>
      <c r="B77" s="7" t="s">
        <v>89</v>
      </c>
      <c r="C77" s="14" t="s">
        <v>74</v>
      </c>
      <c r="D77" s="53">
        <f>'дод. 2'!E132+'дод. 2'!E16</f>
        <v>9592796</v>
      </c>
      <c r="E77" s="53">
        <f>'дод. 2'!F132+'дод. 2'!F16</f>
        <v>9592796</v>
      </c>
      <c r="F77" s="53">
        <f>'дод. 2'!G132+'дод. 2'!G16</f>
        <v>0</v>
      </c>
      <c r="G77" s="53">
        <f>'дод. 2'!H132+'дод. 2'!H16</f>
        <v>0</v>
      </c>
      <c r="H77" s="53">
        <f>'дод. 2'!I132+'дод. 2'!I16</f>
        <v>0</v>
      </c>
      <c r="I77" s="53">
        <f>'дод. 2'!J132+'дод. 2'!J16</f>
        <v>0</v>
      </c>
      <c r="J77" s="53">
        <f>'дод. 2'!K132+'дод. 2'!K16</f>
        <v>0</v>
      </c>
      <c r="K77" s="53">
        <f>'дод. 2'!L132+'дод. 2'!L16</f>
        <v>0</v>
      </c>
      <c r="L77" s="53">
        <f>'дод. 2'!M132+'дод. 2'!M16</f>
        <v>0</v>
      </c>
      <c r="M77" s="53">
        <f>'дод. 2'!N132+'дод. 2'!N16</f>
        <v>0</v>
      </c>
      <c r="N77" s="53">
        <f>'дод. 2'!O132+'дод. 2'!O16</f>
        <v>0</v>
      </c>
      <c r="O77" s="53">
        <f>'дод. 2'!P132+'дод. 2'!P16</f>
        <v>9592796</v>
      </c>
      <c r="P77" s="255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</row>
    <row r="78" spans="1:35" s="8" customFormat="1" ht="43.5" customHeight="1">
      <c r="A78" s="7" t="s">
        <v>199</v>
      </c>
      <c r="B78" s="7" t="s">
        <v>89</v>
      </c>
      <c r="C78" s="14" t="s">
        <v>37</v>
      </c>
      <c r="D78" s="53">
        <f>'дод. 2'!E133+'дод. 2'!E17</f>
        <v>27258426</v>
      </c>
      <c r="E78" s="53">
        <f>'дод. 2'!F133+'дод. 2'!F17</f>
        <v>27258426</v>
      </c>
      <c r="F78" s="53">
        <f>'дод. 2'!G133+'дод. 2'!G17</f>
        <v>0</v>
      </c>
      <c r="G78" s="53">
        <f>'дод. 2'!H133+'дод. 2'!H17</f>
        <v>0</v>
      </c>
      <c r="H78" s="53">
        <f>'дод. 2'!I133+'дод. 2'!I17</f>
        <v>0</v>
      </c>
      <c r="I78" s="53">
        <f>'дод. 2'!J133+'дод. 2'!J17</f>
        <v>0</v>
      </c>
      <c r="J78" s="53">
        <f>'дод. 2'!K133+'дод. 2'!K17</f>
        <v>0</v>
      </c>
      <c r="K78" s="53">
        <f>'дод. 2'!L133+'дод. 2'!L17</f>
        <v>0</v>
      </c>
      <c r="L78" s="53">
        <f>'дод. 2'!M133+'дод. 2'!M17</f>
        <v>0</v>
      </c>
      <c r="M78" s="53">
        <f>'дод. 2'!N133+'дод. 2'!N17</f>
        <v>0</v>
      </c>
      <c r="N78" s="53">
        <f>'дод. 2'!O133+'дод. 2'!O17</f>
        <v>0</v>
      </c>
      <c r="O78" s="53">
        <f>'дод. 2'!P133+'дод. 2'!P17</f>
        <v>27258426</v>
      </c>
      <c r="P78" s="255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</row>
    <row r="79" spans="1:35" ht="39" customHeight="1">
      <c r="A79" s="5" t="s">
        <v>535</v>
      </c>
      <c r="B79" s="5"/>
      <c r="C79" s="13" t="s">
        <v>543</v>
      </c>
      <c r="D79" s="52">
        <f aca="true" t="shared" si="19" ref="D79:O79">D81+D83+D85+D87+D89+D91+D93</f>
        <v>257256180</v>
      </c>
      <c r="E79" s="52">
        <f t="shared" si="19"/>
        <v>257256180</v>
      </c>
      <c r="F79" s="52">
        <f t="shared" si="19"/>
        <v>0</v>
      </c>
      <c r="G79" s="52">
        <f t="shared" si="19"/>
        <v>0</v>
      </c>
      <c r="H79" s="52">
        <f t="shared" si="19"/>
        <v>0</v>
      </c>
      <c r="I79" s="52">
        <f t="shared" si="19"/>
        <v>0</v>
      </c>
      <c r="J79" s="52">
        <f t="shared" si="19"/>
        <v>0</v>
      </c>
      <c r="K79" s="52">
        <f t="shared" si="19"/>
        <v>0</v>
      </c>
      <c r="L79" s="52">
        <f t="shared" si="19"/>
        <v>0</v>
      </c>
      <c r="M79" s="52">
        <f t="shared" si="19"/>
        <v>0</v>
      </c>
      <c r="N79" s="52">
        <f t="shared" si="19"/>
        <v>0</v>
      </c>
      <c r="O79" s="52">
        <f t="shared" si="19"/>
        <v>257256180</v>
      </c>
      <c r="P79" s="255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</row>
    <row r="80" spans="2:35" ht="24" customHeight="1">
      <c r="B80" s="5"/>
      <c r="C80" s="13" t="s">
        <v>416</v>
      </c>
      <c r="D80" s="52">
        <f aca="true" t="shared" si="20" ref="D80:O80">D82+D84+D86+D88+D90+D92+D94</f>
        <v>257256180</v>
      </c>
      <c r="E80" s="52">
        <f t="shared" si="20"/>
        <v>257256180</v>
      </c>
      <c r="F80" s="52">
        <f t="shared" si="20"/>
        <v>0</v>
      </c>
      <c r="G80" s="52">
        <f t="shared" si="20"/>
        <v>0</v>
      </c>
      <c r="H80" s="52">
        <f t="shared" si="20"/>
        <v>0</v>
      </c>
      <c r="I80" s="52">
        <f t="shared" si="20"/>
        <v>0</v>
      </c>
      <c r="J80" s="52">
        <f t="shared" si="20"/>
        <v>0</v>
      </c>
      <c r="K80" s="52">
        <f t="shared" si="20"/>
        <v>0</v>
      </c>
      <c r="L80" s="52">
        <f t="shared" si="20"/>
        <v>0</v>
      </c>
      <c r="M80" s="52">
        <f t="shared" si="20"/>
        <v>0</v>
      </c>
      <c r="N80" s="52">
        <f t="shared" si="20"/>
        <v>0</v>
      </c>
      <c r="O80" s="52">
        <f t="shared" si="20"/>
        <v>257256180</v>
      </c>
      <c r="P80" s="255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</row>
    <row r="81" spans="1:35" s="8" customFormat="1" ht="27" customHeight="1">
      <c r="A81" s="7" t="s">
        <v>536</v>
      </c>
      <c r="B81" s="7" t="s">
        <v>148</v>
      </c>
      <c r="C81" s="14" t="s">
        <v>544</v>
      </c>
      <c r="D81" s="53">
        <f>'дод. 2'!E136</f>
        <v>3598320</v>
      </c>
      <c r="E81" s="53">
        <f>'дод. 2'!F136</f>
        <v>3598320</v>
      </c>
      <c r="F81" s="53">
        <f>'дод. 2'!G136</f>
        <v>0</v>
      </c>
      <c r="G81" s="53">
        <f>'дод. 2'!H136</f>
        <v>0</v>
      </c>
      <c r="H81" s="53">
        <f>'дод. 2'!I136</f>
        <v>0</v>
      </c>
      <c r="I81" s="53">
        <f>'дод. 2'!J136</f>
        <v>0</v>
      </c>
      <c r="J81" s="53">
        <f>'дод. 2'!K136</f>
        <v>0</v>
      </c>
      <c r="K81" s="53">
        <f>'дод. 2'!L136</f>
        <v>0</v>
      </c>
      <c r="L81" s="53">
        <f>'дод. 2'!M136</f>
        <v>0</v>
      </c>
      <c r="M81" s="53">
        <f>'дод. 2'!N136</f>
        <v>0</v>
      </c>
      <c r="N81" s="53">
        <f>'дод. 2'!O136</f>
        <v>0</v>
      </c>
      <c r="O81" s="53">
        <f>'дод. 2'!P136</f>
        <v>3598320</v>
      </c>
      <c r="P81" s="25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</row>
    <row r="82" spans="1:35" s="8" customFormat="1" ht="16.5" customHeight="1">
      <c r="A82" s="7"/>
      <c r="B82" s="7"/>
      <c r="C82" s="14" t="s">
        <v>416</v>
      </c>
      <c r="D82" s="53">
        <f>'дод. 2'!E137</f>
        <v>3598320</v>
      </c>
      <c r="E82" s="53">
        <f>'дод. 2'!F137</f>
        <v>3598320</v>
      </c>
      <c r="F82" s="53">
        <f>'дод. 2'!G137</f>
        <v>0</v>
      </c>
      <c r="G82" s="53">
        <f>'дод. 2'!H137</f>
        <v>0</v>
      </c>
      <c r="H82" s="53">
        <f>'дод. 2'!I137</f>
        <v>0</v>
      </c>
      <c r="I82" s="53">
        <f>'дод. 2'!J137</f>
        <v>0</v>
      </c>
      <c r="J82" s="53">
        <f>'дод. 2'!K137</f>
        <v>0</v>
      </c>
      <c r="K82" s="53">
        <f>'дод. 2'!L137</f>
        <v>0</v>
      </c>
      <c r="L82" s="53">
        <f>'дод. 2'!M137</f>
        <v>0</v>
      </c>
      <c r="M82" s="53">
        <f>'дод. 2'!N137</f>
        <v>0</v>
      </c>
      <c r="N82" s="53">
        <f>'дод. 2'!O137</f>
        <v>0</v>
      </c>
      <c r="O82" s="53">
        <f>'дод. 2'!P137</f>
        <v>3598320</v>
      </c>
      <c r="P82" s="25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</row>
    <row r="83" spans="1:35" s="8" customFormat="1" ht="27" customHeight="1">
      <c r="A83" s="7" t="s">
        <v>537</v>
      </c>
      <c r="B83" s="7" t="s">
        <v>148</v>
      </c>
      <c r="C83" s="14" t="s">
        <v>545</v>
      </c>
      <c r="D83" s="53">
        <f>'дод. 2'!E138</f>
        <v>392160</v>
      </c>
      <c r="E83" s="53">
        <f>'дод. 2'!F138</f>
        <v>392160</v>
      </c>
      <c r="F83" s="53">
        <f>'дод. 2'!G138</f>
        <v>0</v>
      </c>
      <c r="G83" s="53">
        <f>'дод. 2'!H138</f>
        <v>0</v>
      </c>
      <c r="H83" s="53">
        <f>'дод. 2'!I138</f>
        <v>0</v>
      </c>
      <c r="I83" s="53">
        <f>'дод. 2'!J138</f>
        <v>0</v>
      </c>
      <c r="J83" s="53">
        <f>'дод. 2'!K138</f>
        <v>0</v>
      </c>
      <c r="K83" s="53">
        <f>'дод. 2'!L138</f>
        <v>0</v>
      </c>
      <c r="L83" s="53">
        <f>'дод. 2'!M138</f>
        <v>0</v>
      </c>
      <c r="M83" s="53">
        <f>'дод. 2'!N138</f>
        <v>0</v>
      </c>
      <c r="N83" s="53">
        <f>'дод. 2'!O138</f>
        <v>0</v>
      </c>
      <c r="O83" s="53">
        <f>'дод. 2'!P138</f>
        <v>392160</v>
      </c>
      <c r="P83" s="25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</row>
    <row r="84" spans="1:35" s="8" customFormat="1" ht="15.75" customHeight="1">
      <c r="A84" s="7"/>
      <c r="B84" s="7"/>
      <c r="C84" s="14" t="s">
        <v>416</v>
      </c>
      <c r="D84" s="53">
        <f>'дод. 2'!E139</f>
        <v>392160</v>
      </c>
      <c r="E84" s="53">
        <f>'дод. 2'!F139</f>
        <v>392160</v>
      </c>
      <c r="F84" s="53">
        <f>'дод. 2'!G139</f>
        <v>0</v>
      </c>
      <c r="G84" s="53">
        <f>'дод. 2'!H139</f>
        <v>0</v>
      </c>
      <c r="H84" s="53">
        <f>'дод. 2'!I139</f>
        <v>0</v>
      </c>
      <c r="I84" s="53">
        <f>'дод. 2'!J139</f>
        <v>0</v>
      </c>
      <c r="J84" s="53">
        <f>'дод. 2'!K139</f>
        <v>0</v>
      </c>
      <c r="K84" s="53">
        <f>'дод. 2'!L139</f>
        <v>0</v>
      </c>
      <c r="L84" s="53">
        <f>'дод. 2'!M139</f>
        <v>0</v>
      </c>
      <c r="M84" s="53">
        <f>'дод. 2'!N139</f>
        <v>0</v>
      </c>
      <c r="N84" s="53">
        <f>'дод. 2'!O139</f>
        <v>0</v>
      </c>
      <c r="O84" s="53">
        <f>'дод. 2'!P139</f>
        <v>392160</v>
      </c>
      <c r="P84" s="25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</row>
    <row r="85" spans="1:35" s="8" customFormat="1" ht="27" customHeight="1">
      <c r="A85" s="7" t="s">
        <v>538</v>
      </c>
      <c r="B85" s="7" t="s">
        <v>148</v>
      </c>
      <c r="C85" s="14" t="s">
        <v>546</v>
      </c>
      <c r="D85" s="53">
        <f>'дод. 2'!E140</f>
        <v>134165700</v>
      </c>
      <c r="E85" s="53">
        <f>'дод. 2'!F140</f>
        <v>134165700</v>
      </c>
      <c r="F85" s="53">
        <f>'дод. 2'!G140</f>
        <v>0</v>
      </c>
      <c r="G85" s="53">
        <f>'дод. 2'!H140</f>
        <v>0</v>
      </c>
      <c r="H85" s="53">
        <f>'дод. 2'!I140</f>
        <v>0</v>
      </c>
      <c r="I85" s="53">
        <f>'дод. 2'!J140</f>
        <v>0</v>
      </c>
      <c r="J85" s="53">
        <f>'дод. 2'!K140</f>
        <v>0</v>
      </c>
      <c r="K85" s="53">
        <f>'дод. 2'!L140</f>
        <v>0</v>
      </c>
      <c r="L85" s="53">
        <f>'дод. 2'!M140</f>
        <v>0</v>
      </c>
      <c r="M85" s="53">
        <f>'дод. 2'!N140</f>
        <v>0</v>
      </c>
      <c r="N85" s="53">
        <f>'дод. 2'!O140</f>
        <v>0</v>
      </c>
      <c r="O85" s="53">
        <f>'дод. 2'!P140</f>
        <v>134165700</v>
      </c>
      <c r="P85" s="25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</row>
    <row r="86" spans="1:35" s="8" customFormat="1" ht="16.5" customHeight="1">
      <c r="A86" s="7"/>
      <c r="B86" s="7"/>
      <c r="C86" s="14" t="s">
        <v>416</v>
      </c>
      <c r="D86" s="53">
        <f>'дод. 2'!E141</f>
        <v>134165700</v>
      </c>
      <c r="E86" s="53">
        <f>'дод. 2'!F141</f>
        <v>134165700</v>
      </c>
      <c r="F86" s="53">
        <f>'дод. 2'!G141</f>
        <v>0</v>
      </c>
      <c r="G86" s="53">
        <f>'дод. 2'!H141</f>
        <v>0</v>
      </c>
      <c r="H86" s="53">
        <f>'дод. 2'!I141</f>
        <v>0</v>
      </c>
      <c r="I86" s="53">
        <f>'дод. 2'!J141</f>
        <v>0</v>
      </c>
      <c r="J86" s="53">
        <f>'дод. 2'!K141</f>
        <v>0</v>
      </c>
      <c r="K86" s="53">
        <f>'дод. 2'!L141</f>
        <v>0</v>
      </c>
      <c r="L86" s="53">
        <f>'дод. 2'!M141</f>
        <v>0</v>
      </c>
      <c r="M86" s="53">
        <f>'дод. 2'!N141</f>
        <v>0</v>
      </c>
      <c r="N86" s="53">
        <f>'дод. 2'!O141</f>
        <v>0</v>
      </c>
      <c r="O86" s="53">
        <f>'дод. 2'!P141</f>
        <v>134165700</v>
      </c>
      <c r="P86" s="25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</row>
    <row r="87" spans="1:35" s="8" customFormat="1" ht="36" customHeight="1">
      <c r="A87" s="7" t="s">
        <v>539</v>
      </c>
      <c r="B87" s="7" t="s">
        <v>148</v>
      </c>
      <c r="C87" s="14" t="s">
        <v>547</v>
      </c>
      <c r="D87" s="53">
        <f>'дод. 2'!E142</f>
        <v>10265200</v>
      </c>
      <c r="E87" s="53">
        <f>'дод. 2'!F142</f>
        <v>10265200</v>
      </c>
      <c r="F87" s="53">
        <f>'дод. 2'!G142</f>
        <v>0</v>
      </c>
      <c r="G87" s="53">
        <f>'дод. 2'!H142</f>
        <v>0</v>
      </c>
      <c r="H87" s="53">
        <f>'дод. 2'!I142</f>
        <v>0</v>
      </c>
      <c r="I87" s="53">
        <f>'дод. 2'!J142</f>
        <v>0</v>
      </c>
      <c r="J87" s="53">
        <f>'дод. 2'!K142</f>
        <v>0</v>
      </c>
      <c r="K87" s="53">
        <f>'дод. 2'!L142</f>
        <v>0</v>
      </c>
      <c r="L87" s="53">
        <f>'дод. 2'!M142</f>
        <v>0</v>
      </c>
      <c r="M87" s="53">
        <f>'дод. 2'!N142</f>
        <v>0</v>
      </c>
      <c r="N87" s="53">
        <f>'дод. 2'!O142</f>
        <v>0</v>
      </c>
      <c r="O87" s="53">
        <f>'дод. 2'!P142</f>
        <v>10265200</v>
      </c>
      <c r="P87" s="25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</row>
    <row r="88" spans="1:35" s="8" customFormat="1" ht="15" customHeight="1">
      <c r="A88" s="7"/>
      <c r="B88" s="7"/>
      <c r="C88" s="14" t="s">
        <v>416</v>
      </c>
      <c r="D88" s="53">
        <f>'дод. 2'!E143</f>
        <v>10265200</v>
      </c>
      <c r="E88" s="53">
        <f>'дод. 2'!F143</f>
        <v>10265200</v>
      </c>
      <c r="F88" s="53">
        <f>'дод. 2'!G143</f>
        <v>0</v>
      </c>
      <c r="G88" s="53">
        <f>'дод. 2'!H143</f>
        <v>0</v>
      </c>
      <c r="H88" s="53">
        <f>'дод. 2'!I143</f>
        <v>0</v>
      </c>
      <c r="I88" s="53">
        <f>'дод. 2'!J143</f>
        <v>0</v>
      </c>
      <c r="J88" s="53">
        <f>'дод. 2'!K143</f>
        <v>0</v>
      </c>
      <c r="K88" s="53">
        <f>'дод. 2'!L143</f>
        <v>0</v>
      </c>
      <c r="L88" s="53">
        <f>'дод. 2'!M143</f>
        <v>0</v>
      </c>
      <c r="M88" s="53">
        <f>'дод. 2'!N143</f>
        <v>0</v>
      </c>
      <c r="N88" s="53">
        <f>'дод. 2'!O143</f>
        <v>0</v>
      </c>
      <c r="O88" s="53">
        <f>'дод. 2'!P143</f>
        <v>10265200</v>
      </c>
      <c r="P88" s="25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</row>
    <row r="89" spans="1:35" s="8" customFormat="1" ht="27" customHeight="1">
      <c r="A89" s="7" t="s">
        <v>540</v>
      </c>
      <c r="B89" s="7" t="s">
        <v>148</v>
      </c>
      <c r="C89" s="14" t="s">
        <v>548</v>
      </c>
      <c r="D89" s="53">
        <f>'дод. 2'!E144</f>
        <v>50558840</v>
      </c>
      <c r="E89" s="53">
        <f>'дод. 2'!F144</f>
        <v>50558840</v>
      </c>
      <c r="F89" s="53">
        <f>'дод. 2'!G144</f>
        <v>0</v>
      </c>
      <c r="G89" s="53">
        <f>'дод. 2'!H144</f>
        <v>0</v>
      </c>
      <c r="H89" s="53">
        <f>'дод. 2'!I144</f>
        <v>0</v>
      </c>
      <c r="I89" s="53">
        <f>'дод. 2'!J144</f>
        <v>0</v>
      </c>
      <c r="J89" s="53">
        <f>'дод. 2'!K144</f>
        <v>0</v>
      </c>
      <c r="K89" s="53">
        <f>'дод. 2'!L144</f>
        <v>0</v>
      </c>
      <c r="L89" s="53">
        <f>'дод. 2'!M144</f>
        <v>0</v>
      </c>
      <c r="M89" s="53">
        <f>'дод. 2'!N144</f>
        <v>0</v>
      </c>
      <c r="N89" s="53">
        <f>'дод. 2'!O144</f>
        <v>0</v>
      </c>
      <c r="O89" s="53">
        <f>'дод. 2'!P144</f>
        <v>50558840</v>
      </c>
      <c r="P89" s="25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</row>
    <row r="90" spans="1:35" s="8" customFormat="1" ht="17.25" customHeight="1">
      <c r="A90" s="7"/>
      <c r="B90" s="7"/>
      <c r="C90" s="14" t="s">
        <v>416</v>
      </c>
      <c r="D90" s="53">
        <f>'дод. 2'!E145</f>
        <v>50558840</v>
      </c>
      <c r="E90" s="53">
        <f>'дод. 2'!F145</f>
        <v>50558840</v>
      </c>
      <c r="F90" s="53">
        <f>'дод. 2'!G145</f>
        <v>0</v>
      </c>
      <c r="G90" s="53">
        <f>'дод. 2'!H145</f>
        <v>0</v>
      </c>
      <c r="H90" s="53">
        <f>'дод. 2'!I145</f>
        <v>0</v>
      </c>
      <c r="I90" s="53">
        <f>'дод. 2'!J145</f>
        <v>0</v>
      </c>
      <c r="J90" s="53">
        <f>'дод. 2'!K145</f>
        <v>0</v>
      </c>
      <c r="K90" s="53">
        <f>'дод. 2'!L145</f>
        <v>0</v>
      </c>
      <c r="L90" s="53">
        <f>'дод. 2'!M145</f>
        <v>0</v>
      </c>
      <c r="M90" s="53">
        <f>'дод. 2'!N145</f>
        <v>0</v>
      </c>
      <c r="N90" s="53">
        <f>'дод. 2'!O145</f>
        <v>0</v>
      </c>
      <c r="O90" s="53">
        <f>'дод. 2'!P145</f>
        <v>50558840</v>
      </c>
      <c r="P90" s="25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</row>
    <row r="91" spans="1:35" s="8" customFormat="1" ht="27" customHeight="1">
      <c r="A91" s="7" t="s">
        <v>541</v>
      </c>
      <c r="B91" s="7" t="s">
        <v>148</v>
      </c>
      <c r="C91" s="14" t="s">
        <v>549</v>
      </c>
      <c r="D91" s="53">
        <f>'дод. 2'!E146</f>
        <v>2245360</v>
      </c>
      <c r="E91" s="53">
        <f>'дод. 2'!F146</f>
        <v>2245360</v>
      </c>
      <c r="F91" s="53">
        <f>'дод. 2'!G146</f>
        <v>0</v>
      </c>
      <c r="G91" s="53">
        <f>'дод. 2'!H146</f>
        <v>0</v>
      </c>
      <c r="H91" s="53">
        <f>'дод. 2'!I146</f>
        <v>0</v>
      </c>
      <c r="I91" s="53">
        <f>'дод. 2'!J146</f>
        <v>0</v>
      </c>
      <c r="J91" s="53">
        <f>'дод. 2'!K146</f>
        <v>0</v>
      </c>
      <c r="K91" s="53">
        <f>'дод. 2'!L146</f>
        <v>0</v>
      </c>
      <c r="L91" s="53">
        <f>'дод. 2'!M146</f>
        <v>0</v>
      </c>
      <c r="M91" s="53">
        <f>'дод. 2'!N146</f>
        <v>0</v>
      </c>
      <c r="N91" s="53">
        <f>'дод. 2'!O146</f>
        <v>0</v>
      </c>
      <c r="O91" s="53">
        <f>'дод. 2'!P146</f>
        <v>2245360</v>
      </c>
      <c r="P91" s="25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</row>
    <row r="92" spans="1:35" s="8" customFormat="1" ht="16.5" customHeight="1">
      <c r="A92" s="7"/>
      <c r="B92" s="7"/>
      <c r="C92" s="14" t="s">
        <v>416</v>
      </c>
      <c r="D92" s="53">
        <f>'дод. 2'!E147</f>
        <v>2245360</v>
      </c>
      <c r="E92" s="53">
        <f>'дод. 2'!F147</f>
        <v>2245360</v>
      </c>
      <c r="F92" s="53">
        <f>'дод. 2'!G147</f>
        <v>0</v>
      </c>
      <c r="G92" s="53">
        <f>'дод. 2'!H147</f>
        <v>0</v>
      </c>
      <c r="H92" s="53">
        <f>'дод. 2'!I147</f>
        <v>0</v>
      </c>
      <c r="I92" s="53">
        <f>'дод. 2'!J147</f>
        <v>0</v>
      </c>
      <c r="J92" s="53">
        <f>'дод. 2'!K147</f>
        <v>0</v>
      </c>
      <c r="K92" s="53">
        <f>'дод. 2'!L147</f>
        <v>0</v>
      </c>
      <c r="L92" s="53">
        <f>'дод. 2'!M147</f>
        <v>0</v>
      </c>
      <c r="M92" s="53">
        <f>'дод. 2'!N147</f>
        <v>0</v>
      </c>
      <c r="N92" s="53">
        <f>'дод. 2'!O147</f>
        <v>0</v>
      </c>
      <c r="O92" s="53">
        <f>'дод. 2'!P147</f>
        <v>2245360</v>
      </c>
      <c r="P92" s="25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</row>
    <row r="93" spans="1:35" s="8" customFormat="1" ht="32.25" customHeight="1">
      <c r="A93" s="7" t="s">
        <v>542</v>
      </c>
      <c r="B93" s="7" t="s">
        <v>148</v>
      </c>
      <c r="C93" s="14" t="s">
        <v>550</v>
      </c>
      <c r="D93" s="53">
        <f>'дод. 2'!E148</f>
        <v>56030600</v>
      </c>
      <c r="E93" s="53">
        <f>'дод. 2'!F148</f>
        <v>56030600</v>
      </c>
      <c r="F93" s="53">
        <f>'дод. 2'!G148</f>
        <v>0</v>
      </c>
      <c r="G93" s="53">
        <f>'дод. 2'!H148</f>
        <v>0</v>
      </c>
      <c r="H93" s="53">
        <f>'дод. 2'!I148</f>
        <v>0</v>
      </c>
      <c r="I93" s="53">
        <f>'дод. 2'!J148</f>
        <v>0</v>
      </c>
      <c r="J93" s="53">
        <f>'дод. 2'!K148</f>
        <v>0</v>
      </c>
      <c r="K93" s="53">
        <f>'дод. 2'!L148</f>
        <v>0</v>
      </c>
      <c r="L93" s="53">
        <f>'дод. 2'!M148</f>
        <v>0</v>
      </c>
      <c r="M93" s="53">
        <f>'дод. 2'!N148</f>
        <v>0</v>
      </c>
      <c r="N93" s="53">
        <f>'дод. 2'!O148</f>
        <v>0</v>
      </c>
      <c r="O93" s="53">
        <f>'дод. 2'!P148</f>
        <v>56030600</v>
      </c>
      <c r="P93" s="25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</row>
    <row r="94" spans="1:35" s="8" customFormat="1" ht="22.5" customHeight="1">
      <c r="A94" s="7"/>
      <c r="B94" s="7"/>
      <c r="C94" s="14" t="s">
        <v>416</v>
      </c>
      <c r="D94" s="53">
        <f>'дод. 2'!E149</f>
        <v>56030600</v>
      </c>
      <c r="E94" s="53">
        <f>'дод. 2'!F149</f>
        <v>56030600</v>
      </c>
      <c r="F94" s="53">
        <f>'дод. 2'!G149</f>
        <v>0</v>
      </c>
      <c r="G94" s="53">
        <f>'дод. 2'!H149</f>
        <v>0</v>
      </c>
      <c r="H94" s="53">
        <f>'дод. 2'!I149</f>
        <v>0</v>
      </c>
      <c r="I94" s="53">
        <f>'дод. 2'!J149</f>
        <v>0</v>
      </c>
      <c r="J94" s="53">
        <f>'дод. 2'!K149</f>
        <v>0</v>
      </c>
      <c r="K94" s="53">
        <f>'дод. 2'!L149</f>
        <v>0</v>
      </c>
      <c r="L94" s="53">
        <f>'дод. 2'!M149</f>
        <v>0</v>
      </c>
      <c r="M94" s="53">
        <f>'дод. 2'!N149</f>
        <v>0</v>
      </c>
      <c r="N94" s="53">
        <f>'дод. 2'!O149</f>
        <v>0</v>
      </c>
      <c r="O94" s="53">
        <f>'дод. 2'!P149</f>
        <v>56030600</v>
      </c>
      <c r="P94" s="25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</row>
    <row r="95" spans="1:35" ht="40.5" customHeight="1">
      <c r="A95" s="5" t="s">
        <v>149</v>
      </c>
      <c r="B95" s="5" t="s">
        <v>89</v>
      </c>
      <c r="C95" s="13" t="s">
        <v>56</v>
      </c>
      <c r="D95" s="52">
        <f>'дод. 2'!E150</f>
        <v>1203435</v>
      </c>
      <c r="E95" s="52">
        <f>'дод. 2'!F150</f>
        <v>1203435</v>
      </c>
      <c r="F95" s="52">
        <f>'дод. 2'!G150</f>
        <v>0</v>
      </c>
      <c r="G95" s="52">
        <f>'дод. 2'!H150</f>
        <v>0</v>
      </c>
      <c r="H95" s="52">
        <f>'дод. 2'!I150</f>
        <v>0</v>
      </c>
      <c r="I95" s="52">
        <f>'дод. 2'!J150</f>
        <v>0</v>
      </c>
      <c r="J95" s="52">
        <f>'дод. 2'!K150</f>
        <v>0</v>
      </c>
      <c r="K95" s="52">
        <f>'дод. 2'!L150</f>
        <v>0</v>
      </c>
      <c r="L95" s="52">
        <f>'дод. 2'!M150</f>
        <v>0</v>
      </c>
      <c r="M95" s="52">
        <f>'дод. 2'!N150</f>
        <v>0</v>
      </c>
      <c r="N95" s="52">
        <f>'дод. 2'!O150</f>
        <v>0</v>
      </c>
      <c r="O95" s="52">
        <f>'дод. 2'!P150</f>
        <v>1203435</v>
      </c>
      <c r="P95" s="255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</row>
    <row r="96" spans="1:35" ht="151.5" customHeight="1">
      <c r="A96" s="5" t="s">
        <v>559</v>
      </c>
      <c r="B96" s="5"/>
      <c r="C96" s="13" t="s">
        <v>565</v>
      </c>
      <c r="D96" s="52">
        <f aca="true" t="shared" si="21" ref="D96:O96">D98+D100+D102+D104+D106</f>
        <v>97227520</v>
      </c>
      <c r="E96" s="52">
        <f t="shared" si="21"/>
        <v>97227520</v>
      </c>
      <c r="F96" s="52">
        <f t="shared" si="21"/>
        <v>0</v>
      </c>
      <c r="G96" s="52">
        <f t="shared" si="21"/>
        <v>0</v>
      </c>
      <c r="H96" s="52">
        <f t="shared" si="21"/>
        <v>0</v>
      </c>
      <c r="I96" s="52">
        <f t="shared" si="21"/>
        <v>0</v>
      </c>
      <c r="J96" s="52">
        <f t="shared" si="21"/>
        <v>0</v>
      </c>
      <c r="K96" s="52">
        <f t="shared" si="21"/>
        <v>0</v>
      </c>
      <c r="L96" s="52">
        <f t="shared" si="21"/>
        <v>0</v>
      </c>
      <c r="M96" s="52">
        <f t="shared" si="21"/>
        <v>0</v>
      </c>
      <c r="N96" s="52">
        <f t="shared" si="21"/>
        <v>0</v>
      </c>
      <c r="O96" s="52">
        <f t="shared" si="21"/>
        <v>97227520</v>
      </c>
      <c r="P96" s="255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</row>
    <row r="97" spans="2:35" ht="27" customHeight="1">
      <c r="B97" s="5"/>
      <c r="C97" s="13" t="s">
        <v>416</v>
      </c>
      <c r="D97" s="52">
        <f aca="true" t="shared" si="22" ref="D97:O97">D99+D101+D103+D105+D107</f>
        <v>97227520</v>
      </c>
      <c r="E97" s="52">
        <f t="shared" si="22"/>
        <v>97227520</v>
      </c>
      <c r="F97" s="52">
        <f t="shared" si="22"/>
        <v>0</v>
      </c>
      <c r="G97" s="52">
        <f t="shared" si="22"/>
        <v>0</v>
      </c>
      <c r="H97" s="52">
        <f t="shared" si="22"/>
        <v>0</v>
      </c>
      <c r="I97" s="52">
        <f t="shared" si="22"/>
        <v>0</v>
      </c>
      <c r="J97" s="52">
        <f t="shared" si="22"/>
        <v>0</v>
      </c>
      <c r="K97" s="52">
        <f t="shared" si="22"/>
        <v>0</v>
      </c>
      <c r="L97" s="52">
        <f t="shared" si="22"/>
        <v>0</v>
      </c>
      <c r="M97" s="52">
        <f t="shared" si="22"/>
        <v>0</v>
      </c>
      <c r="N97" s="52">
        <f t="shared" si="22"/>
        <v>0</v>
      </c>
      <c r="O97" s="52">
        <f t="shared" si="22"/>
        <v>97227520</v>
      </c>
      <c r="P97" s="255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</row>
    <row r="98" spans="1:35" s="8" customFormat="1" ht="40.5" customHeight="1">
      <c r="A98" s="7" t="s">
        <v>560</v>
      </c>
      <c r="B98" s="7" t="s">
        <v>83</v>
      </c>
      <c r="C98" s="14" t="s">
        <v>568</v>
      </c>
      <c r="D98" s="53">
        <f>'дод. 2'!E153</f>
        <v>62044050</v>
      </c>
      <c r="E98" s="53">
        <f>'дод. 2'!F153</f>
        <v>62044050</v>
      </c>
      <c r="F98" s="53">
        <f>'дод. 2'!G153</f>
        <v>0</v>
      </c>
      <c r="G98" s="53">
        <f>'дод. 2'!H153</f>
        <v>0</v>
      </c>
      <c r="H98" s="53">
        <f>'дод. 2'!I153</f>
        <v>0</v>
      </c>
      <c r="I98" s="53">
        <f>'дод. 2'!J153</f>
        <v>0</v>
      </c>
      <c r="J98" s="53">
        <f>'дод. 2'!K153</f>
        <v>0</v>
      </c>
      <c r="K98" s="53">
        <f>'дод. 2'!L153</f>
        <v>0</v>
      </c>
      <c r="L98" s="53">
        <f>'дод. 2'!M153</f>
        <v>0</v>
      </c>
      <c r="M98" s="53">
        <f>'дод. 2'!N153</f>
        <v>0</v>
      </c>
      <c r="N98" s="53">
        <f>'дод. 2'!O153</f>
        <v>0</v>
      </c>
      <c r="O98" s="53">
        <f>'дод. 2'!P153</f>
        <v>62044050</v>
      </c>
      <c r="P98" s="25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</row>
    <row r="99" spans="1:35" s="8" customFormat="1" ht="27" customHeight="1">
      <c r="A99" s="7"/>
      <c r="B99" s="7"/>
      <c r="C99" s="14" t="s">
        <v>416</v>
      </c>
      <c r="D99" s="53">
        <f>'дод. 2'!E154</f>
        <v>62044050</v>
      </c>
      <c r="E99" s="53">
        <f>'дод. 2'!F154</f>
        <v>62044050</v>
      </c>
      <c r="F99" s="53">
        <f>'дод. 2'!G154</f>
        <v>0</v>
      </c>
      <c r="G99" s="53">
        <f>'дод. 2'!H154</f>
        <v>0</v>
      </c>
      <c r="H99" s="53">
        <f>'дод. 2'!I154</f>
        <v>0</v>
      </c>
      <c r="I99" s="53">
        <f>'дод. 2'!J154</f>
        <v>0</v>
      </c>
      <c r="J99" s="53">
        <f>'дод. 2'!K154</f>
        <v>0</v>
      </c>
      <c r="K99" s="53">
        <f>'дод. 2'!L154</f>
        <v>0</v>
      </c>
      <c r="L99" s="53">
        <f>'дод. 2'!M154</f>
        <v>0</v>
      </c>
      <c r="M99" s="53">
        <f>'дод. 2'!N154</f>
        <v>0</v>
      </c>
      <c r="N99" s="53">
        <f>'дод. 2'!O154</f>
        <v>0</v>
      </c>
      <c r="O99" s="53">
        <f>'дод. 2'!P154</f>
        <v>62044050</v>
      </c>
      <c r="P99" s="25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</row>
    <row r="100" spans="1:35" s="8" customFormat="1" ht="66" customHeight="1">
      <c r="A100" s="7" t="s">
        <v>561</v>
      </c>
      <c r="B100" s="7" t="s">
        <v>83</v>
      </c>
      <c r="C100" s="14" t="s">
        <v>569</v>
      </c>
      <c r="D100" s="53">
        <f>'дод. 2'!E155</f>
        <v>12251650</v>
      </c>
      <c r="E100" s="53">
        <f>'дод. 2'!F155</f>
        <v>12251650</v>
      </c>
      <c r="F100" s="53">
        <f>'дод. 2'!G155</f>
        <v>0</v>
      </c>
      <c r="G100" s="53">
        <f>'дод. 2'!H155</f>
        <v>0</v>
      </c>
      <c r="H100" s="53">
        <f>'дод. 2'!I155</f>
        <v>0</v>
      </c>
      <c r="I100" s="53">
        <f>'дод. 2'!J155</f>
        <v>0</v>
      </c>
      <c r="J100" s="53">
        <f>'дод. 2'!K155</f>
        <v>0</v>
      </c>
      <c r="K100" s="53">
        <f>'дод. 2'!L155</f>
        <v>0</v>
      </c>
      <c r="L100" s="53">
        <f>'дод. 2'!M155</f>
        <v>0</v>
      </c>
      <c r="M100" s="53">
        <f>'дод. 2'!N155</f>
        <v>0</v>
      </c>
      <c r="N100" s="53">
        <f>'дод. 2'!O155</f>
        <v>0</v>
      </c>
      <c r="O100" s="53">
        <f>'дод. 2'!P155</f>
        <v>12251650</v>
      </c>
      <c r="P100" s="25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</row>
    <row r="101" spans="1:35" s="8" customFormat="1" ht="27" customHeight="1">
      <c r="A101" s="7"/>
      <c r="B101" s="7"/>
      <c r="C101" s="14" t="s">
        <v>416</v>
      </c>
      <c r="D101" s="53">
        <f>'дод. 2'!E156</f>
        <v>12251650</v>
      </c>
      <c r="E101" s="53">
        <f>'дод. 2'!F156</f>
        <v>12251650</v>
      </c>
      <c r="F101" s="53">
        <f>'дод. 2'!G156</f>
        <v>0</v>
      </c>
      <c r="G101" s="53">
        <f>'дод. 2'!H156</f>
        <v>0</v>
      </c>
      <c r="H101" s="53">
        <f>'дод. 2'!I156</f>
        <v>0</v>
      </c>
      <c r="I101" s="53">
        <f>'дод. 2'!J156</f>
        <v>0</v>
      </c>
      <c r="J101" s="53">
        <f>'дод. 2'!K156</f>
        <v>0</v>
      </c>
      <c r="K101" s="53">
        <f>'дод. 2'!L156</f>
        <v>0</v>
      </c>
      <c r="L101" s="53">
        <f>'дод. 2'!M156</f>
        <v>0</v>
      </c>
      <c r="M101" s="53">
        <f>'дод. 2'!N156</f>
        <v>0</v>
      </c>
      <c r="N101" s="53">
        <f>'дод. 2'!O156</f>
        <v>0</v>
      </c>
      <c r="O101" s="53">
        <f>'дод. 2'!P156</f>
        <v>12251650</v>
      </c>
      <c r="P101" s="25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</row>
    <row r="102" spans="1:35" s="8" customFormat="1" ht="53.25" customHeight="1">
      <c r="A102" s="7" t="s">
        <v>562</v>
      </c>
      <c r="B102" s="7" t="s">
        <v>83</v>
      </c>
      <c r="C102" s="14" t="s">
        <v>570</v>
      </c>
      <c r="D102" s="53">
        <f>'дод. 2'!E157</f>
        <v>11516480</v>
      </c>
      <c r="E102" s="53">
        <f>'дод. 2'!F157</f>
        <v>11516480</v>
      </c>
      <c r="F102" s="53">
        <f>'дод. 2'!G157</f>
        <v>0</v>
      </c>
      <c r="G102" s="53">
        <f>'дод. 2'!H157</f>
        <v>0</v>
      </c>
      <c r="H102" s="53">
        <f>'дод. 2'!I157</f>
        <v>0</v>
      </c>
      <c r="I102" s="53">
        <f>'дод. 2'!J157</f>
        <v>0</v>
      </c>
      <c r="J102" s="53">
        <f>'дод. 2'!K157</f>
        <v>0</v>
      </c>
      <c r="K102" s="53">
        <f>'дод. 2'!L157</f>
        <v>0</v>
      </c>
      <c r="L102" s="53">
        <f>'дод. 2'!M157</f>
        <v>0</v>
      </c>
      <c r="M102" s="53">
        <f>'дод. 2'!N157</f>
        <v>0</v>
      </c>
      <c r="N102" s="53">
        <f>'дод. 2'!O157</f>
        <v>0</v>
      </c>
      <c r="O102" s="53">
        <f>'дод. 2'!P157</f>
        <v>11516480</v>
      </c>
      <c r="P102" s="255">
        <v>27</v>
      </c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</row>
    <row r="103" spans="1:35" s="8" customFormat="1" ht="27" customHeight="1">
      <c r="A103" s="7"/>
      <c r="B103" s="7"/>
      <c r="C103" s="14" t="s">
        <v>416</v>
      </c>
      <c r="D103" s="53">
        <f>'дод. 2'!E158</f>
        <v>11516480</v>
      </c>
      <c r="E103" s="53">
        <f>'дод. 2'!F158</f>
        <v>11516480</v>
      </c>
      <c r="F103" s="53">
        <f>'дод. 2'!G158</f>
        <v>0</v>
      </c>
      <c r="G103" s="53">
        <f>'дод. 2'!H158</f>
        <v>0</v>
      </c>
      <c r="H103" s="53">
        <f>'дод. 2'!I158</f>
        <v>0</v>
      </c>
      <c r="I103" s="53">
        <f>'дод. 2'!J158</f>
        <v>0</v>
      </c>
      <c r="J103" s="53">
        <f>'дод. 2'!K158</f>
        <v>0</v>
      </c>
      <c r="K103" s="53">
        <f>'дод. 2'!L158</f>
        <v>0</v>
      </c>
      <c r="L103" s="53">
        <f>'дод. 2'!M158</f>
        <v>0</v>
      </c>
      <c r="M103" s="53">
        <f>'дод. 2'!N158</f>
        <v>0</v>
      </c>
      <c r="N103" s="53">
        <f>'дод. 2'!O158</f>
        <v>0</v>
      </c>
      <c r="O103" s="53">
        <f>'дод. 2'!P158</f>
        <v>11516480</v>
      </c>
      <c r="P103" s="25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</row>
    <row r="104" spans="1:35" s="8" customFormat="1" ht="72" customHeight="1">
      <c r="A104" s="7" t="s">
        <v>563</v>
      </c>
      <c r="B104" s="7" t="s">
        <v>148</v>
      </c>
      <c r="C104" s="14" t="s">
        <v>571</v>
      </c>
      <c r="D104" s="53">
        <f>'дод. 2'!E159</f>
        <v>11267070</v>
      </c>
      <c r="E104" s="53">
        <f>'дод. 2'!F159</f>
        <v>11267070</v>
      </c>
      <c r="F104" s="53">
        <f>'дод. 2'!G159</f>
        <v>0</v>
      </c>
      <c r="G104" s="53">
        <f>'дод. 2'!H159</f>
        <v>0</v>
      </c>
      <c r="H104" s="53">
        <f>'дод. 2'!I159</f>
        <v>0</v>
      </c>
      <c r="I104" s="53">
        <f>'дод. 2'!J159</f>
        <v>0</v>
      </c>
      <c r="J104" s="53">
        <f>'дод. 2'!K159</f>
        <v>0</v>
      </c>
      <c r="K104" s="53">
        <f>'дод. 2'!L159</f>
        <v>0</v>
      </c>
      <c r="L104" s="53">
        <f>'дод. 2'!M159</f>
        <v>0</v>
      </c>
      <c r="M104" s="53">
        <f>'дод. 2'!N159</f>
        <v>0</v>
      </c>
      <c r="N104" s="53">
        <f>'дод. 2'!O159</f>
        <v>0</v>
      </c>
      <c r="O104" s="53">
        <f>'дод. 2'!P159</f>
        <v>11267070</v>
      </c>
      <c r="P104" s="25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</row>
    <row r="105" spans="1:35" s="8" customFormat="1" ht="27" customHeight="1">
      <c r="A105" s="7"/>
      <c r="B105" s="7"/>
      <c r="C105" s="14" t="s">
        <v>416</v>
      </c>
      <c r="D105" s="53">
        <f>'дод. 2'!E160</f>
        <v>11267070</v>
      </c>
      <c r="E105" s="53">
        <f>'дод. 2'!F160</f>
        <v>11267070</v>
      </c>
      <c r="F105" s="53">
        <f>'дод. 2'!G160</f>
        <v>0</v>
      </c>
      <c r="G105" s="53">
        <f>'дод. 2'!H160</f>
        <v>0</v>
      </c>
      <c r="H105" s="53">
        <f>'дод. 2'!I160</f>
        <v>0</v>
      </c>
      <c r="I105" s="53">
        <f>'дод. 2'!J160</f>
        <v>0</v>
      </c>
      <c r="J105" s="53">
        <f>'дод. 2'!K160</f>
        <v>0</v>
      </c>
      <c r="K105" s="53">
        <f>'дод. 2'!L160</f>
        <v>0</v>
      </c>
      <c r="L105" s="53">
        <f>'дод. 2'!M160</f>
        <v>0</v>
      </c>
      <c r="M105" s="53">
        <f>'дод. 2'!N160</f>
        <v>0</v>
      </c>
      <c r="N105" s="53">
        <f>'дод. 2'!O160</f>
        <v>0</v>
      </c>
      <c r="O105" s="53">
        <f>'дод. 2'!P160</f>
        <v>11267070</v>
      </c>
      <c r="P105" s="25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</row>
    <row r="106" spans="1:35" s="8" customFormat="1" ht="64.5" customHeight="1">
      <c r="A106" s="7" t="s">
        <v>564</v>
      </c>
      <c r="B106" s="7" t="s">
        <v>83</v>
      </c>
      <c r="C106" s="14" t="s">
        <v>572</v>
      </c>
      <c r="D106" s="53">
        <f>'дод. 2'!E161</f>
        <v>148270</v>
      </c>
      <c r="E106" s="53">
        <f>'дод. 2'!F161</f>
        <v>148270</v>
      </c>
      <c r="F106" s="53">
        <f>'дод. 2'!G161</f>
        <v>0</v>
      </c>
      <c r="G106" s="53">
        <f>'дод. 2'!H161</f>
        <v>0</v>
      </c>
      <c r="H106" s="53">
        <f>'дод. 2'!I161</f>
        <v>0</v>
      </c>
      <c r="I106" s="53">
        <f>'дод. 2'!J161</f>
        <v>0</v>
      </c>
      <c r="J106" s="53">
        <f>'дод. 2'!K161</f>
        <v>0</v>
      </c>
      <c r="K106" s="53">
        <f>'дод. 2'!L161</f>
        <v>0</v>
      </c>
      <c r="L106" s="53">
        <f>'дод. 2'!M161</f>
        <v>0</v>
      </c>
      <c r="M106" s="53">
        <f>'дод. 2'!N161</f>
        <v>0</v>
      </c>
      <c r="N106" s="53">
        <f>'дод. 2'!O161</f>
        <v>0</v>
      </c>
      <c r="O106" s="53">
        <f>'дод. 2'!P161</f>
        <v>148270</v>
      </c>
      <c r="P106" s="25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</row>
    <row r="107" spans="1:35" s="8" customFormat="1" ht="27" customHeight="1">
      <c r="A107" s="7"/>
      <c r="B107" s="7"/>
      <c r="C107" s="14" t="s">
        <v>416</v>
      </c>
      <c r="D107" s="53">
        <f>'дод. 2'!E162</f>
        <v>148270</v>
      </c>
      <c r="E107" s="53">
        <f>'дод. 2'!F162</f>
        <v>148270</v>
      </c>
      <c r="F107" s="53">
        <f>'дод. 2'!G162</f>
        <v>0</v>
      </c>
      <c r="G107" s="53">
        <f>'дод. 2'!H162</f>
        <v>0</v>
      </c>
      <c r="H107" s="53">
        <f>'дод. 2'!I162</f>
        <v>0</v>
      </c>
      <c r="I107" s="53">
        <f>'дод. 2'!J162</f>
        <v>0</v>
      </c>
      <c r="J107" s="53">
        <f>'дод. 2'!K162</f>
        <v>0</v>
      </c>
      <c r="K107" s="53">
        <f>'дод. 2'!L162</f>
        <v>0</v>
      </c>
      <c r="L107" s="53">
        <f>'дод. 2'!M162</f>
        <v>0</v>
      </c>
      <c r="M107" s="53">
        <f>'дод. 2'!N162</f>
        <v>0</v>
      </c>
      <c r="N107" s="53">
        <f>'дод. 2'!O162</f>
        <v>0</v>
      </c>
      <c r="O107" s="53">
        <f>'дод. 2'!P162</f>
        <v>148270</v>
      </c>
      <c r="P107" s="25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</row>
    <row r="108" spans="1:35" ht="40.5" customHeight="1">
      <c r="A108" s="5" t="s">
        <v>504</v>
      </c>
      <c r="B108" s="5" t="s">
        <v>87</v>
      </c>
      <c r="C108" s="13" t="s">
        <v>505</v>
      </c>
      <c r="D108" s="52">
        <f>'дод. 2'!E163</f>
        <v>200700</v>
      </c>
      <c r="E108" s="52">
        <f>'дод. 2'!F163</f>
        <v>200700</v>
      </c>
      <c r="F108" s="52">
        <f>'дод. 2'!G163</f>
        <v>0</v>
      </c>
      <c r="G108" s="52">
        <f>'дод. 2'!H163</f>
        <v>0</v>
      </c>
      <c r="H108" s="52">
        <f>'дод. 2'!I163</f>
        <v>0</v>
      </c>
      <c r="I108" s="52">
        <f>'дод. 2'!J163</f>
        <v>0</v>
      </c>
      <c r="J108" s="52">
        <f>'дод. 2'!K163</f>
        <v>0</v>
      </c>
      <c r="K108" s="52">
        <f>'дод. 2'!L163</f>
        <v>0</v>
      </c>
      <c r="L108" s="52">
        <f>'дод. 2'!M163</f>
        <v>0</v>
      </c>
      <c r="M108" s="52">
        <f>'дод. 2'!N163</f>
        <v>0</v>
      </c>
      <c r="N108" s="52">
        <f>'дод. 2'!O163</f>
        <v>0</v>
      </c>
      <c r="O108" s="52">
        <f>'дод. 2'!P163</f>
        <v>200700</v>
      </c>
      <c r="P108" s="255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</row>
    <row r="109" spans="1:35" ht="62.25" customHeight="1">
      <c r="A109" s="5" t="s">
        <v>150</v>
      </c>
      <c r="B109" s="15"/>
      <c r="C109" s="13" t="s">
        <v>452</v>
      </c>
      <c r="D109" s="52">
        <f aca="true" t="shared" si="23" ref="D109:O109">D110</f>
        <v>9191915</v>
      </c>
      <c r="E109" s="52">
        <f t="shared" si="23"/>
        <v>9191915</v>
      </c>
      <c r="F109" s="52">
        <f t="shared" si="23"/>
        <v>6946900</v>
      </c>
      <c r="G109" s="52">
        <f t="shared" si="23"/>
        <v>193245</v>
      </c>
      <c r="H109" s="52">
        <f t="shared" si="23"/>
        <v>0</v>
      </c>
      <c r="I109" s="52">
        <f t="shared" si="23"/>
        <v>76400</v>
      </c>
      <c r="J109" s="52">
        <f t="shared" si="23"/>
        <v>57900</v>
      </c>
      <c r="K109" s="52">
        <f t="shared" si="23"/>
        <v>44700</v>
      </c>
      <c r="L109" s="52">
        <f t="shared" si="23"/>
        <v>0</v>
      </c>
      <c r="M109" s="52">
        <f t="shared" si="23"/>
        <v>18500</v>
      </c>
      <c r="N109" s="52">
        <f t="shared" si="23"/>
        <v>18500</v>
      </c>
      <c r="O109" s="52">
        <f t="shared" si="23"/>
        <v>9268315</v>
      </c>
      <c r="P109" s="255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</row>
    <row r="110" spans="1:35" s="8" customFormat="1" ht="74.25" customHeight="1">
      <c r="A110" s="7" t="s">
        <v>151</v>
      </c>
      <c r="B110" s="7" t="s">
        <v>85</v>
      </c>
      <c r="C110" s="14" t="s">
        <v>57</v>
      </c>
      <c r="D110" s="53">
        <f>'дод. 2'!E165</f>
        <v>9191915</v>
      </c>
      <c r="E110" s="53">
        <f>'дод. 2'!F165</f>
        <v>9191915</v>
      </c>
      <c r="F110" s="53">
        <f>'дод. 2'!G165</f>
        <v>6946900</v>
      </c>
      <c r="G110" s="53">
        <f>'дод. 2'!H165</f>
        <v>193245</v>
      </c>
      <c r="H110" s="53">
        <f>'дод. 2'!I165</f>
        <v>0</v>
      </c>
      <c r="I110" s="53">
        <f>'дод. 2'!J165</f>
        <v>76400</v>
      </c>
      <c r="J110" s="53">
        <f>'дод. 2'!K165</f>
        <v>57900</v>
      </c>
      <c r="K110" s="53">
        <f>'дод. 2'!L165</f>
        <v>44700</v>
      </c>
      <c r="L110" s="53">
        <f>'дод. 2'!M165</f>
        <v>0</v>
      </c>
      <c r="M110" s="53">
        <f>'дод. 2'!N165</f>
        <v>18500</v>
      </c>
      <c r="N110" s="53">
        <f>'дод. 2'!O165</f>
        <v>18500</v>
      </c>
      <c r="O110" s="53">
        <f>'дод. 2'!P165</f>
        <v>9268315</v>
      </c>
      <c r="P110" s="255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</row>
    <row r="111" spans="1:35" ht="36.75" customHeight="1">
      <c r="A111" s="5" t="s">
        <v>161</v>
      </c>
      <c r="B111" s="5"/>
      <c r="C111" s="13" t="s">
        <v>62</v>
      </c>
      <c r="D111" s="49">
        <f aca="true" t="shared" si="24" ref="D111:O111">D112</f>
        <v>80000</v>
      </c>
      <c r="E111" s="49">
        <f t="shared" si="24"/>
        <v>80000</v>
      </c>
      <c r="F111" s="49">
        <f t="shared" si="24"/>
        <v>0</v>
      </c>
      <c r="G111" s="49">
        <f t="shared" si="24"/>
        <v>0</v>
      </c>
      <c r="H111" s="49">
        <f t="shared" si="24"/>
        <v>0</v>
      </c>
      <c r="I111" s="49">
        <f t="shared" si="24"/>
        <v>0</v>
      </c>
      <c r="J111" s="49">
        <f t="shared" si="24"/>
        <v>0</v>
      </c>
      <c r="K111" s="49">
        <f t="shared" si="24"/>
        <v>0</v>
      </c>
      <c r="L111" s="49">
        <f t="shared" si="24"/>
        <v>0</v>
      </c>
      <c r="M111" s="49">
        <f t="shared" si="24"/>
        <v>0</v>
      </c>
      <c r="N111" s="49">
        <f t="shared" si="24"/>
        <v>0</v>
      </c>
      <c r="O111" s="49">
        <f t="shared" si="24"/>
        <v>80000</v>
      </c>
      <c r="P111" s="255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</row>
    <row r="112" spans="1:35" s="8" customFormat="1" ht="43.5" customHeight="1">
      <c r="A112" s="7" t="s">
        <v>152</v>
      </c>
      <c r="B112" s="7" t="s">
        <v>148</v>
      </c>
      <c r="C112" s="14" t="s">
        <v>60</v>
      </c>
      <c r="D112" s="51">
        <f>'дод. 2'!E187</f>
        <v>80000</v>
      </c>
      <c r="E112" s="51">
        <f>'дод. 2'!F187</f>
        <v>80000</v>
      </c>
      <c r="F112" s="51">
        <f>'дод. 2'!G187</f>
        <v>0</v>
      </c>
      <c r="G112" s="51">
        <f>'дод. 2'!H187</f>
        <v>0</v>
      </c>
      <c r="H112" s="51">
        <f>'дод. 2'!I187</f>
        <v>0</v>
      </c>
      <c r="I112" s="51">
        <f>'дод. 2'!J187</f>
        <v>0</v>
      </c>
      <c r="J112" s="51">
        <f>'дод. 2'!K187</f>
        <v>0</v>
      </c>
      <c r="K112" s="51">
        <f>'дод. 2'!L187</f>
        <v>0</v>
      </c>
      <c r="L112" s="51">
        <f>'дод. 2'!M187</f>
        <v>0</v>
      </c>
      <c r="M112" s="51">
        <f>'дод. 2'!N187</f>
        <v>0</v>
      </c>
      <c r="N112" s="51">
        <f>'дод. 2'!O187</f>
        <v>0</v>
      </c>
      <c r="O112" s="51">
        <f>'дод. 2'!P187</f>
        <v>80000</v>
      </c>
      <c r="P112" s="255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</row>
    <row r="113" spans="1:35" ht="37.5" customHeight="1">
      <c r="A113" s="5" t="s">
        <v>200</v>
      </c>
      <c r="B113" s="5"/>
      <c r="C113" s="13" t="s">
        <v>40</v>
      </c>
      <c r="D113" s="49">
        <f aca="true" t="shared" si="25" ref="D113:O113">D114</f>
        <v>1661740</v>
      </c>
      <c r="E113" s="49">
        <f t="shared" si="25"/>
        <v>1661740</v>
      </c>
      <c r="F113" s="49">
        <f t="shared" si="25"/>
        <v>1247850</v>
      </c>
      <c r="G113" s="49">
        <f t="shared" si="25"/>
        <v>56450</v>
      </c>
      <c r="H113" s="49">
        <f t="shared" si="25"/>
        <v>0</v>
      </c>
      <c r="I113" s="49">
        <f t="shared" si="25"/>
        <v>20500</v>
      </c>
      <c r="J113" s="49">
        <f t="shared" si="25"/>
        <v>0</v>
      </c>
      <c r="K113" s="49">
        <f t="shared" si="25"/>
        <v>0</v>
      </c>
      <c r="L113" s="49">
        <f t="shared" si="25"/>
        <v>0</v>
      </c>
      <c r="M113" s="49">
        <f t="shared" si="25"/>
        <v>20500</v>
      </c>
      <c r="N113" s="49">
        <f t="shared" si="25"/>
        <v>20500</v>
      </c>
      <c r="O113" s="49">
        <f t="shared" si="25"/>
        <v>1682240</v>
      </c>
      <c r="P113" s="255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</row>
    <row r="114" spans="1:35" s="8" customFormat="1" ht="42.75" customHeight="1">
      <c r="A114" s="7" t="s">
        <v>201</v>
      </c>
      <c r="B114" s="7" t="s">
        <v>148</v>
      </c>
      <c r="C114" s="14" t="s">
        <v>202</v>
      </c>
      <c r="D114" s="51">
        <f>'дод. 2'!E19</f>
        <v>1661740</v>
      </c>
      <c r="E114" s="51">
        <f>'дод. 2'!F19</f>
        <v>1661740</v>
      </c>
      <c r="F114" s="51">
        <f>'дод. 2'!G19</f>
        <v>1247850</v>
      </c>
      <c r="G114" s="51">
        <f>'дод. 2'!H19</f>
        <v>56450</v>
      </c>
      <c r="H114" s="51">
        <f>'дод. 2'!I19</f>
        <v>0</v>
      </c>
      <c r="I114" s="51">
        <f>'дод. 2'!J19</f>
        <v>20500</v>
      </c>
      <c r="J114" s="51">
        <f>'дод. 2'!K19</f>
        <v>0</v>
      </c>
      <c r="K114" s="51">
        <f>'дод. 2'!L19</f>
        <v>0</v>
      </c>
      <c r="L114" s="51">
        <f>'дод. 2'!M19</f>
        <v>0</v>
      </c>
      <c r="M114" s="51">
        <f>'дод. 2'!N19</f>
        <v>20500</v>
      </c>
      <c r="N114" s="51">
        <f>'дод. 2'!O19</f>
        <v>20500</v>
      </c>
      <c r="O114" s="51">
        <f>'дод. 2'!P19</f>
        <v>1682240</v>
      </c>
      <c r="P114" s="255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</row>
    <row r="115" spans="1:35" ht="24.75" customHeight="1">
      <c r="A115" s="5" t="s">
        <v>157</v>
      </c>
      <c r="B115" s="5"/>
      <c r="C115" s="13" t="s">
        <v>168</v>
      </c>
      <c r="D115" s="49">
        <f aca="true" t="shared" si="26" ref="D115:O115">D116</f>
        <v>750000</v>
      </c>
      <c r="E115" s="49">
        <f t="shared" si="26"/>
        <v>750000</v>
      </c>
      <c r="F115" s="49">
        <f t="shared" si="26"/>
        <v>0</v>
      </c>
      <c r="G115" s="49">
        <f t="shared" si="26"/>
        <v>0</v>
      </c>
      <c r="H115" s="49">
        <f t="shared" si="26"/>
        <v>0</v>
      </c>
      <c r="I115" s="49">
        <f t="shared" si="26"/>
        <v>0</v>
      </c>
      <c r="J115" s="49">
        <f t="shared" si="26"/>
        <v>0</v>
      </c>
      <c r="K115" s="49">
        <f t="shared" si="26"/>
        <v>0</v>
      </c>
      <c r="L115" s="49">
        <f t="shared" si="26"/>
        <v>0</v>
      </c>
      <c r="M115" s="49">
        <f t="shared" si="26"/>
        <v>0</v>
      </c>
      <c r="N115" s="49">
        <f t="shared" si="26"/>
        <v>0</v>
      </c>
      <c r="O115" s="49">
        <f t="shared" si="26"/>
        <v>750000</v>
      </c>
      <c r="P115" s="255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</row>
    <row r="116" spans="1:35" s="8" customFormat="1" ht="58.5" customHeight="1">
      <c r="A116" s="28" t="s">
        <v>158</v>
      </c>
      <c r="B116" s="28" t="s">
        <v>148</v>
      </c>
      <c r="C116" s="14" t="s">
        <v>224</v>
      </c>
      <c r="D116" s="51">
        <f>'дод. 2'!E21</f>
        <v>750000</v>
      </c>
      <c r="E116" s="51">
        <f>'дод. 2'!F21</f>
        <v>750000</v>
      </c>
      <c r="F116" s="51">
        <f>'дод. 2'!G21</f>
        <v>0</v>
      </c>
      <c r="G116" s="51">
        <f>'дод. 2'!H21</f>
        <v>0</v>
      </c>
      <c r="H116" s="51">
        <f>'дод. 2'!I21</f>
        <v>0</v>
      </c>
      <c r="I116" s="51">
        <f>'дод. 2'!J21</f>
        <v>0</v>
      </c>
      <c r="J116" s="51">
        <f>'дод. 2'!K21</f>
        <v>0</v>
      </c>
      <c r="K116" s="51">
        <f>'дод. 2'!L21</f>
        <v>0</v>
      </c>
      <c r="L116" s="51">
        <f>'дод. 2'!M21</f>
        <v>0</v>
      </c>
      <c r="M116" s="51">
        <f>'дод. 2'!N21</f>
        <v>0</v>
      </c>
      <c r="N116" s="51">
        <f>'дод. 2'!O21</f>
        <v>0</v>
      </c>
      <c r="O116" s="51">
        <f>'дод. 2'!P21</f>
        <v>750000</v>
      </c>
      <c r="P116" s="255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</row>
    <row r="117" spans="1:35" ht="75" customHeight="1">
      <c r="A117" s="5" t="s">
        <v>159</v>
      </c>
      <c r="B117" s="5" t="s">
        <v>148</v>
      </c>
      <c r="C117" s="18" t="s">
        <v>41</v>
      </c>
      <c r="D117" s="49">
        <f>'дод. 2'!E22+'дод. 2'!E75</f>
        <v>7430000</v>
      </c>
      <c r="E117" s="49">
        <f>'дод. 2'!F22+'дод. 2'!F75</f>
        <v>7430000</v>
      </c>
      <c r="F117" s="49">
        <f>'дод. 2'!G22+'дод. 2'!G75</f>
        <v>0</v>
      </c>
      <c r="G117" s="49">
        <f>'дод. 2'!H22+'дод. 2'!H75</f>
        <v>0</v>
      </c>
      <c r="H117" s="49">
        <f>'дод. 2'!I22+'дод. 2'!I75</f>
        <v>0</v>
      </c>
      <c r="I117" s="49">
        <f>'дод. 2'!J22+'дод. 2'!J75</f>
        <v>0</v>
      </c>
      <c r="J117" s="49">
        <f>'дод. 2'!K22+'дод. 2'!K75</f>
        <v>0</v>
      </c>
      <c r="K117" s="49">
        <f>'дод. 2'!L22+'дод. 2'!L75</f>
        <v>0</v>
      </c>
      <c r="L117" s="49">
        <f>'дод. 2'!M22+'дод. 2'!M75</f>
        <v>0</v>
      </c>
      <c r="M117" s="49">
        <f>'дод. 2'!N22+'дод. 2'!N75</f>
        <v>0</v>
      </c>
      <c r="N117" s="49">
        <f>'дод. 2'!O22+'дод. 2'!O75</f>
        <v>0</v>
      </c>
      <c r="O117" s="49">
        <f>'дод. 2'!P22+'дод. 2'!P75</f>
        <v>7430000</v>
      </c>
      <c r="P117" s="255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</row>
    <row r="118" spans="1:35" ht="92.25" customHeight="1">
      <c r="A118" s="5" t="s">
        <v>160</v>
      </c>
      <c r="B118" s="32">
        <v>1010</v>
      </c>
      <c r="C118" s="13" t="s">
        <v>453</v>
      </c>
      <c r="D118" s="49">
        <f>'дод. 2'!E166</f>
        <v>1673920</v>
      </c>
      <c r="E118" s="49">
        <f>'дод. 2'!F166</f>
        <v>1673920</v>
      </c>
      <c r="F118" s="49">
        <f>'дод. 2'!G166</f>
        <v>0</v>
      </c>
      <c r="G118" s="49">
        <f>'дод. 2'!H166</f>
        <v>0</v>
      </c>
      <c r="H118" s="49">
        <f>'дод. 2'!I166</f>
        <v>0</v>
      </c>
      <c r="I118" s="49">
        <f>'дод. 2'!J166</f>
        <v>0</v>
      </c>
      <c r="J118" s="49">
        <f>'дод. 2'!K166</f>
        <v>0</v>
      </c>
      <c r="K118" s="49">
        <f>'дод. 2'!L166</f>
        <v>0</v>
      </c>
      <c r="L118" s="49">
        <f>'дод. 2'!M166</f>
        <v>0</v>
      </c>
      <c r="M118" s="49">
        <f>'дод. 2'!N166</f>
        <v>0</v>
      </c>
      <c r="N118" s="49">
        <f>'дод. 2'!O166</f>
        <v>0</v>
      </c>
      <c r="O118" s="49">
        <f>'дод. 2'!P166</f>
        <v>1673920</v>
      </c>
      <c r="P118" s="255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</row>
    <row r="119" spans="1:35" ht="32.25" customHeight="1">
      <c r="A119" s="5" t="s">
        <v>506</v>
      </c>
      <c r="B119" s="32"/>
      <c r="C119" s="13" t="s">
        <v>509</v>
      </c>
      <c r="D119" s="49">
        <f aca="true" t="shared" si="27" ref="D119:O119">D120+D121</f>
        <v>188864</v>
      </c>
      <c r="E119" s="49">
        <f t="shared" si="27"/>
        <v>188864</v>
      </c>
      <c r="F119" s="49">
        <f t="shared" si="27"/>
        <v>0</v>
      </c>
      <c r="G119" s="49">
        <f t="shared" si="27"/>
        <v>0</v>
      </c>
      <c r="H119" s="49">
        <f t="shared" si="27"/>
        <v>0</v>
      </c>
      <c r="I119" s="49">
        <f t="shared" si="27"/>
        <v>0</v>
      </c>
      <c r="J119" s="49">
        <f t="shared" si="27"/>
        <v>0</v>
      </c>
      <c r="K119" s="49">
        <f t="shared" si="27"/>
        <v>0</v>
      </c>
      <c r="L119" s="49">
        <f t="shared" si="27"/>
        <v>0</v>
      </c>
      <c r="M119" s="49">
        <f t="shared" si="27"/>
        <v>0</v>
      </c>
      <c r="N119" s="49">
        <f t="shared" si="27"/>
        <v>0</v>
      </c>
      <c r="O119" s="49">
        <f t="shared" si="27"/>
        <v>188864</v>
      </c>
      <c r="P119" s="255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</row>
    <row r="120" spans="1:35" s="8" customFormat="1" ht="67.5" customHeight="1">
      <c r="A120" s="7" t="s">
        <v>507</v>
      </c>
      <c r="B120" s="166">
        <v>1010</v>
      </c>
      <c r="C120" s="14" t="s">
        <v>510</v>
      </c>
      <c r="D120" s="51">
        <f>'дод. 2'!E168</f>
        <v>188024</v>
      </c>
      <c r="E120" s="51">
        <f>'дод. 2'!F168</f>
        <v>188024</v>
      </c>
      <c r="F120" s="51">
        <f>'дод. 2'!G168</f>
        <v>0</v>
      </c>
      <c r="G120" s="51">
        <f>'дод. 2'!H168</f>
        <v>0</v>
      </c>
      <c r="H120" s="51">
        <f>'дод. 2'!I168</f>
        <v>0</v>
      </c>
      <c r="I120" s="51">
        <f>'дод. 2'!J168</f>
        <v>0</v>
      </c>
      <c r="J120" s="51">
        <f>'дод. 2'!K168</f>
        <v>0</v>
      </c>
      <c r="K120" s="51">
        <f>'дод. 2'!L168</f>
        <v>0</v>
      </c>
      <c r="L120" s="51">
        <f>'дод. 2'!M168</f>
        <v>0</v>
      </c>
      <c r="M120" s="51">
        <f>'дод. 2'!N168</f>
        <v>0</v>
      </c>
      <c r="N120" s="51">
        <f>'дод. 2'!O168</f>
        <v>0</v>
      </c>
      <c r="O120" s="51">
        <f>'дод. 2'!P168</f>
        <v>188024</v>
      </c>
      <c r="P120" s="255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</row>
    <row r="121" spans="1:35" s="8" customFormat="1" ht="32.25" customHeight="1">
      <c r="A121" s="7" t="s">
        <v>508</v>
      </c>
      <c r="B121" s="166">
        <v>1010</v>
      </c>
      <c r="C121" s="14" t="s">
        <v>511</v>
      </c>
      <c r="D121" s="51">
        <f>'дод. 2'!E169</f>
        <v>840</v>
      </c>
      <c r="E121" s="51">
        <f>'дод. 2'!F169</f>
        <v>840</v>
      </c>
      <c r="F121" s="51">
        <f>'дод. 2'!G169</f>
        <v>0</v>
      </c>
      <c r="G121" s="51">
        <f>'дод. 2'!H169</f>
        <v>0</v>
      </c>
      <c r="H121" s="51">
        <f>'дод. 2'!I169</f>
        <v>0</v>
      </c>
      <c r="I121" s="51">
        <f>'дод. 2'!J169</f>
        <v>0</v>
      </c>
      <c r="J121" s="51">
        <f>'дод. 2'!K169</f>
        <v>0</v>
      </c>
      <c r="K121" s="51">
        <f>'дод. 2'!L169</f>
        <v>0</v>
      </c>
      <c r="L121" s="51">
        <f>'дод. 2'!M169</f>
        <v>0</v>
      </c>
      <c r="M121" s="51">
        <f>'дод. 2'!N169</f>
        <v>0</v>
      </c>
      <c r="N121" s="51">
        <f>'дод. 2'!O169</f>
        <v>0</v>
      </c>
      <c r="O121" s="51">
        <f>'дод. 2'!P169</f>
        <v>840</v>
      </c>
      <c r="P121" s="255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</row>
    <row r="122" spans="1:35" ht="85.5" customHeight="1">
      <c r="A122" s="5" t="s">
        <v>153</v>
      </c>
      <c r="B122" s="5" t="s">
        <v>88</v>
      </c>
      <c r="C122" s="13" t="s">
        <v>203</v>
      </c>
      <c r="D122" s="49">
        <f>'дод. 2'!E170</f>
        <v>1242491</v>
      </c>
      <c r="E122" s="49">
        <f>'дод. 2'!F170</f>
        <v>1242491</v>
      </c>
      <c r="F122" s="49">
        <f>'дод. 2'!G170</f>
        <v>0</v>
      </c>
      <c r="G122" s="49">
        <f>'дод. 2'!H170</f>
        <v>0</v>
      </c>
      <c r="H122" s="49">
        <f>'дод. 2'!I170</f>
        <v>0</v>
      </c>
      <c r="I122" s="49">
        <f>'дод. 2'!J170</f>
        <v>0</v>
      </c>
      <c r="J122" s="49">
        <f>'дод. 2'!K170</f>
        <v>0</v>
      </c>
      <c r="K122" s="49">
        <f>'дод. 2'!L170</f>
        <v>0</v>
      </c>
      <c r="L122" s="49">
        <f>'дод. 2'!M170</f>
        <v>0</v>
      </c>
      <c r="M122" s="49">
        <f>'дод. 2'!N170</f>
        <v>0</v>
      </c>
      <c r="N122" s="49">
        <f>'дод. 2'!O170</f>
        <v>0</v>
      </c>
      <c r="O122" s="49">
        <f>'дод. 2'!P170</f>
        <v>1242491</v>
      </c>
      <c r="P122" s="255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</row>
    <row r="123" spans="1:35" ht="19.5" customHeight="1">
      <c r="A123" s="5" t="s">
        <v>154</v>
      </c>
      <c r="B123" s="32"/>
      <c r="C123" s="13" t="s">
        <v>58</v>
      </c>
      <c r="D123" s="49">
        <f>D124+D125</f>
        <v>2940434</v>
      </c>
      <c r="E123" s="49">
        <f aca="true" t="shared" si="28" ref="E123:O123">E124+E125</f>
        <v>2940434</v>
      </c>
      <c r="F123" s="49">
        <f t="shared" si="28"/>
        <v>0</v>
      </c>
      <c r="G123" s="49">
        <f t="shared" si="28"/>
        <v>0</v>
      </c>
      <c r="H123" s="49">
        <f t="shared" si="28"/>
        <v>0</v>
      </c>
      <c r="I123" s="49">
        <f t="shared" si="28"/>
        <v>0</v>
      </c>
      <c r="J123" s="49">
        <f t="shared" si="28"/>
        <v>0</v>
      </c>
      <c r="K123" s="49">
        <f t="shared" si="28"/>
        <v>0</v>
      </c>
      <c r="L123" s="49">
        <f t="shared" si="28"/>
        <v>0</v>
      </c>
      <c r="M123" s="49">
        <f t="shared" si="28"/>
        <v>0</v>
      </c>
      <c r="N123" s="49">
        <f t="shared" si="28"/>
        <v>0</v>
      </c>
      <c r="O123" s="49">
        <f t="shared" si="28"/>
        <v>2940434</v>
      </c>
      <c r="P123" s="255">
        <v>28</v>
      </c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</row>
    <row r="124" spans="1:35" s="8" customFormat="1" ht="42.75" customHeight="1">
      <c r="A124" s="7" t="s">
        <v>454</v>
      </c>
      <c r="B124" s="7" t="s">
        <v>87</v>
      </c>
      <c r="C124" s="14" t="s">
        <v>36</v>
      </c>
      <c r="D124" s="51">
        <f>'дод. 2'!E172</f>
        <v>1748334</v>
      </c>
      <c r="E124" s="51">
        <f>'дод. 2'!F172</f>
        <v>1748334</v>
      </c>
      <c r="F124" s="51">
        <f>'дод. 2'!G172</f>
        <v>0</v>
      </c>
      <c r="G124" s="51">
        <f>'дод. 2'!H172</f>
        <v>0</v>
      </c>
      <c r="H124" s="51">
        <f>'дод. 2'!I172</f>
        <v>0</v>
      </c>
      <c r="I124" s="51">
        <f>'дод. 2'!J172</f>
        <v>0</v>
      </c>
      <c r="J124" s="51">
        <f>'дод. 2'!K172</f>
        <v>0</v>
      </c>
      <c r="K124" s="51">
        <f>'дод. 2'!L172</f>
        <v>0</v>
      </c>
      <c r="L124" s="51">
        <f>'дод. 2'!M172</f>
        <v>0</v>
      </c>
      <c r="M124" s="51">
        <f>'дод. 2'!N172</f>
        <v>0</v>
      </c>
      <c r="N124" s="51">
        <f>'дод. 2'!O172</f>
        <v>0</v>
      </c>
      <c r="O124" s="51">
        <f>'дод. 2'!P172</f>
        <v>1748334</v>
      </c>
      <c r="P124" s="255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</row>
    <row r="125" spans="1:35" s="8" customFormat="1" ht="55.5" customHeight="1">
      <c r="A125" s="7" t="s">
        <v>455</v>
      </c>
      <c r="B125" s="7" t="s">
        <v>87</v>
      </c>
      <c r="C125" s="14" t="s">
        <v>500</v>
      </c>
      <c r="D125" s="51">
        <f>'дод. 2'!E173</f>
        <v>1192100</v>
      </c>
      <c r="E125" s="51">
        <f>'дод. 2'!F173</f>
        <v>1192100</v>
      </c>
      <c r="F125" s="51">
        <f>'дод. 2'!G173</f>
        <v>0</v>
      </c>
      <c r="G125" s="51">
        <f>'дод. 2'!H173</f>
        <v>0</v>
      </c>
      <c r="H125" s="51">
        <f>'дод. 2'!I173</f>
        <v>0</v>
      </c>
      <c r="I125" s="51">
        <f>'дод. 2'!J173</f>
        <v>0</v>
      </c>
      <c r="J125" s="51">
        <f>'дод. 2'!K173</f>
        <v>0</v>
      </c>
      <c r="K125" s="51">
        <f>'дод. 2'!L173</f>
        <v>0</v>
      </c>
      <c r="L125" s="51">
        <f>'дод. 2'!M173</f>
        <v>0</v>
      </c>
      <c r="M125" s="51">
        <f>'дод. 2'!N173</f>
        <v>0</v>
      </c>
      <c r="N125" s="51">
        <f>'дод. 2'!O173</f>
        <v>0</v>
      </c>
      <c r="O125" s="51">
        <f>'дод. 2'!P173</f>
        <v>1192100</v>
      </c>
      <c r="P125" s="255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</row>
    <row r="126" spans="1:35" ht="43.5" customHeight="1">
      <c r="A126" s="5" t="s">
        <v>155</v>
      </c>
      <c r="B126" s="5" t="s">
        <v>91</v>
      </c>
      <c r="C126" s="13" t="s">
        <v>225</v>
      </c>
      <c r="D126" s="49">
        <f>'дод. 2'!E174</f>
        <v>75000</v>
      </c>
      <c r="E126" s="49">
        <f>'дод. 2'!F174</f>
        <v>75000</v>
      </c>
      <c r="F126" s="49">
        <f>'дод. 2'!G174</f>
        <v>0</v>
      </c>
      <c r="G126" s="49">
        <f>'дод. 2'!H174</f>
        <v>0</v>
      </c>
      <c r="H126" s="49">
        <f>'дод. 2'!I174</f>
        <v>0</v>
      </c>
      <c r="I126" s="49">
        <f>'дод. 2'!J174</f>
        <v>0</v>
      </c>
      <c r="J126" s="49">
        <f>'дод. 2'!K174</f>
        <v>0</v>
      </c>
      <c r="K126" s="49">
        <f>'дод. 2'!L174</f>
        <v>0</v>
      </c>
      <c r="L126" s="49">
        <f>'дод. 2'!M174</f>
        <v>0</v>
      </c>
      <c r="M126" s="49">
        <f>'дод. 2'!N174</f>
        <v>0</v>
      </c>
      <c r="N126" s="49">
        <f>'дод. 2'!O174</f>
        <v>0</v>
      </c>
      <c r="O126" s="49">
        <f>'дод. 2'!P174</f>
        <v>75000</v>
      </c>
      <c r="P126" s="255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</row>
    <row r="127" spans="1:35" ht="27.75" customHeight="1">
      <c r="A127" s="5" t="s">
        <v>456</v>
      </c>
      <c r="B127" s="5" t="s">
        <v>156</v>
      </c>
      <c r="C127" s="13" t="s">
        <v>69</v>
      </c>
      <c r="D127" s="49">
        <f>'дод. 2'!E175+'дод. 2'!E200</f>
        <v>865000</v>
      </c>
      <c r="E127" s="49">
        <f>'дод. 2'!F175+'дод. 2'!F200</f>
        <v>865000</v>
      </c>
      <c r="F127" s="49">
        <f>'дод. 2'!G175+'дод. 2'!G200</f>
        <v>258197.1</v>
      </c>
      <c r="G127" s="49">
        <f>'дод. 2'!H175+'дод. 2'!H200</f>
        <v>0</v>
      </c>
      <c r="H127" s="49">
        <f>'дод. 2'!I175+'дод. 2'!I200</f>
        <v>0</v>
      </c>
      <c r="I127" s="49">
        <f>'дод. 2'!J175+'дод. 2'!J200</f>
        <v>0</v>
      </c>
      <c r="J127" s="49">
        <f>'дод. 2'!K175+'дод. 2'!K200</f>
        <v>0</v>
      </c>
      <c r="K127" s="49">
        <f>'дод. 2'!L175+'дод. 2'!L200</f>
        <v>0</v>
      </c>
      <c r="L127" s="49">
        <f>'дод. 2'!M175+'дод. 2'!M200</f>
        <v>0</v>
      </c>
      <c r="M127" s="49">
        <f>'дод. 2'!N175+'дод. 2'!N200</f>
        <v>0</v>
      </c>
      <c r="N127" s="49">
        <f>'дод. 2'!O175+'дод. 2'!O200</f>
        <v>0</v>
      </c>
      <c r="O127" s="49">
        <f>'дод. 2'!P175+'дод. 2'!P200</f>
        <v>865000</v>
      </c>
      <c r="P127" s="255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</row>
    <row r="128" spans="1:35" ht="161.25" customHeight="1">
      <c r="A128" s="5" t="s">
        <v>566</v>
      </c>
      <c r="B128" s="5" t="s">
        <v>148</v>
      </c>
      <c r="C128" s="13" t="s">
        <v>567</v>
      </c>
      <c r="D128" s="49">
        <f>'дод. 2'!E176</f>
        <v>2695700</v>
      </c>
      <c r="E128" s="49">
        <f>'дод. 2'!F176</f>
        <v>2695700</v>
      </c>
      <c r="F128" s="49">
        <f>'дод. 2'!G176</f>
        <v>0</v>
      </c>
      <c r="G128" s="49">
        <f>'дод. 2'!H176</f>
        <v>0</v>
      </c>
      <c r="H128" s="49">
        <f>'дод. 2'!I176</f>
        <v>0</v>
      </c>
      <c r="I128" s="49">
        <f>'дод. 2'!J176</f>
        <v>0</v>
      </c>
      <c r="J128" s="49">
        <f>'дод. 2'!K176</f>
        <v>0</v>
      </c>
      <c r="K128" s="49">
        <f>'дод. 2'!L176</f>
        <v>0</v>
      </c>
      <c r="L128" s="49">
        <f>'дод. 2'!M176</f>
        <v>0</v>
      </c>
      <c r="M128" s="49">
        <f>'дод. 2'!N176</f>
        <v>0</v>
      </c>
      <c r="N128" s="49">
        <f>'дод. 2'!O176</f>
        <v>0</v>
      </c>
      <c r="O128" s="49">
        <f>'дод. 2'!P176</f>
        <v>2695700</v>
      </c>
      <c r="P128" s="255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</row>
    <row r="129" spans="2:35" ht="27.75" customHeight="1">
      <c r="B129" s="5"/>
      <c r="C129" s="13" t="s">
        <v>416</v>
      </c>
      <c r="D129" s="49">
        <f>'дод. 2'!E177</f>
        <v>2695700</v>
      </c>
      <c r="E129" s="49">
        <f>'дод. 2'!F177</f>
        <v>2695700</v>
      </c>
      <c r="F129" s="49">
        <f>'дод. 2'!G177</f>
        <v>0</v>
      </c>
      <c r="G129" s="49">
        <f>'дод. 2'!H177</f>
        <v>0</v>
      </c>
      <c r="H129" s="49">
        <f>'дод. 2'!I177</f>
        <v>0</v>
      </c>
      <c r="I129" s="49">
        <f>'дод. 2'!J177</f>
        <v>0</v>
      </c>
      <c r="J129" s="49">
        <f>'дод. 2'!K177</f>
        <v>0</v>
      </c>
      <c r="K129" s="49">
        <f>'дод. 2'!L177</f>
        <v>0</v>
      </c>
      <c r="L129" s="49">
        <f>'дод. 2'!M177</f>
        <v>0</v>
      </c>
      <c r="M129" s="49">
        <f>'дод. 2'!N177</f>
        <v>0</v>
      </c>
      <c r="N129" s="49">
        <f>'дод. 2'!O177</f>
        <v>0</v>
      </c>
      <c r="O129" s="49">
        <f>'дод. 2'!P177</f>
        <v>2695700</v>
      </c>
      <c r="P129" s="255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</row>
    <row r="130" spans="1:35" ht="29.25" customHeight="1">
      <c r="A130" s="5" t="s">
        <v>457</v>
      </c>
      <c r="B130" s="5"/>
      <c r="C130" s="13" t="s">
        <v>458</v>
      </c>
      <c r="D130" s="49">
        <f>D131+D132</f>
        <v>33598197</v>
      </c>
      <c r="E130" s="49">
        <f aca="true" t="shared" si="29" ref="E130:O130">E131+E132</f>
        <v>33598197</v>
      </c>
      <c r="F130" s="49">
        <f t="shared" si="29"/>
        <v>2887935</v>
      </c>
      <c r="G130" s="49">
        <f t="shared" si="29"/>
        <v>770758</v>
      </c>
      <c r="H130" s="49">
        <f t="shared" si="29"/>
        <v>0</v>
      </c>
      <c r="I130" s="49">
        <f t="shared" si="29"/>
        <v>375000</v>
      </c>
      <c r="J130" s="49">
        <f t="shared" si="29"/>
        <v>0</v>
      </c>
      <c r="K130" s="49">
        <f t="shared" si="29"/>
        <v>0</v>
      </c>
      <c r="L130" s="49">
        <f t="shared" si="29"/>
        <v>0</v>
      </c>
      <c r="M130" s="49">
        <f t="shared" si="29"/>
        <v>375000</v>
      </c>
      <c r="N130" s="49">
        <f t="shared" si="29"/>
        <v>375000</v>
      </c>
      <c r="O130" s="49">
        <f t="shared" si="29"/>
        <v>33973197</v>
      </c>
      <c r="P130" s="255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</row>
    <row r="131" spans="1:35" s="8" customFormat="1" ht="32.25" customHeight="1">
      <c r="A131" s="7" t="s">
        <v>459</v>
      </c>
      <c r="B131" s="7" t="s">
        <v>91</v>
      </c>
      <c r="C131" s="14" t="s">
        <v>461</v>
      </c>
      <c r="D131" s="51">
        <f>'дод. 2'!E24+'дод. 2'!E179</f>
        <v>5059216</v>
      </c>
      <c r="E131" s="51">
        <f>'дод. 2'!F24+'дод. 2'!F179</f>
        <v>5059216</v>
      </c>
      <c r="F131" s="51">
        <f>'дод. 2'!G24+'дод. 2'!G179</f>
        <v>2887935</v>
      </c>
      <c r="G131" s="51">
        <f>'дод. 2'!H24+'дод. 2'!H179</f>
        <v>770758</v>
      </c>
      <c r="H131" s="51">
        <f>'дод. 2'!I24+'дод. 2'!I179</f>
        <v>0</v>
      </c>
      <c r="I131" s="51">
        <f>'дод. 2'!J24+'дод. 2'!J179</f>
        <v>300000</v>
      </c>
      <c r="J131" s="51">
        <f>'дод. 2'!K24+'дод. 2'!K179</f>
        <v>0</v>
      </c>
      <c r="K131" s="51">
        <f>'дод. 2'!L24+'дод. 2'!L179</f>
        <v>0</v>
      </c>
      <c r="L131" s="51">
        <f>'дод. 2'!M24+'дод. 2'!M179</f>
        <v>0</v>
      </c>
      <c r="M131" s="51">
        <f>'дод. 2'!N24+'дод. 2'!N179</f>
        <v>300000</v>
      </c>
      <c r="N131" s="51">
        <f>'дод. 2'!O24+'дод. 2'!O179</f>
        <v>300000</v>
      </c>
      <c r="O131" s="51">
        <f>'дод. 2'!P24+'дод. 2'!P179</f>
        <v>5359216</v>
      </c>
      <c r="P131" s="255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</row>
    <row r="132" spans="1:35" s="8" customFormat="1" ht="41.25" customHeight="1">
      <c r="A132" s="7" t="s">
        <v>460</v>
      </c>
      <c r="B132" s="7" t="s">
        <v>91</v>
      </c>
      <c r="C132" s="14" t="s">
        <v>462</v>
      </c>
      <c r="D132" s="51">
        <f>'дод. 2'!E25+'дод. 2'!E180+'дод. 2'!E77</f>
        <v>28538981</v>
      </c>
      <c r="E132" s="51">
        <f>'дод. 2'!F25+'дод. 2'!F180+'дод. 2'!F77</f>
        <v>28538981</v>
      </c>
      <c r="F132" s="51">
        <f>'дод. 2'!G25+'дод. 2'!G180+'дод. 2'!G77</f>
        <v>0</v>
      </c>
      <c r="G132" s="51">
        <f>'дод. 2'!H25+'дод. 2'!H180+'дод. 2'!H77</f>
        <v>0</v>
      </c>
      <c r="H132" s="51">
        <f>'дод. 2'!I25+'дод. 2'!I180+'дод. 2'!I77</f>
        <v>0</v>
      </c>
      <c r="I132" s="51">
        <f>'дод. 2'!J25+'дод. 2'!J180+'дод. 2'!J77</f>
        <v>75000</v>
      </c>
      <c r="J132" s="51">
        <f>'дод. 2'!K25+'дод. 2'!K180+'дод. 2'!K77</f>
        <v>0</v>
      </c>
      <c r="K132" s="51">
        <f>'дод. 2'!L25+'дод. 2'!L180+'дод. 2'!L77</f>
        <v>0</v>
      </c>
      <c r="L132" s="51">
        <f>'дод. 2'!M25+'дод. 2'!M180+'дод. 2'!M77</f>
        <v>0</v>
      </c>
      <c r="M132" s="51">
        <f>'дод. 2'!N25+'дод. 2'!N180+'дод. 2'!N77</f>
        <v>75000</v>
      </c>
      <c r="N132" s="51">
        <f>'дод. 2'!O25+'дод. 2'!O180+'дод. 2'!O77</f>
        <v>75000</v>
      </c>
      <c r="O132" s="51">
        <f>'дод. 2'!P25+'дод. 2'!P180+'дод. 2'!P77</f>
        <v>28613981</v>
      </c>
      <c r="P132" s="255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</row>
    <row r="133" spans="1:35" s="22" customFormat="1" ht="19.5" customHeight="1">
      <c r="A133" s="23" t="s">
        <v>112</v>
      </c>
      <c r="B133" s="11"/>
      <c r="C133" s="11" t="s">
        <v>113</v>
      </c>
      <c r="D133" s="50">
        <f>D134+D135</f>
        <v>23314400</v>
      </c>
      <c r="E133" s="50">
        <f aca="true" t="shared" si="30" ref="E133:O133">E134+E135</f>
        <v>23314400</v>
      </c>
      <c r="F133" s="50">
        <f t="shared" si="30"/>
        <v>14067674</v>
      </c>
      <c r="G133" s="50">
        <f t="shared" si="30"/>
        <v>1251536</v>
      </c>
      <c r="H133" s="50">
        <f t="shared" si="30"/>
        <v>0</v>
      </c>
      <c r="I133" s="50">
        <f t="shared" si="30"/>
        <v>426000</v>
      </c>
      <c r="J133" s="50">
        <f t="shared" si="30"/>
        <v>27000</v>
      </c>
      <c r="K133" s="50">
        <f t="shared" si="30"/>
        <v>5000</v>
      </c>
      <c r="L133" s="50">
        <f t="shared" si="30"/>
        <v>0</v>
      </c>
      <c r="M133" s="50">
        <f t="shared" si="30"/>
        <v>399000</v>
      </c>
      <c r="N133" s="50">
        <f t="shared" si="30"/>
        <v>399000</v>
      </c>
      <c r="O133" s="50">
        <f t="shared" si="30"/>
        <v>23740400</v>
      </c>
      <c r="P133" s="255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 ht="22.5" customHeight="1">
      <c r="A134" s="5" t="s">
        <v>114</v>
      </c>
      <c r="B134" s="5" t="s">
        <v>115</v>
      </c>
      <c r="C134" s="13" t="s">
        <v>29</v>
      </c>
      <c r="D134" s="49">
        <f>'дод. 2'!E192</f>
        <v>16071720</v>
      </c>
      <c r="E134" s="49">
        <f>'дод. 2'!F192</f>
        <v>16071720</v>
      </c>
      <c r="F134" s="49">
        <f>'дод. 2'!G192</f>
        <v>11407051</v>
      </c>
      <c r="G134" s="49">
        <f>'дод. 2'!H192</f>
        <v>1115260</v>
      </c>
      <c r="H134" s="49">
        <f>'дод. 2'!I192</f>
        <v>0</v>
      </c>
      <c r="I134" s="49">
        <f>'дод. 2'!J192</f>
        <v>327000</v>
      </c>
      <c r="J134" s="49">
        <f>'дод. 2'!K192</f>
        <v>27000</v>
      </c>
      <c r="K134" s="49">
        <f>'дод. 2'!L192</f>
        <v>5000</v>
      </c>
      <c r="L134" s="49">
        <f>'дод. 2'!M192</f>
        <v>0</v>
      </c>
      <c r="M134" s="49">
        <f>'дод. 2'!N192</f>
        <v>300000</v>
      </c>
      <c r="N134" s="49">
        <f>'дод. 2'!O192</f>
        <v>300000</v>
      </c>
      <c r="O134" s="49">
        <f>'дод. 2'!P192</f>
        <v>16398720</v>
      </c>
      <c r="P134" s="255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</row>
    <row r="135" spans="1:35" ht="27.75" customHeight="1">
      <c r="A135" s="5" t="s">
        <v>31</v>
      </c>
      <c r="B135" s="5"/>
      <c r="C135" s="13" t="s">
        <v>463</v>
      </c>
      <c r="D135" s="49">
        <f>'дод. 2'!E26+'дод. 2'!E193</f>
        <v>7242680</v>
      </c>
      <c r="E135" s="49">
        <f>'дод. 2'!F26+'дод. 2'!F193</f>
        <v>7242680</v>
      </c>
      <c r="F135" s="49">
        <f>'дод. 2'!G26+'дод. 2'!G193</f>
        <v>2660623</v>
      </c>
      <c r="G135" s="49">
        <f>'дод. 2'!H26+'дод. 2'!H193</f>
        <v>136276</v>
      </c>
      <c r="H135" s="49">
        <f>'дод. 2'!I26+'дод. 2'!I193</f>
        <v>0</v>
      </c>
      <c r="I135" s="49">
        <f>'дод. 2'!J26+'дод. 2'!J193</f>
        <v>99000</v>
      </c>
      <c r="J135" s="49">
        <f>'дод. 2'!K26+'дод. 2'!K193</f>
        <v>0</v>
      </c>
      <c r="K135" s="49">
        <f>'дод. 2'!L26+'дод. 2'!L193</f>
        <v>0</v>
      </c>
      <c r="L135" s="49">
        <f>'дод. 2'!M26+'дод. 2'!M193</f>
        <v>0</v>
      </c>
      <c r="M135" s="49">
        <f>'дод. 2'!N26+'дод. 2'!N193</f>
        <v>99000</v>
      </c>
      <c r="N135" s="49">
        <f>'дод. 2'!O26+'дод. 2'!O193</f>
        <v>99000</v>
      </c>
      <c r="O135" s="49">
        <f>'дод. 2'!P26+'дод. 2'!P193</f>
        <v>7341680</v>
      </c>
      <c r="P135" s="255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</row>
    <row r="136" spans="1:35" s="8" customFormat="1" ht="39.75" customHeight="1">
      <c r="A136" s="7" t="s">
        <v>464</v>
      </c>
      <c r="B136" s="7" t="s">
        <v>116</v>
      </c>
      <c r="C136" s="14" t="s">
        <v>466</v>
      </c>
      <c r="D136" s="51">
        <f>'дод. 2'!E27+'дод. 2'!E194</f>
        <v>4922480</v>
      </c>
      <c r="E136" s="51">
        <f>'дод. 2'!F27+'дод. 2'!F194</f>
        <v>4922480</v>
      </c>
      <c r="F136" s="51">
        <f>'дод. 2'!G27+'дод. 2'!G194</f>
        <v>2660623</v>
      </c>
      <c r="G136" s="51">
        <f>'дод. 2'!H27+'дод. 2'!H194</f>
        <v>136276</v>
      </c>
      <c r="H136" s="51">
        <f>'дод. 2'!I27+'дод. 2'!I194</f>
        <v>0</v>
      </c>
      <c r="I136" s="51">
        <f>'дод. 2'!J27+'дод. 2'!J194</f>
        <v>99000</v>
      </c>
      <c r="J136" s="51">
        <f>'дод. 2'!K27+'дод. 2'!K194</f>
        <v>0</v>
      </c>
      <c r="K136" s="51">
        <f>'дод. 2'!L27+'дод. 2'!L194</f>
        <v>0</v>
      </c>
      <c r="L136" s="51">
        <f>'дод. 2'!M27+'дод. 2'!M194</f>
        <v>0</v>
      </c>
      <c r="M136" s="51">
        <f>'дод. 2'!N27+'дод. 2'!N194</f>
        <v>99000</v>
      </c>
      <c r="N136" s="51">
        <f>'дод. 2'!O27+'дод. 2'!O194</f>
        <v>99000</v>
      </c>
      <c r="O136" s="51">
        <f>'дод. 2'!P27+'дод. 2'!P194</f>
        <v>5021480</v>
      </c>
      <c r="P136" s="255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</row>
    <row r="137" spans="1:35" s="8" customFormat="1" ht="30" customHeight="1">
      <c r="A137" s="7" t="s">
        <v>465</v>
      </c>
      <c r="B137" s="7" t="s">
        <v>116</v>
      </c>
      <c r="C137" s="14" t="s">
        <v>467</v>
      </c>
      <c r="D137" s="51">
        <f>'дод. 2'!E28+'дод. 2'!E195</f>
        <v>2320200</v>
      </c>
      <c r="E137" s="51">
        <f>'дод. 2'!F28+'дод. 2'!F195</f>
        <v>2320200</v>
      </c>
      <c r="F137" s="51">
        <f>'дод. 2'!G28+'дод. 2'!G195</f>
        <v>0</v>
      </c>
      <c r="G137" s="51">
        <f>'дод. 2'!H28+'дод. 2'!H195</f>
        <v>0</v>
      </c>
      <c r="H137" s="51">
        <f>'дод. 2'!I28+'дод. 2'!I195</f>
        <v>0</v>
      </c>
      <c r="I137" s="51">
        <f>'дод. 2'!J28+'дод. 2'!J195</f>
        <v>0</v>
      </c>
      <c r="J137" s="51">
        <f>'дод. 2'!K28+'дод. 2'!K195</f>
        <v>0</v>
      </c>
      <c r="K137" s="51">
        <f>'дод. 2'!L28+'дод. 2'!L195</f>
        <v>0</v>
      </c>
      <c r="L137" s="51">
        <f>'дод. 2'!M28+'дод. 2'!M195</f>
        <v>0</v>
      </c>
      <c r="M137" s="51">
        <f>'дод. 2'!N28+'дод. 2'!N195</f>
        <v>0</v>
      </c>
      <c r="N137" s="51">
        <f>'дод. 2'!O28+'дод. 2'!O195</f>
        <v>0</v>
      </c>
      <c r="O137" s="51">
        <f>'дод. 2'!P28+'дод. 2'!P195</f>
        <v>2320200</v>
      </c>
      <c r="P137" s="255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</row>
    <row r="138" spans="1:35" s="22" customFormat="1" ht="21.75" customHeight="1">
      <c r="A138" s="23" t="s">
        <v>119</v>
      </c>
      <c r="B138" s="11"/>
      <c r="C138" s="11" t="s">
        <v>120</v>
      </c>
      <c r="D138" s="50">
        <f>D139+D142+D145</f>
        <v>31412790</v>
      </c>
      <c r="E138" s="50">
        <f aca="true" t="shared" si="31" ref="E138:O138">E139+E142+E145</f>
        <v>31412790</v>
      </c>
      <c r="F138" s="50">
        <f t="shared" si="31"/>
        <v>11362400</v>
      </c>
      <c r="G138" s="50">
        <f t="shared" si="31"/>
        <v>1192100</v>
      </c>
      <c r="H138" s="50">
        <f t="shared" si="31"/>
        <v>0</v>
      </c>
      <c r="I138" s="50">
        <f t="shared" si="31"/>
        <v>546687</v>
      </c>
      <c r="J138" s="50">
        <f t="shared" si="31"/>
        <v>226687</v>
      </c>
      <c r="K138" s="50">
        <f t="shared" si="31"/>
        <v>141022</v>
      </c>
      <c r="L138" s="50">
        <f t="shared" si="31"/>
        <v>53404</v>
      </c>
      <c r="M138" s="50">
        <f t="shared" si="31"/>
        <v>320000</v>
      </c>
      <c r="N138" s="50">
        <f t="shared" si="31"/>
        <v>320000</v>
      </c>
      <c r="O138" s="50">
        <f t="shared" si="31"/>
        <v>31959477</v>
      </c>
      <c r="P138" s="255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 ht="29.25" customHeight="1">
      <c r="A139" s="5" t="s">
        <v>121</v>
      </c>
      <c r="B139" s="13"/>
      <c r="C139" s="13" t="s">
        <v>42</v>
      </c>
      <c r="D139" s="49">
        <f>D140+D141</f>
        <v>1400000</v>
      </c>
      <c r="E139" s="49">
        <f aca="true" t="shared" si="32" ref="E139:O139">E140+E141</f>
        <v>1400000</v>
      </c>
      <c r="F139" s="49">
        <f t="shared" si="32"/>
        <v>0</v>
      </c>
      <c r="G139" s="49">
        <f t="shared" si="32"/>
        <v>0</v>
      </c>
      <c r="H139" s="49">
        <f t="shared" si="32"/>
        <v>0</v>
      </c>
      <c r="I139" s="49">
        <f t="shared" si="32"/>
        <v>0</v>
      </c>
      <c r="J139" s="49">
        <f t="shared" si="32"/>
        <v>0</v>
      </c>
      <c r="K139" s="49">
        <f t="shared" si="32"/>
        <v>0</v>
      </c>
      <c r="L139" s="49">
        <f t="shared" si="32"/>
        <v>0</v>
      </c>
      <c r="M139" s="49">
        <f t="shared" si="32"/>
        <v>0</v>
      </c>
      <c r="N139" s="49">
        <f t="shared" si="32"/>
        <v>0</v>
      </c>
      <c r="O139" s="49">
        <f t="shared" si="32"/>
        <v>1400000</v>
      </c>
      <c r="P139" s="255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</row>
    <row r="140" spans="1:35" s="8" customFormat="1" ht="43.5" customHeight="1">
      <c r="A140" s="7" t="s">
        <v>122</v>
      </c>
      <c r="B140" s="7" t="s">
        <v>123</v>
      </c>
      <c r="C140" s="14" t="s">
        <v>43</v>
      </c>
      <c r="D140" s="51">
        <f>'дод. 2'!E30</f>
        <v>700000</v>
      </c>
      <c r="E140" s="51">
        <f>'дод. 2'!F30</f>
        <v>700000</v>
      </c>
      <c r="F140" s="51">
        <f>'дод. 2'!G30</f>
        <v>0</v>
      </c>
      <c r="G140" s="51">
        <f>'дод. 2'!H30</f>
        <v>0</v>
      </c>
      <c r="H140" s="51">
        <f>'дод. 2'!I30</f>
        <v>0</v>
      </c>
      <c r="I140" s="51">
        <f>'дод. 2'!J30</f>
        <v>0</v>
      </c>
      <c r="J140" s="51">
        <f>'дод. 2'!K30</f>
        <v>0</v>
      </c>
      <c r="K140" s="51">
        <f>'дод. 2'!L30</f>
        <v>0</v>
      </c>
      <c r="L140" s="51">
        <f>'дод. 2'!M30</f>
        <v>0</v>
      </c>
      <c r="M140" s="51">
        <f>'дод. 2'!N30</f>
        <v>0</v>
      </c>
      <c r="N140" s="51">
        <f>'дод. 2'!O30</f>
        <v>0</v>
      </c>
      <c r="O140" s="51">
        <f>'дод. 2'!P30</f>
        <v>700000</v>
      </c>
      <c r="P140" s="255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</row>
    <row r="141" spans="1:35" s="8" customFormat="1" ht="39.75" customHeight="1">
      <c r="A141" s="7" t="s">
        <v>124</v>
      </c>
      <c r="B141" s="7" t="s">
        <v>123</v>
      </c>
      <c r="C141" s="14" t="s">
        <v>32</v>
      </c>
      <c r="D141" s="51">
        <f>'дод. 2'!E31</f>
        <v>700000</v>
      </c>
      <c r="E141" s="51">
        <f>'дод. 2'!F31</f>
        <v>700000</v>
      </c>
      <c r="F141" s="51">
        <f>'дод. 2'!G31</f>
        <v>0</v>
      </c>
      <c r="G141" s="51">
        <f>'дод. 2'!H31</f>
        <v>0</v>
      </c>
      <c r="H141" s="51">
        <f>'дод. 2'!I31</f>
        <v>0</v>
      </c>
      <c r="I141" s="51">
        <f>'дод. 2'!J31</f>
        <v>0</v>
      </c>
      <c r="J141" s="51">
        <f>'дод. 2'!K31</f>
        <v>0</v>
      </c>
      <c r="K141" s="51">
        <f>'дод. 2'!L31</f>
        <v>0</v>
      </c>
      <c r="L141" s="51">
        <f>'дод. 2'!M31</f>
        <v>0</v>
      </c>
      <c r="M141" s="51">
        <f>'дод. 2'!N31</f>
        <v>0</v>
      </c>
      <c r="N141" s="51">
        <f>'дод. 2'!O31</f>
        <v>0</v>
      </c>
      <c r="O141" s="51">
        <f>'дод. 2'!P31</f>
        <v>700000</v>
      </c>
      <c r="P141" s="255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</row>
    <row r="142" spans="1:35" ht="30.75" customHeight="1">
      <c r="A142" s="5" t="s">
        <v>174</v>
      </c>
      <c r="B142" s="5"/>
      <c r="C142" s="13" t="s">
        <v>177</v>
      </c>
      <c r="D142" s="49">
        <f>D143+D144</f>
        <v>21522790</v>
      </c>
      <c r="E142" s="49">
        <f aca="true" t="shared" si="33" ref="E142:O142">E143+E144</f>
        <v>21522790</v>
      </c>
      <c r="F142" s="49">
        <f t="shared" si="33"/>
        <v>9677400</v>
      </c>
      <c r="G142" s="49">
        <f t="shared" si="33"/>
        <v>784890</v>
      </c>
      <c r="H142" s="49">
        <f t="shared" si="33"/>
        <v>0</v>
      </c>
      <c r="I142" s="49">
        <f t="shared" si="33"/>
        <v>300000</v>
      </c>
      <c r="J142" s="49">
        <f t="shared" si="33"/>
        <v>0</v>
      </c>
      <c r="K142" s="49">
        <f t="shared" si="33"/>
        <v>0</v>
      </c>
      <c r="L142" s="49">
        <f t="shared" si="33"/>
        <v>0</v>
      </c>
      <c r="M142" s="49">
        <f t="shared" si="33"/>
        <v>300000</v>
      </c>
      <c r="N142" s="49">
        <f t="shared" si="33"/>
        <v>300000</v>
      </c>
      <c r="O142" s="49">
        <f t="shared" si="33"/>
        <v>21822790</v>
      </c>
      <c r="P142" s="255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</row>
    <row r="143" spans="1:35" s="8" customFormat="1" ht="36.75" customHeight="1">
      <c r="A143" s="7" t="s">
        <v>175</v>
      </c>
      <c r="B143" s="7" t="s">
        <v>123</v>
      </c>
      <c r="C143" s="14" t="s">
        <v>44</v>
      </c>
      <c r="D143" s="51">
        <f>'дод. 2'!E33+'дод. 2'!E79</f>
        <v>13900990</v>
      </c>
      <c r="E143" s="51">
        <f>'дод. 2'!F33+'дод. 2'!F79</f>
        <v>13900990</v>
      </c>
      <c r="F143" s="51">
        <f>'дод. 2'!G33+'дод. 2'!G79</f>
        <v>9677400</v>
      </c>
      <c r="G143" s="51">
        <f>'дод. 2'!H33+'дод. 2'!H79</f>
        <v>784890</v>
      </c>
      <c r="H143" s="51">
        <f>'дод. 2'!I33+'дод. 2'!I79</f>
        <v>0</v>
      </c>
      <c r="I143" s="51">
        <f>'дод. 2'!J33+'дод. 2'!J79</f>
        <v>300000</v>
      </c>
      <c r="J143" s="51">
        <f>'дод. 2'!K33+'дод. 2'!K79</f>
        <v>0</v>
      </c>
      <c r="K143" s="51">
        <f>'дод. 2'!L33+'дод. 2'!L79</f>
        <v>0</v>
      </c>
      <c r="L143" s="51">
        <f>'дод. 2'!M33+'дод. 2'!M79</f>
        <v>0</v>
      </c>
      <c r="M143" s="51">
        <f>'дод. 2'!N33+'дод. 2'!N79</f>
        <v>300000</v>
      </c>
      <c r="N143" s="51">
        <f>'дод. 2'!O33+'дод. 2'!O79</f>
        <v>300000</v>
      </c>
      <c r="O143" s="51">
        <f>'дод. 2'!P33+'дод. 2'!P79</f>
        <v>14200990</v>
      </c>
      <c r="P143" s="255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</row>
    <row r="144" spans="1:35" s="8" customFormat="1" ht="31.5" customHeight="1">
      <c r="A144" s="7" t="s">
        <v>176</v>
      </c>
      <c r="B144" s="7" t="s">
        <v>123</v>
      </c>
      <c r="C144" s="14" t="s">
        <v>45</v>
      </c>
      <c r="D144" s="51">
        <f>'дод. 2'!E34</f>
        <v>7621800</v>
      </c>
      <c r="E144" s="51">
        <f>'дод. 2'!F34</f>
        <v>7621800</v>
      </c>
      <c r="F144" s="51">
        <f>'дод. 2'!G34</f>
        <v>0</v>
      </c>
      <c r="G144" s="51">
        <f>'дод. 2'!H34</f>
        <v>0</v>
      </c>
      <c r="H144" s="51">
        <f>'дод. 2'!I34</f>
        <v>0</v>
      </c>
      <c r="I144" s="51">
        <f>'дод. 2'!J34</f>
        <v>0</v>
      </c>
      <c r="J144" s="51">
        <f>'дод. 2'!K34</f>
        <v>0</v>
      </c>
      <c r="K144" s="51">
        <f>'дод. 2'!L34</f>
        <v>0</v>
      </c>
      <c r="L144" s="51">
        <f>'дод. 2'!M34</f>
        <v>0</v>
      </c>
      <c r="M144" s="51">
        <f>'дод. 2'!N34</f>
        <v>0</v>
      </c>
      <c r="N144" s="51">
        <f>'дод. 2'!O34</f>
        <v>0</v>
      </c>
      <c r="O144" s="51">
        <f>'дод. 2'!P34</f>
        <v>7621800</v>
      </c>
      <c r="P144" s="255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</row>
    <row r="145" spans="1:35" ht="29.25" customHeight="1">
      <c r="A145" s="5" t="s">
        <v>125</v>
      </c>
      <c r="B145" s="5"/>
      <c r="C145" s="13" t="s">
        <v>169</v>
      </c>
      <c r="D145" s="49">
        <f>D146+D147</f>
        <v>8490000</v>
      </c>
      <c r="E145" s="49">
        <f aca="true" t="shared" si="34" ref="E145:O145">E146+E147</f>
        <v>8490000</v>
      </c>
      <c r="F145" s="49">
        <f t="shared" si="34"/>
        <v>1685000</v>
      </c>
      <c r="G145" s="49">
        <f t="shared" si="34"/>
        <v>407210</v>
      </c>
      <c r="H145" s="49">
        <f t="shared" si="34"/>
        <v>0</v>
      </c>
      <c r="I145" s="49">
        <f t="shared" si="34"/>
        <v>246687</v>
      </c>
      <c r="J145" s="49">
        <f t="shared" si="34"/>
        <v>226687</v>
      </c>
      <c r="K145" s="49">
        <f t="shared" si="34"/>
        <v>141022</v>
      </c>
      <c r="L145" s="49">
        <f t="shared" si="34"/>
        <v>53404</v>
      </c>
      <c r="M145" s="49">
        <f t="shared" si="34"/>
        <v>20000</v>
      </c>
      <c r="N145" s="49">
        <f t="shared" si="34"/>
        <v>20000</v>
      </c>
      <c r="O145" s="49">
        <f t="shared" si="34"/>
        <v>8736687</v>
      </c>
      <c r="P145" s="255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</row>
    <row r="146" spans="1:35" s="8" customFormat="1" ht="75" customHeight="1">
      <c r="A146" s="7" t="s">
        <v>170</v>
      </c>
      <c r="B146" s="7" t="s">
        <v>123</v>
      </c>
      <c r="C146" s="14" t="s">
        <v>171</v>
      </c>
      <c r="D146" s="51">
        <f>'дод. 2'!E36</f>
        <v>3246540</v>
      </c>
      <c r="E146" s="51">
        <f>'дод. 2'!F36</f>
        <v>3246540</v>
      </c>
      <c r="F146" s="51">
        <f>'дод. 2'!G36</f>
        <v>1685000</v>
      </c>
      <c r="G146" s="51">
        <f>'дод. 2'!H36</f>
        <v>407210</v>
      </c>
      <c r="H146" s="51">
        <f>'дод. 2'!I36</f>
        <v>0</v>
      </c>
      <c r="I146" s="51">
        <f>'дод. 2'!J36</f>
        <v>246687</v>
      </c>
      <c r="J146" s="51">
        <f>'дод. 2'!K36</f>
        <v>226687</v>
      </c>
      <c r="K146" s="51">
        <f>'дод. 2'!L36</f>
        <v>141022</v>
      </c>
      <c r="L146" s="51">
        <f>'дод. 2'!M36</f>
        <v>53404</v>
      </c>
      <c r="M146" s="51">
        <f>'дод. 2'!N36</f>
        <v>20000</v>
      </c>
      <c r="N146" s="51">
        <f>'дод. 2'!O36</f>
        <v>20000</v>
      </c>
      <c r="O146" s="51">
        <f>'дод. 2'!P36</f>
        <v>3493227</v>
      </c>
      <c r="P146" s="255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</row>
    <row r="147" spans="1:35" s="8" customFormat="1" ht="54" customHeight="1">
      <c r="A147" s="7" t="s">
        <v>173</v>
      </c>
      <c r="B147" s="7" t="s">
        <v>123</v>
      </c>
      <c r="C147" s="14" t="s">
        <v>172</v>
      </c>
      <c r="D147" s="51">
        <f>'дод. 2'!E37</f>
        <v>5243460</v>
      </c>
      <c r="E147" s="51">
        <f>'дод. 2'!F37</f>
        <v>5243460</v>
      </c>
      <c r="F147" s="51">
        <f>'дод. 2'!G37</f>
        <v>0</v>
      </c>
      <c r="G147" s="51">
        <f>'дод. 2'!H37</f>
        <v>0</v>
      </c>
      <c r="H147" s="51">
        <f>'дод. 2'!I37</f>
        <v>0</v>
      </c>
      <c r="I147" s="51">
        <f>'дод. 2'!J37</f>
        <v>0</v>
      </c>
      <c r="J147" s="51">
        <f>'дод. 2'!K37</f>
        <v>0</v>
      </c>
      <c r="K147" s="51">
        <f>'дод. 2'!L37</f>
        <v>0</v>
      </c>
      <c r="L147" s="51">
        <f>'дод. 2'!M37</f>
        <v>0</v>
      </c>
      <c r="M147" s="51">
        <f>'дод. 2'!N37</f>
        <v>0</v>
      </c>
      <c r="N147" s="51">
        <f>'дод. 2'!O37</f>
        <v>0</v>
      </c>
      <c r="O147" s="51">
        <f>'дод. 2'!P37</f>
        <v>5243460</v>
      </c>
      <c r="P147" s="255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</row>
    <row r="148" spans="1:35" s="22" customFormat="1" ht="27" customHeight="1">
      <c r="A148" s="23" t="s">
        <v>106</v>
      </c>
      <c r="B148" s="11"/>
      <c r="C148" s="11" t="s">
        <v>107</v>
      </c>
      <c r="D148" s="50">
        <f>D149+D154+D155+D156+D158</f>
        <v>126902286</v>
      </c>
      <c r="E148" s="50">
        <f aca="true" t="shared" si="35" ref="E148:O148">E149+E154+E155+E156+E158</f>
        <v>123165411</v>
      </c>
      <c r="F148" s="50">
        <f t="shared" si="35"/>
        <v>0</v>
      </c>
      <c r="G148" s="50">
        <f t="shared" si="35"/>
        <v>17506320</v>
      </c>
      <c r="H148" s="50">
        <f t="shared" si="35"/>
        <v>3736875</v>
      </c>
      <c r="I148" s="50">
        <f t="shared" si="35"/>
        <v>204879152</v>
      </c>
      <c r="J148" s="50">
        <f t="shared" si="35"/>
        <v>39048</v>
      </c>
      <c r="K148" s="50">
        <f t="shared" si="35"/>
        <v>0</v>
      </c>
      <c r="L148" s="50">
        <f t="shared" si="35"/>
        <v>0</v>
      </c>
      <c r="M148" s="50">
        <f t="shared" si="35"/>
        <v>204840104</v>
      </c>
      <c r="N148" s="50">
        <f t="shared" si="35"/>
        <v>204840104</v>
      </c>
      <c r="O148" s="50">
        <f t="shared" si="35"/>
        <v>331781438</v>
      </c>
      <c r="P148" s="255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 ht="34.5" customHeight="1">
      <c r="A149" s="5" t="s">
        <v>108</v>
      </c>
      <c r="B149" s="5"/>
      <c r="C149" s="13" t="s">
        <v>204</v>
      </c>
      <c r="D149" s="49">
        <f>D150+D151+D153+D152</f>
        <v>4799000</v>
      </c>
      <c r="E149" s="49">
        <f aca="true" t="shared" si="36" ref="E149:O149">E150+E151+E153+E152</f>
        <v>1703000</v>
      </c>
      <c r="F149" s="49">
        <f t="shared" si="36"/>
        <v>0</v>
      </c>
      <c r="G149" s="49">
        <f t="shared" si="36"/>
        <v>0</v>
      </c>
      <c r="H149" s="49">
        <f t="shared" si="36"/>
        <v>3096000</v>
      </c>
      <c r="I149" s="49">
        <f t="shared" si="36"/>
        <v>60750000</v>
      </c>
      <c r="J149" s="49">
        <f t="shared" si="36"/>
        <v>0</v>
      </c>
      <c r="K149" s="49">
        <f t="shared" si="36"/>
        <v>0</v>
      </c>
      <c r="L149" s="49">
        <f t="shared" si="36"/>
        <v>0</v>
      </c>
      <c r="M149" s="49">
        <f t="shared" si="36"/>
        <v>60750000</v>
      </c>
      <c r="N149" s="49">
        <f t="shared" si="36"/>
        <v>60750000</v>
      </c>
      <c r="O149" s="49">
        <f t="shared" si="36"/>
        <v>65549000</v>
      </c>
      <c r="P149" s="255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</row>
    <row r="150" spans="1:35" s="8" customFormat="1" ht="33.75" customHeight="1">
      <c r="A150" s="7" t="s">
        <v>205</v>
      </c>
      <c r="B150" s="7" t="s">
        <v>111</v>
      </c>
      <c r="C150" s="14" t="s">
        <v>206</v>
      </c>
      <c r="D150" s="51">
        <f>'дод. 2'!E202</f>
        <v>0</v>
      </c>
      <c r="E150" s="51">
        <f>'дод. 2'!F202</f>
        <v>0</v>
      </c>
      <c r="F150" s="51">
        <f>'дод. 2'!G202</f>
        <v>0</v>
      </c>
      <c r="G150" s="51">
        <f>'дод. 2'!H202</f>
        <v>0</v>
      </c>
      <c r="H150" s="51">
        <f>'дод. 2'!I202</f>
        <v>0</v>
      </c>
      <c r="I150" s="51">
        <f>'дод. 2'!J202</f>
        <v>30750000</v>
      </c>
      <c r="J150" s="51">
        <f>'дод. 2'!K202</f>
        <v>0</v>
      </c>
      <c r="K150" s="51">
        <f>'дод. 2'!L202</f>
        <v>0</v>
      </c>
      <c r="L150" s="51">
        <f>'дод. 2'!M202</f>
        <v>0</v>
      </c>
      <c r="M150" s="51">
        <f>'дод. 2'!N202</f>
        <v>30750000</v>
      </c>
      <c r="N150" s="51">
        <f>'дод. 2'!O202</f>
        <v>30750000</v>
      </c>
      <c r="O150" s="51">
        <f>'дод. 2'!P202</f>
        <v>30750000</v>
      </c>
      <c r="P150" s="255">
        <v>29</v>
      </c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</row>
    <row r="151" spans="1:35" s="8" customFormat="1" ht="36.75" customHeight="1">
      <c r="A151" s="7" t="s">
        <v>207</v>
      </c>
      <c r="B151" s="7" t="s">
        <v>111</v>
      </c>
      <c r="C151" s="14" t="s">
        <v>235</v>
      </c>
      <c r="D151" s="51">
        <f>'дод. 2'!E203</f>
        <v>3296000</v>
      </c>
      <c r="E151" s="51">
        <f>'дод. 2'!F203</f>
        <v>200000</v>
      </c>
      <c r="F151" s="51">
        <f>'дод. 2'!G203</f>
        <v>0</v>
      </c>
      <c r="G151" s="51">
        <f>'дод. 2'!H203</f>
        <v>0</v>
      </c>
      <c r="H151" s="51">
        <f>'дод. 2'!I203</f>
        <v>3096000</v>
      </c>
      <c r="I151" s="51">
        <f>'дод. 2'!J203</f>
        <v>0</v>
      </c>
      <c r="J151" s="51">
        <f>'дод. 2'!K203</f>
        <v>0</v>
      </c>
      <c r="K151" s="51">
        <f>'дод. 2'!L203</f>
        <v>0</v>
      </c>
      <c r="L151" s="51">
        <f>'дод. 2'!M203</f>
        <v>0</v>
      </c>
      <c r="M151" s="51">
        <f>'дод. 2'!N203</f>
        <v>0</v>
      </c>
      <c r="N151" s="51">
        <f>'дод. 2'!O203</f>
        <v>0</v>
      </c>
      <c r="O151" s="51">
        <f>'дод. 2'!P203</f>
        <v>3296000</v>
      </c>
      <c r="P151" s="255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</row>
    <row r="152" spans="1:35" s="8" customFormat="1" ht="36.75" customHeight="1">
      <c r="A152" s="28" t="s">
        <v>406</v>
      </c>
      <c r="B152" s="28" t="s">
        <v>111</v>
      </c>
      <c r="C152" s="14" t="s">
        <v>407</v>
      </c>
      <c r="D152" s="51">
        <f>'дод. 2'!E204</f>
        <v>503000</v>
      </c>
      <c r="E152" s="51">
        <f>'дод. 2'!F204</f>
        <v>503000</v>
      </c>
      <c r="F152" s="51">
        <f>'дод. 2'!G204</f>
        <v>0</v>
      </c>
      <c r="G152" s="51">
        <f>'дод. 2'!H204</f>
        <v>0</v>
      </c>
      <c r="H152" s="51">
        <f>'дод. 2'!I204</f>
        <v>0</v>
      </c>
      <c r="I152" s="51">
        <f>'дод. 2'!J204</f>
        <v>30000000</v>
      </c>
      <c r="J152" s="51">
        <f>'дод. 2'!K204</f>
        <v>0</v>
      </c>
      <c r="K152" s="51">
        <f>'дод. 2'!L204</f>
        <v>0</v>
      </c>
      <c r="L152" s="51">
        <f>'дод. 2'!M204</f>
        <v>0</v>
      </c>
      <c r="M152" s="51">
        <f>'дод. 2'!N204</f>
        <v>30000000</v>
      </c>
      <c r="N152" s="51">
        <f>'дод. 2'!O204</f>
        <v>30000000</v>
      </c>
      <c r="O152" s="51">
        <f>'дод. 2'!P204</f>
        <v>30503000</v>
      </c>
      <c r="P152" s="255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</row>
    <row r="153" spans="1:35" s="8" customFormat="1" ht="33" customHeight="1">
      <c r="A153" s="7" t="s">
        <v>409</v>
      </c>
      <c r="B153" s="7" t="s">
        <v>111</v>
      </c>
      <c r="C153" s="14" t="s">
        <v>410</v>
      </c>
      <c r="D153" s="51">
        <f>'дод. 2'!E205</f>
        <v>1000000</v>
      </c>
      <c r="E153" s="51">
        <f>'дод. 2'!F205</f>
        <v>1000000</v>
      </c>
      <c r="F153" s="51">
        <f>'дод. 2'!G205</f>
        <v>0</v>
      </c>
      <c r="G153" s="51">
        <f>'дод. 2'!H205</f>
        <v>0</v>
      </c>
      <c r="H153" s="51">
        <f>'дод. 2'!I205</f>
        <v>0</v>
      </c>
      <c r="I153" s="51">
        <f>'дод. 2'!J205</f>
        <v>0</v>
      </c>
      <c r="J153" s="51">
        <f>'дод. 2'!K205</f>
        <v>0</v>
      </c>
      <c r="K153" s="51">
        <f>'дод. 2'!L205</f>
        <v>0</v>
      </c>
      <c r="L153" s="51">
        <f>'дод. 2'!M205</f>
        <v>0</v>
      </c>
      <c r="M153" s="51">
        <f>'дод. 2'!N205</f>
        <v>0</v>
      </c>
      <c r="N153" s="51">
        <f>'дод. 2'!O205</f>
        <v>0</v>
      </c>
      <c r="O153" s="51">
        <f>'дод. 2'!P205</f>
        <v>1000000</v>
      </c>
      <c r="P153" s="255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</row>
    <row r="154" spans="1:35" s="8" customFormat="1" ht="52.5" customHeight="1">
      <c r="A154" s="5" t="s">
        <v>110</v>
      </c>
      <c r="B154" s="5" t="s">
        <v>111</v>
      </c>
      <c r="C154" s="13" t="s">
        <v>210</v>
      </c>
      <c r="D154" s="49">
        <f>'дод. 2'!E206</f>
        <v>300000</v>
      </c>
      <c r="E154" s="49">
        <f>'дод. 2'!F206</f>
        <v>0</v>
      </c>
      <c r="F154" s="49">
        <f>'дод. 2'!G206</f>
        <v>0</v>
      </c>
      <c r="G154" s="49">
        <f>'дод. 2'!H206</f>
        <v>0</v>
      </c>
      <c r="H154" s="49">
        <f>'дод. 2'!I206</f>
        <v>300000</v>
      </c>
      <c r="I154" s="49">
        <f>'дод. 2'!J206</f>
        <v>0</v>
      </c>
      <c r="J154" s="49">
        <f>'дод. 2'!K206</f>
        <v>0</v>
      </c>
      <c r="K154" s="49">
        <f>'дод. 2'!L206</f>
        <v>0</v>
      </c>
      <c r="L154" s="49">
        <f>'дод. 2'!M206</f>
        <v>0</v>
      </c>
      <c r="M154" s="49">
        <f>'дод. 2'!N206</f>
        <v>0</v>
      </c>
      <c r="N154" s="49">
        <f>'дод. 2'!O206</f>
        <v>0</v>
      </c>
      <c r="O154" s="49">
        <f>'дод. 2'!P206</f>
        <v>300000</v>
      </c>
      <c r="P154" s="255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</row>
    <row r="155" spans="1:35" ht="30" customHeight="1">
      <c r="A155" s="5" t="s">
        <v>208</v>
      </c>
      <c r="B155" s="5" t="s">
        <v>111</v>
      </c>
      <c r="C155" s="13" t="s">
        <v>209</v>
      </c>
      <c r="D155" s="49">
        <f>'дод. 2'!E225+'дод. 2'!E207</f>
        <v>118516210</v>
      </c>
      <c r="E155" s="49">
        <f>'дод. 2'!F225+'дод. 2'!F207</f>
        <v>118336210</v>
      </c>
      <c r="F155" s="49">
        <f>'дод. 2'!G225+'дод. 2'!G207</f>
        <v>0</v>
      </c>
      <c r="G155" s="49">
        <f>'дод. 2'!H225+'дод. 2'!H207</f>
        <v>17466320</v>
      </c>
      <c r="H155" s="49">
        <f>'дод. 2'!I225+'дод. 2'!I207</f>
        <v>180000</v>
      </c>
      <c r="I155" s="49">
        <f>'дод. 2'!J225+'дод. 2'!J207</f>
        <v>144090104</v>
      </c>
      <c r="J155" s="49">
        <f>'дод. 2'!K225+'дод. 2'!K207</f>
        <v>0</v>
      </c>
      <c r="K155" s="49">
        <f>'дод. 2'!L225+'дод. 2'!L207</f>
        <v>0</v>
      </c>
      <c r="L155" s="49">
        <f>'дод. 2'!M225+'дод. 2'!M207</f>
        <v>0</v>
      </c>
      <c r="M155" s="49">
        <f>'дод. 2'!N225+'дод. 2'!N207</f>
        <v>144090104</v>
      </c>
      <c r="N155" s="49">
        <f>'дод. 2'!O225+'дод. 2'!O207</f>
        <v>144090104</v>
      </c>
      <c r="O155" s="49">
        <f>'дод. 2'!P225+'дод. 2'!P207</f>
        <v>262606314</v>
      </c>
      <c r="P155" s="255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</row>
    <row r="156" spans="1:35" ht="24" customHeight="1">
      <c r="A156" s="5" t="s">
        <v>226</v>
      </c>
      <c r="B156" s="5"/>
      <c r="C156" s="13" t="s">
        <v>227</v>
      </c>
      <c r="D156" s="49">
        <f aca="true" t="shared" si="37" ref="D156:O156">D157</f>
        <v>84906</v>
      </c>
      <c r="E156" s="49">
        <f t="shared" si="37"/>
        <v>84906</v>
      </c>
      <c r="F156" s="49">
        <f t="shared" si="37"/>
        <v>0</v>
      </c>
      <c r="G156" s="49">
        <f t="shared" si="37"/>
        <v>0</v>
      </c>
      <c r="H156" s="49">
        <f t="shared" si="37"/>
        <v>0</v>
      </c>
      <c r="I156" s="49">
        <f t="shared" si="37"/>
        <v>39048</v>
      </c>
      <c r="J156" s="49">
        <f t="shared" si="37"/>
        <v>39048</v>
      </c>
      <c r="K156" s="49">
        <f t="shared" si="37"/>
        <v>0</v>
      </c>
      <c r="L156" s="49">
        <f t="shared" si="37"/>
        <v>0</v>
      </c>
      <c r="M156" s="49">
        <f t="shared" si="37"/>
        <v>0</v>
      </c>
      <c r="N156" s="49">
        <f t="shared" si="37"/>
        <v>0</v>
      </c>
      <c r="O156" s="49">
        <f t="shared" si="37"/>
        <v>123954</v>
      </c>
      <c r="P156" s="255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</row>
    <row r="157" spans="1:35" s="8" customFormat="1" ht="67.5" customHeight="1">
      <c r="A157" s="7" t="s">
        <v>212</v>
      </c>
      <c r="B157" s="9" t="s">
        <v>109</v>
      </c>
      <c r="C157" s="14" t="s">
        <v>213</v>
      </c>
      <c r="D157" s="51">
        <f>'дод. 2'!E227</f>
        <v>84906</v>
      </c>
      <c r="E157" s="51">
        <f>'дод. 2'!F227</f>
        <v>84906</v>
      </c>
      <c r="F157" s="51">
        <f>'дод. 2'!G227</f>
        <v>0</v>
      </c>
      <c r="G157" s="51">
        <f>'дод. 2'!H227</f>
        <v>0</v>
      </c>
      <c r="H157" s="51">
        <f>'дод. 2'!I227</f>
        <v>0</v>
      </c>
      <c r="I157" s="51">
        <f>'дод. 2'!J227</f>
        <v>39048</v>
      </c>
      <c r="J157" s="51">
        <f>'дод. 2'!K227</f>
        <v>39048</v>
      </c>
      <c r="K157" s="51">
        <f>'дод. 2'!L227</f>
        <v>0</v>
      </c>
      <c r="L157" s="51">
        <f>'дод. 2'!M227</f>
        <v>0</v>
      </c>
      <c r="M157" s="51">
        <f>'дод. 2'!N227</f>
        <v>0</v>
      </c>
      <c r="N157" s="51">
        <f>'дод. 2'!O227</f>
        <v>0</v>
      </c>
      <c r="O157" s="51">
        <f>'дод. 2'!P227</f>
        <v>123954</v>
      </c>
      <c r="P157" s="255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</row>
    <row r="158" spans="1:35" ht="39.75" customHeight="1">
      <c r="A158" s="5" t="s">
        <v>228</v>
      </c>
      <c r="B158" s="12" t="s">
        <v>492</v>
      </c>
      <c r="C158" s="13" t="s">
        <v>229</v>
      </c>
      <c r="D158" s="49">
        <f>'дод. 2'!E208+'дод. 2'!E221+'дод. 2'!E240</f>
        <v>3202170</v>
      </c>
      <c r="E158" s="49">
        <f>'дод. 2'!F208+'дод. 2'!F221+'дод. 2'!F240</f>
        <v>3041295</v>
      </c>
      <c r="F158" s="49">
        <f>'дод. 2'!G208+'дод. 2'!G221+'дод. 2'!G240</f>
        <v>0</v>
      </c>
      <c r="G158" s="49">
        <f>'дод. 2'!H208+'дод. 2'!H221+'дод. 2'!H240</f>
        <v>40000</v>
      </c>
      <c r="H158" s="49">
        <f>'дод. 2'!I208+'дод. 2'!I221+'дод. 2'!I240</f>
        <v>160875</v>
      </c>
      <c r="I158" s="49">
        <f>'дод. 2'!J208+'дод. 2'!J221+'дод. 2'!J240</f>
        <v>0</v>
      </c>
      <c r="J158" s="49">
        <f>'дод. 2'!K208+'дод. 2'!K221+'дод. 2'!K240</f>
        <v>0</v>
      </c>
      <c r="K158" s="49">
        <f>'дод. 2'!L208+'дод. 2'!L221+'дод. 2'!L240</f>
        <v>0</v>
      </c>
      <c r="L158" s="49">
        <f>'дод. 2'!M208+'дод. 2'!M221+'дод. 2'!M240</f>
        <v>0</v>
      </c>
      <c r="M158" s="49">
        <f>'дод. 2'!N208+'дод. 2'!N221+'дод. 2'!N240</f>
        <v>0</v>
      </c>
      <c r="N158" s="49">
        <f>'дод. 2'!O208+'дод. 2'!O221+'дод. 2'!O240</f>
        <v>0</v>
      </c>
      <c r="O158" s="49">
        <f>'дод. 2'!P208+'дод. 2'!P221+'дод. 2'!P240</f>
        <v>3202170</v>
      </c>
      <c r="P158" s="255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</row>
    <row r="159" spans="1:35" s="22" customFormat="1" ht="29.25" customHeight="1">
      <c r="A159" s="23" t="s">
        <v>214</v>
      </c>
      <c r="B159" s="11"/>
      <c r="C159" s="11" t="s">
        <v>215</v>
      </c>
      <c r="D159" s="50">
        <f aca="true" t="shared" si="38" ref="D159:O159">D160+D162+D170+D177+D179</f>
        <v>36695193</v>
      </c>
      <c r="E159" s="50">
        <f t="shared" si="38"/>
        <v>14050557</v>
      </c>
      <c r="F159" s="50">
        <f t="shared" si="38"/>
        <v>0</v>
      </c>
      <c r="G159" s="50">
        <f t="shared" si="38"/>
        <v>0</v>
      </c>
      <c r="H159" s="50">
        <f t="shared" si="38"/>
        <v>22644636</v>
      </c>
      <c r="I159" s="50">
        <f t="shared" si="38"/>
        <v>157121946</v>
      </c>
      <c r="J159" s="50">
        <f t="shared" si="38"/>
        <v>484946</v>
      </c>
      <c r="K159" s="50">
        <f t="shared" si="38"/>
        <v>0</v>
      </c>
      <c r="L159" s="50">
        <f t="shared" si="38"/>
        <v>0</v>
      </c>
      <c r="M159" s="50">
        <f t="shared" si="38"/>
        <v>156637000</v>
      </c>
      <c r="N159" s="50">
        <f t="shared" si="38"/>
        <v>155837000</v>
      </c>
      <c r="O159" s="50">
        <f t="shared" si="38"/>
        <v>193817139</v>
      </c>
      <c r="P159" s="255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 s="22" customFormat="1" ht="31.5">
      <c r="A160" s="23" t="s">
        <v>230</v>
      </c>
      <c r="B160" s="11"/>
      <c r="C160" s="11" t="s">
        <v>231</v>
      </c>
      <c r="D160" s="50">
        <f aca="true" t="shared" si="39" ref="D160:O160">D161</f>
        <v>550000</v>
      </c>
      <c r="E160" s="50">
        <f t="shared" si="39"/>
        <v>550000</v>
      </c>
      <c r="F160" s="50">
        <f t="shared" si="39"/>
        <v>0</v>
      </c>
      <c r="G160" s="50">
        <f t="shared" si="39"/>
        <v>0</v>
      </c>
      <c r="H160" s="50">
        <f t="shared" si="39"/>
        <v>0</v>
      </c>
      <c r="I160" s="50">
        <f t="shared" si="39"/>
        <v>0</v>
      </c>
      <c r="J160" s="50">
        <f t="shared" si="39"/>
        <v>0</v>
      </c>
      <c r="K160" s="50">
        <f t="shared" si="39"/>
        <v>0</v>
      </c>
      <c r="L160" s="50">
        <f t="shared" si="39"/>
        <v>0</v>
      </c>
      <c r="M160" s="50">
        <f t="shared" si="39"/>
        <v>0</v>
      </c>
      <c r="N160" s="50">
        <f t="shared" si="39"/>
        <v>0</v>
      </c>
      <c r="O160" s="50">
        <f t="shared" si="39"/>
        <v>550000</v>
      </c>
      <c r="P160" s="255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 ht="24" customHeight="1">
      <c r="A161" s="5" t="s">
        <v>216</v>
      </c>
      <c r="B161" s="5" t="s">
        <v>127</v>
      </c>
      <c r="C161" s="13" t="s">
        <v>217</v>
      </c>
      <c r="D161" s="49">
        <f>'дод. 2'!E249</f>
        <v>550000</v>
      </c>
      <c r="E161" s="49">
        <f>'дод. 2'!F249</f>
        <v>550000</v>
      </c>
      <c r="F161" s="49">
        <f>'дод. 2'!G249</f>
        <v>0</v>
      </c>
      <c r="G161" s="49">
        <f>'дод. 2'!H249</f>
        <v>0</v>
      </c>
      <c r="H161" s="49">
        <f>'дод. 2'!I249</f>
        <v>0</v>
      </c>
      <c r="I161" s="49">
        <f>'дод. 2'!J249</f>
        <v>0</v>
      </c>
      <c r="J161" s="49">
        <f>'дод. 2'!K249</f>
        <v>0</v>
      </c>
      <c r="K161" s="49">
        <f>'дод. 2'!L249</f>
        <v>0</v>
      </c>
      <c r="L161" s="49">
        <f>'дод. 2'!M249</f>
        <v>0</v>
      </c>
      <c r="M161" s="49">
        <f>'дод. 2'!N249</f>
        <v>0</v>
      </c>
      <c r="N161" s="49">
        <f>'дод. 2'!O249</f>
        <v>0</v>
      </c>
      <c r="O161" s="49">
        <f>'дод. 2'!P249</f>
        <v>550000</v>
      </c>
      <c r="P161" s="255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</row>
    <row r="162" spans="1:35" s="22" customFormat="1" ht="27.75" customHeight="1">
      <c r="A162" s="23" t="s">
        <v>144</v>
      </c>
      <c r="B162" s="23"/>
      <c r="C162" s="82" t="s">
        <v>218</v>
      </c>
      <c r="D162" s="50">
        <f>D163+D164+D168+D169</f>
        <v>0</v>
      </c>
      <c r="E162" s="50">
        <f aca="true" t="shared" si="40" ref="E162:O162">E163+E164+E168+E169</f>
        <v>0</v>
      </c>
      <c r="F162" s="50">
        <f t="shared" si="40"/>
        <v>0</v>
      </c>
      <c r="G162" s="50">
        <f t="shared" si="40"/>
        <v>0</v>
      </c>
      <c r="H162" s="50">
        <f t="shared" si="40"/>
        <v>0</v>
      </c>
      <c r="I162" s="50">
        <f t="shared" si="40"/>
        <v>76920000</v>
      </c>
      <c r="J162" s="50">
        <f t="shared" si="40"/>
        <v>0</v>
      </c>
      <c r="K162" s="50">
        <f t="shared" si="40"/>
        <v>0</v>
      </c>
      <c r="L162" s="50">
        <f t="shared" si="40"/>
        <v>0</v>
      </c>
      <c r="M162" s="50">
        <f t="shared" si="40"/>
        <v>76920000</v>
      </c>
      <c r="N162" s="50">
        <f t="shared" si="40"/>
        <v>76920000</v>
      </c>
      <c r="O162" s="50">
        <f t="shared" si="40"/>
        <v>76920000</v>
      </c>
      <c r="P162" s="255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 ht="32.25" customHeight="1">
      <c r="A163" s="27" t="s">
        <v>425</v>
      </c>
      <c r="B163" s="27" t="s">
        <v>166</v>
      </c>
      <c r="C163" s="13" t="s">
        <v>438</v>
      </c>
      <c r="D163" s="49">
        <f>'дод. 2'!E209+'дод. 2'!E228</f>
        <v>0</v>
      </c>
      <c r="E163" s="49">
        <f>'дод. 2'!F209+'дод. 2'!F228</f>
        <v>0</v>
      </c>
      <c r="F163" s="49">
        <f>'дод. 2'!G209+'дод. 2'!G228</f>
        <v>0</v>
      </c>
      <c r="G163" s="49">
        <f>'дод. 2'!H209+'дод. 2'!H228</f>
        <v>0</v>
      </c>
      <c r="H163" s="49">
        <f>'дод. 2'!I209+'дод. 2'!I228</f>
        <v>0</v>
      </c>
      <c r="I163" s="49">
        <f>'дод. 2'!J209+'дод. 2'!J228</f>
        <v>12400000</v>
      </c>
      <c r="J163" s="49">
        <f>'дод. 2'!K209+'дод. 2'!K228</f>
        <v>0</v>
      </c>
      <c r="K163" s="49">
        <f>'дод. 2'!L209+'дод. 2'!L228</f>
        <v>0</v>
      </c>
      <c r="L163" s="49">
        <f>'дод. 2'!M209+'дод. 2'!M228</f>
        <v>0</v>
      </c>
      <c r="M163" s="49">
        <f>'дод. 2'!N209+'дод. 2'!N228</f>
        <v>12400000</v>
      </c>
      <c r="N163" s="49">
        <f>'дод. 2'!O209+'дод. 2'!O228</f>
        <v>12400000</v>
      </c>
      <c r="O163" s="49">
        <f>'дод. 2'!P209+'дод. 2'!P228</f>
        <v>12400000</v>
      </c>
      <c r="P163" s="255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</row>
    <row r="164" spans="1:35" ht="32.25" customHeight="1">
      <c r="A164" s="27" t="s">
        <v>430</v>
      </c>
      <c r="B164" s="27" t="s">
        <v>166</v>
      </c>
      <c r="C164" s="13" t="s">
        <v>440</v>
      </c>
      <c r="D164" s="49">
        <f>D165+D166+D167</f>
        <v>0</v>
      </c>
      <c r="E164" s="49">
        <f aca="true" t="shared" si="41" ref="E164:O164">E165+E166+E167</f>
        <v>0</v>
      </c>
      <c r="F164" s="49">
        <f t="shared" si="41"/>
        <v>0</v>
      </c>
      <c r="G164" s="49">
        <f t="shared" si="41"/>
        <v>0</v>
      </c>
      <c r="H164" s="49">
        <f t="shared" si="41"/>
        <v>0</v>
      </c>
      <c r="I164" s="49">
        <f t="shared" si="41"/>
        <v>24741000</v>
      </c>
      <c r="J164" s="49">
        <f t="shared" si="41"/>
        <v>0</v>
      </c>
      <c r="K164" s="49">
        <f t="shared" si="41"/>
        <v>0</v>
      </c>
      <c r="L164" s="49">
        <f t="shared" si="41"/>
        <v>0</v>
      </c>
      <c r="M164" s="49">
        <f t="shared" si="41"/>
        <v>24741000</v>
      </c>
      <c r="N164" s="49">
        <f t="shared" si="41"/>
        <v>24741000</v>
      </c>
      <c r="O164" s="49">
        <f t="shared" si="41"/>
        <v>24741000</v>
      </c>
      <c r="P164" s="255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</row>
    <row r="165" spans="1:35" s="8" customFormat="1" ht="32.25" customHeight="1">
      <c r="A165" s="28" t="s">
        <v>432</v>
      </c>
      <c r="B165" s="28" t="s">
        <v>166</v>
      </c>
      <c r="C165" s="14" t="s">
        <v>441</v>
      </c>
      <c r="D165" s="51">
        <f>'дод. 2'!E230</f>
        <v>0</v>
      </c>
      <c r="E165" s="51">
        <f>'дод. 2'!F230</f>
        <v>0</v>
      </c>
      <c r="F165" s="51">
        <f>'дод. 2'!G230</f>
        <v>0</v>
      </c>
      <c r="G165" s="51">
        <f>'дод. 2'!H230</f>
        <v>0</v>
      </c>
      <c r="H165" s="51">
        <f>'дод. 2'!I230</f>
        <v>0</v>
      </c>
      <c r="I165" s="51">
        <f>'дод. 2'!J230</f>
        <v>10741000</v>
      </c>
      <c r="J165" s="51">
        <f>'дод. 2'!K230</f>
        <v>0</v>
      </c>
      <c r="K165" s="51">
        <f>'дод. 2'!L230</f>
        <v>0</v>
      </c>
      <c r="L165" s="51">
        <f>'дод. 2'!M230</f>
        <v>0</v>
      </c>
      <c r="M165" s="51">
        <f>'дод. 2'!N230</f>
        <v>10741000</v>
      </c>
      <c r="N165" s="51">
        <f>'дод. 2'!O230</f>
        <v>10741000</v>
      </c>
      <c r="O165" s="51">
        <f>'дод. 2'!P230</f>
        <v>10741000</v>
      </c>
      <c r="P165" s="255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</row>
    <row r="166" spans="1:35" s="8" customFormat="1" ht="32.25" customHeight="1">
      <c r="A166" s="28" t="s">
        <v>434</v>
      </c>
      <c r="B166" s="28" t="s">
        <v>166</v>
      </c>
      <c r="C166" s="14" t="s">
        <v>443</v>
      </c>
      <c r="D166" s="51">
        <f>'дод. 2'!E231</f>
        <v>0</v>
      </c>
      <c r="E166" s="51">
        <f>'дод. 2'!F231</f>
        <v>0</v>
      </c>
      <c r="F166" s="51">
        <f>'дод. 2'!G231</f>
        <v>0</v>
      </c>
      <c r="G166" s="51">
        <f>'дод. 2'!H231</f>
        <v>0</v>
      </c>
      <c r="H166" s="51">
        <f>'дод. 2'!I231</f>
        <v>0</v>
      </c>
      <c r="I166" s="51">
        <f>'дод. 2'!J231</f>
        <v>5500000</v>
      </c>
      <c r="J166" s="51">
        <f>'дод. 2'!K231</f>
        <v>0</v>
      </c>
      <c r="K166" s="51">
        <f>'дод. 2'!L231</f>
        <v>0</v>
      </c>
      <c r="L166" s="51">
        <f>'дод. 2'!M231</f>
        <v>0</v>
      </c>
      <c r="M166" s="51">
        <f>'дод. 2'!N231</f>
        <v>5500000</v>
      </c>
      <c r="N166" s="51">
        <f>'дод. 2'!O231</f>
        <v>5500000</v>
      </c>
      <c r="O166" s="51">
        <f>'дод. 2'!P231</f>
        <v>5500000</v>
      </c>
      <c r="P166" s="255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</row>
    <row r="167" spans="1:35" s="8" customFormat="1" ht="32.25" customHeight="1">
      <c r="A167" s="28" t="s">
        <v>436</v>
      </c>
      <c r="B167" s="28" t="s">
        <v>166</v>
      </c>
      <c r="C167" s="14" t="s">
        <v>442</v>
      </c>
      <c r="D167" s="51">
        <f>'дод. 2'!E232</f>
        <v>0</v>
      </c>
      <c r="E167" s="51">
        <f>'дод. 2'!F232</f>
        <v>0</v>
      </c>
      <c r="F167" s="51">
        <f>'дод. 2'!G232</f>
        <v>0</v>
      </c>
      <c r="G167" s="51">
        <f>'дод. 2'!H232</f>
        <v>0</v>
      </c>
      <c r="H167" s="51">
        <f>'дод. 2'!I232</f>
        <v>0</v>
      </c>
      <c r="I167" s="51">
        <f>'дод. 2'!J232</f>
        <v>8500000</v>
      </c>
      <c r="J167" s="51">
        <f>'дод. 2'!K232</f>
        <v>0</v>
      </c>
      <c r="K167" s="51">
        <f>'дод. 2'!L232</f>
        <v>0</v>
      </c>
      <c r="L167" s="51">
        <f>'дод. 2'!M232</f>
        <v>0</v>
      </c>
      <c r="M167" s="51">
        <f>'дод. 2'!N232</f>
        <v>8500000</v>
      </c>
      <c r="N167" s="51">
        <f>'дод. 2'!O232</f>
        <v>8500000</v>
      </c>
      <c r="O167" s="51">
        <f>'дод. 2'!P232</f>
        <v>8500000</v>
      </c>
      <c r="P167" s="255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</row>
    <row r="168" spans="1:35" ht="32.25" customHeight="1">
      <c r="A168" s="27" t="s">
        <v>427</v>
      </c>
      <c r="B168" s="27" t="s">
        <v>166</v>
      </c>
      <c r="C168" s="13" t="s">
        <v>439</v>
      </c>
      <c r="D168" s="49">
        <f>'дод. 2'!E210+'дод. 2'!E233</f>
        <v>0</v>
      </c>
      <c r="E168" s="49">
        <f>'дод. 2'!F210+'дод. 2'!F233</f>
        <v>0</v>
      </c>
      <c r="F168" s="49">
        <f>'дод. 2'!G210+'дод. 2'!G233</f>
        <v>0</v>
      </c>
      <c r="G168" s="49">
        <f>'дод. 2'!H210+'дод. 2'!H233</f>
        <v>0</v>
      </c>
      <c r="H168" s="49">
        <f>'дод. 2'!I210+'дод. 2'!I233</f>
        <v>0</v>
      </c>
      <c r="I168" s="49">
        <f>'дод. 2'!J210+'дод. 2'!J233</f>
        <v>36579000</v>
      </c>
      <c r="J168" s="49">
        <f>'дод. 2'!K210+'дод. 2'!K233</f>
        <v>0</v>
      </c>
      <c r="K168" s="49">
        <f>'дод. 2'!L210+'дод. 2'!L233</f>
        <v>0</v>
      </c>
      <c r="L168" s="49">
        <f>'дод. 2'!M210+'дод. 2'!M233</f>
        <v>0</v>
      </c>
      <c r="M168" s="49">
        <f>'дод. 2'!N210+'дод. 2'!N233</f>
        <v>36579000</v>
      </c>
      <c r="N168" s="49">
        <f>'дод. 2'!O210+'дод. 2'!O233</f>
        <v>36579000</v>
      </c>
      <c r="O168" s="49">
        <f>'дод. 2'!P210+'дод. 2'!P233</f>
        <v>36579000</v>
      </c>
      <c r="P168" s="255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</row>
    <row r="169" spans="1:35" ht="35.25" customHeight="1">
      <c r="A169" s="5" t="s">
        <v>219</v>
      </c>
      <c r="B169" s="5" t="s">
        <v>166</v>
      </c>
      <c r="C169" s="13" t="s">
        <v>1</v>
      </c>
      <c r="D169" s="49">
        <f>'дод. 2'!E211</f>
        <v>0</v>
      </c>
      <c r="E169" s="49">
        <f>'дод. 2'!F211</f>
        <v>0</v>
      </c>
      <c r="F169" s="49">
        <f>'дод. 2'!G211</f>
        <v>0</v>
      </c>
      <c r="G169" s="49">
        <f>'дод. 2'!H211</f>
        <v>0</v>
      </c>
      <c r="H169" s="49">
        <f>'дод. 2'!I211</f>
        <v>0</v>
      </c>
      <c r="I169" s="49">
        <f>'дод. 2'!J211</f>
        <v>3200000</v>
      </c>
      <c r="J169" s="49">
        <f>'дод. 2'!K211</f>
        <v>0</v>
      </c>
      <c r="K169" s="49">
        <f>'дод. 2'!L211</f>
        <v>0</v>
      </c>
      <c r="L169" s="49">
        <f>'дод. 2'!M211</f>
        <v>0</v>
      </c>
      <c r="M169" s="49">
        <f>'дод. 2'!N211</f>
        <v>3200000</v>
      </c>
      <c r="N169" s="49">
        <f>'дод. 2'!O211</f>
        <v>3200000</v>
      </c>
      <c r="O169" s="49">
        <f>'дод. 2'!P211</f>
        <v>3200000</v>
      </c>
      <c r="P169" s="255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</row>
    <row r="170" spans="1:35" s="22" customFormat="1" ht="39.75" customHeight="1">
      <c r="A170" s="23" t="s">
        <v>130</v>
      </c>
      <c r="B170" s="11"/>
      <c r="C170" s="11" t="s">
        <v>2</v>
      </c>
      <c r="D170" s="50">
        <f>D171+D173+D176</f>
        <v>21994636</v>
      </c>
      <c r="E170" s="50">
        <f aca="true" t="shared" si="42" ref="E170:O170">E171+E173+E176</f>
        <v>450000</v>
      </c>
      <c r="F170" s="50">
        <f t="shared" si="42"/>
        <v>0</v>
      </c>
      <c r="G170" s="50">
        <f t="shared" si="42"/>
        <v>0</v>
      </c>
      <c r="H170" s="50">
        <f t="shared" si="42"/>
        <v>21544636</v>
      </c>
      <c r="I170" s="50">
        <f t="shared" si="42"/>
        <v>2810000</v>
      </c>
      <c r="J170" s="50">
        <f t="shared" si="42"/>
        <v>0</v>
      </c>
      <c r="K170" s="50">
        <f t="shared" si="42"/>
        <v>0</v>
      </c>
      <c r="L170" s="50">
        <f t="shared" si="42"/>
        <v>0</v>
      </c>
      <c r="M170" s="50">
        <f t="shared" si="42"/>
        <v>2810000</v>
      </c>
      <c r="N170" s="50">
        <f t="shared" si="42"/>
        <v>2810000</v>
      </c>
      <c r="O170" s="50">
        <f t="shared" si="42"/>
        <v>24804636</v>
      </c>
      <c r="P170" s="255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 ht="39.75" customHeight="1">
      <c r="A171" s="5" t="s">
        <v>131</v>
      </c>
      <c r="B171" s="13"/>
      <c r="C171" s="13" t="s">
        <v>4</v>
      </c>
      <c r="D171" s="49">
        <f aca="true" t="shared" si="43" ref="D171:O171">D172</f>
        <v>3000000</v>
      </c>
      <c r="E171" s="49">
        <f t="shared" si="43"/>
        <v>0</v>
      </c>
      <c r="F171" s="49">
        <f t="shared" si="43"/>
        <v>0</v>
      </c>
      <c r="G171" s="49">
        <f t="shared" si="43"/>
        <v>0</v>
      </c>
      <c r="H171" s="49">
        <f t="shared" si="43"/>
        <v>3000000</v>
      </c>
      <c r="I171" s="49">
        <f t="shared" si="43"/>
        <v>0</v>
      </c>
      <c r="J171" s="49">
        <f t="shared" si="43"/>
        <v>0</v>
      </c>
      <c r="K171" s="49">
        <f t="shared" si="43"/>
        <v>0</v>
      </c>
      <c r="L171" s="49">
        <f t="shared" si="43"/>
        <v>0</v>
      </c>
      <c r="M171" s="49">
        <f t="shared" si="43"/>
        <v>0</v>
      </c>
      <c r="N171" s="49">
        <f t="shared" si="43"/>
        <v>0</v>
      </c>
      <c r="O171" s="49">
        <f t="shared" si="43"/>
        <v>3000000</v>
      </c>
      <c r="P171" s="255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</row>
    <row r="172" spans="1:35" s="8" customFormat="1" ht="39.75" customHeight="1">
      <c r="A172" s="7" t="s">
        <v>5</v>
      </c>
      <c r="B172" s="7" t="s">
        <v>128</v>
      </c>
      <c r="C172" s="14" t="s">
        <v>68</v>
      </c>
      <c r="D172" s="51">
        <f>'дод. 2'!E39</f>
        <v>3000000</v>
      </c>
      <c r="E172" s="51">
        <f>'дод. 2'!F39</f>
        <v>0</v>
      </c>
      <c r="F172" s="51">
        <f>'дод. 2'!G39</f>
        <v>0</v>
      </c>
      <c r="G172" s="51">
        <f>'дод. 2'!H39</f>
        <v>0</v>
      </c>
      <c r="H172" s="51">
        <f>'дод. 2'!I39</f>
        <v>3000000</v>
      </c>
      <c r="I172" s="51">
        <f>'дод. 2'!J39</f>
        <v>0</v>
      </c>
      <c r="J172" s="51">
        <f>'дод. 2'!K39</f>
        <v>0</v>
      </c>
      <c r="K172" s="51">
        <f>'дод. 2'!L39</f>
        <v>0</v>
      </c>
      <c r="L172" s="51">
        <f>'дод. 2'!M39</f>
        <v>0</v>
      </c>
      <c r="M172" s="51">
        <f>'дод. 2'!N39</f>
        <v>0</v>
      </c>
      <c r="N172" s="51">
        <f>'дод. 2'!O39</f>
        <v>0</v>
      </c>
      <c r="O172" s="51">
        <f>'дод. 2'!P39</f>
        <v>3000000</v>
      </c>
      <c r="P172" s="255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</row>
    <row r="173" spans="1:35" ht="36" customHeight="1">
      <c r="A173" s="5" t="s">
        <v>7</v>
      </c>
      <c r="B173" s="5"/>
      <c r="C173" s="13" t="s">
        <v>8</v>
      </c>
      <c r="D173" s="49">
        <f>D174+D175</f>
        <v>18544636</v>
      </c>
      <c r="E173" s="49">
        <f aca="true" t="shared" si="44" ref="E173:O173">E174+E175</f>
        <v>0</v>
      </c>
      <c r="F173" s="49">
        <f t="shared" si="44"/>
        <v>0</v>
      </c>
      <c r="G173" s="49">
        <f t="shared" si="44"/>
        <v>0</v>
      </c>
      <c r="H173" s="49">
        <f t="shared" si="44"/>
        <v>18544636</v>
      </c>
      <c r="I173" s="49">
        <f t="shared" si="44"/>
        <v>2810000</v>
      </c>
      <c r="J173" s="49">
        <f t="shared" si="44"/>
        <v>0</v>
      </c>
      <c r="K173" s="49">
        <f t="shared" si="44"/>
        <v>0</v>
      </c>
      <c r="L173" s="49">
        <f t="shared" si="44"/>
        <v>0</v>
      </c>
      <c r="M173" s="49">
        <f t="shared" si="44"/>
        <v>2810000</v>
      </c>
      <c r="N173" s="49">
        <f t="shared" si="44"/>
        <v>2810000</v>
      </c>
      <c r="O173" s="49">
        <f t="shared" si="44"/>
        <v>21354636</v>
      </c>
      <c r="P173" s="255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</row>
    <row r="174" spans="1:35" s="8" customFormat="1" ht="39.75" customHeight="1">
      <c r="A174" s="7" t="s">
        <v>6</v>
      </c>
      <c r="B174" s="7" t="s">
        <v>129</v>
      </c>
      <c r="C174" s="14" t="s">
        <v>232</v>
      </c>
      <c r="D174" s="51">
        <f>'дод. 2'!E41</f>
        <v>6000000</v>
      </c>
      <c r="E174" s="51">
        <f>'дод. 2'!F41</f>
        <v>0</v>
      </c>
      <c r="F174" s="51">
        <f>'дод. 2'!G41</f>
        <v>0</v>
      </c>
      <c r="G174" s="51">
        <f>'дод. 2'!H41</f>
        <v>0</v>
      </c>
      <c r="H174" s="51">
        <f>'дод. 2'!I41</f>
        <v>6000000</v>
      </c>
      <c r="I174" s="51">
        <f>'дод. 2'!J41</f>
        <v>0</v>
      </c>
      <c r="J174" s="51">
        <f>'дод. 2'!K41</f>
        <v>0</v>
      </c>
      <c r="K174" s="51">
        <f>'дод. 2'!L41</f>
        <v>0</v>
      </c>
      <c r="L174" s="51">
        <f>'дод. 2'!M41</f>
        <v>0</v>
      </c>
      <c r="M174" s="51">
        <f>'дод. 2'!N41</f>
        <v>0</v>
      </c>
      <c r="N174" s="51">
        <f>'дод. 2'!O41</f>
        <v>0</v>
      </c>
      <c r="O174" s="51">
        <f>'дод. 2'!P41</f>
        <v>6000000</v>
      </c>
      <c r="P174" s="255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</row>
    <row r="175" spans="1:35" s="8" customFormat="1" ht="24" customHeight="1">
      <c r="A175" s="7" t="s">
        <v>9</v>
      </c>
      <c r="B175" s="7" t="s">
        <v>129</v>
      </c>
      <c r="C175" s="14" t="s">
        <v>33</v>
      </c>
      <c r="D175" s="51">
        <f>'дод. 2'!E42+'дод. 2'!E235</f>
        <v>12544636</v>
      </c>
      <c r="E175" s="51">
        <f>'дод. 2'!F42+'дод. 2'!F235</f>
        <v>0</v>
      </c>
      <c r="F175" s="51">
        <f>'дод. 2'!G42+'дод. 2'!G235</f>
        <v>0</v>
      </c>
      <c r="G175" s="51">
        <f>'дод. 2'!H42+'дод. 2'!H235</f>
        <v>0</v>
      </c>
      <c r="H175" s="51">
        <f>'дод. 2'!I42+'дод. 2'!I235</f>
        <v>12544636</v>
      </c>
      <c r="I175" s="51">
        <f>'дод. 2'!J42+'дод. 2'!J235</f>
        <v>2810000</v>
      </c>
      <c r="J175" s="51">
        <f>'дод. 2'!K42+'дод. 2'!K235</f>
        <v>0</v>
      </c>
      <c r="K175" s="51">
        <f>'дод. 2'!L42+'дод. 2'!L235</f>
        <v>0</v>
      </c>
      <c r="L175" s="51">
        <f>'дод. 2'!M42+'дод. 2'!M235</f>
        <v>0</v>
      </c>
      <c r="M175" s="51">
        <f>'дод. 2'!N42+'дод. 2'!N235</f>
        <v>2810000</v>
      </c>
      <c r="N175" s="51">
        <f>'дод. 2'!O42+'дод. 2'!O235</f>
        <v>2810000</v>
      </c>
      <c r="O175" s="51">
        <f>'дод. 2'!P42+'дод. 2'!P235</f>
        <v>15354636</v>
      </c>
      <c r="P175" s="255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</row>
    <row r="176" spans="1:35" ht="24" customHeight="1">
      <c r="A176" s="5" t="s">
        <v>494</v>
      </c>
      <c r="B176" s="5" t="s">
        <v>495</v>
      </c>
      <c r="C176" s="13" t="s">
        <v>496</v>
      </c>
      <c r="D176" s="49">
        <f>'дод. 2'!E43</f>
        <v>450000</v>
      </c>
      <c r="E176" s="49">
        <f>'дод. 2'!F43</f>
        <v>450000</v>
      </c>
      <c r="F176" s="49">
        <f>'дод. 2'!G43</f>
        <v>0</v>
      </c>
      <c r="G176" s="49">
        <f>'дод. 2'!H43</f>
        <v>0</v>
      </c>
      <c r="H176" s="49">
        <f>'дод. 2'!I43</f>
        <v>0</v>
      </c>
      <c r="I176" s="49">
        <f>'дод. 2'!J43</f>
        <v>0</v>
      </c>
      <c r="J176" s="49">
        <f>'дод. 2'!K43</f>
        <v>0</v>
      </c>
      <c r="K176" s="49">
        <f>'дод. 2'!L43</f>
        <v>0</v>
      </c>
      <c r="L176" s="49">
        <f>'дод. 2'!M43</f>
        <v>0</v>
      </c>
      <c r="M176" s="49">
        <f>'дод. 2'!N43</f>
        <v>0</v>
      </c>
      <c r="N176" s="49">
        <f>'дод. 2'!O43</f>
        <v>0</v>
      </c>
      <c r="O176" s="49">
        <f>'дод. 2'!P43</f>
        <v>450000</v>
      </c>
      <c r="P176" s="255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</row>
    <row r="177" spans="1:35" s="22" customFormat="1" ht="28.5" customHeight="1">
      <c r="A177" s="35" t="s">
        <v>381</v>
      </c>
      <c r="B177" s="11"/>
      <c r="C177" s="11" t="s">
        <v>382</v>
      </c>
      <c r="D177" s="50">
        <f aca="true" t="shared" si="45" ref="D177:O177">D178</f>
        <v>7276490</v>
      </c>
      <c r="E177" s="50">
        <f t="shared" si="45"/>
        <v>7276490</v>
      </c>
      <c r="F177" s="50">
        <f t="shared" si="45"/>
        <v>0</v>
      </c>
      <c r="G177" s="50">
        <f t="shared" si="45"/>
        <v>0</v>
      </c>
      <c r="H177" s="50">
        <f t="shared" si="45"/>
        <v>0</v>
      </c>
      <c r="I177" s="50">
        <f t="shared" si="45"/>
        <v>4897000</v>
      </c>
      <c r="J177" s="50">
        <f t="shared" si="45"/>
        <v>0</v>
      </c>
      <c r="K177" s="50">
        <f t="shared" si="45"/>
        <v>0</v>
      </c>
      <c r="L177" s="50">
        <f t="shared" si="45"/>
        <v>0</v>
      </c>
      <c r="M177" s="50">
        <f t="shared" si="45"/>
        <v>4897000</v>
      </c>
      <c r="N177" s="50">
        <f t="shared" si="45"/>
        <v>4897000</v>
      </c>
      <c r="O177" s="50">
        <f t="shared" si="45"/>
        <v>12173490</v>
      </c>
      <c r="P177" s="255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1:35" ht="37.5" customHeight="1">
      <c r="A178" s="27" t="s">
        <v>379</v>
      </c>
      <c r="B178" s="27" t="s">
        <v>380</v>
      </c>
      <c r="C178" s="54" t="s">
        <v>378</v>
      </c>
      <c r="D178" s="49">
        <f>'дод. 2'!E44</f>
        <v>7276490</v>
      </c>
      <c r="E178" s="49">
        <f>'дод. 2'!F44</f>
        <v>7276490</v>
      </c>
      <c r="F178" s="49">
        <f>'дод. 2'!G44</f>
        <v>0</v>
      </c>
      <c r="G178" s="49">
        <f>'дод. 2'!H44</f>
        <v>0</v>
      </c>
      <c r="H178" s="49">
        <f>'дод. 2'!I44</f>
        <v>0</v>
      </c>
      <c r="I178" s="49">
        <f>'дод. 2'!J44</f>
        <v>4897000</v>
      </c>
      <c r="J178" s="49">
        <f>'дод. 2'!K44</f>
        <v>0</v>
      </c>
      <c r="K178" s="49">
        <f>'дод. 2'!L44</f>
        <v>0</v>
      </c>
      <c r="L178" s="49">
        <f>'дод. 2'!M44</f>
        <v>0</v>
      </c>
      <c r="M178" s="49">
        <f>'дод. 2'!N44</f>
        <v>4897000</v>
      </c>
      <c r="N178" s="49">
        <f>'дод. 2'!O44</f>
        <v>4897000</v>
      </c>
      <c r="O178" s="49">
        <f>'дод. 2'!P44</f>
        <v>12173490</v>
      </c>
      <c r="P178" s="255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</row>
    <row r="179" spans="1:35" s="22" customFormat="1" ht="38.25" customHeight="1">
      <c r="A179" s="23" t="s">
        <v>134</v>
      </c>
      <c r="B179" s="11"/>
      <c r="C179" s="11" t="s">
        <v>10</v>
      </c>
      <c r="D179" s="50">
        <f>D180+D181+D184+D185+D186+D182+D183</f>
        <v>6874067</v>
      </c>
      <c r="E179" s="50">
        <f aca="true" t="shared" si="46" ref="E179:O179">E180+E181+E184+E185+E186+E182+E183</f>
        <v>5774067</v>
      </c>
      <c r="F179" s="50">
        <f t="shared" si="46"/>
        <v>0</v>
      </c>
      <c r="G179" s="50">
        <f t="shared" si="46"/>
        <v>0</v>
      </c>
      <c r="H179" s="50">
        <f t="shared" si="46"/>
        <v>1100000</v>
      </c>
      <c r="I179" s="50">
        <f t="shared" si="46"/>
        <v>72494946</v>
      </c>
      <c r="J179" s="50">
        <f t="shared" si="46"/>
        <v>484946</v>
      </c>
      <c r="K179" s="50">
        <f t="shared" si="46"/>
        <v>0</v>
      </c>
      <c r="L179" s="50">
        <f t="shared" si="46"/>
        <v>0</v>
      </c>
      <c r="M179" s="50">
        <f t="shared" si="46"/>
        <v>72010000</v>
      </c>
      <c r="N179" s="50">
        <f t="shared" si="46"/>
        <v>71210000</v>
      </c>
      <c r="O179" s="50">
        <f t="shared" si="46"/>
        <v>79369013</v>
      </c>
      <c r="P179" s="255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1:35" ht="38.25" customHeight="1">
      <c r="A180" s="5" t="s">
        <v>11</v>
      </c>
      <c r="B180" s="5" t="s">
        <v>133</v>
      </c>
      <c r="C180" s="13" t="s">
        <v>46</v>
      </c>
      <c r="D180" s="49">
        <f>'дод. 2'!E45+'дод. 2'!E250</f>
        <v>1173000</v>
      </c>
      <c r="E180" s="49">
        <f>'дод. 2'!F45+'дод. 2'!F250</f>
        <v>273000</v>
      </c>
      <c r="F180" s="49">
        <f>'дод. 2'!G45+'дод. 2'!G250</f>
        <v>0</v>
      </c>
      <c r="G180" s="49">
        <f>'дод. 2'!H45+'дод. 2'!H250</f>
        <v>0</v>
      </c>
      <c r="H180" s="49">
        <f>'дод. 2'!I45+'дод. 2'!I250</f>
        <v>900000</v>
      </c>
      <c r="I180" s="49">
        <f>'дод. 2'!J45+'дод. 2'!J250</f>
        <v>0</v>
      </c>
      <c r="J180" s="49">
        <f>'дод. 2'!K45+'дод. 2'!K250</f>
        <v>0</v>
      </c>
      <c r="K180" s="49">
        <f>'дод. 2'!L45+'дод. 2'!L250</f>
        <v>0</v>
      </c>
      <c r="L180" s="49">
        <f>'дод. 2'!M45+'дод. 2'!M250</f>
        <v>0</v>
      </c>
      <c r="M180" s="49">
        <f>'дод. 2'!N45+'дод. 2'!N250</f>
        <v>0</v>
      </c>
      <c r="N180" s="49">
        <f>'дод. 2'!O45+'дод. 2'!O250</f>
        <v>0</v>
      </c>
      <c r="O180" s="49">
        <f>'дод. 2'!P45+'дод. 2'!P250</f>
        <v>1173000</v>
      </c>
      <c r="P180" s="255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</row>
    <row r="181" spans="1:35" ht="24.75" customHeight="1">
      <c r="A181" s="5" t="s">
        <v>3</v>
      </c>
      <c r="B181" s="5" t="s">
        <v>132</v>
      </c>
      <c r="C181" s="13" t="s">
        <v>64</v>
      </c>
      <c r="D181" s="49">
        <f>'дод. 2'!E80+'дод. 2'!E112+'дод. 2'!E181+'дод. 2'!E196+'дод. 2'!E212+'дод. 2'!E236+'дод. 2'!E46+'дод. 2'!E261</f>
        <v>3047675</v>
      </c>
      <c r="E181" s="49">
        <f>'дод. 2'!F80+'дод. 2'!F112+'дод. 2'!F181+'дод. 2'!F196+'дод. 2'!F212+'дод. 2'!F236+'дод. 2'!F46+'дод. 2'!F261</f>
        <v>2847675</v>
      </c>
      <c r="F181" s="49">
        <f>'дод. 2'!G80+'дод. 2'!G112+'дод. 2'!G181+'дод. 2'!G196+'дод. 2'!G212+'дод. 2'!G236+'дод. 2'!G46+'дод. 2'!G261</f>
        <v>0</v>
      </c>
      <c r="G181" s="49">
        <f>'дод. 2'!H80+'дод. 2'!H112+'дод. 2'!H181+'дод. 2'!H196+'дод. 2'!H212+'дод. 2'!H236+'дод. 2'!H46+'дод. 2'!H261</f>
        <v>0</v>
      </c>
      <c r="H181" s="49">
        <f>'дод. 2'!I80+'дод. 2'!I112+'дод. 2'!I181+'дод. 2'!I196+'дод. 2'!I212+'дод. 2'!I236+'дод. 2'!I46+'дод. 2'!I261</f>
        <v>200000</v>
      </c>
      <c r="I181" s="49">
        <f>'дод. 2'!J80+'дод. 2'!J112+'дод. 2'!J181+'дод. 2'!J196+'дод. 2'!J212+'дод. 2'!J236+'дод. 2'!J46+'дод. 2'!J261</f>
        <v>42720000</v>
      </c>
      <c r="J181" s="49">
        <f>'дод. 2'!K80+'дод. 2'!K112+'дод. 2'!K181+'дод. 2'!K196+'дод. 2'!K212+'дод. 2'!K236+'дод. 2'!K46+'дод. 2'!K261</f>
        <v>0</v>
      </c>
      <c r="K181" s="49">
        <f>'дод. 2'!L80+'дод. 2'!L112+'дод. 2'!L181+'дод. 2'!L196+'дод. 2'!L212+'дод. 2'!L236+'дод. 2'!L46+'дод. 2'!L261</f>
        <v>0</v>
      </c>
      <c r="L181" s="49">
        <f>'дод. 2'!M80+'дод. 2'!M112+'дод. 2'!M181+'дод. 2'!M196+'дод. 2'!M212+'дод. 2'!M236+'дод. 2'!M46+'дод. 2'!M261</f>
        <v>0</v>
      </c>
      <c r="M181" s="49">
        <f>'дод. 2'!N80+'дод. 2'!N112+'дод. 2'!N181+'дод. 2'!N196+'дод. 2'!N212+'дод. 2'!N236+'дод. 2'!N46+'дод. 2'!N261</f>
        <v>42720000</v>
      </c>
      <c r="N181" s="49">
        <f>'дод. 2'!O80+'дод. 2'!O112+'дод. 2'!O181+'дод. 2'!O196+'дод. 2'!O212+'дод. 2'!O236+'дод. 2'!O46+'дод. 2'!O261</f>
        <v>42720000</v>
      </c>
      <c r="O181" s="49">
        <f>'дод. 2'!P80+'дод. 2'!P112+'дод. 2'!P181+'дод. 2'!P196+'дод. 2'!P212+'дод. 2'!P236+'дод. 2'!P46+'дод. 2'!P261</f>
        <v>45767675</v>
      </c>
      <c r="P181" s="254">
        <v>30</v>
      </c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</row>
    <row r="182" spans="1:35" ht="33.75" customHeight="1">
      <c r="A182" s="5" t="s">
        <v>418</v>
      </c>
      <c r="B182" s="5" t="s">
        <v>126</v>
      </c>
      <c r="C182" s="13" t="s">
        <v>421</v>
      </c>
      <c r="D182" s="49">
        <f>'дод. 2'!E251</f>
        <v>0</v>
      </c>
      <c r="E182" s="49">
        <f>'дод. 2'!F251</f>
        <v>0</v>
      </c>
      <c r="F182" s="49">
        <f>'дод. 2'!G251</f>
        <v>0</v>
      </c>
      <c r="G182" s="49">
        <f>'дод. 2'!H251</f>
        <v>0</v>
      </c>
      <c r="H182" s="49">
        <f>'дод. 2'!I251</f>
        <v>0</v>
      </c>
      <c r="I182" s="49">
        <f>'дод. 2'!J251</f>
        <v>25000</v>
      </c>
      <c r="J182" s="49">
        <f>'дод. 2'!K251</f>
        <v>0</v>
      </c>
      <c r="K182" s="49">
        <f>'дод. 2'!L251</f>
        <v>0</v>
      </c>
      <c r="L182" s="49">
        <f>'дод. 2'!M251</f>
        <v>0</v>
      </c>
      <c r="M182" s="49">
        <f>'дод. 2'!N251</f>
        <v>25000</v>
      </c>
      <c r="N182" s="49">
        <f>'дод. 2'!O251</f>
        <v>25000</v>
      </c>
      <c r="O182" s="49">
        <f>'дод. 2'!P251</f>
        <v>25000</v>
      </c>
      <c r="P182" s="254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</row>
    <row r="183" spans="1:35" ht="66.75" customHeight="1">
      <c r="A183" s="5" t="s">
        <v>420</v>
      </c>
      <c r="B183" s="5" t="s">
        <v>126</v>
      </c>
      <c r="C183" s="13" t="s">
        <v>422</v>
      </c>
      <c r="D183" s="49">
        <f>'дод. 2'!E252</f>
        <v>0</v>
      </c>
      <c r="E183" s="49">
        <f>'дод. 2'!F252</f>
        <v>0</v>
      </c>
      <c r="F183" s="49">
        <f>'дод. 2'!G252</f>
        <v>0</v>
      </c>
      <c r="G183" s="49">
        <f>'дод. 2'!H252</f>
        <v>0</v>
      </c>
      <c r="H183" s="49">
        <f>'дод. 2'!I252</f>
        <v>0</v>
      </c>
      <c r="I183" s="49">
        <f>'дод. 2'!J252</f>
        <v>25000</v>
      </c>
      <c r="J183" s="49">
        <f>'дод. 2'!K252</f>
        <v>0</v>
      </c>
      <c r="K183" s="49">
        <f>'дод. 2'!L252</f>
        <v>0</v>
      </c>
      <c r="L183" s="49">
        <f>'дод. 2'!M252</f>
        <v>0</v>
      </c>
      <c r="M183" s="49">
        <f>'дод. 2'!N252</f>
        <v>25000</v>
      </c>
      <c r="N183" s="49">
        <f>'дод. 2'!O252</f>
        <v>25000</v>
      </c>
      <c r="O183" s="49">
        <f>'дод. 2'!P252</f>
        <v>25000</v>
      </c>
      <c r="P183" s="254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</row>
    <row r="184" spans="1:35" ht="31.5">
      <c r="A184" s="5" t="s">
        <v>12</v>
      </c>
      <c r="B184" s="5" t="s">
        <v>126</v>
      </c>
      <c r="C184" s="13" t="s">
        <v>47</v>
      </c>
      <c r="D184" s="49">
        <f>'дод. 2'!E47</f>
        <v>0</v>
      </c>
      <c r="E184" s="49">
        <f>'дод. 2'!F47</f>
        <v>0</v>
      </c>
      <c r="F184" s="49">
        <f>'дод. 2'!G47</f>
        <v>0</v>
      </c>
      <c r="G184" s="49">
        <f>'дод. 2'!H47</f>
        <v>0</v>
      </c>
      <c r="H184" s="49">
        <f>'дод. 2'!I47</f>
        <v>0</v>
      </c>
      <c r="I184" s="49">
        <f>'дод. 2'!J47</f>
        <v>28440000</v>
      </c>
      <c r="J184" s="49">
        <f>'дод. 2'!K47</f>
        <v>0</v>
      </c>
      <c r="K184" s="49">
        <f>'дод. 2'!L47</f>
        <v>0</v>
      </c>
      <c r="L184" s="49">
        <f>'дод. 2'!M47</f>
        <v>0</v>
      </c>
      <c r="M184" s="49">
        <f>'дод. 2'!N47</f>
        <v>28440000</v>
      </c>
      <c r="N184" s="49">
        <f>'дод. 2'!O47</f>
        <v>28440000</v>
      </c>
      <c r="O184" s="49">
        <f>'дод. 2'!P47</f>
        <v>28440000</v>
      </c>
      <c r="P184" s="254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</row>
    <row r="185" spans="1:35" ht="36.75" customHeight="1">
      <c r="A185" s="5" t="s">
        <v>392</v>
      </c>
      <c r="B185" s="5" t="s">
        <v>126</v>
      </c>
      <c r="C185" s="13" t="s">
        <v>393</v>
      </c>
      <c r="D185" s="49">
        <f>'дод. 2'!E48</f>
        <v>209333</v>
      </c>
      <c r="E185" s="49">
        <f>'дод. 2'!F48</f>
        <v>209333</v>
      </c>
      <c r="F185" s="49">
        <f>'дод. 2'!G48</f>
        <v>0</v>
      </c>
      <c r="G185" s="49">
        <f>'дод. 2'!H48</f>
        <v>0</v>
      </c>
      <c r="H185" s="49">
        <f>'дод. 2'!I48</f>
        <v>0</v>
      </c>
      <c r="I185" s="49">
        <f>'дод. 2'!J48</f>
        <v>0</v>
      </c>
      <c r="J185" s="49">
        <f>'дод. 2'!K48</f>
        <v>0</v>
      </c>
      <c r="K185" s="49">
        <f>'дод. 2'!L48</f>
        <v>0</v>
      </c>
      <c r="L185" s="49">
        <f>'дод. 2'!M48</f>
        <v>0</v>
      </c>
      <c r="M185" s="49">
        <f>'дод. 2'!N48</f>
        <v>0</v>
      </c>
      <c r="N185" s="49">
        <f>'дод. 2'!O48</f>
        <v>0</v>
      </c>
      <c r="O185" s="49">
        <f>'дод. 2'!P48</f>
        <v>209333</v>
      </c>
      <c r="P185" s="254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</row>
    <row r="186" spans="1:35" ht="29.25" customHeight="1">
      <c r="A186" s="5" t="s">
        <v>13</v>
      </c>
      <c r="B186" s="5"/>
      <c r="C186" s="13" t="s">
        <v>413</v>
      </c>
      <c r="D186" s="49">
        <f>D187+D188</f>
        <v>2444059</v>
      </c>
      <c r="E186" s="49">
        <f aca="true" t="shared" si="47" ref="E186:O186">E187+E188</f>
        <v>2444059</v>
      </c>
      <c r="F186" s="49">
        <f t="shared" si="47"/>
        <v>0</v>
      </c>
      <c r="G186" s="49">
        <f t="shared" si="47"/>
        <v>0</v>
      </c>
      <c r="H186" s="49">
        <f t="shared" si="47"/>
        <v>0</v>
      </c>
      <c r="I186" s="49">
        <f t="shared" si="47"/>
        <v>1284946</v>
      </c>
      <c r="J186" s="49">
        <f t="shared" si="47"/>
        <v>484946</v>
      </c>
      <c r="K186" s="49">
        <f t="shared" si="47"/>
        <v>0</v>
      </c>
      <c r="L186" s="49">
        <f t="shared" si="47"/>
        <v>0</v>
      </c>
      <c r="M186" s="49">
        <f t="shared" si="47"/>
        <v>800000</v>
      </c>
      <c r="N186" s="49">
        <f t="shared" si="47"/>
        <v>0</v>
      </c>
      <c r="O186" s="49">
        <f t="shared" si="47"/>
        <v>3729005</v>
      </c>
      <c r="P186" s="254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</row>
    <row r="187" spans="1:35" s="8" customFormat="1" ht="122.25" customHeight="1">
      <c r="A187" s="7" t="s">
        <v>468</v>
      </c>
      <c r="B187" s="7" t="s">
        <v>126</v>
      </c>
      <c r="C187" s="14" t="s">
        <v>501</v>
      </c>
      <c r="D187" s="51">
        <f>'дод. 2'!E50+'дод. 2'!E242+'дод. 2'!E214</f>
        <v>0</v>
      </c>
      <c r="E187" s="51">
        <f>'дод. 2'!F50+'дод. 2'!F242+'дод. 2'!F214</f>
        <v>0</v>
      </c>
      <c r="F187" s="51">
        <f>'дод. 2'!G50+'дод. 2'!G242+'дод. 2'!G214</f>
        <v>0</v>
      </c>
      <c r="G187" s="51">
        <f>'дод. 2'!H50+'дод. 2'!H242+'дод. 2'!H214</f>
        <v>0</v>
      </c>
      <c r="H187" s="51">
        <f>'дод. 2'!I50+'дод. 2'!I242+'дод. 2'!I214</f>
        <v>0</v>
      </c>
      <c r="I187" s="51">
        <f>'дод. 2'!J50+'дод. 2'!J242+'дод. 2'!J214</f>
        <v>1284946</v>
      </c>
      <c r="J187" s="51">
        <f>'дод. 2'!K50+'дод. 2'!K242+'дод. 2'!K214</f>
        <v>484946</v>
      </c>
      <c r="K187" s="51">
        <f>'дод. 2'!L50+'дод. 2'!L242+'дод. 2'!L214</f>
        <v>0</v>
      </c>
      <c r="L187" s="51">
        <f>'дод. 2'!M50+'дод. 2'!M242+'дод. 2'!M214</f>
        <v>0</v>
      </c>
      <c r="M187" s="51">
        <f>'дод. 2'!N50+'дод. 2'!N242+'дод. 2'!N214</f>
        <v>800000</v>
      </c>
      <c r="N187" s="51">
        <f>'дод. 2'!O50+'дод. 2'!O242+'дод. 2'!O214</f>
        <v>0</v>
      </c>
      <c r="O187" s="51">
        <f>'дод. 2'!P50+'дод. 2'!P242+'дод. 2'!P214</f>
        <v>1284946</v>
      </c>
      <c r="P187" s="254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</row>
    <row r="188" spans="1:35" s="8" customFormat="1" ht="30.75" customHeight="1">
      <c r="A188" s="7" t="s">
        <v>383</v>
      </c>
      <c r="B188" s="7" t="s">
        <v>126</v>
      </c>
      <c r="C188" s="14" t="s">
        <v>34</v>
      </c>
      <c r="D188" s="51">
        <f>'дод. 2'!E51+'дод. 2'!E254</f>
        <v>2444059</v>
      </c>
      <c r="E188" s="51">
        <f>'дод. 2'!F51+'дод. 2'!F254</f>
        <v>2444059</v>
      </c>
      <c r="F188" s="51">
        <f>'дод. 2'!G51+'дод. 2'!G254</f>
        <v>0</v>
      </c>
      <c r="G188" s="51">
        <f>'дод. 2'!H51+'дод. 2'!H254</f>
        <v>0</v>
      </c>
      <c r="H188" s="51">
        <f>'дод. 2'!I51+'дод. 2'!I254</f>
        <v>0</v>
      </c>
      <c r="I188" s="51">
        <f>'дод. 2'!J51+'дод. 2'!J254</f>
        <v>0</v>
      </c>
      <c r="J188" s="51">
        <f>'дод. 2'!K51+'дод. 2'!K254</f>
        <v>0</v>
      </c>
      <c r="K188" s="51">
        <f>'дод. 2'!L51+'дод. 2'!L254</f>
        <v>0</v>
      </c>
      <c r="L188" s="51">
        <f>'дод. 2'!M51+'дод. 2'!M254</f>
        <v>0</v>
      </c>
      <c r="M188" s="51">
        <f>'дод. 2'!N51+'дод. 2'!N254</f>
        <v>0</v>
      </c>
      <c r="N188" s="51">
        <f>'дод. 2'!O51+'дод. 2'!O254</f>
        <v>0</v>
      </c>
      <c r="O188" s="51">
        <f>'дод. 2'!P51+'дод. 2'!P254</f>
        <v>2444059</v>
      </c>
      <c r="P188" s="254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</row>
    <row r="189" spans="1:35" s="22" customFormat="1" ht="23.25" customHeight="1">
      <c r="A189" s="23" t="s">
        <v>141</v>
      </c>
      <c r="B189" s="10"/>
      <c r="C189" s="11" t="s">
        <v>15</v>
      </c>
      <c r="D189" s="50">
        <f>D190+D193+D195+D198+D200+D201</f>
        <v>16936535.67</v>
      </c>
      <c r="E189" s="50">
        <f aca="true" t="shared" si="48" ref="E189:O189">E190+E193+E195+E198+E200+E201</f>
        <v>2735892.41</v>
      </c>
      <c r="F189" s="50">
        <f t="shared" si="48"/>
        <v>1087750</v>
      </c>
      <c r="G189" s="50">
        <f t="shared" si="48"/>
        <v>303626</v>
      </c>
      <c r="H189" s="50">
        <f t="shared" si="48"/>
        <v>0</v>
      </c>
      <c r="I189" s="50">
        <f t="shared" si="48"/>
        <v>3785100</v>
      </c>
      <c r="J189" s="50">
        <f t="shared" si="48"/>
        <v>2198100</v>
      </c>
      <c r="K189" s="50">
        <f t="shared" si="48"/>
        <v>0</v>
      </c>
      <c r="L189" s="50">
        <f t="shared" si="48"/>
        <v>1200</v>
      </c>
      <c r="M189" s="50">
        <f t="shared" si="48"/>
        <v>1587000</v>
      </c>
      <c r="N189" s="50">
        <f t="shared" si="48"/>
        <v>0</v>
      </c>
      <c r="O189" s="50">
        <f t="shared" si="48"/>
        <v>20721635.67</v>
      </c>
      <c r="P189" s="254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1:35" s="22" customFormat="1" ht="49.5" customHeight="1">
      <c r="A190" s="23" t="s">
        <v>143</v>
      </c>
      <c r="B190" s="31"/>
      <c r="C190" s="11" t="s">
        <v>16</v>
      </c>
      <c r="D190" s="50">
        <f>D191+D192</f>
        <v>1926040</v>
      </c>
      <c r="E190" s="50">
        <f aca="true" t="shared" si="49" ref="E190:O190">E191+E192</f>
        <v>1926040</v>
      </c>
      <c r="F190" s="50">
        <f t="shared" si="49"/>
        <v>1087750</v>
      </c>
      <c r="G190" s="50">
        <f t="shared" si="49"/>
        <v>81385</v>
      </c>
      <c r="H190" s="50">
        <f t="shared" si="49"/>
        <v>0</v>
      </c>
      <c r="I190" s="50">
        <f t="shared" si="49"/>
        <v>5100</v>
      </c>
      <c r="J190" s="50">
        <f t="shared" si="49"/>
        <v>5100</v>
      </c>
      <c r="K190" s="50">
        <f t="shared" si="49"/>
        <v>0</v>
      </c>
      <c r="L190" s="50">
        <f t="shared" si="49"/>
        <v>1200</v>
      </c>
      <c r="M190" s="50">
        <f t="shared" si="49"/>
        <v>0</v>
      </c>
      <c r="N190" s="50">
        <f t="shared" si="49"/>
        <v>0</v>
      </c>
      <c r="O190" s="50">
        <f t="shared" si="49"/>
        <v>1931140</v>
      </c>
      <c r="P190" s="254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1:35" s="22" customFormat="1" ht="36.75" customHeight="1">
      <c r="A191" s="27" t="s">
        <v>17</v>
      </c>
      <c r="B191" s="27" t="s">
        <v>136</v>
      </c>
      <c r="C191" s="13" t="s">
        <v>469</v>
      </c>
      <c r="D191" s="49">
        <f>'дод. 2'!E52</f>
        <v>408930</v>
      </c>
      <c r="E191" s="49">
        <f>'дод. 2'!F52</f>
        <v>408930</v>
      </c>
      <c r="F191" s="49">
        <f>'дод. 2'!G52</f>
        <v>0</v>
      </c>
      <c r="G191" s="49">
        <f>'дод. 2'!H52</f>
        <v>5070</v>
      </c>
      <c r="H191" s="49">
        <f>'дод. 2'!I52</f>
        <v>0</v>
      </c>
      <c r="I191" s="49">
        <f>'дод. 2'!J52</f>
        <v>0</v>
      </c>
      <c r="J191" s="49">
        <f>'дод. 2'!K52</f>
        <v>0</v>
      </c>
      <c r="K191" s="49">
        <f>'дод. 2'!L52</f>
        <v>0</v>
      </c>
      <c r="L191" s="49">
        <f>'дод. 2'!M52</f>
        <v>0</v>
      </c>
      <c r="M191" s="49">
        <f>'дод. 2'!N52</f>
        <v>0</v>
      </c>
      <c r="N191" s="49">
        <f>'дод. 2'!O52</f>
        <v>0</v>
      </c>
      <c r="O191" s="49">
        <f>'дод. 2'!P52</f>
        <v>408930</v>
      </c>
      <c r="P191" s="254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</row>
    <row r="192" spans="1:35" ht="24.75" customHeight="1">
      <c r="A192" s="5" t="s">
        <v>236</v>
      </c>
      <c r="B192" s="12" t="s">
        <v>136</v>
      </c>
      <c r="C192" s="13" t="s">
        <v>18</v>
      </c>
      <c r="D192" s="49">
        <f>'дод. 2'!E53</f>
        <v>1517110</v>
      </c>
      <c r="E192" s="49">
        <f>'дод. 2'!F53</f>
        <v>1517110</v>
      </c>
      <c r="F192" s="49">
        <f>'дод. 2'!G53</f>
        <v>1087750</v>
      </c>
      <c r="G192" s="49">
        <f>'дод. 2'!H53</f>
        <v>76315</v>
      </c>
      <c r="H192" s="49">
        <f>'дод. 2'!I53</f>
        <v>0</v>
      </c>
      <c r="I192" s="49">
        <f>'дод. 2'!J53</f>
        <v>5100</v>
      </c>
      <c r="J192" s="49">
        <f>'дод. 2'!K53</f>
        <v>5100</v>
      </c>
      <c r="K192" s="49">
        <f>'дод. 2'!L53</f>
        <v>0</v>
      </c>
      <c r="L192" s="49">
        <f>'дод. 2'!M53</f>
        <v>1200</v>
      </c>
      <c r="M192" s="49">
        <f>'дод. 2'!N53</f>
        <v>0</v>
      </c>
      <c r="N192" s="49">
        <f>'дод. 2'!O53</f>
        <v>0</v>
      </c>
      <c r="O192" s="49">
        <f>'дод. 2'!P53</f>
        <v>1522210</v>
      </c>
      <c r="P192" s="254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</row>
    <row r="193" spans="1:35" s="22" customFormat="1" ht="30" customHeight="1">
      <c r="A193" s="23" t="s">
        <v>394</v>
      </c>
      <c r="B193" s="23"/>
      <c r="C193" s="55" t="s">
        <v>395</v>
      </c>
      <c r="D193" s="50">
        <f aca="true" t="shared" si="50" ref="D193:O193">D194</f>
        <v>391300</v>
      </c>
      <c r="E193" s="50">
        <f t="shared" si="50"/>
        <v>391300</v>
      </c>
      <c r="F193" s="50">
        <f t="shared" si="50"/>
        <v>0</v>
      </c>
      <c r="G193" s="50">
        <f t="shared" si="50"/>
        <v>222241</v>
      </c>
      <c r="H193" s="50">
        <f t="shared" si="50"/>
        <v>0</v>
      </c>
      <c r="I193" s="50">
        <f t="shared" si="50"/>
        <v>0</v>
      </c>
      <c r="J193" s="50">
        <f t="shared" si="50"/>
        <v>0</v>
      </c>
      <c r="K193" s="50">
        <f t="shared" si="50"/>
        <v>0</v>
      </c>
      <c r="L193" s="50">
        <f t="shared" si="50"/>
        <v>0</v>
      </c>
      <c r="M193" s="50">
        <f t="shared" si="50"/>
        <v>0</v>
      </c>
      <c r="N193" s="50">
        <f t="shared" si="50"/>
        <v>0</v>
      </c>
      <c r="O193" s="50">
        <f t="shared" si="50"/>
        <v>391300</v>
      </c>
      <c r="P193" s="254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1:35" ht="30" customHeight="1">
      <c r="A194" s="5" t="s">
        <v>388</v>
      </c>
      <c r="B194" s="12" t="s">
        <v>389</v>
      </c>
      <c r="C194" s="13" t="s">
        <v>390</v>
      </c>
      <c r="D194" s="49">
        <f>'дод. 2'!E54</f>
        <v>391300</v>
      </c>
      <c r="E194" s="49">
        <f>'дод. 2'!F54</f>
        <v>391300</v>
      </c>
      <c r="F194" s="49">
        <f>'дод. 2'!G54</f>
        <v>0</v>
      </c>
      <c r="G194" s="49">
        <f>'дод. 2'!H54</f>
        <v>222241</v>
      </c>
      <c r="H194" s="49">
        <f>'дод. 2'!I54</f>
        <v>0</v>
      </c>
      <c r="I194" s="49">
        <f>'дод. 2'!J54</f>
        <v>0</v>
      </c>
      <c r="J194" s="49">
        <f>'дод. 2'!K54</f>
        <v>0</v>
      </c>
      <c r="K194" s="49">
        <f>'дод. 2'!L54</f>
        <v>0</v>
      </c>
      <c r="L194" s="49">
        <f>'дод. 2'!M54</f>
        <v>0</v>
      </c>
      <c r="M194" s="49">
        <f>'дод. 2'!N54</f>
        <v>0</v>
      </c>
      <c r="N194" s="49">
        <f>'дод. 2'!O54</f>
        <v>0</v>
      </c>
      <c r="O194" s="49">
        <f>'дод. 2'!P54</f>
        <v>391300</v>
      </c>
      <c r="P194" s="254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</row>
    <row r="195" spans="1:35" s="22" customFormat="1" ht="22.5" customHeight="1">
      <c r="A195" s="23" t="s">
        <v>14</v>
      </c>
      <c r="B195" s="35"/>
      <c r="C195" s="11" t="s">
        <v>19</v>
      </c>
      <c r="D195" s="50">
        <f>D196+D197</f>
        <v>76600</v>
      </c>
      <c r="E195" s="50">
        <f aca="true" t="shared" si="51" ref="E195:O195">E196+E197</f>
        <v>76600</v>
      </c>
      <c r="F195" s="50">
        <f t="shared" si="51"/>
        <v>0</v>
      </c>
      <c r="G195" s="50">
        <f t="shared" si="51"/>
        <v>0</v>
      </c>
      <c r="H195" s="50">
        <f t="shared" si="51"/>
        <v>0</v>
      </c>
      <c r="I195" s="50">
        <f t="shared" si="51"/>
        <v>3780000</v>
      </c>
      <c r="J195" s="50">
        <f t="shared" si="51"/>
        <v>2193000</v>
      </c>
      <c r="K195" s="50">
        <f t="shared" si="51"/>
        <v>0</v>
      </c>
      <c r="L195" s="50">
        <f t="shared" si="51"/>
        <v>0</v>
      </c>
      <c r="M195" s="50">
        <f t="shared" si="51"/>
        <v>1587000</v>
      </c>
      <c r="N195" s="50">
        <f t="shared" si="51"/>
        <v>0</v>
      </c>
      <c r="O195" s="50">
        <f t="shared" si="51"/>
        <v>3856600</v>
      </c>
      <c r="P195" s="254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1:35" s="22" customFormat="1" ht="26.25" customHeight="1">
      <c r="A196" s="5" t="s">
        <v>20</v>
      </c>
      <c r="B196" s="5" t="s">
        <v>135</v>
      </c>
      <c r="C196" s="13" t="s">
        <v>35</v>
      </c>
      <c r="D196" s="49">
        <f>'дод. 2'!E215</f>
        <v>76600</v>
      </c>
      <c r="E196" s="49">
        <f>'дод. 2'!F215</f>
        <v>76600</v>
      </c>
      <c r="F196" s="49">
        <f>'дод. 2'!G215</f>
        <v>0</v>
      </c>
      <c r="G196" s="49">
        <f>'дод. 2'!H215</f>
        <v>0</v>
      </c>
      <c r="H196" s="49">
        <f>'дод. 2'!I215</f>
        <v>0</v>
      </c>
      <c r="I196" s="49">
        <f>'дод. 2'!J215</f>
        <v>0</v>
      </c>
      <c r="J196" s="49">
        <f>'дод. 2'!K215</f>
        <v>0</v>
      </c>
      <c r="K196" s="49">
        <f>'дод. 2'!L215</f>
        <v>0</v>
      </c>
      <c r="L196" s="49">
        <f>'дод. 2'!M215</f>
        <v>0</v>
      </c>
      <c r="M196" s="49">
        <f>'дод. 2'!N215</f>
        <v>0</v>
      </c>
      <c r="N196" s="49">
        <f>'дод. 2'!O215</f>
        <v>0</v>
      </c>
      <c r="O196" s="49">
        <f>'дод. 2'!P215</f>
        <v>76600</v>
      </c>
      <c r="P196" s="254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</row>
    <row r="197" spans="1:35" s="22" customFormat="1" ht="21" customHeight="1">
      <c r="A197" s="5" t="s">
        <v>21</v>
      </c>
      <c r="B197" s="5" t="s">
        <v>139</v>
      </c>
      <c r="C197" s="13" t="s">
        <v>22</v>
      </c>
      <c r="D197" s="49">
        <f>'дод. 2'!E81+'дод. 2'!E262+'дод. 2'!E55+'дод. 2'!E216</f>
        <v>0</v>
      </c>
      <c r="E197" s="49">
        <f>'дод. 2'!F81+'дод. 2'!F262+'дод. 2'!F55+'дод. 2'!F216</f>
        <v>0</v>
      </c>
      <c r="F197" s="49">
        <f>'дод. 2'!G81+'дод. 2'!G262+'дод. 2'!G55+'дод. 2'!G216</f>
        <v>0</v>
      </c>
      <c r="G197" s="49">
        <f>'дод. 2'!H81+'дод. 2'!H262+'дод. 2'!H55+'дод. 2'!H216</f>
        <v>0</v>
      </c>
      <c r="H197" s="49">
        <f>'дод. 2'!I81+'дод. 2'!I262+'дод. 2'!I55+'дод. 2'!I216</f>
        <v>0</v>
      </c>
      <c r="I197" s="49">
        <f>'дод. 2'!J81+'дод. 2'!J262+'дод. 2'!J55+'дод. 2'!J216</f>
        <v>3780000</v>
      </c>
      <c r="J197" s="49">
        <f>'дод. 2'!K81+'дод. 2'!K262+'дод. 2'!K55+'дод. 2'!K216</f>
        <v>2193000</v>
      </c>
      <c r="K197" s="49">
        <f>'дод. 2'!L81+'дод. 2'!L262+'дод. 2'!L55+'дод. 2'!L216</f>
        <v>0</v>
      </c>
      <c r="L197" s="49">
        <f>'дод. 2'!M81+'дод. 2'!M262+'дод. 2'!M55+'дод. 2'!M216</f>
        <v>0</v>
      </c>
      <c r="M197" s="49">
        <f>'дод. 2'!N81+'дод. 2'!N262+'дод. 2'!N55+'дод. 2'!N216</f>
        <v>1587000</v>
      </c>
      <c r="N197" s="49">
        <f>'дод. 2'!O81+'дод. 2'!O262+'дод. 2'!O55+'дод. 2'!O216</f>
        <v>0</v>
      </c>
      <c r="O197" s="49">
        <f>'дод. 2'!P81+'дод. 2'!P262+'дод. 2'!P55+'дод. 2'!P216</f>
        <v>3780000</v>
      </c>
      <c r="P197" s="254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</row>
    <row r="198" spans="1:35" s="22" customFormat="1" ht="26.25" customHeight="1">
      <c r="A198" s="23" t="s">
        <v>211</v>
      </c>
      <c r="B198" s="35"/>
      <c r="C198" s="11" t="s">
        <v>117</v>
      </c>
      <c r="D198" s="50">
        <f aca="true" t="shared" si="52" ref="D198:O198">D199</f>
        <v>164000</v>
      </c>
      <c r="E198" s="50">
        <f t="shared" si="52"/>
        <v>164000</v>
      </c>
      <c r="F198" s="50">
        <f t="shared" si="52"/>
        <v>0</v>
      </c>
      <c r="G198" s="50">
        <f t="shared" si="52"/>
        <v>0</v>
      </c>
      <c r="H198" s="50">
        <f t="shared" si="52"/>
        <v>0</v>
      </c>
      <c r="I198" s="50">
        <f t="shared" si="52"/>
        <v>0</v>
      </c>
      <c r="J198" s="50">
        <f t="shared" si="52"/>
        <v>0</v>
      </c>
      <c r="K198" s="50">
        <f t="shared" si="52"/>
        <v>0</v>
      </c>
      <c r="L198" s="50">
        <f t="shared" si="52"/>
        <v>0</v>
      </c>
      <c r="M198" s="50">
        <f t="shared" si="52"/>
        <v>0</v>
      </c>
      <c r="N198" s="50">
        <f t="shared" si="52"/>
        <v>0</v>
      </c>
      <c r="O198" s="50">
        <f t="shared" si="52"/>
        <v>164000</v>
      </c>
      <c r="P198" s="254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1:35" s="22" customFormat="1" ht="25.5" customHeight="1">
      <c r="A199" s="5" t="s">
        <v>399</v>
      </c>
      <c r="B199" s="12" t="s">
        <v>118</v>
      </c>
      <c r="C199" s="13" t="s">
        <v>400</v>
      </c>
      <c r="D199" s="49">
        <f>'дод. 2'!E56</f>
        <v>164000</v>
      </c>
      <c r="E199" s="49">
        <f>'дод. 2'!F56</f>
        <v>164000</v>
      </c>
      <c r="F199" s="49">
        <f>'дод. 2'!G56</f>
        <v>0</v>
      </c>
      <c r="G199" s="49">
        <f>'дод. 2'!H56</f>
        <v>0</v>
      </c>
      <c r="H199" s="49">
        <f>'дод. 2'!I56</f>
        <v>0</v>
      </c>
      <c r="I199" s="49">
        <f>'дод. 2'!J56</f>
        <v>0</v>
      </c>
      <c r="J199" s="49">
        <f>'дод. 2'!K56</f>
        <v>0</v>
      </c>
      <c r="K199" s="49">
        <f>'дод. 2'!L56</f>
        <v>0</v>
      </c>
      <c r="L199" s="49">
        <f>'дод. 2'!M56</f>
        <v>0</v>
      </c>
      <c r="M199" s="49">
        <f>'дод. 2'!N56</f>
        <v>0</v>
      </c>
      <c r="N199" s="49">
        <f>'дод. 2'!O56</f>
        <v>0</v>
      </c>
      <c r="O199" s="49">
        <f>'дод. 2'!P56</f>
        <v>164000</v>
      </c>
      <c r="P199" s="254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</row>
    <row r="200" spans="1:35" s="22" customFormat="1" ht="26.25" customHeight="1">
      <c r="A200" s="23" t="s">
        <v>142</v>
      </c>
      <c r="B200" s="23" t="s">
        <v>137</v>
      </c>
      <c r="C200" s="11" t="s">
        <v>23</v>
      </c>
      <c r="D200" s="50">
        <f>'дод. 2'!E263</f>
        <v>177952.41</v>
      </c>
      <c r="E200" s="50">
        <f>'дод. 2'!F263</f>
        <v>177952.41</v>
      </c>
      <c r="F200" s="50">
        <f>'дод. 2'!G263</f>
        <v>0</v>
      </c>
      <c r="G200" s="50">
        <f>'дод. 2'!H263</f>
        <v>0</v>
      </c>
      <c r="H200" s="50">
        <f>'дод. 2'!I263</f>
        <v>0</v>
      </c>
      <c r="I200" s="50">
        <f>'дод. 2'!J263</f>
        <v>0</v>
      </c>
      <c r="J200" s="50">
        <f>'дод. 2'!K263</f>
        <v>0</v>
      </c>
      <c r="K200" s="50">
        <f>'дод. 2'!L263</f>
        <v>0</v>
      </c>
      <c r="L200" s="50">
        <f>'дод. 2'!M263</f>
        <v>0</v>
      </c>
      <c r="M200" s="50">
        <f>'дод. 2'!N263</f>
        <v>0</v>
      </c>
      <c r="N200" s="50">
        <f>'дод. 2'!O263</f>
        <v>0</v>
      </c>
      <c r="O200" s="50">
        <f>'дод. 2'!P263</f>
        <v>177952.41</v>
      </c>
      <c r="P200" s="254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1:35" s="22" customFormat="1" ht="26.25" customHeight="1">
      <c r="A201" s="23" t="s">
        <v>24</v>
      </c>
      <c r="B201" s="23" t="s">
        <v>140</v>
      </c>
      <c r="C201" s="11" t="s">
        <v>38</v>
      </c>
      <c r="D201" s="50">
        <f>'дод. 2'!E264</f>
        <v>14200643.26</v>
      </c>
      <c r="E201" s="50">
        <f>'дод. 2'!F264</f>
        <v>0</v>
      </c>
      <c r="F201" s="50">
        <f>'дод. 2'!G264</f>
        <v>0</v>
      </c>
      <c r="G201" s="50">
        <f>'дод. 2'!H264</f>
        <v>0</v>
      </c>
      <c r="H201" s="50">
        <f>'дод. 2'!I264</f>
        <v>0</v>
      </c>
      <c r="I201" s="50">
        <f>'дод. 2'!J264</f>
        <v>0</v>
      </c>
      <c r="J201" s="50">
        <f>'дод. 2'!K264</f>
        <v>0</v>
      </c>
      <c r="K201" s="50">
        <f>'дод. 2'!L264</f>
        <v>0</v>
      </c>
      <c r="L201" s="50">
        <f>'дод. 2'!M264</f>
        <v>0</v>
      </c>
      <c r="M201" s="50">
        <f>'дод. 2'!N264</f>
        <v>0</v>
      </c>
      <c r="N201" s="50">
        <f>'дод. 2'!O264</f>
        <v>0</v>
      </c>
      <c r="O201" s="50">
        <f>'дод. 2'!P264</f>
        <v>14200643.26</v>
      </c>
      <c r="P201" s="254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1:35" s="22" customFormat="1" ht="27.75" customHeight="1">
      <c r="A202" s="23" t="s">
        <v>25</v>
      </c>
      <c r="B202" s="23"/>
      <c r="C202" s="11" t="s">
        <v>164</v>
      </c>
      <c r="D202" s="50">
        <f>D203+D205</f>
        <v>88670600</v>
      </c>
      <c r="E202" s="50">
        <f aca="true" t="shared" si="53" ref="E202:O202">E203+E205</f>
        <v>88670600</v>
      </c>
      <c r="F202" s="50">
        <f t="shared" si="53"/>
        <v>0</v>
      </c>
      <c r="G202" s="50">
        <f t="shared" si="53"/>
        <v>0</v>
      </c>
      <c r="H202" s="50">
        <f t="shared" si="53"/>
        <v>0</v>
      </c>
      <c r="I202" s="50">
        <f t="shared" si="53"/>
        <v>1720000</v>
      </c>
      <c r="J202" s="50">
        <f t="shared" si="53"/>
        <v>0</v>
      </c>
      <c r="K202" s="50">
        <f t="shared" si="53"/>
        <v>0</v>
      </c>
      <c r="L202" s="50">
        <f t="shared" si="53"/>
        <v>0</v>
      </c>
      <c r="M202" s="50">
        <f t="shared" si="53"/>
        <v>1720000</v>
      </c>
      <c r="N202" s="50">
        <f t="shared" si="53"/>
        <v>1720000</v>
      </c>
      <c r="O202" s="50">
        <f t="shared" si="53"/>
        <v>90390600</v>
      </c>
      <c r="P202" s="254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1:35" s="22" customFormat="1" ht="27.75" customHeight="1">
      <c r="A203" s="23" t="s">
        <v>397</v>
      </c>
      <c r="B203" s="23"/>
      <c r="C203" s="11" t="s">
        <v>470</v>
      </c>
      <c r="D203" s="50">
        <f aca="true" t="shared" si="54" ref="D203:O203">D204</f>
        <v>87299600</v>
      </c>
      <c r="E203" s="50">
        <f t="shared" si="54"/>
        <v>87299600</v>
      </c>
      <c r="F203" s="50">
        <f t="shared" si="54"/>
        <v>0</v>
      </c>
      <c r="G203" s="50">
        <f t="shared" si="54"/>
        <v>0</v>
      </c>
      <c r="H203" s="50">
        <f t="shared" si="54"/>
        <v>0</v>
      </c>
      <c r="I203" s="50">
        <f t="shared" si="54"/>
        <v>0</v>
      </c>
      <c r="J203" s="50">
        <f t="shared" si="54"/>
        <v>0</v>
      </c>
      <c r="K203" s="50">
        <f t="shared" si="54"/>
        <v>0</v>
      </c>
      <c r="L203" s="50">
        <f t="shared" si="54"/>
        <v>0</v>
      </c>
      <c r="M203" s="50">
        <f t="shared" si="54"/>
        <v>0</v>
      </c>
      <c r="N203" s="50">
        <f t="shared" si="54"/>
        <v>0</v>
      </c>
      <c r="O203" s="50">
        <f t="shared" si="54"/>
        <v>87299600</v>
      </c>
      <c r="P203" s="254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1:35" s="22" customFormat="1" ht="21.75" customHeight="1">
      <c r="A204" s="5" t="s">
        <v>138</v>
      </c>
      <c r="B204" s="12" t="s">
        <v>78</v>
      </c>
      <c r="C204" s="13" t="s">
        <v>162</v>
      </c>
      <c r="D204" s="49">
        <f>'дод. 2'!E265</f>
        <v>87299600</v>
      </c>
      <c r="E204" s="49">
        <f>'дод. 2'!F265</f>
        <v>87299600</v>
      </c>
      <c r="F204" s="49">
        <f>'дод. 2'!G265</f>
        <v>0</v>
      </c>
      <c r="G204" s="49">
        <f>'дод. 2'!H265</f>
        <v>0</v>
      </c>
      <c r="H204" s="49">
        <f>'дод. 2'!I265</f>
        <v>0</v>
      </c>
      <c r="I204" s="49">
        <f>'дод. 2'!J265</f>
        <v>0</v>
      </c>
      <c r="J204" s="49">
        <f>'дод. 2'!K265</f>
        <v>0</v>
      </c>
      <c r="K204" s="49">
        <f>'дод. 2'!L265</f>
        <v>0</v>
      </c>
      <c r="L204" s="49">
        <f>'дод. 2'!M265</f>
        <v>0</v>
      </c>
      <c r="M204" s="49">
        <f>'дод. 2'!N265</f>
        <v>0</v>
      </c>
      <c r="N204" s="49">
        <f>'дод. 2'!O265</f>
        <v>0</v>
      </c>
      <c r="O204" s="49">
        <f>'дод. 2'!P265</f>
        <v>87299600</v>
      </c>
      <c r="P204" s="254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</row>
    <row r="205" spans="1:35" s="22" customFormat="1" ht="57" customHeight="1">
      <c r="A205" s="23" t="s">
        <v>26</v>
      </c>
      <c r="B205" s="10"/>
      <c r="C205" s="11" t="s">
        <v>27</v>
      </c>
      <c r="D205" s="50">
        <f aca="true" t="shared" si="55" ref="D205:O205">D206</f>
        <v>1371000</v>
      </c>
      <c r="E205" s="50">
        <f t="shared" si="55"/>
        <v>1371000</v>
      </c>
      <c r="F205" s="50">
        <f t="shared" si="55"/>
        <v>0</v>
      </c>
      <c r="G205" s="50">
        <f t="shared" si="55"/>
        <v>0</v>
      </c>
      <c r="H205" s="50">
        <f t="shared" si="55"/>
        <v>0</v>
      </c>
      <c r="I205" s="50">
        <f t="shared" si="55"/>
        <v>1720000</v>
      </c>
      <c r="J205" s="50">
        <f t="shared" si="55"/>
        <v>0</v>
      </c>
      <c r="K205" s="50">
        <f t="shared" si="55"/>
        <v>0</v>
      </c>
      <c r="L205" s="50">
        <f t="shared" si="55"/>
        <v>0</v>
      </c>
      <c r="M205" s="50">
        <f t="shared" si="55"/>
        <v>1720000</v>
      </c>
      <c r="N205" s="50">
        <f t="shared" si="55"/>
        <v>1720000</v>
      </c>
      <c r="O205" s="50">
        <f t="shared" si="55"/>
        <v>3091000</v>
      </c>
      <c r="P205" s="254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1:35" s="22" customFormat="1" ht="33.75" customHeight="1">
      <c r="A206" s="5" t="s">
        <v>28</v>
      </c>
      <c r="B206" s="12" t="s">
        <v>78</v>
      </c>
      <c r="C206" s="18" t="s">
        <v>415</v>
      </c>
      <c r="D206" s="49">
        <f>'дод. 2'!E217+'дод. 2'!E182+'дод. 2'!E266</f>
        <v>1371000</v>
      </c>
      <c r="E206" s="49">
        <f>'дод. 2'!F217+'дод. 2'!F182+'дод. 2'!F266</f>
        <v>1371000</v>
      </c>
      <c r="F206" s="49">
        <f>'дод. 2'!G217+'дод. 2'!G182+'дод. 2'!G266</f>
        <v>0</v>
      </c>
      <c r="G206" s="49">
        <f>'дод. 2'!H217+'дод. 2'!H182+'дод. 2'!H266</f>
        <v>0</v>
      </c>
      <c r="H206" s="49">
        <f>'дод. 2'!I217+'дод. 2'!I182+'дод. 2'!I266</f>
        <v>0</v>
      </c>
      <c r="I206" s="49">
        <f>'дод. 2'!J217+'дод. 2'!J182+'дод. 2'!J266</f>
        <v>1720000</v>
      </c>
      <c r="J206" s="49">
        <f>'дод. 2'!K217+'дод. 2'!K182+'дод. 2'!K266</f>
        <v>0</v>
      </c>
      <c r="K206" s="49">
        <f>'дод. 2'!L217+'дод. 2'!L182+'дод. 2'!L266</f>
        <v>0</v>
      </c>
      <c r="L206" s="49">
        <f>'дод. 2'!M217+'дод. 2'!M182+'дод. 2'!M266</f>
        <v>0</v>
      </c>
      <c r="M206" s="49">
        <f>'дод. 2'!N217+'дод. 2'!N182+'дод. 2'!N266</f>
        <v>1720000</v>
      </c>
      <c r="N206" s="49">
        <f>'дод. 2'!O217+'дод. 2'!O182+'дод. 2'!O266</f>
        <v>1720000</v>
      </c>
      <c r="O206" s="49">
        <f>'дод. 2'!P217+'дод. 2'!P182+'дод. 2'!P266</f>
        <v>3091000</v>
      </c>
      <c r="P206" s="254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</row>
    <row r="207" spans="1:35" s="22" customFormat="1" ht="25.5" customHeight="1">
      <c r="A207" s="23"/>
      <c r="B207" s="23"/>
      <c r="C207" s="11" t="s">
        <v>39</v>
      </c>
      <c r="D207" s="50">
        <f aca="true" t="shared" si="56" ref="D207:O207">D12+D15+D32+D60+D133+D138+D148+D160+D162+D170+D177+D179+D190+D193+D195+D198+D200+D201+D203+D205</f>
        <v>2805649586.67</v>
      </c>
      <c r="E207" s="50">
        <f t="shared" si="56"/>
        <v>2765067432.41</v>
      </c>
      <c r="F207" s="50">
        <f t="shared" si="56"/>
        <v>663396378.1</v>
      </c>
      <c r="G207" s="50">
        <f t="shared" si="56"/>
        <v>95161855</v>
      </c>
      <c r="H207" s="50">
        <f t="shared" si="56"/>
        <v>26381511</v>
      </c>
      <c r="I207" s="50">
        <f t="shared" si="56"/>
        <v>474640332</v>
      </c>
      <c r="J207" s="50">
        <f t="shared" si="56"/>
        <v>72333808</v>
      </c>
      <c r="K207" s="50">
        <f t="shared" si="56"/>
        <v>6315206</v>
      </c>
      <c r="L207" s="50">
        <f t="shared" si="56"/>
        <v>2472134</v>
      </c>
      <c r="M207" s="50">
        <f t="shared" si="56"/>
        <v>402306524</v>
      </c>
      <c r="N207" s="50">
        <f t="shared" si="56"/>
        <v>399370104</v>
      </c>
      <c r="O207" s="50">
        <f t="shared" si="56"/>
        <v>3280289918.67</v>
      </c>
      <c r="P207" s="254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1:35" s="22" customFormat="1" ht="25.5" customHeight="1">
      <c r="A208" s="62"/>
      <c r="B208" s="62"/>
      <c r="C208" s="11" t="s">
        <v>416</v>
      </c>
      <c r="D208" s="63">
        <f aca="true" t="shared" si="57" ref="D208:O208">D16+D33+D61</f>
        <v>1629008100</v>
      </c>
      <c r="E208" s="63">
        <f t="shared" si="57"/>
        <v>1629008100</v>
      </c>
      <c r="F208" s="63">
        <f t="shared" si="57"/>
        <v>212872900</v>
      </c>
      <c r="G208" s="63">
        <f t="shared" si="57"/>
        <v>0</v>
      </c>
      <c r="H208" s="63">
        <f t="shared" si="57"/>
        <v>0</v>
      </c>
      <c r="I208" s="63">
        <f t="shared" si="57"/>
        <v>0</v>
      </c>
      <c r="J208" s="63">
        <f t="shared" si="57"/>
        <v>0</v>
      </c>
      <c r="K208" s="63">
        <f t="shared" si="57"/>
        <v>0</v>
      </c>
      <c r="L208" s="63">
        <f t="shared" si="57"/>
        <v>0</v>
      </c>
      <c r="M208" s="63">
        <f t="shared" si="57"/>
        <v>0</v>
      </c>
      <c r="N208" s="63">
        <f t="shared" si="57"/>
        <v>0</v>
      </c>
      <c r="O208" s="63">
        <f t="shared" si="57"/>
        <v>1629008100</v>
      </c>
      <c r="P208" s="254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</row>
    <row r="209" spans="1:35" s="22" customFormat="1" ht="25.5" customHeight="1">
      <c r="A209" s="106"/>
      <c r="B209" s="106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254"/>
      <c r="Q209" s="221"/>
      <c r="R209" s="221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3"/>
    </row>
    <row r="210" spans="1:35" s="22" customFormat="1" ht="25.5" customHeight="1">
      <c r="A210" s="106"/>
      <c r="B210" s="106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254"/>
      <c r="Q210" s="221"/>
      <c r="R210" s="221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22"/>
      <c r="AI210" s="223"/>
    </row>
    <row r="211" spans="1:17" s="203" customFormat="1" ht="61.5" customHeight="1">
      <c r="A211" s="224"/>
      <c r="B211" s="242" t="s">
        <v>593</v>
      </c>
      <c r="C211" s="242"/>
      <c r="D211" s="242"/>
      <c r="E211" s="242"/>
      <c r="F211" s="173"/>
      <c r="G211" s="173"/>
      <c r="H211" s="173"/>
      <c r="I211" s="173"/>
      <c r="J211" s="173"/>
      <c r="K211" s="173"/>
      <c r="L211" s="173"/>
      <c r="M211" s="236" t="s">
        <v>594</v>
      </c>
      <c r="N211" s="236"/>
      <c r="O211" s="236"/>
      <c r="P211" s="254"/>
      <c r="Q211" s="231"/>
    </row>
    <row r="212" spans="1:35" s="22" customFormat="1" ht="25.5" customHeight="1">
      <c r="A212" s="240"/>
      <c r="B212" s="240"/>
      <c r="C212" s="240"/>
      <c r="D212" s="240"/>
      <c r="E212" s="240"/>
      <c r="F212" s="240"/>
      <c r="G212" s="173"/>
      <c r="H212" s="173"/>
      <c r="I212" s="172"/>
      <c r="J212" s="173"/>
      <c r="K212" s="236"/>
      <c r="L212" s="236"/>
      <c r="M212" s="236"/>
      <c r="N212" s="236"/>
      <c r="O212" s="104"/>
      <c r="P212" s="253"/>
      <c r="Q212" s="221"/>
      <c r="R212" s="221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3"/>
    </row>
    <row r="213" spans="1:35" s="22" customFormat="1" ht="25.5" customHeight="1">
      <c r="A213" s="174"/>
      <c r="C213" s="175"/>
      <c r="D213" s="176"/>
      <c r="E213" s="176"/>
      <c r="F213" s="176"/>
      <c r="G213" s="176"/>
      <c r="H213" s="176"/>
      <c r="I213" s="176"/>
      <c r="J213" s="176"/>
      <c r="K213" s="176"/>
      <c r="L213" s="176"/>
      <c r="M213" s="174"/>
      <c r="N213" s="174"/>
      <c r="O213" s="104"/>
      <c r="P213" s="253"/>
      <c r="Q213" s="221"/>
      <c r="R213" s="221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3"/>
    </row>
    <row r="214" spans="1:35" s="16" customFormat="1" ht="26.25" customHeight="1">
      <c r="A214" s="105"/>
      <c r="B214" s="102"/>
      <c r="C214" s="102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250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</row>
    <row r="215" spans="1:35" s="21" customFormat="1" ht="26.25" customHeight="1">
      <c r="A215" s="164"/>
      <c r="B215" s="164"/>
      <c r="C215" s="164"/>
      <c r="D215" s="57">
        <f>D208-'дод. 2'!E268</f>
        <v>0</v>
      </c>
      <c r="E215" s="57">
        <f>E208-'дод. 2'!F268</f>
        <v>0</v>
      </c>
      <c r="F215" s="57">
        <f>F208-'дод. 2'!G268</f>
        <v>0</v>
      </c>
      <c r="G215" s="57">
        <f>G208-'дод. 2'!H268</f>
        <v>0</v>
      </c>
      <c r="H215" s="57">
        <f>H208-'дод. 2'!I268</f>
        <v>0</v>
      </c>
      <c r="I215" s="57">
        <f>I208-'дод. 2'!J268</f>
        <v>0</v>
      </c>
      <c r="J215" s="57">
        <f>J208-'дод. 2'!K268</f>
        <v>0</v>
      </c>
      <c r="K215" s="57">
        <f>K208-'дод. 2'!L268</f>
        <v>0</v>
      </c>
      <c r="L215" s="57">
        <f>L208-'дод. 2'!M268</f>
        <v>0</v>
      </c>
      <c r="M215" s="57">
        <f>M208-'дод. 2'!N268</f>
        <v>0</v>
      </c>
      <c r="N215" s="57">
        <f>N208-'дод. 2'!O268</f>
        <v>0</v>
      </c>
      <c r="O215" s="57">
        <f>O208-'дод. 2'!P268</f>
        <v>0</v>
      </c>
      <c r="P215" s="250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</row>
    <row r="216" spans="1:35" s="16" customFormat="1" ht="15.75">
      <c r="A216" s="6"/>
      <c r="C216" s="44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53"/>
      <c r="Q216" s="221"/>
      <c r="R216" s="221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5"/>
    </row>
    <row r="217" spans="3:35" s="16" customFormat="1" ht="15.75">
      <c r="C217" s="64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53"/>
      <c r="Q217" s="221"/>
      <c r="R217" s="221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5"/>
    </row>
    <row r="218" spans="1:35" s="16" customFormat="1" ht="15.75">
      <c r="A218" s="17"/>
      <c r="B218" s="6"/>
      <c r="C218" s="44"/>
      <c r="J218" s="20"/>
      <c r="K218" s="20"/>
      <c r="P218" s="250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5"/>
    </row>
    <row r="219" spans="1:35" s="16" customFormat="1" ht="15.75">
      <c r="A219" s="17"/>
      <c r="B219" s="6"/>
      <c r="C219" s="44"/>
      <c r="J219" s="20"/>
      <c r="K219" s="20"/>
      <c r="P219" s="250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5"/>
    </row>
    <row r="220" spans="1:35" s="16" customFormat="1" ht="15.75">
      <c r="A220" s="17"/>
      <c r="B220" s="6"/>
      <c r="C220" s="44"/>
      <c r="J220" s="20"/>
      <c r="K220" s="20"/>
      <c r="P220" s="250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5"/>
    </row>
    <row r="221" spans="1:35" s="16" customFormat="1" ht="15.75">
      <c r="A221" s="17"/>
      <c r="B221" s="6"/>
      <c r="C221" s="44"/>
      <c r="D221" s="58"/>
      <c r="E221" s="58"/>
      <c r="J221" s="20"/>
      <c r="K221" s="20"/>
      <c r="P221" s="250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5"/>
    </row>
    <row r="222" spans="1:35" s="16" customFormat="1" ht="15.75">
      <c r="A222" s="17"/>
      <c r="B222" s="6"/>
      <c r="C222" s="44"/>
      <c r="J222" s="20"/>
      <c r="K222" s="20"/>
      <c r="P222" s="250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5"/>
    </row>
    <row r="223" spans="1:35" s="16" customFormat="1" ht="15.75">
      <c r="A223" s="17"/>
      <c r="B223" s="6"/>
      <c r="C223" s="44"/>
      <c r="D223" s="57"/>
      <c r="J223" s="20"/>
      <c r="K223" s="20"/>
      <c r="P223" s="250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5"/>
    </row>
    <row r="224" spans="1:35" s="16" customFormat="1" ht="15.75">
      <c r="A224" s="17"/>
      <c r="B224" s="6"/>
      <c r="C224" s="44"/>
      <c r="D224" s="57"/>
      <c r="J224" s="20"/>
      <c r="K224" s="20"/>
      <c r="P224" s="250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5"/>
    </row>
    <row r="225" spans="1:35" s="16" customFormat="1" ht="15.75">
      <c r="A225" s="17"/>
      <c r="B225" s="6"/>
      <c r="C225" s="44"/>
      <c r="J225" s="20"/>
      <c r="K225" s="20"/>
      <c r="P225" s="250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5"/>
    </row>
    <row r="226" spans="1:35" s="16" customFormat="1" ht="15.75">
      <c r="A226" s="17"/>
      <c r="B226" s="6"/>
      <c r="C226" s="44"/>
      <c r="J226" s="20"/>
      <c r="K226" s="20"/>
      <c r="P226" s="250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5"/>
    </row>
    <row r="227" spans="1:35" s="16" customFormat="1" ht="15.75">
      <c r="A227" s="17"/>
      <c r="B227" s="6"/>
      <c r="C227" s="44"/>
      <c r="J227" s="20"/>
      <c r="K227" s="20"/>
      <c r="P227" s="250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5"/>
    </row>
    <row r="228" spans="1:35" s="16" customFormat="1" ht="15.75">
      <c r="A228" s="17"/>
      <c r="B228" s="6"/>
      <c r="C228" s="44"/>
      <c r="J228" s="20"/>
      <c r="K228" s="20"/>
      <c r="P228" s="250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5"/>
    </row>
    <row r="229" spans="1:35" s="16" customFormat="1" ht="15.75">
      <c r="A229" s="17"/>
      <c r="B229" s="6"/>
      <c r="C229" s="44"/>
      <c r="J229" s="20"/>
      <c r="K229" s="20"/>
      <c r="P229" s="250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5"/>
    </row>
    <row r="230" spans="1:35" s="16" customFormat="1" ht="15.75">
      <c r="A230" s="17"/>
      <c r="B230" s="6"/>
      <c r="C230" s="44"/>
      <c r="J230" s="20"/>
      <c r="K230" s="20"/>
      <c r="P230" s="250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5"/>
    </row>
    <row r="231" spans="1:35" s="16" customFormat="1" ht="15.75">
      <c r="A231" s="17"/>
      <c r="B231" s="6"/>
      <c r="C231" s="44"/>
      <c r="P231" s="250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5"/>
    </row>
    <row r="232" spans="1:35" s="16" customFormat="1" ht="15.75">
      <c r="A232" s="17"/>
      <c r="B232" s="6"/>
      <c r="C232" s="44"/>
      <c r="P232" s="250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5"/>
    </row>
    <row r="233" spans="1:35" s="16" customFormat="1" ht="15.75">
      <c r="A233" s="17"/>
      <c r="B233" s="6"/>
      <c r="C233" s="44"/>
      <c r="P233" s="250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5"/>
    </row>
    <row r="234" spans="1:35" s="16" customFormat="1" ht="15.75">
      <c r="A234" s="17"/>
      <c r="B234" s="6"/>
      <c r="C234" s="44"/>
      <c r="P234" s="250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5"/>
    </row>
    <row r="235" spans="1:35" s="16" customFormat="1" ht="15.75">
      <c r="A235" s="17"/>
      <c r="B235" s="6"/>
      <c r="C235" s="44"/>
      <c r="P235" s="250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5"/>
    </row>
    <row r="236" spans="1:35" s="16" customFormat="1" ht="15.75">
      <c r="A236" s="17"/>
      <c r="B236" s="6"/>
      <c r="C236" s="44"/>
      <c r="P236" s="250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5"/>
    </row>
    <row r="237" spans="1:35" s="16" customFormat="1" ht="15.75">
      <c r="A237" s="17"/>
      <c r="B237" s="6"/>
      <c r="C237" s="44"/>
      <c r="P237" s="250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5"/>
    </row>
    <row r="238" spans="1:35" s="16" customFormat="1" ht="15.75">
      <c r="A238" s="17"/>
      <c r="B238" s="6"/>
      <c r="C238" s="44"/>
      <c r="P238" s="250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5"/>
    </row>
    <row r="239" spans="1:35" s="16" customFormat="1" ht="15.75">
      <c r="A239" s="17"/>
      <c r="B239" s="6"/>
      <c r="C239" s="44"/>
      <c r="P239" s="250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5"/>
    </row>
    <row r="240" spans="1:35" s="16" customFormat="1" ht="15.75">
      <c r="A240" s="17"/>
      <c r="B240" s="6"/>
      <c r="C240" s="44"/>
      <c r="P240" s="250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5"/>
    </row>
    <row r="241" spans="1:35" s="16" customFormat="1" ht="15.75">
      <c r="A241" s="17"/>
      <c r="B241" s="6"/>
      <c r="C241" s="44"/>
      <c r="P241" s="250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5"/>
    </row>
    <row r="242" spans="1:35" s="16" customFormat="1" ht="15.75">
      <c r="A242" s="17"/>
      <c r="B242" s="6"/>
      <c r="C242" s="44"/>
      <c r="P242" s="250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5"/>
    </row>
    <row r="243" spans="1:35" s="16" customFormat="1" ht="15.75">
      <c r="A243" s="17"/>
      <c r="B243" s="6"/>
      <c r="C243" s="44"/>
      <c r="P243" s="250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5"/>
    </row>
    <row r="244" spans="1:35" s="16" customFormat="1" ht="15.75">
      <c r="A244" s="17"/>
      <c r="B244" s="6"/>
      <c r="C244" s="44"/>
      <c r="P244" s="250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5"/>
    </row>
    <row r="245" spans="1:35" s="16" customFormat="1" ht="15.75">
      <c r="A245" s="17"/>
      <c r="B245" s="6"/>
      <c r="C245" s="44"/>
      <c r="P245" s="250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5"/>
    </row>
    <row r="246" spans="1:35" s="16" customFormat="1" ht="15.75">
      <c r="A246" s="17"/>
      <c r="B246" s="6"/>
      <c r="C246" s="44"/>
      <c r="P246" s="250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5"/>
    </row>
    <row r="247" spans="1:35" s="16" customFormat="1" ht="15.75">
      <c r="A247" s="17"/>
      <c r="B247" s="6"/>
      <c r="C247" s="44"/>
      <c r="P247" s="250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5"/>
    </row>
    <row r="248" spans="1:35" s="16" customFormat="1" ht="15.75">
      <c r="A248" s="17"/>
      <c r="B248" s="6"/>
      <c r="C248" s="44"/>
      <c r="P248" s="250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5"/>
    </row>
    <row r="249" spans="1:35" s="16" customFormat="1" ht="15.75">
      <c r="A249" s="17"/>
      <c r="B249" s="6"/>
      <c r="C249" s="44"/>
      <c r="P249" s="250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5"/>
    </row>
    <row r="250" spans="1:35" s="16" customFormat="1" ht="15.75">
      <c r="A250" s="17"/>
      <c r="B250" s="6"/>
      <c r="C250" s="44"/>
      <c r="P250" s="250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5"/>
    </row>
    <row r="251" spans="1:35" s="16" customFormat="1" ht="15.75">
      <c r="A251" s="17"/>
      <c r="B251" s="6"/>
      <c r="C251" s="44"/>
      <c r="P251" s="250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5"/>
    </row>
    <row r="252" spans="1:35" s="16" customFormat="1" ht="15.75">
      <c r="A252" s="17"/>
      <c r="B252" s="6"/>
      <c r="C252" s="44"/>
      <c r="P252" s="250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5"/>
    </row>
    <row r="253" spans="1:35" s="16" customFormat="1" ht="15.75">
      <c r="A253" s="17"/>
      <c r="B253" s="6"/>
      <c r="C253" s="44"/>
      <c r="P253" s="250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5"/>
    </row>
    <row r="254" spans="1:35" s="16" customFormat="1" ht="15.75">
      <c r="A254" s="17"/>
      <c r="B254" s="6"/>
      <c r="C254" s="44"/>
      <c r="P254" s="250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5"/>
    </row>
    <row r="255" spans="1:35" s="16" customFormat="1" ht="15.75">
      <c r="A255" s="17"/>
      <c r="B255" s="6"/>
      <c r="C255" s="44"/>
      <c r="P255" s="250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5"/>
    </row>
    <row r="256" spans="1:35" s="16" customFormat="1" ht="15.75">
      <c r="A256" s="17"/>
      <c r="B256" s="6"/>
      <c r="C256" s="44"/>
      <c r="P256" s="250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5"/>
    </row>
    <row r="257" spans="1:35" s="16" customFormat="1" ht="15.75">
      <c r="A257" s="17"/>
      <c r="B257" s="6"/>
      <c r="C257" s="44"/>
      <c r="P257" s="250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5"/>
    </row>
    <row r="258" spans="1:35" s="16" customFormat="1" ht="15.75">
      <c r="A258" s="17"/>
      <c r="B258" s="6"/>
      <c r="C258" s="44"/>
      <c r="P258" s="250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5"/>
    </row>
    <row r="259" spans="1:35" s="16" customFormat="1" ht="15.75">
      <c r="A259" s="17"/>
      <c r="B259" s="6"/>
      <c r="C259" s="44"/>
      <c r="P259" s="250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5"/>
    </row>
    <row r="260" spans="1:35" s="16" customFormat="1" ht="15.75">
      <c r="A260" s="17"/>
      <c r="B260" s="6"/>
      <c r="C260" s="44"/>
      <c r="P260" s="250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5"/>
    </row>
    <row r="261" spans="1:35" s="16" customFormat="1" ht="15.75">
      <c r="A261" s="17"/>
      <c r="B261" s="6"/>
      <c r="C261" s="44"/>
      <c r="P261" s="250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5"/>
    </row>
    <row r="262" spans="1:35" s="16" customFormat="1" ht="15.75">
      <c r="A262" s="17"/>
      <c r="B262" s="6"/>
      <c r="C262" s="44"/>
      <c r="P262" s="250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5"/>
    </row>
    <row r="263" spans="1:35" s="16" customFormat="1" ht="15.75">
      <c r="A263" s="17"/>
      <c r="B263" s="6"/>
      <c r="C263" s="44"/>
      <c r="P263" s="250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5"/>
    </row>
    <row r="264" spans="1:35" s="16" customFormat="1" ht="15.75">
      <c r="A264" s="17"/>
      <c r="B264" s="6"/>
      <c r="C264" s="44"/>
      <c r="P264" s="250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5"/>
    </row>
    <row r="265" spans="1:35" s="16" customFormat="1" ht="15.75">
      <c r="A265" s="17"/>
      <c r="B265" s="6"/>
      <c r="C265" s="44"/>
      <c r="P265" s="250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5"/>
    </row>
    <row r="266" spans="1:35" s="16" customFormat="1" ht="15.75">
      <c r="A266" s="17"/>
      <c r="B266" s="6"/>
      <c r="C266" s="44"/>
      <c r="P266" s="250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5"/>
    </row>
    <row r="267" spans="1:35" s="16" customFormat="1" ht="15.75">
      <c r="A267" s="17"/>
      <c r="B267" s="6"/>
      <c r="C267" s="44"/>
      <c r="P267" s="250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5"/>
    </row>
    <row r="268" spans="1:35" s="16" customFormat="1" ht="15.75">
      <c r="A268" s="17"/>
      <c r="B268" s="6"/>
      <c r="C268" s="44"/>
      <c r="P268" s="250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5"/>
    </row>
    <row r="269" spans="1:35" s="16" customFormat="1" ht="15.75">
      <c r="A269" s="17"/>
      <c r="B269" s="6"/>
      <c r="C269" s="44"/>
      <c r="P269" s="250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5"/>
    </row>
    <row r="270" spans="1:35" s="16" customFormat="1" ht="15.75">
      <c r="A270" s="17"/>
      <c r="B270" s="6"/>
      <c r="C270" s="44"/>
      <c r="P270" s="250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5"/>
    </row>
    <row r="271" spans="1:35" s="16" customFormat="1" ht="15.75">
      <c r="A271" s="17"/>
      <c r="B271" s="6"/>
      <c r="C271" s="44"/>
      <c r="P271" s="250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5"/>
    </row>
    <row r="272" spans="1:35" s="16" customFormat="1" ht="15.75">
      <c r="A272" s="17"/>
      <c r="B272" s="6"/>
      <c r="C272" s="44"/>
      <c r="P272" s="250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5"/>
    </row>
    <row r="273" spans="1:35" s="16" customFormat="1" ht="15.75">
      <c r="A273" s="17"/>
      <c r="B273" s="6"/>
      <c r="C273" s="44"/>
      <c r="P273" s="250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5"/>
    </row>
    <row r="274" spans="1:35" s="16" customFormat="1" ht="15.75">
      <c r="A274" s="17"/>
      <c r="B274" s="6"/>
      <c r="C274" s="44"/>
      <c r="P274" s="250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5"/>
    </row>
    <row r="275" spans="1:35" s="16" customFormat="1" ht="15.75">
      <c r="A275" s="17"/>
      <c r="B275" s="6"/>
      <c r="C275" s="44"/>
      <c r="P275" s="250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5"/>
    </row>
    <row r="276" spans="1:35" s="16" customFormat="1" ht="15.75">
      <c r="A276" s="17"/>
      <c r="B276" s="6"/>
      <c r="C276" s="44"/>
      <c r="P276" s="250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5"/>
    </row>
    <row r="277" spans="1:35" s="16" customFormat="1" ht="15.75">
      <c r="A277" s="17"/>
      <c r="B277" s="6"/>
      <c r="C277" s="44"/>
      <c r="P277" s="250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5"/>
    </row>
    <row r="278" spans="1:35" s="16" customFormat="1" ht="15.75">
      <c r="A278" s="17"/>
      <c r="B278" s="6"/>
      <c r="C278" s="44"/>
      <c r="P278" s="250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5"/>
    </row>
    <row r="279" spans="1:35" s="16" customFormat="1" ht="15.75">
      <c r="A279" s="17"/>
      <c r="B279" s="6"/>
      <c r="C279" s="44"/>
      <c r="P279" s="250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5"/>
    </row>
    <row r="280" spans="1:35" s="16" customFormat="1" ht="15.75">
      <c r="A280" s="17"/>
      <c r="B280" s="6"/>
      <c r="C280" s="44"/>
      <c r="P280" s="250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5"/>
    </row>
    <row r="281" spans="1:35" s="16" customFormat="1" ht="15.75">
      <c r="A281" s="17"/>
      <c r="B281" s="6"/>
      <c r="C281" s="44"/>
      <c r="P281" s="250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5"/>
    </row>
    <row r="282" spans="1:35" s="16" customFormat="1" ht="15.75">
      <c r="A282" s="17"/>
      <c r="B282" s="6"/>
      <c r="C282" s="44"/>
      <c r="P282" s="250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5"/>
    </row>
    <row r="283" spans="1:35" s="16" customFormat="1" ht="15.75">
      <c r="A283" s="17"/>
      <c r="B283" s="6"/>
      <c r="C283" s="44"/>
      <c r="P283" s="250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5"/>
    </row>
    <row r="284" spans="1:35" s="16" customFormat="1" ht="15.75">
      <c r="A284" s="17"/>
      <c r="B284" s="6"/>
      <c r="C284" s="44"/>
      <c r="P284" s="250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5"/>
    </row>
    <row r="285" spans="1:35" s="16" customFormat="1" ht="15.75">
      <c r="A285" s="17"/>
      <c r="B285" s="6"/>
      <c r="C285" s="44"/>
      <c r="P285" s="250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5"/>
    </row>
    <row r="286" spans="1:35" s="16" customFormat="1" ht="15.75">
      <c r="A286" s="17"/>
      <c r="B286" s="6"/>
      <c r="C286" s="44"/>
      <c r="P286" s="250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5"/>
    </row>
    <row r="287" spans="1:35" s="16" customFormat="1" ht="15.75">
      <c r="A287" s="17"/>
      <c r="B287" s="6"/>
      <c r="C287" s="44"/>
      <c r="P287" s="250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5"/>
    </row>
    <row r="288" spans="1:35" s="16" customFormat="1" ht="15.75">
      <c r="A288" s="17"/>
      <c r="B288" s="6"/>
      <c r="C288" s="44"/>
      <c r="P288" s="250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5"/>
    </row>
    <row r="289" spans="1:35" s="16" customFormat="1" ht="15.75">
      <c r="A289" s="17"/>
      <c r="B289" s="6"/>
      <c r="C289" s="44"/>
      <c r="P289" s="250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5"/>
    </row>
    <row r="290" spans="1:35" s="16" customFormat="1" ht="15.75">
      <c r="A290" s="17"/>
      <c r="B290" s="6"/>
      <c r="C290" s="44"/>
      <c r="P290" s="250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5"/>
    </row>
    <row r="291" spans="1:35" s="16" customFormat="1" ht="15.75">
      <c r="A291" s="17"/>
      <c r="B291" s="6"/>
      <c r="C291" s="44"/>
      <c r="P291" s="250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5"/>
    </row>
    <row r="292" spans="1:35" s="16" customFormat="1" ht="15.75">
      <c r="A292" s="17"/>
      <c r="B292" s="6"/>
      <c r="C292" s="44"/>
      <c r="P292" s="250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5"/>
    </row>
    <row r="293" spans="1:35" s="16" customFormat="1" ht="15.75">
      <c r="A293" s="17"/>
      <c r="B293" s="6"/>
      <c r="C293" s="44"/>
      <c r="P293" s="250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5"/>
    </row>
    <row r="294" spans="1:35" s="16" customFormat="1" ht="15.75">
      <c r="A294" s="17"/>
      <c r="B294" s="6"/>
      <c r="C294" s="44"/>
      <c r="P294" s="250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5"/>
    </row>
    <row r="295" spans="1:35" s="16" customFormat="1" ht="15.75">
      <c r="A295" s="17"/>
      <c r="B295" s="6"/>
      <c r="C295" s="44"/>
      <c r="P295" s="250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5"/>
    </row>
    <row r="296" spans="1:35" s="16" customFormat="1" ht="15.75">
      <c r="A296" s="17"/>
      <c r="B296" s="6"/>
      <c r="C296" s="44"/>
      <c r="P296" s="250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5"/>
    </row>
    <row r="297" spans="1:35" s="16" customFormat="1" ht="15.75">
      <c r="A297" s="17"/>
      <c r="B297" s="6"/>
      <c r="C297" s="44"/>
      <c r="P297" s="250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5"/>
    </row>
    <row r="298" spans="1:35" s="16" customFormat="1" ht="15.75">
      <c r="A298" s="17"/>
      <c r="B298" s="6"/>
      <c r="C298" s="44"/>
      <c r="P298" s="250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5"/>
    </row>
    <row r="299" spans="1:35" s="16" customFormat="1" ht="15.75">
      <c r="A299" s="17"/>
      <c r="B299" s="6"/>
      <c r="C299" s="44"/>
      <c r="P299" s="250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5"/>
    </row>
    <row r="300" spans="1:35" s="16" customFormat="1" ht="15.75">
      <c r="A300" s="17"/>
      <c r="B300" s="6"/>
      <c r="C300" s="44"/>
      <c r="P300" s="250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5"/>
    </row>
    <row r="301" spans="1:35" s="16" customFormat="1" ht="15.75">
      <c r="A301" s="17"/>
      <c r="B301" s="6"/>
      <c r="C301" s="44"/>
      <c r="P301" s="250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5"/>
    </row>
    <row r="302" spans="1:35" s="16" customFormat="1" ht="15.75">
      <c r="A302" s="17"/>
      <c r="B302" s="6"/>
      <c r="C302" s="44"/>
      <c r="P302" s="250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5"/>
    </row>
    <row r="303" spans="1:35" s="16" customFormat="1" ht="15.75">
      <c r="A303" s="17"/>
      <c r="B303" s="6"/>
      <c r="C303" s="44"/>
      <c r="P303" s="250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5"/>
    </row>
    <row r="304" spans="1:35" s="16" customFormat="1" ht="15.75">
      <c r="A304" s="17"/>
      <c r="B304" s="6"/>
      <c r="C304" s="44"/>
      <c r="P304" s="250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5"/>
    </row>
    <row r="305" spans="1:35" s="16" customFormat="1" ht="15.75">
      <c r="A305" s="17"/>
      <c r="B305" s="6"/>
      <c r="C305" s="44"/>
      <c r="P305" s="250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5"/>
    </row>
    <row r="306" spans="1:35" s="16" customFormat="1" ht="15.75">
      <c r="A306" s="17"/>
      <c r="B306" s="6"/>
      <c r="C306" s="44"/>
      <c r="P306" s="250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5"/>
    </row>
    <row r="307" spans="1:35" s="16" customFormat="1" ht="15.75">
      <c r="A307" s="17"/>
      <c r="B307" s="6"/>
      <c r="C307" s="44"/>
      <c r="P307" s="250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5"/>
    </row>
    <row r="308" spans="1:35" s="16" customFormat="1" ht="15.75">
      <c r="A308" s="17"/>
      <c r="B308" s="6"/>
      <c r="C308" s="44"/>
      <c r="P308" s="250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5"/>
    </row>
    <row r="309" spans="1:35" s="16" customFormat="1" ht="15.75">
      <c r="A309" s="17"/>
      <c r="B309" s="6"/>
      <c r="C309" s="44"/>
      <c r="P309" s="250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5"/>
    </row>
    <row r="310" spans="1:35" s="16" customFormat="1" ht="15.75">
      <c r="A310" s="17"/>
      <c r="B310" s="6"/>
      <c r="C310" s="44"/>
      <c r="P310" s="250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5"/>
    </row>
    <row r="311" spans="1:35" s="16" customFormat="1" ht="15.75">
      <c r="A311" s="17"/>
      <c r="B311" s="6"/>
      <c r="C311" s="44"/>
      <c r="P311" s="250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5"/>
    </row>
    <row r="312" spans="1:35" s="16" customFormat="1" ht="15.75">
      <c r="A312" s="17"/>
      <c r="B312" s="6"/>
      <c r="C312" s="44"/>
      <c r="P312" s="250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5"/>
    </row>
    <row r="313" spans="1:35" s="16" customFormat="1" ht="15.75">
      <c r="A313" s="17"/>
      <c r="B313" s="6"/>
      <c r="C313" s="44"/>
      <c r="P313" s="250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5"/>
    </row>
    <row r="314" spans="1:35" s="16" customFormat="1" ht="15.75">
      <c r="A314" s="17"/>
      <c r="B314" s="6"/>
      <c r="C314" s="44"/>
      <c r="P314" s="250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5"/>
    </row>
    <row r="315" spans="1:35" s="16" customFormat="1" ht="15.75">
      <c r="A315" s="17"/>
      <c r="B315" s="6"/>
      <c r="C315" s="44"/>
      <c r="P315" s="250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5"/>
    </row>
    <row r="316" spans="1:35" s="16" customFormat="1" ht="15.75">
      <c r="A316" s="17"/>
      <c r="B316" s="6"/>
      <c r="C316" s="44"/>
      <c r="P316" s="250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5"/>
    </row>
    <row r="317" spans="1:35" s="16" customFormat="1" ht="15.75">
      <c r="A317" s="17"/>
      <c r="B317" s="6"/>
      <c r="C317" s="44"/>
      <c r="P317" s="250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5"/>
    </row>
    <row r="318" spans="1:35" s="16" customFormat="1" ht="15.75">
      <c r="A318" s="17"/>
      <c r="B318" s="6"/>
      <c r="C318" s="44"/>
      <c r="P318" s="250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5"/>
    </row>
    <row r="319" spans="1:35" s="16" customFormat="1" ht="15.75">
      <c r="A319" s="17"/>
      <c r="B319" s="6"/>
      <c r="C319" s="44"/>
      <c r="P319" s="250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5"/>
    </row>
    <row r="320" spans="1:35" s="16" customFormat="1" ht="15.75">
      <c r="A320" s="17"/>
      <c r="B320" s="6"/>
      <c r="C320" s="44"/>
      <c r="P320" s="250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5"/>
    </row>
    <row r="321" spans="1:35" s="16" customFormat="1" ht="15.75">
      <c r="A321" s="17"/>
      <c r="B321" s="6"/>
      <c r="C321" s="44"/>
      <c r="P321" s="250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5"/>
    </row>
    <row r="322" spans="1:35" s="16" customFormat="1" ht="15.75">
      <c r="A322" s="17"/>
      <c r="B322" s="6"/>
      <c r="C322" s="44"/>
      <c r="P322" s="250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5"/>
    </row>
    <row r="323" spans="1:35" s="16" customFormat="1" ht="15.75">
      <c r="A323" s="17"/>
      <c r="B323" s="6"/>
      <c r="C323" s="44"/>
      <c r="P323" s="250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5"/>
    </row>
    <row r="324" spans="1:35" s="16" customFormat="1" ht="15.75">
      <c r="A324" s="17"/>
      <c r="B324" s="6"/>
      <c r="C324" s="44"/>
      <c r="P324" s="250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5"/>
    </row>
    <row r="325" spans="1:35" s="16" customFormat="1" ht="15.75">
      <c r="A325" s="17"/>
      <c r="B325" s="6"/>
      <c r="C325" s="44"/>
      <c r="P325" s="250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5"/>
    </row>
    <row r="326" spans="1:35" s="16" customFormat="1" ht="15.75">
      <c r="A326" s="17"/>
      <c r="B326" s="6"/>
      <c r="C326" s="44"/>
      <c r="P326" s="250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5"/>
    </row>
    <row r="327" spans="1:35" s="16" customFormat="1" ht="15.75">
      <c r="A327" s="17"/>
      <c r="B327" s="6"/>
      <c r="C327" s="44"/>
      <c r="P327" s="250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5"/>
    </row>
    <row r="328" spans="1:35" s="16" customFormat="1" ht="15.75">
      <c r="A328" s="17"/>
      <c r="B328" s="6"/>
      <c r="C328" s="44"/>
      <c r="P328" s="250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5"/>
    </row>
    <row r="329" spans="1:35" s="16" customFormat="1" ht="15.75">
      <c r="A329" s="17"/>
      <c r="B329" s="6"/>
      <c r="C329" s="44"/>
      <c r="P329" s="250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5"/>
    </row>
    <row r="330" spans="1:35" s="16" customFormat="1" ht="15.75">
      <c r="A330" s="17"/>
      <c r="B330" s="6"/>
      <c r="C330" s="44"/>
      <c r="P330" s="250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5"/>
    </row>
    <row r="331" spans="1:35" s="16" customFormat="1" ht="15.75">
      <c r="A331" s="17"/>
      <c r="B331" s="6"/>
      <c r="C331" s="44"/>
      <c r="P331" s="250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5"/>
    </row>
    <row r="332" spans="1:35" s="16" customFormat="1" ht="15.75">
      <c r="A332" s="17"/>
      <c r="B332" s="6"/>
      <c r="C332" s="44"/>
      <c r="P332" s="250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5"/>
    </row>
    <row r="333" spans="1:35" s="16" customFormat="1" ht="15.75">
      <c r="A333" s="17"/>
      <c r="B333" s="6"/>
      <c r="C333" s="44"/>
      <c r="P333" s="250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5"/>
    </row>
    <row r="334" spans="1:35" s="16" customFormat="1" ht="15.75">
      <c r="A334" s="17"/>
      <c r="B334" s="6"/>
      <c r="C334" s="44"/>
      <c r="P334" s="250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5"/>
    </row>
    <row r="335" spans="1:35" s="16" customFormat="1" ht="15.75">
      <c r="A335" s="17"/>
      <c r="B335" s="6"/>
      <c r="C335" s="44"/>
      <c r="P335" s="250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5"/>
    </row>
    <row r="336" spans="1:35" s="16" customFormat="1" ht="15.75">
      <c r="A336" s="17"/>
      <c r="B336" s="6"/>
      <c r="C336" s="44"/>
      <c r="P336" s="250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5"/>
    </row>
    <row r="337" spans="1:35" s="16" customFormat="1" ht="15.75">
      <c r="A337" s="17"/>
      <c r="B337" s="6"/>
      <c r="C337" s="44"/>
      <c r="P337" s="250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5"/>
    </row>
    <row r="338" spans="1:35" s="16" customFormat="1" ht="15.75">
      <c r="A338" s="17"/>
      <c r="B338" s="6"/>
      <c r="C338" s="44"/>
      <c r="P338" s="250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5"/>
    </row>
    <row r="339" spans="1:35" s="16" customFormat="1" ht="15.75">
      <c r="A339" s="17"/>
      <c r="B339" s="6"/>
      <c r="C339" s="44"/>
      <c r="P339" s="250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5"/>
    </row>
    <row r="340" spans="1:35" s="16" customFormat="1" ht="15.75">
      <c r="A340" s="17"/>
      <c r="B340" s="6"/>
      <c r="C340" s="44"/>
      <c r="P340" s="250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5"/>
    </row>
    <row r="341" spans="1:35" s="16" customFormat="1" ht="15.75">
      <c r="A341" s="17"/>
      <c r="B341" s="6"/>
      <c r="C341" s="44"/>
      <c r="P341" s="250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5"/>
    </row>
    <row r="342" spans="1:35" s="16" customFormat="1" ht="15.75">
      <c r="A342" s="17"/>
      <c r="B342" s="6"/>
      <c r="C342" s="44"/>
      <c r="P342" s="250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5"/>
    </row>
    <row r="343" spans="1:35" s="16" customFormat="1" ht="15.75">
      <c r="A343" s="17"/>
      <c r="B343" s="6"/>
      <c r="C343" s="44"/>
      <c r="P343" s="250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5"/>
    </row>
    <row r="344" spans="1:35" s="16" customFormat="1" ht="15.75">
      <c r="A344" s="17"/>
      <c r="B344" s="6"/>
      <c r="C344" s="44"/>
      <c r="P344" s="250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5"/>
    </row>
    <row r="345" spans="1:35" s="16" customFormat="1" ht="15.75">
      <c r="A345" s="17"/>
      <c r="B345" s="6"/>
      <c r="C345" s="44"/>
      <c r="P345" s="250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5"/>
    </row>
    <row r="346" spans="1:35" s="16" customFormat="1" ht="15.75">
      <c r="A346" s="17"/>
      <c r="B346" s="6"/>
      <c r="C346" s="44"/>
      <c r="P346" s="250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5"/>
    </row>
    <row r="347" spans="1:35" s="16" customFormat="1" ht="15.75">
      <c r="A347" s="17"/>
      <c r="B347" s="6"/>
      <c r="C347" s="44"/>
      <c r="P347" s="250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5"/>
    </row>
    <row r="348" spans="1:35" s="16" customFormat="1" ht="15.75">
      <c r="A348" s="17"/>
      <c r="B348" s="6"/>
      <c r="C348" s="44"/>
      <c r="P348" s="250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5"/>
    </row>
    <row r="349" spans="1:35" s="16" customFormat="1" ht="15.75">
      <c r="A349" s="17"/>
      <c r="B349" s="6"/>
      <c r="C349" s="44"/>
      <c r="P349" s="250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5"/>
    </row>
    <row r="350" spans="1:35" s="16" customFormat="1" ht="15.75">
      <c r="A350" s="17"/>
      <c r="B350" s="6"/>
      <c r="C350" s="44"/>
      <c r="P350" s="250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5"/>
    </row>
    <row r="351" spans="1:35" s="16" customFormat="1" ht="15.75">
      <c r="A351" s="17"/>
      <c r="B351" s="6"/>
      <c r="C351" s="44"/>
      <c r="P351" s="250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5"/>
    </row>
    <row r="352" spans="1:35" s="16" customFormat="1" ht="15.75">
      <c r="A352" s="17"/>
      <c r="B352" s="6"/>
      <c r="C352" s="44"/>
      <c r="P352" s="250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5"/>
    </row>
    <row r="353" spans="1:35" s="16" customFormat="1" ht="15.75">
      <c r="A353" s="17"/>
      <c r="B353" s="6"/>
      <c r="C353" s="44"/>
      <c r="P353" s="250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5"/>
    </row>
    <row r="354" spans="1:35" s="16" customFormat="1" ht="15.75">
      <c r="A354" s="17"/>
      <c r="B354" s="6"/>
      <c r="C354" s="44"/>
      <c r="P354" s="250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5"/>
    </row>
    <row r="355" spans="1:35" s="16" customFormat="1" ht="15.75">
      <c r="A355" s="17"/>
      <c r="B355" s="6"/>
      <c r="C355" s="44"/>
      <c r="P355" s="250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5"/>
    </row>
    <row r="356" spans="1:35" s="16" customFormat="1" ht="15.75">
      <c r="A356" s="17"/>
      <c r="B356" s="6"/>
      <c r="C356" s="44"/>
      <c r="P356" s="250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5"/>
    </row>
    <row r="357" spans="1:35" s="16" customFormat="1" ht="15.75">
      <c r="A357" s="17"/>
      <c r="B357" s="6"/>
      <c r="C357" s="44"/>
      <c r="P357" s="250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5"/>
    </row>
    <row r="358" spans="1:35" s="16" customFormat="1" ht="15.75">
      <c r="A358" s="17"/>
      <c r="B358" s="6"/>
      <c r="C358" s="44"/>
      <c r="P358" s="250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5"/>
    </row>
    <row r="359" spans="1:35" s="16" customFormat="1" ht="15.75">
      <c r="A359" s="17"/>
      <c r="B359" s="6"/>
      <c r="C359" s="44"/>
      <c r="P359" s="250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5"/>
    </row>
    <row r="360" spans="1:35" s="16" customFormat="1" ht="15.75">
      <c r="A360" s="17"/>
      <c r="B360" s="6"/>
      <c r="C360" s="44"/>
      <c r="P360" s="250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5"/>
    </row>
    <row r="361" spans="1:35" s="16" customFormat="1" ht="15.75">
      <c r="A361" s="17"/>
      <c r="B361" s="6"/>
      <c r="C361" s="44"/>
      <c r="P361" s="250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5"/>
    </row>
    <row r="362" spans="1:35" s="16" customFormat="1" ht="15.75">
      <c r="A362" s="17"/>
      <c r="B362" s="6"/>
      <c r="C362" s="44"/>
      <c r="P362" s="250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5"/>
    </row>
    <row r="363" spans="1:35" s="16" customFormat="1" ht="15.75">
      <c r="A363" s="17"/>
      <c r="B363" s="6"/>
      <c r="C363" s="44"/>
      <c r="P363" s="250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5"/>
    </row>
    <row r="364" spans="1:35" s="16" customFormat="1" ht="15.75">
      <c r="A364" s="17"/>
      <c r="B364" s="6"/>
      <c r="C364" s="44"/>
      <c r="P364" s="250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5"/>
    </row>
    <row r="365" spans="1:35" s="16" customFormat="1" ht="15.75">
      <c r="A365" s="17"/>
      <c r="B365" s="6"/>
      <c r="C365" s="44"/>
      <c r="P365" s="250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5"/>
    </row>
    <row r="366" spans="1:35" s="16" customFormat="1" ht="15.75">
      <c r="A366" s="17"/>
      <c r="B366" s="6"/>
      <c r="C366" s="44"/>
      <c r="P366" s="250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5"/>
    </row>
    <row r="367" spans="1:35" s="16" customFormat="1" ht="15.75">
      <c r="A367" s="17"/>
      <c r="B367" s="6"/>
      <c r="C367" s="44"/>
      <c r="P367" s="250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5"/>
    </row>
    <row r="368" spans="1:35" s="16" customFormat="1" ht="15.75">
      <c r="A368" s="17"/>
      <c r="B368" s="6"/>
      <c r="C368" s="44"/>
      <c r="P368" s="250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5"/>
    </row>
    <row r="369" spans="1:35" s="16" customFormat="1" ht="15.75">
      <c r="A369" s="17"/>
      <c r="B369" s="6"/>
      <c r="C369" s="44"/>
      <c r="P369" s="250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5"/>
    </row>
    <row r="370" spans="1:35" s="16" customFormat="1" ht="15.75">
      <c r="A370" s="17"/>
      <c r="B370" s="6"/>
      <c r="C370" s="44"/>
      <c r="P370" s="250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5"/>
    </row>
    <row r="371" spans="1:35" s="16" customFormat="1" ht="15.75">
      <c r="A371" s="17"/>
      <c r="B371" s="6"/>
      <c r="C371" s="44"/>
      <c r="P371" s="250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5"/>
    </row>
    <row r="372" spans="1:35" s="16" customFormat="1" ht="15.75">
      <c r="A372" s="17"/>
      <c r="B372" s="6"/>
      <c r="C372" s="44"/>
      <c r="P372" s="250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5"/>
    </row>
    <row r="373" spans="1:35" s="16" customFormat="1" ht="15.75">
      <c r="A373" s="17"/>
      <c r="B373" s="6"/>
      <c r="C373" s="44"/>
      <c r="P373" s="250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5"/>
    </row>
    <row r="374" spans="1:35" s="16" customFormat="1" ht="15.75">
      <c r="A374" s="17"/>
      <c r="B374" s="6"/>
      <c r="C374" s="44"/>
      <c r="P374" s="250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5"/>
    </row>
    <row r="375" spans="1:35" s="16" customFormat="1" ht="15.75">
      <c r="A375" s="17"/>
      <c r="B375" s="6"/>
      <c r="C375" s="44"/>
      <c r="P375" s="250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5"/>
    </row>
    <row r="376" spans="1:35" s="16" customFormat="1" ht="15.75">
      <c r="A376" s="17"/>
      <c r="B376" s="6"/>
      <c r="C376" s="44"/>
      <c r="P376" s="250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5"/>
    </row>
    <row r="377" spans="1:35" s="16" customFormat="1" ht="15.75">
      <c r="A377" s="17"/>
      <c r="B377" s="6"/>
      <c r="C377" s="44"/>
      <c r="P377" s="250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5"/>
    </row>
    <row r="378" spans="1:35" s="16" customFormat="1" ht="15.75">
      <c r="A378" s="17"/>
      <c r="B378" s="6"/>
      <c r="C378" s="44"/>
      <c r="P378" s="250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5"/>
    </row>
    <row r="379" spans="1:35" s="16" customFormat="1" ht="15.75">
      <c r="A379" s="17"/>
      <c r="B379" s="6"/>
      <c r="C379" s="44"/>
      <c r="P379" s="250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5"/>
    </row>
    <row r="380" spans="1:35" s="16" customFormat="1" ht="15.75">
      <c r="A380" s="17"/>
      <c r="B380" s="6"/>
      <c r="C380" s="44"/>
      <c r="P380" s="250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5"/>
    </row>
    <row r="381" spans="1:35" s="16" customFormat="1" ht="15.75">
      <c r="A381" s="17"/>
      <c r="B381" s="6"/>
      <c r="C381" s="44"/>
      <c r="P381" s="250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5"/>
    </row>
    <row r="382" spans="1:35" s="16" customFormat="1" ht="15.75">
      <c r="A382" s="17"/>
      <c r="B382" s="6"/>
      <c r="C382" s="44"/>
      <c r="P382" s="250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5"/>
    </row>
    <row r="383" spans="1:35" s="16" customFormat="1" ht="15.75">
      <c r="A383" s="17"/>
      <c r="B383" s="6"/>
      <c r="C383" s="44"/>
      <c r="P383" s="250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5"/>
    </row>
    <row r="384" spans="1:35" s="16" customFormat="1" ht="15.75">
      <c r="A384" s="17"/>
      <c r="B384" s="6"/>
      <c r="C384" s="44"/>
      <c r="P384" s="250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5"/>
    </row>
    <row r="385" spans="1:35" s="16" customFormat="1" ht="15.75">
      <c r="A385" s="17"/>
      <c r="B385" s="6"/>
      <c r="C385" s="44"/>
      <c r="P385" s="250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5"/>
    </row>
    <row r="386" spans="1:35" s="16" customFormat="1" ht="15.75">
      <c r="A386" s="17"/>
      <c r="B386" s="6"/>
      <c r="C386" s="44"/>
      <c r="P386" s="250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5"/>
    </row>
    <row r="387" spans="1:35" s="16" customFormat="1" ht="15.75">
      <c r="A387" s="17"/>
      <c r="B387" s="6"/>
      <c r="C387" s="44"/>
      <c r="P387" s="250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5"/>
    </row>
    <row r="388" spans="1:35" s="16" customFormat="1" ht="15.75">
      <c r="A388" s="17"/>
      <c r="B388" s="6"/>
      <c r="C388" s="44"/>
      <c r="P388" s="250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5"/>
    </row>
    <row r="389" spans="1:35" s="16" customFormat="1" ht="15.75">
      <c r="A389" s="17"/>
      <c r="B389" s="6"/>
      <c r="C389" s="44"/>
      <c r="P389" s="250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5"/>
    </row>
    <row r="390" spans="1:35" s="16" customFormat="1" ht="15.75">
      <c r="A390" s="17"/>
      <c r="B390" s="6"/>
      <c r="C390" s="44"/>
      <c r="P390" s="250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5"/>
    </row>
    <row r="391" spans="1:35" s="16" customFormat="1" ht="15.75">
      <c r="A391" s="17"/>
      <c r="B391" s="6"/>
      <c r="C391" s="44"/>
      <c r="P391" s="250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5"/>
    </row>
    <row r="392" spans="1:35" s="16" customFormat="1" ht="15.75">
      <c r="A392" s="17"/>
      <c r="B392" s="6"/>
      <c r="C392" s="44"/>
      <c r="P392" s="250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5"/>
    </row>
    <row r="393" spans="1:35" s="16" customFormat="1" ht="15.75">
      <c r="A393" s="17"/>
      <c r="B393" s="6"/>
      <c r="C393" s="44"/>
      <c r="P393" s="250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5"/>
    </row>
    <row r="394" spans="1:35" s="16" customFormat="1" ht="15.75">
      <c r="A394" s="17"/>
      <c r="B394" s="6"/>
      <c r="C394" s="44"/>
      <c r="P394" s="250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5"/>
    </row>
    <row r="395" spans="1:35" s="16" customFormat="1" ht="15.75">
      <c r="A395" s="17"/>
      <c r="B395" s="6"/>
      <c r="C395" s="44"/>
      <c r="P395" s="250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5"/>
    </row>
    <row r="396" spans="1:35" s="16" customFormat="1" ht="15.75">
      <c r="A396" s="17"/>
      <c r="B396" s="6"/>
      <c r="C396" s="44"/>
      <c r="P396" s="250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5"/>
    </row>
    <row r="397" spans="1:35" s="16" customFormat="1" ht="15.75">
      <c r="A397" s="17"/>
      <c r="B397" s="6"/>
      <c r="C397" s="44"/>
      <c r="P397" s="250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5"/>
    </row>
    <row r="398" spans="1:35" s="16" customFormat="1" ht="15.75">
      <c r="A398" s="17"/>
      <c r="B398" s="6"/>
      <c r="C398" s="44"/>
      <c r="P398" s="250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5"/>
    </row>
    <row r="399" spans="1:35" s="16" customFormat="1" ht="15.75">
      <c r="A399" s="17"/>
      <c r="B399" s="6"/>
      <c r="C399" s="44"/>
      <c r="P399" s="250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5"/>
    </row>
    <row r="400" spans="1:35" s="16" customFormat="1" ht="15.75">
      <c r="A400" s="17"/>
      <c r="B400" s="6"/>
      <c r="C400" s="44"/>
      <c r="P400" s="250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5"/>
    </row>
    <row r="401" spans="1:35" s="16" customFormat="1" ht="15.75">
      <c r="A401" s="17"/>
      <c r="B401" s="6"/>
      <c r="C401" s="44"/>
      <c r="P401" s="250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5"/>
    </row>
    <row r="402" spans="1:35" s="16" customFormat="1" ht="15.75">
      <c r="A402" s="17"/>
      <c r="B402" s="6"/>
      <c r="C402" s="44"/>
      <c r="P402" s="250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5"/>
    </row>
    <row r="403" spans="1:35" s="16" customFormat="1" ht="15.75">
      <c r="A403" s="17"/>
      <c r="B403" s="6"/>
      <c r="C403" s="44"/>
      <c r="P403" s="250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5"/>
    </row>
    <row r="404" spans="1:35" s="16" customFormat="1" ht="15.75">
      <c r="A404" s="17"/>
      <c r="B404" s="6"/>
      <c r="C404" s="44"/>
      <c r="P404" s="250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5"/>
    </row>
    <row r="405" spans="1:35" s="16" customFormat="1" ht="15.75">
      <c r="A405" s="17"/>
      <c r="B405" s="6"/>
      <c r="C405" s="44"/>
      <c r="P405" s="250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5"/>
    </row>
    <row r="406" spans="1:35" s="16" customFormat="1" ht="15.75">
      <c r="A406" s="17"/>
      <c r="B406" s="6"/>
      <c r="C406" s="44"/>
      <c r="P406" s="250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5"/>
    </row>
    <row r="407" spans="1:35" s="16" customFormat="1" ht="15.75">
      <c r="A407" s="17"/>
      <c r="B407" s="6"/>
      <c r="C407" s="44"/>
      <c r="P407" s="250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5"/>
    </row>
    <row r="408" spans="1:35" s="16" customFormat="1" ht="15.75">
      <c r="A408" s="17"/>
      <c r="B408" s="6"/>
      <c r="C408" s="44"/>
      <c r="P408" s="250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5"/>
    </row>
    <row r="409" spans="1:35" s="16" customFormat="1" ht="15.75">
      <c r="A409" s="17"/>
      <c r="B409" s="6"/>
      <c r="C409" s="44"/>
      <c r="P409" s="250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5"/>
    </row>
    <row r="410" spans="1:35" s="16" customFormat="1" ht="15.75">
      <c r="A410" s="17"/>
      <c r="B410" s="6"/>
      <c r="C410" s="44"/>
      <c r="P410" s="250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5"/>
    </row>
    <row r="411" spans="1:35" s="16" customFormat="1" ht="15.75">
      <c r="A411" s="17"/>
      <c r="B411" s="6"/>
      <c r="C411" s="44"/>
      <c r="P411" s="250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5"/>
    </row>
    <row r="412" spans="1:35" s="16" customFormat="1" ht="15.75">
      <c r="A412" s="17"/>
      <c r="B412" s="6"/>
      <c r="C412" s="44"/>
      <c r="P412" s="250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5"/>
    </row>
    <row r="413" spans="1:35" s="16" customFormat="1" ht="15.75">
      <c r="A413" s="17"/>
      <c r="B413" s="6"/>
      <c r="C413" s="44"/>
      <c r="P413" s="250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5"/>
    </row>
    <row r="414" spans="1:35" s="16" customFormat="1" ht="15.75">
      <c r="A414" s="17"/>
      <c r="B414" s="6"/>
      <c r="C414" s="44"/>
      <c r="P414" s="250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5"/>
    </row>
    <row r="415" spans="1:35" s="16" customFormat="1" ht="15.75">
      <c r="A415" s="17"/>
      <c r="B415" s="6"/>
      <c r="C415" s="44"/>
      <c r="P415" s="250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5"/>
    </row>
    <row r="416" spans="1:35" s="16" customFormat="1" ht="15.75">
      <c r="A416" s="17"/>
      <c r="B416" s="6"/>
      <c r="C416" s="44"/>
      <c r="P416" s="250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5"/>
    </row>
    <row r="417" spans="1:35" s="16" customFormat="1" ht="15.75">
      <c r="A417" s="17"/>
      <c r="B417" s="6"/>
      <c r="C417" s="44"/>
      <c r="P417" s="250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5"/>
    </row>
    <row r="418" spans="1:35" s="16" customFormat="1" ht="15.75">
      <c r="A418" s="17"/>
      <c r="B418" s="6"/>
      <c r="C418" s="44"/>
      <c r="P418" s="250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5"/>
    </row>
    <row r="419" spans="1:35" s="16" customFormat="1" ht="15.75">
      <c r="A419" s="17"/>
      <c r="B419" s="6"/>
      <c r="C419" s="44"/>
      <c r="P419" s="250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5"/>
    </row>
    <row r="420" spans="1:35" s="16" customFormat="1" ht="15.75">
      <c r="A420" s="17"/>
      <c r="B420" s="6"/>
      <c r="C420" s="44"/>
      <c r="P420" s="250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5"/>
    </row>
    <row r="421" spans="1:35" s="16" customFormat="1" ht="15.75">
      <c r="A421" s="17"/>
      <c r="B421" s="6"/>
      <c r="C421" s="44"/>
      <c r="P421" s="250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5"/>
    </row>
    <row r="422" spans="1:35" s="16" customFormat="1" ht="15.75">
      <c r="A422" s="17"/>
      <c r="B422" s="6"/>
      <c r="C422" s="44"/>
      <c r="P422" s="250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5"/>
    </row>
    <row r="423" spans="1:35" s="16" customFormat="1" ht="15.75">
      <c r="A423" s="17"/>
      <c r="B423" s="6"/>
      <c r="C423" s="44"/>
      <c r="P423" s="250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5"/>
    </row>
    <row r="424" spans="1:35" s="16" customFormat="1" ht="15.75">
      <c r="A424" s="17"/>
      <c r="B424" s="6"/>
      <c r="C424" s="44"/>
      <c r="P424" s="250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5"/>
    </row>
    <row r="425" spans="1:35" s="16" customFormat="1" ht="15.75">
      <c r="A425" s="17"/>
      <c r="B425" s="6"/>
      <c r="C425" s="44"/>
      <c r="P425" s="250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5"/>
    </row>
    <row r="426" spans="1:35" s="16" customFormat="1" ht="15.75">
      <c r="A426" s="17"/>
      <c r="B426" s="6"/>
      <c r="C426" s="44"/>
      <c r="P426" s="250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5"/>
    </row>
    <row r="427" spans="1:35" s="16" customFormat="1" ht="15.75">
      <c r="A427" s="17"/>
      <c r="B427" s="6"/>
      <c r="C427" s="44"/>
      <c r="P427" s="250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5"/>
    </row>
    <row r="428" spans="1:35" s="16" customFormat="1" ht="15.75">
      <c r="A428" s="17"/>
      <c r="B428" s="6"/>
      <c r="C428" s="44"/>
      <c r="P428" s="250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5"/>
    </row>
    <row r="429" spans="1:35" s="16" customFormat="1" ht="15.75">
      <c r="A429" s="17"/>
      <c r="B429" s="6"/>
      <c r="C429" s="44"/>
      <c r="P429" s="250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5"/>
    </row>
    <row r="430" spans="1:35" s="16" customFormat="1" ht="15.75">
      <c r="A430" s="17"/>
      <c r="B430" s="6"/>
      <c r="C430" s="44"/>
      <c r="P430" s="250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5"/>
    </row>
    <row r="431" spans="1:35" s="16" customFormat="1" ht="15.75">
      <c r="A431" s="17"/>
      <c r="B431" s="6"/>
      <c r="C431" s="44"/>
      <c r="P431" s="250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154"/>
      <c r="AI431" s="155"/>
    </row>
    <row r="432" spans="1:35" s="16" customFormat="1" ht="15.75">
      <c r="A432" s="17"/>
      <c r="B432" s="6"/>
      <c r="C432" s="44"/>
      <c r="P432" s="250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154"/>
      <c r="AI432" s="155"/>
    </row>
    <row r="433" spans="1:35" s="16" customFormat="1" ht="15.75">
      <c r="A433" s="17"/>
      <c r="B433" s="6"/>
      <c r="C433" s="44"/>
      <c r="P433" s="250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5"/>
    </row>
    <row r="434" spans="1:35" s="16" customFormat="1" ht="15.75">
      <c r="A434" s="17"/>
      <c r="B434" s="6"/>
      <c r="C434" s="44"/>
      <c r="P434" s="250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  <c r="AF434" s="154"/>
      <c r="AG434" s="154"/>
      <c r="AH434" s="154"/>
      <c r="AI434" s="155"/>
    </row>
    <row r="435" spans="1:35" s="16" customFormat="1" ht="15.75">
      <c r="A435" s="17"/>
      <c r="B435" s="6"/>
      <c r="C435" s="44"/>
      <c r="P435" s="250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154"/>
      <c r="AI435" s="155"/>
    </row>
    <row r="436" spans="1:35" s="16" customFormat="1" ht="15.75">
      <c r="A436" s="17"/>
      <c r="B436" s="6"/>
      <c r="C436" s="44"/>
      <c r="P436" s="250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154"/>
      <c r="AI436" s="155"/>
    </row>
    <row r="437" spans="1:35" s="16" customFormat="1" ht="15.75">
      <c r="A437" s="17"/>
      <c r="B437" s="6"/>
      <c r="C437" s="44"/>
      <c r="P437" s="250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5"/>
    </row>
    <row r="438" spans="1:35" s="16" customFormat="1" ht="15.75">
      <c r="A438" s="17"/>
      <c r="B438" s="6"/>
      <c r="C438" s="44"/>
      <c r="P438" s="250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154"/>
      <c r="AI438" s="155"/>
    </row>
    <row r="439" spans="1:35" s="16" customFormat="1" ht="15.75">
      <c r="A439" s="17"/>
      <c r="B439" s="6"/>
      <c r="C439" s="44"/>
      <c r="P439" s="250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5"/>
    </row>
    <row r="440" spans="1:35" s="16" customFormat="1" ht="15.75">
      <c r="A440" s="17"/>
      <c r="B440" s="6"/>
      <c r="C440" s="44"/>
      <c r="P440" s="250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5"/>
    </row>
    <row r="441" spans="1:35" s="16" customFormat="1" ht="15.75">
      <c r="A441" s="17"/>
      <c r="B441" s="6"/>
      <c r="C441" s="44"/>
      <c r="P441" s="250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5"/>
    </row>
    <row r="442" spans="1:35" s="16" customFormat="1" ht="15.75">
      <c r="A442" s="17"/>
      <c r="B442" s="6"/>
      <c r="C442" s="44"/>
      <c r="P442" s="250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5"/>
    </row>
    <row r="443" spans="1:35" s="16" customFormat="1" ht="15.75">
      <c r="A443" s="17"/>
      <c r="B443" s="6"/>
      <c r="C443" s="44"/>
      <c r="P443" s="250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5"/>
    </row>
    <row r="444" spans="1:35" s="16" customFormat="1" ht="15.75">
      <c r="A444" s="17"/>
      <c r="B444" s="6"/>
      <c r="C444" s="44"/>
      <c r="P444" s="250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5"/>
    </row>
    <row r="445" spans="1:35" s="16" customFormat="1" ht="15.75">
      <c r="A445" s="17"/>
      <c r="B445" s="6"/>
      <c r="C445" s="44"/>
      <c r="P445" s="250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5"/>
    </row>
    <row r="446" spans="1:35" s="16" customFormat="1" ht="15.75">
      <c r="A446" s="17"/>
      <c r="B446" s="6"/>
      <c r="C446" s="44"/>
      <c r="P446" s="250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5"/>
    </row>
    <row r="447" spans="1:35" s="16" customFormat="1" ht="15.75">
      <c r="A447" s="17"/>
      <c r="B447" s="6"/>
      <c r="C447" s="44"/>
      <c r="P447" s="250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5"/>
    </row>
    <row r="448" spans="1:35" s="16" customFormat="1" ht="15.75">
      <c r="A448" s="17"/>
      <c r="B448" s="6"/>
      <c r="C448" s="44"/>
      <c r="P448" s="250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5"/>
    </row>
    <row r="449" spans="1:35" s="16" customFormat="1" ht="15.75">
      <c r="A449" s="17"/>
      <c r="B449" s="6"/>
      <c r="C449" s="44"/>
      <c r="P449" s="250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  <c r="AF449" s="154"/>
      <c r="AG449" s="154"/>
      <c r="AH449" s="154"/>
      <c r="AI449" s="155"/>
    </row>
    <row r="450" spans="1:35" s="16" customFormat="1" ht="15.75">
      <c r="A450" s="17"/>
      <c r="B450" s="6"/>
      <c r="C450" s="44"/>
      <c r="P450" s="250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5"/>
    </row>
    <row r="451" spans="1:35" s="16" customFormat="1" ht="15.75">
      <c r="A451" s="17"/>
      <c r="B451" s="6"/>
      <c r="C451" s="44"/>
      <c r="P451" s="250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  <c r="AF451" s="154"/>
      <c r="AG451" s="154"/>
      <c r="AH451" s="154"/>
      <c r="AI451" s="155"/>
    </row>
    <row r="452" spans="1:35" s="16" customFormat="1" ht="15.75">
      <c r="A452" s="17"/>
      <c r="B452" s="6"/>
      <c r="C452" s="44"/>
      <c r="P452" s="250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5"/>
    </row>
    <row r="453" spans="1:35" s="16" customFormat="1" ht="15.75">
      <c r="A453" s="17"/>
      <c r="B453" s="6"/>
      <c r="C453" s="44"/>
      <c r="P453" s="250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5"/>
    </row>
    <row r="454" spans="1:35" s="16" customFormat="1" ht="15.75">
      <c r="A454" s="17"/>
      <c r="B454" s="6"/>
      <c r="C454" s="44"/>
      <c r="P454" s="250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  <c r="AF454" s="154"/>
      <c r="AG454" s="154"/>
      <c r="AH454" s="154"/>
      <c r="AI454" s="155"/>
    </row>
    <row r="455" spans="1:35" s="16" customFormat="1" ht="15.75">
      <c r="A455" s="17"/>
      <c r="B455" s="6"/>
      <c r="C455" s="44"/>
      <c r="P455" s="250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5"/>
    </row>
    <row r="456" spans="1:35" s="16" customFormat="1" ht="15.75">
      <c r="A456" s="17"/>
      <c r="B456" s="6"/>
      <c r="C456" s="44"/>
      <c r="P456" s="250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  <c r="AF456" s="154"/>
      <c r="AG456" s="154"/>
      <c r="AH456" s="154"/>
      <c r="AI456" s="155"/>
    </row>
    <row r="457" spans="1:35" s="16" customFormat="1" ht="15.75">
      <c r="A457" s="17"/>
      <c r="B457" s="6"/>
      <c r="C457" s="44"/>
      <c r="P457" s="250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  <c r="AF457" s="154"/>
      <c r="AG457" s="154"/>
      <c r="AH457" s="154"/>
      <c r="AI457" s="155"/>
    </row>
    <row r="458" spans="1:35" s="16" customFormat="1" ht="15.75">
      <c r="A458" s="17"/>
      <c r="B458" s="6"/>
      <c r="C458" s="44"/>
      <c r="P458" s="250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154"/>
      <c r="AI458" s="155"/>
    </row>
    <row r="459" spans="1:35" s="16" customFormat="1" ht="15.75">
      <c r="A459" s="17"/>
      <c r="B459" s="6"/>
      <c r="C459" s="44"/>
      <c r="P459" s="250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  <c r="AF459" s="154"/>
      <c r="AG459" s="154"/>
      <c r="AH459" s="154"/>
      <c r="AI459" s="155"/>
    </row>
    <row r="460" spans="1:35" s="16" customFormat="1" ht="15.75">
      <c r="A460" s="17"/>
      <c r="B460" s="6"/>
      <c r="C460" s="44"/>
      <c r="P460" s="250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5"/>
    </row>
    <row r="461" spans="1:35" s="16" customFormat="1" ht="15.75">
      <c r="A461" s="17"/>
      <c r="B461" s="6"/>
      <c r="C461" s="44"/>
      <c r="P461" s="250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5"/>
    </row>
    <row r="462" spans="1:35" s="16" customFormat="1" ht="15.75">
      <c r="A462" s="17"/>
      <c r="B462" s="6"/>
      <c r="C462" s="44"/>
      <c r="P462" s="250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154"/>
      <c r="AI462" s="155"/>
    </row>
    <row r="463" spans="1:35" s="16" customFormat="1" ht="15.75">
      <c r="A463" s="17"/>
      <c r="B463" s="6"/>
      <c r="C463" s="44"/>
      <c r="P463" s="250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  <c r="AF463" s="154"/>
      <c r="AG463" s="154"/>
      <c r="AH463" s="154"/>
      <c r="AI463" s="155"/>
    </row>
    <row r="464" spans="1:35" s="16" customFormat="1" ht="15.75">
      <c r="A464" s="17"/>
      <c r="B464" s="6"/>
      <c r="C464" s="44"/>
      <c r="P464" s="250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  <c r="AF464" s="154"/>
      <c r="AG464" s="154"/>
      <c r="AH464" s="154"/>
      <c r="AI464" s="155"/>
    </row>
    <row r="465" spans="1:35" s="16" customFormat="1" ht="15.75">
      <c r="A465" s="17"/>
      <c r="B465" s="6"/>
      <c r="C465" s="44"/>
      <c r="P465" s="250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  <c r="AF465" s="154"/>
      <c r="AG465" s="154"/>
      <c r="AH465" s="154"/>
      <c r="AI465" s="155"/>
    </row>
    <row r="466" spans="1:35" s="16" customFormat="1" ht="15.75">
      <c r="A466" s="17"/>
      <c r="B466" s="6"/>
      <c r="C466" s="44"/>
      <c r="P466" s="250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154"/>
      <c r="AI466" s="155"/>
    </row>
    <row r="467" spans="1:35" s="16" customFormat="1" ht="15.75">
      <c r="A467" s="17"/>
      <c r="B467" s="6"/>
      <c r="C467" s="44"/>
      <c r="P467" s="250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5"/>
    </row>
    <row r="468" spans="1:35" s="16" customFormat="1" ht="15.75">
      <c r="A468" s="17"/>
      <c r="B468" s="6"/>
      <c r="C468" s="44"/>
      <c r="P468" s="250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154"/>
      <c r="AI468" s="155"/>
    </row>
    <row r="469" spans="1:35" s="16" customFormat="1" ht="15.75">
      <c r="A469" s="17"/>
      <c r="B469" s="6"/>
      <c r="C469" s="44"/>
      <c r="P469" s="250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  <c r="AF469" s="154"/>
      <c r="AG469" s="154"/>
      <c r="AH469" s="154"/>
      <c r="AI469" s="155"/>
    </row>
    <row r="470" spans="1:35" s="16" customFormat="1" ht="15.75">
      <c r="A470" s="17"/>
      <c r="B470" s="6"/>
      <c r="C470" s="44"/>
      <c r="P470" s="250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  <c r="AF470" s="154"/>
      <c r="AG470" s="154"/>
      <c r="AH470" s="154"/>
      <c r="AI470" s="155"/>
    </row>
    <row r="471" spans="1:35" s="16" customFormat="1" ht="15.75">
      <c r="A471" s="17"/>
      <c r="B471" s="6"/>
      <c r="C471" s="44"/>
      <c r="P471" s="250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  <c r="AF471" s="154"/>
      <c r="AG471" s="154"/>
      <c r="AH471" s="154"/>
      <c r="AI471" s="155"/>
    </row>
    <row r="472" spans="1:35" s="16" customFormat="1" ht="15.75">
      <c r="A472" s="17"/>
      <c r="B472" s="6"/>
      <c r="C472" s="44"/>
      <c r="P472" s="250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4"/>
      <c r="AG472" s="154"/>
      <c r="AH472" s="154"/>
      <c r="AI472" s="155"/>
    </row>
    <row r="473" spans="1:35" s="16" customFormat="1" ht="15.75">
      <c r="A473" s="17"/>
      <c r="B473" s="6"/>
      <c r="C473" s="44"/>
      <c r="P473" s="250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  <c r="AF473" s="154"/>
      <c r="AG473" s="154"/>
      <c r="AH473" s="154"/>
      <c r="AI473" s="155"/>
    </row>
    <row r="474" spans="1:35" s="16" customFormat="1" ht="15.75">
      <c r="A474" s="17"/>
      <c r="B474" s="6"/>
      <c r="C474" s="44"/>
      <c r="P474" s="250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5"/>
    </row>
    <row r="475" spans="1:35" s="16" customFormat="1" ht="15.75">
      <c r="A475" s="17"/>
      <c r="B475" s="6"/>
      <c r="C475" s="44"/>
      <c r="P475" s="250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5"/>
    </row>
    <row r="476" spans="1:35" s="16" customFormat="1" ht="15.75">
      <c r="A476" s="17"/>
      <c r="B476" s="6"/>
      <c r="C476" s="44"/>
      <c r="P476" s="250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5"/>
    </row>
    <row r="477" spans="1:35" s="16" customFormat="1" ht="15.75">
      <c r="A477" s="17"/>
      <c r="B477" s="6"/>
      <c r="C477" s="44"/>
      <c r="P477" s="250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5"/>
    </row>
    <row r="478" spans="1:35" s="16" customFormat="1" ht="15.75">
      <c r="A478" s="17"/>
      <c r="B478" s="6"/>
      <c r="C478" s="44"/>
      <c r="P478" s="250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5"/>
    </row>
    <row r="479" spans="1:35" s="16" customFormat="1" ht="15.75">
      <c r="A479" s="17"/>
      <c r="B479" s="6"/>
      <c r="C479" s="44"/>
      <c r="P479" s="250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5"/>
    </row>
    <row r="480" spans="1:35" s="16" customFormat="1" ht="15.75">
      <c r="A480" s="17"/>
      <c r="B480" s="6"/>
      <c r="C480" s="44"/>
      <c r="P480" s="250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5"/>
    </row>
    <row r="481" spans="1:35" s="16" customFormat="1" ht="15.75">
      <c r="A481" s="17"/>
      <c r="B481" s="6"/>
      <c r="C481" s="44"/>
      <c r="P481" s="250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154"/>
      <c r="AI481" s="155"/>
    </row>
    <row r="482" spans="1:35" s="16" customFormat="1" ht="15.75">
      <c r="A482" s="17"/>
      <c r="B482" s="6"/>
      <c r="C482" s="44"/>
      <c r="P482" s="250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  <c r="AF482" s="154"/>
      <c r="AG482" s="154"/>
      <c r="AH482" s="154"/>
      <c r="AI482" s="155"/>
    </row>
    <row r="483" spans="1:35" s="16" customFormat="1" ht="15.75">
      <c r="A483" s="17"/>
      <c r="B483" s="6"/>
      <c r="C483" s="44"/>
      <c r="P483" s="250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154"/>
      <c r="AI483" s="155"/>
    </row>
    <row r="484" spans="1:35" s="16" customFormat="1" ht="15.75">
      <c r="A484" s="17"/>
      <c r="B484" s="6"/>
      <c r="C484" s="44"/>
      <c r="P484" s="250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154"/>
      <c r="AI484" s="155"/>
    </row>
    <row r="485" spans="1:35" s="16" customFormat="1" ht="15.75">
      <c r="A485" s="17"/>
      <c r="B485" s="6"/>
      <c r="C485" s="44"/>
      <c r="P485" s="250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154"/>
      <c r="AI485" s="155"/>
    </row>
    <row r="486" spans="1:35" s="16" customFormat="1" ht="15.75">
      <c r="A486" s="17"/>
      <c r="B486" s="6"/>
      <c r="C486" s="44"/>
      <c r="P486" s="250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154"/>
      <c r="AI486" s="155"/>
    </row>
    <row r="487" spans="1:35" s="16" customFormat="1" ht="15.75">
      <c r="A487" s="17"/>
      <c r="B487" s="6"/>
      <c r="C487" s="44"/>
      <c r="P487" s="250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5"/>
    </row>
    <row r="488" spans="1:35" s="16" customFormat="1" ht="15.75">
      <c r="A488" s="17"/>
      <c r="B488" s="6"/>
      <c r="C488" s="44"/>
      <c r="P488" s="250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5"/>
    </row>
    <row r="489" spans="1:35" s="16" customFormat="1" ht="15.75">
      <c r="A489" s="17"/>
      <c r="B489" s="6"/>
      <c r="C489" s="44"/>
      <c r="P489" s="250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5"/>
    </row>
    <row r="490" spans="1:35" s="16" customFormat="1" ht="15.75">
      <c r="A490" s="17"/>
      <c r="B490" s="6"/>
      <c r="C490" s="44"/>
      <c r="P490" s="250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5"/>
    </row>
    <row r="491" spans="1:35" s="16" customFormat="1" ht="15.75">
      <c r="A491" s="17"/>
      <c r="B491" s="6"/>
      <c r="C491" s="44"/>
      <c r="P491" s="250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154"/>
      <c r="AI491" s="155"/>
    </row>
    <row r="492" spans="1:35" s="16" customFormat="1" ht="15.75">
      <c r="A492" s="17"/>
      <c r="B492" s="6"/>
      <c r="C492" s="44"/>
      <c r="P492" s="250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154"/>
      <c r="AI492" s="155"/>
    </row>
    <row r="493" spans="1:35" s="16" customFormat="1" ht="15.75">
      <c r="A493" s="17"/>
      <c r="B493" s="6"/>
      <c r="C493" s="44"/>
      <c r="P493" s="250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  <c r="AF493" s="154"/>
      <c r="AG493" s="154"/>
      <c r="AH493" s="154"/>
      <c r="AI493" s="155"/>
    </row>
    <row r="494" spans="1:35" s="16" customFormat="1" ht="15.75">
      <c r="A494" s="17"/>
      <c r="B494" s="6"/>
      <c r="C494" s="44"/>
      <c r="P494" s="250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5"/>
    </row>
    <row r="495" spans="1:35" s="16" customFormat="1" ht="15.75">
      <c r="A495" s="17"/>
      <c r="B495" s="6"/>
      <c r="C495" s="44"/>
      <c r="P495" s="250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 s="154"/>
      <c r="AG495" s="154"/>
      <c r="AH495" s="154"/>
      <c r="AI495" s="155"/>
    </row>
    <row r="496" spans="1:35" s="16" customFormat="1" ht="15.75">
      <c r="A496" s="17"/>
      <c r="B496" s="6"/>
      <c r="C496" s="44"/>
      <c r="P496" s="250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154"/>
      <c r="AI496" s="155"/>
    </row>
    <row r="497" spans="1:35" s="16" customFormat="1" ht="15.75">
      <c r="A497" s="17"/>
      <c r="B497" s="6"/>
      <c r="C497" s="44"/>
      <c r="P497" s="250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 s="154"/>
      <c r="AG497" s="154"/>
      <c r="AH497" s="154"/>
      <c r="AI497" s="155"/>
    </row>
    <row r="498" spans="1:35" s="16" customFormat="1" ht="15.75">
      <c r="A498" s="17"/>
      <c r="B498" s="6"/>
      <c r="C498" s="44"/>
      <c r="P498" s="250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  <c r="AF498" s="154"/>
      <c r="AG498" s="154"/>
      <c r="AH498" s="154"/>
      <c r="AI498" s="155"/>
    </row>
    <row r="499" spans="1:35" s="16" customFormat="1" ht="15.75">
      <c r="A499" s="17"/>
      <c r="B499" s="6"/>
      <c r="C499" s="44"/>
      <c r="P499" s="250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154"/>
      <c r="AI499" s="155"/>
    </row>
    <row r="500" spans="1:35" s="16" customFormat="1" ht="15.75">
      <c r="A500" s="17"/>
      <c r="B500" s="6"/>
      <c r="C500" s="44"/>
      <c r="P500" s="250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5"/>
    </row>
    <row r="501" spans="1:35" s="16" customFormat="1" ht="15.75">
      <c r="A501" s="17"/>
      <c r="B501" s="6"/>
      <c r="C501" s="44"/>
      <c r="P501" s="250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154"/>
      <c r="AI501" s="155"/>
    </row>
    <row r="502" spans="1:35" s="16" customFormat="1" ht="15.75">
      <c r="A502" s="17"/>
      <c r="B502" s="6"/>
      <c r="C502" s="44"/>
      <c r="P502" s="250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5"/>
    </row>
    <row r="503" spans="1:35" s="16" customFormat="1" ht="15.75">
      <c r="A503" s="17"/>
      <c r="B503" s="6"/>
      <c r="C503" s="44"/>
      <c r="P503" s="250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5"/>
    </row>
    <row r="504" spans="1:35" s="16" customFormat="1" ht="15.75">
      <c r="A504" s="17"/>
      <c r="B504" s="6"/>
      <c r="C504" s="44"/>
      <c r="P504" s="250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154"/>
      <c r="AI504" s="155"/>
    </row>
    <row r="505" spans="1:35" s="16" customFormat="1" ht="15.75">
      <c r="A505" s="17"/>
      <c r="B505" s="6"/>
      <c r="C505" s="44"/>
      <c r="P505" s="250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154"/>
      <c r="AI505" s="155"/>
    </row>
    <row r="506" spans="1:35" s="16" customFormat="1" ht="15.75">
      <c r="A506" s="17"/>
      <c r="B506" s="6"/>
      <c r="C506" s="44"/>
      <c r="P506" s="250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154"/>
      <c r="AI506" s="155"/>
    </row>
    <row r="507" spans="1:35" s="16" customFormat="1" ht="15.75">
      <c r="A507" s="17"/>
      <c r="B507" s="6"/>
      <c r="C507" s="44"/>
      <c r="P507" s="250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154"/>
      <c r="AI507" s="155"/>
    </row>
    <row r="508" spans="1:35" s="16" customFormat="1" ht="15.75">
      <c r="A508" s="17"/>
      <c r="B508" s="6"/>
      <c r="C508" s="44"/>
      <c r="P508" s="250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154"/>
      <c r="AI508" s="155"/>
    </row>
    <row r="509" spans="1:35" s="16" customFormat="1" ht="15.75">
      <c r="A509" s="17"/>
      <c r="B509" s="6"/>
      <c r="C509" s="44"/>
      <c r="P509" s="250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  <c r="AF509" s="154"/>
      <c r="AG509" s="154"/>
      <c r="AH509" s="154"/>
      <c r="AI509" s="155"/>
    </row>
    <row r="510" spans="1:35" s="16" customFormat="1" ht="15.75">
      <c r="A510" s="17"/>
      <c r="B510" s="6"/>
      <c r="C510" s="44"/>
      <c r="P510" s="250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154"/>
      <c r="AI510" s="155"/>
    </row>
    <row r="511" spans="1:35" s="16" customFormat="1" ht="15.75">
      <c r="A511" s="17"/>
      <c r="B511" s="6"/>
      <c r="C511" s="44"/>
      <c r="P511" s="250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154"/>
      <c r="AI511" s="155"/>
    </row>
    <row r="512" spans="1:35" s="16" customFormat="1" ht="15.75">
      <c r="A512" s="17"/>
      <c r="B512" s="6"/>
      <c r="C512" s="44"/>
      <c r="P512" s="250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154"/>
      <c r="AI512" s="155"/>
    </row>
    <row r="513" spans="1:35" s="16" customFormat="1" ht="15.75">
      <c r="A513" s="17"/>
      <c r="B513" s="6"/>
      <c r="C513" s="44"/>
      <c r="P513" s="250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5"/>
    </row>
    <row r="514" spans="1:35" s="16" customFormat="1" ht="15.75">
      <c r="A514" s="17"/>
      <c r="B514" s="6"/>
      <c r="C514" s="44"/>
      <c r="P514" s="250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5"/>
    </row>
    <row r="515" spans="1:35" s="16" customFormat="1" ht="15.75">
      <c r="A515" s="17"/>
      <c r="B515" s="6"/>
      <c r="C515" s="44"/>
      <c r="P515" s="250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5"/>
    </row>
    <row r="516" spans="1:35" s="16" customFormat="1" ht="15.75">
      <c r="A516" s="17"/>
      <c r="B516" s="6"/>
      <c r="C516" s="44"/>
      <c r="P516" s="250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5"/>
    </row>
    <row r="517" spans="1:35" s="16" customFormat="1" ht="15.75">
      <c r="A517" s="17"/>
      <c r="B517" s="6"/>
      <c r="C517" s="44"/>
      <c r="P517" s="250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5"/>
    </row>
    <row r="518" spans="1:35" s="16" customFormat="1" ht="15.75">
      <c r="A518" s="17"/>
      <c r="B518" s="6"/>
      <c r="C518" s="44"/>
      <c r="P518" s="250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5"/>
    </row>
    <row r="519" spans="1:35" s="16" customFormat="1" ht="15.75">
      <c r="A519" s="17"/>
      <c r="B519" s="6"/>
      <c r="C519" s="44"/>
      <c r="P519" s="250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  <c r="AF519" s="154"/>
      <c r="AG519" s="154"/>
      <c r="AH519" s="154"/>
      <c r="AI519" s="155"/>
    </row>
    <row r="520" spans="1:35" s="16" customFormat="1" ht="15.75">
      <c r="A520" s="17"/>
      <c r="B520" s="6"/>
      <c r="C520" s="44"/>
      <c r="P520" s="250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5"/>
    </row>
    <row r="521" spans="1:35" s="16" customFormat="1" ht="15.75">
      <c r="A521" s="17"/>
      <c r="B521" s="6"/>
      <c r="C521" s="44"/>
      <c r="P521" s="250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  <c r="AF521" s="154"/>
      <c r="AG521" s="154"/>
      <c r="AH521" s="154"/>
      <c r="AI521" s="155"/>
    </row>
    <row r="522" spans="1:35" s="16" customFormat="1" ht="15.75">
      <c r="A522" s="17"/>
      <c r="B522" s="6"/>
      <c r="C522" s="44"/>
      <c r="P522" s="250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5"/>
    </row>
    <row r="523" spans="1:35" s="16" customFormat="1" ht="15.75">
      <c r="A523" s="17"/>
      <c r="B523" s="6"/>
      <c r="C523" s="44"/>
      <c r="P523" s="250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154"/>
      <c r="AI523" s="155"/>
    </row>
    <row r="524" spans="1:35" s="16" customFormat="1" ht="15.75">
      <c r="A524" s="17"/>
      <c r="B524" s="6"/>
      <c r="C524" s="44"/>
      <c r="P524" s="250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  <c r="AF524" s="154"/>
      <c r="AG524" s="154"/>
      <c r="AH524" s="154"/>
      <c r="AI524" s="155"/>
    </row>
    <row r="525" spans="1:35" s="16" customFormat="1" ht="15.75">
      <c r="A525" s="17"/>
      <c r="B525" s="6"/>
      <c r="C525" s="44"/>
      <c r="P525" s="250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  <c r="AF525" s="154"/>
      <c r="AG525" s="154"/>
      <c r="AH525" s="154"/>
      <c r="AI525" s="155"/>
    </row>
    <row r="526" spans="1:35" s="16" customFormat="1" ht="15.75">
      <c r="A526" s="17"/>
      <c r="B526" s="6"/>
      <c r="C526" s="44"/>
      <c r="P526" s="250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  <c r="AF526" s="154"/>
      <c r="AG526" s="154"/>
      <c r="AH526" s="154"/>
      <c r="AI526" s="155"/>
    </row>
    <row r="527" spans="1:35" s="16" customFormat="1" ht="15.75">
      <c r="A527" s="17"/>
      <c r="B527" s="6"/>
      <c r="C527" s="44"/>
      <c r="P527" s="250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5"/>
    </row>
    <row r="528" spans="1:35" s="16" customFormat="1" ht="15.75">
      <c r="A528" s="17"/>
      <c r="B528" s="6"/>
      <c r="C528" s="44"/>
      <c r="P528" s="250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5"/>
    </row>
    <row r="529" spans="1:35" s="16" customFormat="1" ht="15.75">
      <c r="A529" s="17"/>
      <c r="B529" s="6"/>
      <c r="C529" s="44"/>
      <c r="P529" s="250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5"/>
    </row>
    <row r="530" spans="1:35" s="16" customFormat="1" ht="15.75">
      <c r="A530" s="17"/>
      <c r="B530" s="6"/>
      <c r="C530" s="44"/>
      <c r="P530" s="250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5"/>
    </row>
    <row r="531" spans="1:35" s="16" customFormat="1" ht="15.75">
      <c r="A531" s="17"/>
      <c r="B531" s="6"/>
      <c r="C531" s="44"/>
      <c r="P531" s="250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5"/>
    </row>
    <row r="532" spans="1:35" s="16" customFormat="1" ht="15.75">
      <c r="A532" s="17"/>
      <c r="B532" s="6"/>
      <c r="C532" s="44"/>
      <c r="P532" s="250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5"/>
    </row>
    <row r="533" spans="1:35" s="16" customFormat="1" ht="15.75">
      <c r="A533" s="17"/>
      <c r="B533" s="6"/>
      <c r="C533" s="44"/>
      <c r="P533" s="250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5"/>
    </row>
    <row r="534" spans="1:35" s="16" customFormat="1" ht="15.75">
      <c r="A534" s="17"/>
      <c r="B534" s="6"/>
      <c r="C534" s="44"/>
      <c r="P534" s="250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5"/>
    </row>
    <row r="535" spans="1:35" s="16" customFormat="1" ht="15.75">
      <c r="A535" s="17"/>
      <c r="B535" s="6"/>
      <c r="C535" s="44"/>
      <c r="P535" s="250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5"/>
    </row>
    <row r="536" spans="1:35" s="16" customFormat="1" ht="15.75">
      <c r="A536" s="17"/>
      <c r="B536" s="6"/>
      <c r="C536" s="44"/>
      <c r="P536" s="250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5"/>
    </row>
    <row r="537" spans="1:35" s="16" customFormat="1" ht="15.75">
      <c r="A537" s="17"/>
      <c r="B537" s="6"/>
      <c r="C537" s="44"/>
      <c r="P537" s="250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5"/>
    </row>
    <row r="538" spans="1:35" s="16" customFormat="1" ht="15.75">
      <c r="A538" s="17"/>
      <c r="B538" s="6"/>
      <c r="C538" s="44"/>
      <c r="P538" s="250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5"/>
    </row>
    <row r="539" spans="1:35" s="16" customFormat="1" ht="15.75">
      <c r="A539" s="17"/>
      <c r="B539" s="6"/>
      <c r="C539" s="44"/>
      <c r="P539" s="250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5"/>
    </row>
    <row r="540" spans="1:35" s="16" customFormat="1" ht="15.75">
      <c r="A540" s="17"/>
      <c r="B540" s="6"/>
      <c r="C540" s="44"/>
      <c r="P540" s="250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5"/>
    </row>
    <row r="541" spans="1:35" s="16" customFormat="1" ht="15.75">
      <c r="A541" s="17"/>
      <c r="B541" s="6"/>
      <c r="C541" s="44"/>
      <c r="P541" s="250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5"/>
    </row>
    <row r="542" spans="1:35" s="16" customFormat="1" ht="15.75">
      <c r="A542" s="17"/>
      <c r="B542" s="6"/>
      <c r="C542" s="44"/>
      <c r="P542" s="250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5"/>
    </row>
    <row r="543" spans="1:35" s="16" customFormat="1" ht="15.75">
      <c r="A543" s="17"/>
      <c r="B543" s="6"/>
      <c r="C543" s="44"/>
      <c r="P543" s="250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5"/>
    </row>
    <row r="544" spans="1:35" s="16" customFormat="1" ht="15.75">
      <c r="A544" s="17"/>
      <c r="B544" s="6"/>
      <c r="C544" s="44"/>
      <c r="P544" s="250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5"/>
    </row>
    <row r="545" spans="1:35" s="16" customFormat="1" ht="15.75">
      <c r="A545" s="17"/>
      <c r="B545" s="6"/>
      <c r="C545" s="44"/>
      <c r="P545" s="250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5"/>
    </row>
    <row r="546" spans="1:35" s="16" customFormat="1" ht="15.75">
      <c r="A546" s="17"/>
      <c r="B546" s="6"/>
      <c r="C546" s="44"/>
      <c r="P546" s="250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5"/>
    </row>
    <row r="547" spans="1:35" s="16" customFormat="1" ht="15.75">
      <c r="A547" s="17"/>
      <c r="B547" s="6"/>
      <c r="C547" s="44"/>
      <c r="P547" s="250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5"/>
    </row>
    <row r="548" spans="1:35" s="16" customFormat="1" ht="15.75">
      <c r="A548" s="17"/>
      <c r="B548" s="6"/>
      <c r="C548" s="44"/>
      <c r="P548" s="250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5"/>
    </row>
    <row r="549" spans="1:35" s="16" customFormat="1" ht="15.75">
      <c r="A549" s="17"/>
      <c r="B549" s="6"/>
      <c r="C549" s="44"/>
      <c r="P549" s="250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5"/>
    </row>
    <row r="550" spans="1:35" s="16" customFormat="1" ht="15.75">
      <c r="A550" s="17"/>
      <c r="B550" s="6"/>
      <c r="C550" s="44"/>
      <c r="P550" s="250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5"/>
    </row>
    <row r="551" spans="1:35" s="16" customFormat="1" ht="15.75">
      <c r="A551" s="17"/>
      <c r="B551" s="6"/>
      <c r="C551" s="44"/>
      <c r="P551" s="250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5"/>
    </row>
    <row r="552" spans="1:35" s="16" customFormat="1" ht="15.75">
      <c r="A552" s="17"/>
      <c r="B552" s="6"/>
      <c r="C552" s="44"/>
      <c r="P552" s="250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5"/>
    </row>
    <row r="553" spans="1:35" s="16" customFormat="1" ht="15.75">
      <c r="A553" s="17"/>
      <c r="B553" s="6"/>
      <c r="C553" s="44"/>
      <c r="P553" s="250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5"/>
    </row>
    <row r="554" spans="1:35" s="16" customFormat="1" ht="15.75">
      <c r="A554" s="17"/>
      <c r="B554" s="6"/>
      <c r="C554" s="44"/>
      <c r="P554" s="250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5"/>
    </row>
  </sheetData>
  <sheetProtection/>
  <mergeCells count="39">
    <mergeCell ref="P123:P149"/>
    <mergeCell ref="P150:P180"/>
    <mergeCell ref="P181:P211"/>
    <mergeCell ref="P2:P36"/>
    <mergeCell ref="P37:P71"/>
    <mergeCell ref="P72:P101"/>
    <mergeCell ref="P102:P122"/>
    <mergeCell ref="M211:O211"/>
    <mergeCell ref="K1:N1"/>
    <mergeCell ref="M9:M11"/>
    <mergeCell ref="A6:M6"/>
    <mergeCell ref="F10:F11"/>
    <mergeCell ref="G10:G11"/>
    <mergeCell ref="K10:K11"/>
    <mergeCell ref="J9:J11"/>
    <mergeCell ref="K9:L9"/>
    <mergeCell ref="F9:G9"/>
    <mergeCell ref="A212:F212"/>
    <mergeCell ref="A8:A11"/>
    <mergeCell ref="C8:C11"/>
    <mergeCell ref="D8:H8"/>
    <mergeCell ref="D9:D11"/>
    <mergeCell ref="E9:E11"/>
    <mergeCell ref="B8:B11"/>
    <mergeCell ref="H9:H11"/>
    <mergeCell ref="B211:E211"/>
    <mergeCell ref="AE8:AE11"/>
    <mergeCell ref="AF8:AI8"/>
    <mergeCell ref="O8:O11"/>
    <mergeCell ref="I8:N8"/>
    <mergeCell ref="N10:N11"/>
    <mergeCell ref="L10:L11"/>
    <mergeCell ref="I9:I11"/>
    <mergeCell ref="K212:N212"/>
    <mergeCell ref="K3:O3"/>
    <mergeCell ref="AF9:AF11"/>
    <mergeCell ref="Z7:AI7"/>
    <mergeCell ref="Z8:AC9"/>
    <mergeCell ref="AD8:AD11"/>
  </mergeCells>
  <printOptions horizontalCentered="1"/>
  <pageMargins left="0.1968503937007874" right="0.1968503937007874" top="0.46" bottom="0.5118110236220472" header="0.26" footer="0.2362204724409449"/>
  <pageSetup fitToHeight="100" fitToWidth="1" horizontalDpi="600" verticalDpi="600" orientation="landscape" paperSize="9" scale="43" r:id="rId1"/>
  <headerFooter alignWithMargins="0">
    <oddHeader>&amp;R&amp;20Продовження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2018-01-10T07:15:06Z</cp:lastPrinted>
  <dcterms:created xsi:type="dcterms:W3CDTF">2014-01-17T10:52:16Z</dcterms:created>
  <dcterms:modified xsi:type="dcterms:W3CDTF">2018-01-10T07:15:07Z</dcterms:modified>
  <cp:category/>
  <cp:version/>
  <cp:contentType/>
  <cp:contentStatus/>
</cp:coreProperties>
</file>