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  <sheet name="додаток 2" sheetId="2" r:id="rId2"/>
    <sheet name="додаток 3" sheetId="3" r:id="rId3"/>
    <sheet name="додаток 4" sheetId="4" r:id="rId4"/>
  </sheets>
  <definedNames>
    <definedName name="_xlnm.Print_Area" localSheetId="0">'додаток 1'!$A$1:$P$71</definedName>
    <definedName name="_xlnm.Print_Area" localSheetId="1">'додаток 2'!$A$1:$Q$85</definedName>
    <definedName name="_xlnm.Print_Area" localSheetId="2">'додаток 3'!$A$1:$P$46</definedName>
    <definedName name="_xlnm.Print_Area" localSheetId="3">'додаток 4'!$A$1:$O$36</definedName>
  </definedNames>
  <calcPr fullCalcOnLoad="1"/>
</workbook>
</file>

<file path=xl/sharedStrings.xml><?xml version="1.0" encoding="utf-8"?>
<sst xmlns="http://schemas.openxmlformats.org/spreadsheetml/2006/main" count="375" uniqueCount="108">
  <si>
    <t xml:space="preserve">       Додаток 1</t>
  </si>
  <si>
    <t>до рішення виконавчого комітету</t>
  </si>
  <si>
    <t>Ліміти</t>
  </si>
  <si>
    <t>Гкал</t>
  </si>
  <si>
    <t xml:space="preserve">Назва установи </t>
  </si>
  <si>
    <t>Назва постачальника теплової енергії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</si>
  <si>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</si>
  <si>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</si>
  <si>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</si>
  <si>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</si>
  <si>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</si>
  <si>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</si>
  <si>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</si>
  <si>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</si>
  <si>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</si>
  <si>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</si>
  <si>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</si>
  <si>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</si>
  <si>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1.</t>
  </si>
  <si>
    <t xml:space="preserve">КУ "Сумська міська клінічна лікарня №1" </t>
  </si>
  <si>
    <t>в т.ч. без орендарів</t>
  </si>
  <si>
    <t>2.</t>
  </si>
  <si>
    <t xml:space="preserve">КУ "Сумська міська клінічна лікарня №4" </t>
  </si>
  <si>
    <t>спеціальний фонд</t>
  </si>
  <si>
    <t>3.</t>
  </si>
  <si>
    <t xml:space="preserve">КУ "Сумська міська клінічна лікарня №5" </t>
  </si>
  <si>
    <t>ТОВ "Сумитеплоенерго"</t>
  </si>
  <si>
    <t>Разом, з них:</t>
  </si>
  <si>
    <t>4.</t>
  </si>
  <si>
    <t>Разом лікарні</t>
  </si>
  <si>
    <t>5.</t>
  </si>
  <si>
    <t>7.</t>
  </si>
  <si>
    <t>8.</t>
  </si>
  <si>
    <t xml:space="preserve">Централізована бухгалтерія </t>
  </si>
  <si>
    <t>Всього</t>
  </si>
  <si>
    <t xml:space="preserve">Інформаційно-аналітичний центр медичної статистики </t>
  </si>
  <si>
    <t xml:space="preserve">Органи місцевого самоврядування </t>
  </si>
  <si>
    <t>Додаток 2</t>
  </si>
  <si>
    <t>куб.м.</t>
  </si>
  <si>
    <t>Назва ЛПЗ</t>
  </si>
  <si>
    <t>КУ "Сумська міська клінічна лікарня №1"</t>
  </si>
  <si>
    <t>в т.ч.без орендарів</t>
  </si>
  <si>
    <t>КУ "Сумська міська клінічна лікарня №4"</t>
  </si>
  <si>
    <t>КУ "Сумська міська клінічна лікарня №5"</t>
  </si>
  <si>
    <t xml:space="preserve">Разом   лікарні      </t>
  </si>
  <si>
    <t xml:space="preserve">Разом         </t>
  </si>
  <si>
    <t>кВат/год</t>
  </si>
  <si>
    <t>КУ "Сумська міська клінічна дитяча лікарня Святої Зінаїди"</t>
  </si>
  <si>
    <t>Спеціальнй фонд</t>
  </si>
  <si>
    <t>Спецільний фонд</t>
  </si>
  <si>
    <t>Продовження додатку</t>
  </si>
  <si>
    <t>9.</t>
  </si>
  <si>
    <t>№з/п</t>
  </si>
  <si>
    <t>10.</t>
  </si>
  <si>
    <t>11.</t>
  </si>
  <si>
    <t xml:space="preserve">КУ "Сумська міська клінічна дитяча лікарня Святої Зінаїди"  </t>
  </si>
  <si>
    <t>Органи місцевого самоврядування</t>
  </si>
  <si>
    <t>КУ "Сумська міська дитяча клінічна  лікарня Святої Зінаїди"</t>
  </si>
  <si>
    <t>КЗ "Центр первинної медико-санітарної допомги №3              м. Суми"</t>
  </si>
  <si>
    <t>КЗ "Центр первинної медико-санітарної допомги №3 м. Суми"</t>
  </si>
  <si>
    <t>Постачальник</t>
  </si>
  <si>
    <t>КП "Міськводоканал"</t>
  </si>
  <si>
    <t>у т.ч.без орендарів</t>
  </si>
  <si>
    <t>водовідведення разом,</t>
  </si>
  <si>
    <t xml:space="preserve"> споживання холодної води</t>
  </si>
  <si>
    <t xml:space="preserve"> споживання гарячої води води</t>
  </si>
  <si>
    <t xml:space="preserve"> споживання гарячої води </t>
  </si>
  <si>
    <t xml:space="preserve">Разом   (водовідведення)     </t>
  </si>
  <si>
    <t xml:space="preserve">КУ "Сумська міська клінічна стоматологічна поліклініка" </t>
  </si>
  <si>
    <t>12.</t>
  </si>
  <si>
    <t>водовідведення, разом</t>
  </si>
  <si>
    <t>КУ "Сумська міська клінічна стоматологічна поліклініка"</t>
  </si>
  <si>
    <t xml:space="preserve"> </t>
  </si>
  <si>
    <t>Додаток 3</t>
  </si>
  <si>
    <t>13.</t>
  </si>
  <si>
    <t>Додаток 4</t>
  </si>
  <si>
    <t>тис. куб.м.</t>
  </si>
  <si>
    <t>листопд</t>
  </si>
  <si>
    <t>КУ"Сумська міська клінічна лікарня №1"</t>
  </si>
  <si>
    <t>КУ"Сумська міська клінічна лікарня №4"</t>
  </si>
  <si>
    <t>6.</t>
  </si>
  <si>
    <t>у т.ч. без орендарів</t>
  </si>
  <si>
    <t xml:space="preserve"> без орендарів, у т.ч.:</t>
  </si>
  <si>
    <t xml:space="preserve"> без орендарів,   у т.ч.:</t>
  </si>
  <si>
    <t xml:space="preserve"> Разом по  лікарням (водовідведення)     </t>
  </si>
  <si>
    <t>№/зп</t>
  </si>
  <si>
    <t xml:space="preserve"> Дирекція "Котельня Північного промвузла ПАТ "Сумське НВО" </t>
  </si>
  <si>
    <t xml:space="preserve">КУ "Сумський міський клінічний пологовий будинок  Пресвятої Діви Марії" </t>
  </si>
  <si>
    <t xml:space="preserve">                                                                      Дирекція "Котельня Північного промвузла ПАТ "Сумське НВО",                                                   ТОВ "Сумитеплоенерго",                                            ТОВ "Сумитеплоенерго"</t>
  </si>
  <si>
    <t xml:space="preserve">КУ "Сумський міський клінічний пологовий будинок Пресвятої Діви Марії" </t>
  </si>
  <si>
    <t>КУ "Сумська міська клінічна поліклінка №6"</t>
  </si>
  <si>
    <t>КУ "Сумська міська клінічна поліклініка №6"</t>
  </si>
  <si>
    <t xml:space="preserve">В.о. начальника відділу </t>
  </si>
  <si>
    <t>2018 рік</t>
  </si>
  <si>
    <t>споживання теплової енергії по установах та закладах відділу охорони здоров'я Сумської міської ради на 2018 рік</t>
  </si>
  <si>
    <t xml:space="preserve">  споживання водопостачання та водовідведення по установах та закладах відділу охорони здоров'я Сумської міської ради на 2018 рік</t>
  </si>
  <si>
    <t xml:space="preserve">       споживання електричної енергії по установах та закладах відділу охорони здоров'я Сумської міської ради на 2018 рік</t>
  </si>
  <si>
    <t>споживання природного газу по установах та закладах відділу охорони здоров'я Сумської міської ради на 2018 рік</t>
  </si>
  <si>
    <t>О.Ю. Чумаченко</t>
  </si>
  <si>
    <t>КНП "Центр первинної медико-санітарної допомоги №1"</t>
  </si>
  <si>
    <t>КНП "Центр первинної медико-санітарної допомоги №2"</t>
  </si>
  <si>
    <t>КНП "Центр первинної медико-санітарної допомги №1"</t>
  </si>
  <si>
    <t>КНП "Центр первинної медико-санітарної допомги №2"</t>
  </si>
  <si>
    <t xml:space="preserve">від     № </t>
  </si>
  <si>
    <t>Разом по лікарням:</t>
  </si>
  <si>
    <t>Разом по галузі:</t>
  </si>
  <si>
    <t xml:space="preserve">від                    № </t>
  </si>
  <si>
    <t xml:space="preserve">від                        №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</si>
</sst>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0.000000"/>
    <numFmt numFmtId="201" formatCode="#,##0.000"/>
    <numFmt numFmtId="202" formatCode="#,##0.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63">
    <font>
      <sz val="10"/>
      <name val="Arial"/>
      <family val="0"/>
    </font>
    <font>
      <sz val="14"/>
      <name val="Arial"/>
      <family val="2"/>
    </font>
    <font>
      <sz val="14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sz val="9"/>
      <name val="Arial Cyr"/>
      <family val="0"/>
    </font>
    <font>
      <b/>
      <sz val="14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b/>
      <sz val="9"/>
      <color indexed="4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9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1" fillId="0" borderId="0">
      <alignment/>
      <protection/>
    </xf>
    <xf numFmtId="0" fontId="23" fillId="0" borderId="0">
      <alignment/>
      <protection/>
    </xf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32" borderId="0" xfId="0" applyFont="1" applyFill="1" applyAlignment="1">
      <alignment/>
    </xf>
    <xf numFmtId="0" fontId="7" fillId="0" borderId="0" xfId="0" applyFont="1" applyAlignment="1">
      <alignment/>
    </xf>
    <xf numFmtId="0" fontId="8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9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3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4" fillId="32" borderId="0" xfId="0" applyFont="1" applyFill="1" applyBorder="1" applyAlignment="1">
      <alignment wrapText="1"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0" fillId="32" borderId="0" xfId="0" applyFill="1" applyAlignment="1">
      <alignment/>
    </xf>
    <xf numFmtId="0" fontId="16" fillId="32" borderId="0" xfId="0" applyFont="1" applyFill="1" applyBorder="1" applyAlignment="1">
      <alignment wrapText="1"/>
    </xf>
    <xf numFmtId="0" fontId="11" fillId="3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7" fillId="32" borderId="0" xfId="0" applyFont="1" applyFill="1" applyBorder="1" applyAlignment="1">
      <alignment horizontal="left"/>
    </xf>
    <xf numFmtId="0" fontId="18" fillId="32" borderId="10" xfId="0" applyFont="1" applyFill="1" applyBorder="1" applyAlignment="1">
      <alignment/>
    </xf>
    <xf numFmtId="0" fontId="18" fillId="32" borderId="10" xfId="0" applyFont="1" applyFill="1" applyBorder="1" applyAlignment="1">
      <alignment horizontal="center"/>
    </xf>
    <xf numFmtId="1" fontId="18" fillId="32" borderId="10" xfId="0" applyNumberFormat="1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8" fillId="32" borderId="11" xfId="0" applyFont="1" applyFill="1" applyBorder="1" applyAlignment="1">
      <alignment horizontal="center"/>
    </xf>
    <xf numFmtId="0" fontId="18" fillId="32" borderId="12" xfId="0" applyFont="1" applyFill="1" applyBorder="1" applyAlignment="1">
      <alignment horizontal="center"/>
    </xf>
    <xf numFmtId="0" fontId="18" fillId="32" borderId="13" xfId="0" applyFont="1" applyFill="1" applyBorder="1" applyAlignment="1">
      <alignment horizontal="center"/>
    </xf>
    <xf numFmtId="0" fontId="19" fillId="0" borderId="0" xfId="0" applyFont="1" applyAlignment="1">
      <alignment/>
    </xf>
    <xf numFmtId="196" fontId="19" fillId="0" borderId="0" xfId="0" applyNumberFormat="1" applyFont="1" applyAlignment="1">
      <alignment/>
    </xf>
    <xf numFmtId="1" fontId="11" fillId="32" borderId="10" xfId="0" applyNumberFormat="1" applyFont="1" applyFill="1" applyBorder="1" applyAlignment="1">
      <alignment horizontal="center"/>
    </xf>
    <xf numFmtId="0" fontId="19" fillId="32" borderId="10" xfId="0" applyFont="1" applyFill="1" applyBorder="1" applyAlignment="1">
      <alignment horizontal="center"/>
    </xf>
    <xf numFmtId="2" fontId="18" fillId="32" borderId="10" xfId="0" applyNumberFormat="1" applyFont="1" applyFill="1" applyBorder="1" applyAlignment="1">
      <alignment horizontal="center"/>
    </xf>
    <xf numFmtId="1" fontId="19" fillId="0" borderId="0" xfId="0" applyNumberFormat="1" applyFont="1" applyAlignment="1">
      <alignment/>
    </xf>
    <xf numFmtId="196" fontId="11" fillId="32" borderId="10" xfId="0" applyNumberFormat="1" applyFont="1" applyFill="1" applyBorder="1" applyAlignment="1">
      <alignment horizontal="center"/>
    </xf>
    <xf numFmtId="196" fontId="18" fillId="32" borderId="10" xfId="0" applyNumberFormat="1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 textRotation="90"/>
    </xf>
    <xf numFmtId="0" fontId="18" fillId="32" borderId="14" xfId="0" applyFont="1" applyFill="1" applyBorder="1" applyAlignment="1">
      <alignment horizontal="center"/>
    </xf>
    <xf numFmtId="0" fontId="18" fillId="32" borderId="15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96" fontId="11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96" fontId="18" fillId="32" borderId="11" xfId="0" applyNumberFormat="1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 vertical="top" wrapText="1"/>
    </xf>
    <xf numFmtId="0" fontId="18" fillId="32" borderId="11" xfId="0" applyFont="1" applyFill="1" applyBorder="1" applyAlignment="1">
      <alignment horizontal="center" vertical="top" wrapText="1"/>
    </xf>
    <xf numFmtId="0" fontId="18" fillId="32" borderId="0" xfId="0" applyFont="1" applyFill="1" applyBorder="1" applyAlignment="1">
      <alignment horizontal="center" vertical="top" wrapText="1"/>
    </xf>
    <xf numFmtId="0" fontId="18" fillId="32" borderId="12" xfId="0" applyFont="1" applyFill="1" applyBorder="1" applyAlignment="1">
      <alignment horizontal="center" vertical="top" wrapText="1"/>
    </xf>
    <xf numFmtId="0" fontId="11" fillId="32" borderId="16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175" fontId="18" fillId="32" borderId="10" xfId="0" applyNumberFormat="1" applyFont="1" applyFill="1" applyBorder="1" applyAlignment="1">
      <alignment horizontal="center" vertical="top" wrapText="1"/>
    </xf>
    <xf numFmtId="0" fontId="11" fillId="32" borderId="11" xfId="0" applyFont="1" applyFill="1" applyBorder="1" applyAlignment="1">
      <alignment horizontal="center" vertical="top" wrapText="1"/>
    </xf>
    <xf numFmtId="0" fontId="11" fillId="32" borderId="13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/>
    </xf>
    <xf numFmtId="1" fontId="18" fillId="32" borderId="13" xfId="0" applyNumberFormat="1" applyFont="1" applyFill="1" applyBorder="1" applyAlignment="1">
      <alignment horizontal="center"/>
    </xf>
    <xf numFmtId="2" fontId="18" fillId="32" borderId="13" xfId="0" applyNumberFormat="1" applyFont="1" applyFill="1" applyBorder="1" applyAlignment="1">
      <alignment horizontal="center"/>
    </xf>
    <xf numFmtId="202" fontId="18" fillId="0" borderId="10" xfId="0" applyNumberFormat="1" applyFont="1" applyFill="1" applyBorder="1" applyAlignment="1">
      <alignment horizontal="center" vertical="center"/>
    </xf>
    <xf numFmtId="0" fontId="18" fillId="32" borderId="17" xfId="0" applyFont="1" applyFill="1" applyBorder="1" applyAlignment="1">
      <alignment horizontal="center"/>
    </xf>
    <xf numFmtId="0" fontId="11" fillId="32" borderId="17" xfId="0" applyFont="1" applyFill="1" applyBorder="1" applyAlignment="1">
      <alignment horizontal="center"/>
    </xf>
    <xf numFmtId="196" fontId="18" fillId="0" borderId="10" xfId="0" applyNumberFormat="1" applyFont="1" applyFill="1" applyBorder="1" applyAlignment="1">
      <alignment horizontal="center"/>
    </xf>
    <xf numFmtId="196" fontId="18" fillId="32" borderId="14" xfId="0" applyNumberFormat="1" applyFont="1" applyFill="1" applyBorder="1" applyAlignment="1">
      <alignment horizontal="center"/>
    </xf>
    <xf numFmtId="0" fontId="18" fillId="32" borderId="11" xfId="0" applyFont="1" applyFill="1" applyBorder="1" applyAlignment="1">
      <alignment/>
    </xf>
    <xf numFmtId="0" fontId="18" fillId="0" borderId="0" xfId="0" applyFont="1" applyAlignment="1">
      <alignment/>
    </xf>
    <xf numFmtId="0" fontId="0" fillId="0" borderId="10" xfId="0" applyFill="1" applyBorder="1" applyAlignment="1">
      <alignment/>
    </xf>
    <xf numFmtId="0" fontId="1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8" fillId="32" borderId="14" xfId="0" applyFont="1" applyFill="1" applyBorder="1" applyAlignment="1">
      <alignment horizontal="left"/>
    </xf>
    <xf numFmtId="196" fontId="18" fillId="32" borderId="15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8" fillId="32" borderId="10" xfId="0" applyFont="1" applyFill="1" applyBorder="1" applyAlignment="1">
      <alignment horizontal="left"/>
    </xf>
    <xf numFmtId="0" fontId="11" fillId="32" borderId="14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20" fillId="32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justify"/>
    </xf>
    <xf numFmtId="197" fontId="2" fillId="32" borderId="10" xfId="0" applyNumberFormat="1" applyFont="1" applyFill="1" applyBorder="1" applyAlignment="1">
      <alignment horizontal="center"/>
    </xf>
    <xf numFmtId="201" fontId="2" fillId="0" borderId="10" xfId="0" applyNumberFormat="1" applyFont="1" applyBorder="1" applyAlignment="1">
      <alignment horizontal="center" vertical="center"/>
    </xf>
    <xf numFmtId="0" fontId="10" fillId="32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197" fontId="10" fillId="0" borderId="10" xfId="0" applyNumberFormat="1" applyFont="1" applyBorder="1" applyAlignment="1">
      <alignment/>
    </xf>
    <xf numFmtId="0" fontId="18" fillId="32" borderId="17" xfId="0" applyFont="1" applyFill="1" applyBorder="1" applyAlignment="1">
      <alignment horizontal="justify"/>
    </xf>
    <xf numFmtId="0" fontId="18" fillId="0" borderId="17" xfId="0" applyFont="1" applyFill="1" applyBorder="1" applyAlignment="1">
      <alignment horizontal="center"/>
    </xf>
    <xf numFmtId="0" fontId="18" fillId="32" borderId="17" xfId="0" applyFont="1" applyFill="1" applyBorder="1" applyAlignment="1">
      <alignment horizontal="center" vertical="top" wrapText="1"/>
    </xf>
    <xf numFmtId="0" fontId="18" fillId="32" borderId="16" xfId="0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left"/>
    </xf>
    <xf numFmtId="196" fontId="11" fillId="32" borderId="10" xfId="0" applyNumberFormat="1" applyFont="1" applyFill="1" applyBorder="1" applyAlignment="1">
      <alignment horizontal="center" vertical="center"/>
    </xf>
    <xf numFmtId="1" fontId="18" fillId="32" borderId="10" xfId="0" applyNumberFormat="1" applyFont="1" applyFill="1" applyBorder="1" applyAlignment="1">
      <alignment horizontal="left"/>
    </xf>
    <xf numFmtId="1" fontId="18" fillId="32" borderId="14" xfId="0" applyNumberFormat="1" applyFont="1" applyFill="1" applyBorder="1" applyAlignment="1">
      <alignment horizontal="left"/>
    </xf>
    <xf numFmtId="1" fontId="11" fillId="0" borderId="10" xfId="0" applyNumberFormat="1" applyFont="1" applyBorder="1" applyAlignment="1">
      <alignment horizontal="left"/>
    </xf>
    <xf numFmtId="0" fontId="18" fillId="32" borderId="18" xfId="0" applyFont="1" applyFill="1" applyBorder="1" applyAlignment="1">
      <alignment horizontal="center"/>
    </xf>
    <xf numFmtId="0" fontId="18" fillId="0" borderId="10" xfId="52" applyFont="1" applyBorder="1" applyAlignment="1">
      <alignment horizontal="right" vertical="center" wrapText="1"/>
      <protection/>
    </xf>
    <xf numFmtId="196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1" fontId="22" fillId="0" borderId="10" xfId="0" applyNumberFormat="1" applyFont="1" applyBorder="1" applyAlignment="1">
      <alignment/>
    </xf>
    <xf numFmtId="0" fontId="22" fillId="0" borderId="10" xfId="53" applyFont="1" applyFill="1" applyBorder="1" applyAlignment="1">
      <alignment horizontal="right"/>
      <protection/>
    </xf>
    <xf numFmtId="202" fontId="18" fillId="0" borderId="10" xfId="53" applyNumberFormat="1" applyFont="1" applyFill="1" applyBorder="1" applyAlignment="1">
      <alignment horizontal="right"/>
      <protection/>
    </xf>
    <xf numFmtId="0" fontId="18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8" fillId="32" borderId="13" xfId="0" applyFont="1" applyFill="1" applyBorder="1" applyAlignment="1">
      <alignment horizontal="center" vertical="top" wrapText="1"/>
    </xf>
    <xf numFmtId="196" fontId="11" fillId="32" borderId="18" xfId="0" applyNumberFormat="1" applyFont="1" applyFill="1" applyBorder="1" applyAlignment="1">
      <alignment horizontal="center"/>
    </xf>
    <xf numFmtId="2" fontId="61" fillId="32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96" fontId="0" fillId="0" borderId="0" xfId="0" applyNumberFormat="1" applyAlignment="1">
      <alignment/>
    </xf>
    <xf numFmtId="196" fontId="18" fillId="32" borderId="13" xfId="0" applyNumberFormat="1" applyFont="1" applyFill="1" applyBorder="1" applyAlignment="1">
      <alignment horizontal="center"/>
    </xf>
    <xf numFmtId="196" fontId="61" fillId="32" borderId="10" xfId="0" applyNumberFormat="1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 vertical="top" wrapText="1"/>
    </xf>
    <xf numFmtId="0" fontId="18" fillId="34" borderId="10" xfId="0" applyFont="1" applyFill="1" applyBorder="1" applyAlignment="1">
      <alignment horizontal="center"/>
    </xf>
    <xf numFmtId="196" fontId="18" fillId="34" borderId="10" xfId="0" applyNumberFormat="1" applyFont="1" applyFill="1" applyBorder="1" applyAlignment="1">
      <alignment horizontal="center"/>
    </xf>
    <xf numFmtId="2" fontId="18" fillId="34" borderId="10" xfId="0" applyNumberFormat="1" applyFont="1" applyFill="1" applyBorder="1" applyAlignment="1">
      <alignment horizontal="center"/>
    </xf>
    <xf numFmtId="0" fontId="18" fillId="34" borderId="10" xfId="52" applyFont="1" applyFill="1" applyBorder="1" applyAlignment="1">
      <alignment horizontal="right" vertical="center" wrapText="1"/>
      <protection/>
    </xf>
    <xf numFmtId="196" fontId="18" fillId="34" borderId="10" xfId="52" applyNumberFormat="1" applyFont="1" applyFill="1" applyBorder="1" applyAlignment="1">
      <alignment horizontal="right" vertical="center" wrapText="1"/>
      <protection/>
    </xf>
    <xf numFmtId="196" fontId="22" fillId="34" borderId="10" xfId="0" applyNumberFormat="1" applyFont="1" applyFill="1" applyBorder="1" applyAlignment="1">
      <alignment/>
    </xf>
    <xf numFmtId="0" fontId="22" fillId="34" borderId="10" xfId="0" applyFont="1" applyFill="1" applyBorder="1" applyAlignment="1">
      <alignment/>
    </xf>
    <xf numFmtId="197" fontId="18" fillId="34" borderId="10" xfId="0" applyNumberFormat="1" applyFont="1" applyFill="1" applyBorder="1" applyAlignment="1">
      <alignment horizontal="center"/>
    </xf>
    <xf numFmtId="196" fontId="11" fillId="34" borderId="10" xfId="0" applyNumberFormat="1" applyFont="1" applyFill="1" applyBorder="1" applyAlignment="1">
      <alignment horizontal="center"/>
    </xf>
    <xf numFmtId="1" fontId="11" fillId="34" borderId="10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 vertical="top" wrapText="1"/>
    </xf>
    <xf numFmtId="196" fontId="11" fillId="34" borderId="13" xfId="0" applyNumberFormat="1" applyFont="1" applyFill="1" applyBorder="1" applyAlignment="1">
      <alignment horizontal="center"/>
    </xf>
    <xf numFmtId="196" fontId="11" fillId="34" borderId="18" xfId="0" applyNumberFormat="1" applyFont="1" applyFill="1" applyBorder="1" applyAlignment="1">
      <alignment horizontal="center" vertical="center"/>
    </xf>
    <xf numFmtId="196" fontId="6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97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96" fontId="18" fillId="0" borderId="10" xfId="0" applyNumberFormat="1" applyFont="1" applyBorder="1" applyAlignment="1">
      <alignment horizontal="center"/>
    </xf>
    <xf numFmtId="196" fontId="11" fillId="0" borderId="13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/>
    </xf>
    <xf numFmtId="1" fontId="0" fillId="0" borderId="0" xfId="0" applyNumberFormat="1" applyAlignment="1">
      <alignment/>
    </xf>
    <xf numFmtId="196" fontId="18" fillId="34" borderId="15" xfId="0" applyNumberFormat="1" applyFont="1" applyFill="1" applyBorder="1" applyAlignment="1">
      <alignment horizontal="center"/>
    </xf>
    <xf numFmtId="0" fontId="18" fillId="34" borderId="14" xfId="0" applyFont="1" applyFill="1" applyBorder="1" applyAlignment="1">
      <alignment horizontal="center"/>
    </xf>
    <xf numFmtId="196" fontId="18" fillId="34" borderId="14" xfId="0" applyNumberFormat="1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1" fontId="18" fillId="34" borderId="10" xfId="0" applyNumberFormat="1" applyFont="1" applyFill="1" applyBorder="1" applyAlignment="1">
      <alignment horizontal="center"/>
    </xf>
    <xf numFmtId="202" fontId="18" fillId="34" borderId="10" xfId="53" applyNumberFormat="1" applyFont="1" applyFill="1" applyBorder="1" applyAlignment="1">
      <alignment horizontal="right"/>
      <protection/>
    </xf>
    <xf numFmtId="0" fontId="22" fillId="34" borderId="10" xfId="53" applyFont="1" applyFill="1" applyBorder="1" applyAlignment="1">
      <alignment horizontal="right"/>
      <protection/>
    </xf>
    <xf numFmtId="202" fontId="18" fillId="34" borderId="10" xfId="0" applyNumberFormat="1" applyFont="1" applyFill="1" applyBorder="1" applyAlignment="1">
      <alignment horizontal="center" vertical="center"/>
    </xf>
    <xf numFmtId="196" fontId="22" fillId="0" borderId="13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left"/>
    </xf>
    <xf numFmtId="2" fontId="61" fillId="34" borderId="10" xfId="0" applyNumberFormat="1" applyFont="1" applyFill="1" applyBorder="1" applyAlignment="1">
      <alignment horizontal="center"/>
    </xf>
    <xf numFmtId="0" fontId="18" fillId="32" borderId="11" xfId="0" applyFont="1" applyFill="1" applyBorder="1" applyAlignment="1">
      <alignment horizontal="center" vertical="top" wrapText="1"/>
    </xf>
    <xf numFmtId="0" fontId="18" fillId="32" borderId="13" xfId="0" applyFont="1" applyFill="1" applyBorder="1" applyAlignment="1">
      <alignment horizontal="center" vertical="top" wrapText="1"/>
    </xf>
    <xf numFmtId="0" fontId="18" fillId="32" borderId="12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0" fillId="32" borderId="0" xfId="0" applyFont="1" applyFill="1" applyAlignment="1">
      <alignment horizontal="center"/>
    </xf>
    <xf numFmtId="1" fontId="18" fillId="34" borderId="14" xfId="0" applyNumberFormat="1" applyFont="1" applyFill="1" applyBorder="1" applyAlignment="1">
      <alignment horizontal="center"/>
    </xf>
    <xf numFmtId="1" fontId="18" fillId="34" borderId="19" xfId="0" applyNumberFormat="1" applyFont="1" applyFill="1" applyBorder="1" applyAlignment="1">
      <alignment horizontal="center"/>
    </xf>
    <xf numFmtId="1" fontId="18" fillId="34" borderId="17" xfId="0" applyNumberFormat="1" applyFont="1" applyFill="1" applyBorder="1" applyAlignment="1">
      <alignment horizontal="center"/>
    </xf>
    <xf numFmtId="196" fontId="18" fillId="34" borderId="14" xfId="0" applyNumberFormat="1" applyFont="1" applyFill="1" applyBorder="1" applyAlignment="1">
      <alignment horizontal="center"/>
    </xf>
    <xf numFmtId="196" fontId="18" fillId="32" borderId="19" xfId="0" applyNumberFormat="1" applyFont="1" applyFill="1" applyBorder="1" applyAlignment="1">
      <alignment horizontal="center"/>
    </xf>
    <xf numFmtId="0" fontId="18" fillId="34" borderId="14" xfId="0" applyFont="1" applyFill="1" applyBorder="1" applyAlignment="1">
      <alignment horizontal="center"/>
    </xf>
    <xf numFmtId="0" fontId="18" fillId="32" borderId="17" xfId="0" applyFont="1" applyFill="1" applyBorder="1" applyAlignment="1">
      <alignment horizontal="center"/>
    </xf>
    <xf numFmtId="0" fontId="11" fillId="32" borderId="14" xfId="0" applyFont="1" applyFill="1" applyBorder="1" applyAlignment="1">
      <alignment horizontal="center"/>
    </xf>
    <xf numFmtId="0" fontId="11" fillId="32" borderId="17" xfId="0" applyFont="1" applyFill="1" applyBorder="1" applyAlignment="1">
      <alignment horizontal="center"/>
    </xf>
    <xf numFmtId="0" fontId="18" fillId="32" borderId="11" xfId="0" applyFont="1" applyFill="1" applyBorder="1" applyAlignment="1">
      <alignment horizontal="center"/>
    </xf>
    <xf numFmtId="0" fontId="18" fillId="32" borderId="13" xfId="0" applyFont="1" applyFill="1" applyBorder="1" applyAlignment="1">
      <alignment horizontal="center"/>
    </xf>
    <xf numFmtId="0" fontId="18" fillId="32" borderId="12" xfId="0" applyFont="1" applyFill="1" applyBorder="1" applyAlignment="1">
      <alignment horizontal="center"/>
    </xf>
    <xf numFmtId="0" fontId="24" fillId="32" borderId="14" xfId="0" applyFont="1" applyFill="1" applyBorder="1" applyAlignment="1">
      <alignment horizontal="center"/>
    </xf>
    <xf numFmtId="0" fontId="24" fillId="32" borderId="17" xfId="0" applyFont="1" applyFill="1" applyBorder="1" applyAlignment="1">
      <alignment horizontal="center"/>
    </xf>
    <xf numFmtId="0" fontId="24" fillId="32" borderId="14" xfId="0" applyFont="1" applyFill="1" applyBorder="1" applyAlignment="1">
      <alignment horizontal="center" vertical="top" wrapText="1"/>
    </xf>
    <xf numFmtId="0" fontId="24" fillId="32" borderId="17" xfId="0" applyFont="1" applyFill="1" applyBorder="1" applyAlignment="1">
      <alignment horizontal="center" vertical="top" wrapText="1"/>
    </xf>
    <xf numFmtId="175" fontId="24" fillId="0" borderId="14" xfId="0" applyNumberFormat="1" applyFont="1" applyFill="1" applyBorder="1" applyAlignment="1">
      <alignment horizontal="justify"/>
    </xf>
    <xf numFmtId="175" fontId="24" fillId="0" borderId="17" xfId="0" applyNumberFormat="1" applyFont="1" applyFill="1" applyBorder="1" applyAlignment="1">
      <alignment horizontal="justify"/>
    </xf>
    <xf numFmtId="0" fontId="18" fillId="0" borderId="14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32" borderId="14" xfId="0" applyFont="1" applyFill="1" applyBorder="1" applyAlignment="1">
      <alignment horizontal="center" vertical="top" wrapText="1"/>
    </xf>
    <xf numFmtId="0" fontId="18" fillId="32" borderId="17" xfId="0" applyFont="1" applyFill="1" applyBorder="1" applyAlignment="1">
      <alignment horizontal="center" vertical="top" wrapText="1"/>
    </xf>
    <xf numFmtId="0" fontId="24" fillId="32" borderId="14" xfId="0" applyFont="1" applyFill="1" applyBorder="1" applyAlignment="1">
      <alignment horizontal="justify"/>
    </xf>
    <xf numFmtId="0" fontId="24" fillId="32" borderId="17" xfId="0" applyFont="1" applyFill="1" applyBorder="1" applyAlignment="1">
      <alignment horizontal="justify"/>
    </xf>
    <xf numFmtId="0" fontId="25" fillId="0" borderId="17" xfId="0" applyFont="1" applyBorder="1" applyAlignment="1">
      <alignment/>
    </xf>
    <xf numFmtId="0" fontId="18" fillId="32" borderId="14" xfId="0" applyFont="1" applyFill="1" applyBorder="1" applyAlignment="1">
      <alignment horizontal="justify"/>
    </xf>
    <xf numFmtId="0" fontId="18" fillId="32" borderId="17" xfId="0" applyFont="1" applyFill="1" applyBorder="1" applyAlignment="1">
      <alignment horizontal="justify"/>
    </xf>
    <xf numFmtId="175" fontId="24" fillId="32" borderId="14" xfId="0" applyNumberFormat="1" applyFont="1" applyFill="1" applyBorder="1" applyAlignment="1">
      <alignment horizontal="justify"/>
    </xf>
    <xf numFmtId="175" fontId="24" fillId="32" borderId="17" xfId="0" applyNumberFormat="1" applyFont="1" applyFill="1" applyBorder="1" applyAlignment="1">
      <alignment horizontal="justify"/>
    </xf>
    <xf numFmtId="0" fontId="18" fillId="32" borderId="11" xfId="0" applyFont="1" applyFill="1" applyBorder="1" applyAlignment="1">
      <alignment/>
    </xf>
    <xf numFmtId="0" fontId="18" fillId="32" borderId="13" xfId="0" applyFont="1" applyFill="1" applyBorder="1" applyAlignment="1">
      <alignment/>
    </xf>
    <xf numFmtId="0" fontId="18" fillId="32" borderId="12" xfId="0" applyFont="1" applyFill="1" applyBorder="1" applyAlignment="1">
      <alignment/>
    </xf>
    <xf numFmtId="0" fontId="18" fillId="0" borderId="14" xfId="0" applyFont="1" applyBorder="1" applyAlignment="1">
      <alignment horizontal="justify"/>
    </xf>
    <xf numFmtId="0" fontId="18" fillId="0" borderId="17" xfId="0" applyFont="1" applyBorder="1" applyAlignment="1">
      <alignment horizontal="justify"/>
    </xf>
    <xf numFmtId="175" fontId="18" fillId="32" borderId="14" xfId="0" applyNumberFormat="1" applyFont="1" applyFill="1" applyBorder="1" applyAlignment="1">
      <alignment horizontal="justify"/>
    </xf>
    <xf numFmtId="175" fontId="18" fillId="32" borderId="17" xfId="0" applyNumberFormat="1" applyFont="1" applyFill="1" applyBorder="1" applyAlignment="1">
      <alignment horizontal="justify"/>
    </xf>
    <xf numFmtId="0" fontId="19" fillId="0" borderId="17" xfId="0" applyFont="1" applyBorder="1" applyAlignment="1">
      <alignment/>
    </xf>
    <xf numFmtId="0" fontId="18" fillId="32" borderId="14" xfId="0" applyFont="1" applyFill="1" applyBorder="1" applyAlignment="1">
      <alignment horizontal="left" vertical="top" wrapText="1"/>
    </xf>
    <xf numFmtId="0" fontId="18" fillId="32" borderId="17" xfId="0" applyFont="1" applyFill="1" applyBorder="1" applyAlignment="1">
      <alignment horizontal="left" vertical="top" wrapText="1"/>
    </xf>
    <xf numFmtId="175" fontId="18" fillId="0" borderId="14" xfId="0" applyNumberFormat="1" applyFont="1" applyFill="1" applyBorder="1" applyAlignment="1">
      <alignment horizontal="justify"/>
    </xf>
    <xf numFmtId="175" fontId="18" fillId="0" borderId="17" xfId="0" applyNumberFormat="1" applyFont="1" applyFill="1" applyBorder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із енергоносіїв проект 2017-2019 Додаток 3" xfId="52"/>
    <cellStyle name="Обычный_Видатк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1"/>
  <sheetViews>
    <sheetView tabSelected="1" view="pageBreakPreview" zoomScale="75" zoomScaleNormal="75" zoomScaleSheetLayoutView="75" zoomScalePageLayoutView="0" workbookViewId="0" topLeftCell="A49">
      <selection activeCell="D27" sqref="D27"/>
    </sheetView>
  </sheetViews>
  <sheetFormatPr defaultColWidth="9.140625" defaultRowHeight="12.75"/>
  <cols>
    <col min="1" max="1" width="6.7109375" style="0" customWidth="1"/>
    <col min="2" max="2" width="31.421875" style="0" customWidth="1"/>
    <col min="3" max="3" width="40.7109375" style="0" customWidth="1"/>
    <col min="4" max="4" width="9.00390625" style="0" customWidth="1"/>
    <col min="5" max="5" width="8.421875" style="0" customWidth="1"/>
    <col min="6" max="6" width="8.140625" style="0" customWidth="1"/>
    <col min="7" max="8" width="8.28125" style="0" customWidth="1"/>
    <col min="9" max="9" width="7.00390625" style="0" customWidth="1"/>
    <col min="10" max="10" width="8.00390625" style="0" customWidth="1"/>
    <col min="11" max="11" width="9.28125" style="0" customWidth="1"/>
    <col min="12" max="12" width="7.28125" style="0" customWidth="1"/>
    <col min="13" max="13" width="8.00390625" style="0" customWidth="1"/>
    <col min="14" max="15" width="10.00390625" style="0" customWidth="1"/>
    <col min="16" max="16" width="11.57421875" style="0" customWidth="1"/>
    <col min="17" max="17" width="12.140625" style="0" customWidth="1"/>
    <col min="18" max="18" width="11.00390625" style="0" bestFit="1" customWidth="1"/>
    <col min="20" max="20" width="9.8515625" style="0" bestFit="1" customWidth="1"/>
  </cols>
  <sheetData>
    <row r="1" spans="10:16" ht="18.75">
      <c r="J1" s="1"/>
      <c r="K1" s="2" t="s">
        <v>0</v>
      </c>
      <c r="L1" s="2"/>
      <c r="M1" s="2"/>
      <c r="N1" s="2"/>
      <c r="O1" s="2"/>
      <c r="P1" s="1"/>
    </row>
    <row r="2" spans="1:16" ht="20.25">
      <c r="A2" s="3"/>
      <c r="B2" s="3"/>
      <c r="C2" s="3"/>
      <c r="D2" s="4"/>
      <c r="E2" s="4"/>
      <c r="F2" s="4"/>
      <c r="G2" s="4"/>
      <c r="H2" s="5"/>
      <c r="I2" s="5"/>
      <c r="J2" s="6"/>
      <c r="K2" s="7" t="s">
        <v>1</v>
      </c>
      <c r="L2" s="7"/>
      <c r="M2" s="7"/>
      <c r="N2" s="7"/>
      <c r="O2" s="1"/>
      <c r="P2" s="1"/>
    </row>
    <row r="3" spans="1:16" ht="20.25">
      <c r="A3" s="3"/>
      <c r="B3" s="8"/>
      <c r="C3" s="10"/>
      <c r="D3" s="10"/>
      <c r="E3" s="10"/>
      <c r="F3" s="10"/>
      <c r="G3" s="10"/>
      <c r="H3" s="10"/>
      <c r="I3" s="10"/>
      <c r="J3" s="11"/>
      <c r="K3" s="7" t="s">
        <v>103</v>
      </c>
      <c r="L3" s="12"/>
      <c r="M3" s="12"/>
      <c r="N3" s="7"/>
      <c r="O3" s="9"/>
      <c r="P3" s="1"/>
    </row>
    <row r="4" spans="1:27" ht="20.25">
      <c r="A4" s="13"/>
      <c r="B4" s="14"/>
      <c r="C4" s="15"/>
      <c r="D4" s="16"/>
      <c r="E4" s="16"/>
      <c r="F4" s="16"/>
      <c r="G4" s="16" t="s">
        <v>2</v>
      </c>
      <c r="H4" s="1"/>
      <c r="I4" s="16"/>
      <c r="J4" s="16"/>
      <c r="K4" s="16"/>
      <c r="L4" s="165" t="s">
        <v>2</v>
      </c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</row>
    <row r="5" spans="1:16" ht="18.75">
      <c r="A5" s="17"/>
      <c r="B5" s="165" t="s">
        <v>94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3:16" ht="15.75"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 t="s">
        <v>3</v>
      </c>
      <c r="P6" s="17"/>
    </row>
    <row r="7" spans="1:18" ht="52.5">
      <c r="A7" s="33" t="s">
        <v>52</v>
      </c>
      <c r="B7" s="57" t="s">
        <v>4</v>
      </c>
      <c r="C7" s="57" t="s">
        <v>5</v>
      </c>
      <c r="D7" s="47" t="s">
        <v>6</v>
      </c>
      <c r="E7" s="47" t="s">
        <v>7</v>
      </c>
      <c r="F7" s="47" t="s">
        <v>8</v>
      </c>
      <c r="G7" s="47" t="s">
        <v>9</v>
      </c>
      <c r="H7" s="47" t="s">
        <v>10</v>
      </c>
      <c r="I7" s="47" t="s">
        <v>11</v>
      </c>
      <c r="J7" s="47" t="s">
        <v>12</v>
      </c>
      <c r="K7" s="47" t="s">
        <v>13</v>
      </c>
      <c r="L7" s="47" t="s">
        <v>14</v>
      </c>
      <c r="M7" s="47" t="s">
        <v>15</v>
      </c>
      <c r="N7" s="47" t="s">
        <v>16</v>
      </c>
      <c r="O7" s="47" t="s">
        <v>17</v>
      </c>
      <c r="P7" s="47" t="s">
        <v>93</v>
      </c>
      <c r="Q7">
        <v>1420.28</v>
      </c>
      <c r="R7">
        <v>1205.27</v>
      </c>
    </row>
    <row r="8" spans="1:16" ht="31.5">
      <c r="A8" s="161" t="s">
        <v>18</v>
      </c>
      <c r="B8" s="125" t="s">
        <v>19</v>
      </c>
      <c r="C8" s="158"/>
      <c r="D8" s="46">
        <v>309</v>
      </c>
      <c r="E8" s="46">
        <v>286</v>
      </c>
      <c r="F8" s="33">
        <v>227</v>
      </c>
      <c r="G8" s="33">
        <v>138</v>
      </c>
      <c r="H8" s="33">
        <v>7</v>
      </c>
      <c r="I8" s="33">
        <v>7</v>
      </c>
      <c r="J8" s="126">
        <v>7</v>
      </c>
      <c r="K8" s="126">
        <v>7</v>
      </c>
      <c r="L8" s="126">
        <v>7</v>
      </c>
      <c r="M8" s="127">
        <f>M11</f>
        <v>88</v>
      </c>
      <c r="N8" s="127">
        <v>242</v>
      </c>
      <c r="O8" s="127">
        <f>O11</f>
        <v>285</v>
      </c>
      <c r="P8" s="127">
        <f>SUM(D8:O8)</f>
        <v>1610</v>
      </c>
    </row>
    <row r="9" spans="1:17" ht="15.75">
      <c r="A9" s="162"/>
      <c r="B9" s="57" t="s">
        <v>81</v>
      </c>
      <c r="C9" s="159"/>
      <c r="D9" s="46">
        <v>300</v>
      </c>
      <c r="E9" s="46">
        <v>277</v>
      </c>
      <c r="F9" s="46">
        <v>220</v>
      </c>
      <c r="G9" s="46">
        <v>134</v>
      </c>
      <c r="H9" s="46">
        <v>7</v>
      </c>
      <c r="I9" s="46">
        <v>7</v>
      </c>
      <c r="J9" s="127">
        <v>7</v>
      </c>
      <c r="K9" s="127">
        <v>7</v>
      </c>
      <c r="L9" s="127">
        <v>7</v>
      </c>
      <c r="M9" s="127">
        <f>M12+M14</f>
        <v>82.72</v>
      </c>
      <c r="N9" s="127">
        <f>N12+N14</f>
        <v>228.95000000000002</v>
      </c>
      <c r="O9" s="127">
        <f>O12+O14</f>
        <v>268.36</v>
      </c>
      <c r="P9" s="128">
        <f>SUM(D9:O9)</f>
        <v>1546.0300000000002</v>
      </c>
      <c r="Q9" s="67"/>
    </row>
    <row r="10" spans="1:16" ht="15.75">
      <c r="A10" s="163"/>
      <c r="B10" s="57" t="s">
        <v>23</v>
      </c>
      <c r="C10" s="160"/>
      <c r="D10" s="46">
        <v>0.2</v>
      </c>
      <c r="E10" s="46">
        <v>0.3</v>
      </c>
      <c r="F10" s="46">
        <v>0.3</v>
      </c>
      <c r="G10" s="46">
        <v>0.3</v>
      </c>
      <c r="H10" s="46">
        <v>0</v>
      </c>
      <c r="I10" s="46">
        <v>0</v>
      </c>
      <c r="J10" s="127">
        <v>0</v>
      </c>
      <c r="K10" s="127">
        <v>0</v>
      </c>
      <c r="L10" s="127">
        <v>0</v>
      </c>
      <c r="M10" s="127">
        <v>0.3</v>
      </c>
      <c r="N10" s="127">
        <v>0.3</v>
      </c>
      <c r="O10" s="127">
        <v>0.3</v>
      </c>
      <c r="P10" s="127">
        <f aca="true" t="shared" si="0" ref="P10:P21">SUM(D10:O10)</f>
        <v>2</v>
      </c>
    </row>
    <row r="11" spans="1:16" ht="15.75">
      <c r="A11" s="51"/>
      <c r="B11" s="57"/>
      <c r="C11" s="158" t="s">
        <v>26</v>
      </c>
      <c r="D11" s="46"/>
      <c r="E11" s="46"/>
      <c r="F11" s="46"/>
      <c r="G11" s="46"/>
      <c r="H11" s="46"/>
      <c r="I11" s="46"/>
      <c r="J11" s="127"/>
      <c r="K11" s="127"/>
      <c r="L11" s="127"/>
      <c r="M11" s="127">
        <v>88</v>
      </c>
      <c r="N11" s="127">
        <v>240</v>
      </c>
      <c r="O11" s="127">
        <v>285</v>
      </c>
      <c r="P11" s="127">
        <f>SUM(M11:O11)</f>
        <v>613</v>
      </c>
    </row>
    <row r="12" spans="1:17" ht="15.75">
      <c r="A12" s="51"/>
      <c r="B12" s="57" t="s">
        <v>81</v>
      </c>
      <c r="C12" s="159"/>
      <c r="D12" s="46">
        <v>300</v>
      </c>
      <c r="E12" s="46">
        <v>277</v>
      </c>
      <c r="F12" s="46">
        <v>220</v>
      </c>
      <c r="G12" s="46">
        <v>134</v>
      </c>
      <c r="H12" s="46">
        <v>7</v>
      </c>
      <c r="I12" s="46">
        <v>7</v>
      </c>
      <c r="J12" s="127"/>
      <c r="K12" s="127"/>
      <c r="L12" s="127"/>
      <c r="M12" s="127">
        <v>81.5</v>
      </c>
      <c r="N12" s="127">
        <v>225.9</v>
      </c>
      <c r="O12" s="127">
        <v>264.7</v>
      </c>
      <c r="P12" s="128">
        <f>SUM(M12:O12)</f>
        <v>572.0999999999999</v>
      </c>
      <c r="Q12">
        <f>P12*Q7</f>
        <v>812542.1879999998</v>
      </c>
    </row>
    <row r="13" spans="1:16" ht="15.75">
      <c r="A13" s="51"/>
      <c r="B13" s="57" t="s">
        <v>23</v>
      </c>
      <c r="C13" s="160"/>
      <c r="D13" s="46">
        <v>0.2</v>
      </c>
      <c r="E13" s="46">
        <v>0.3</v>
      </c>
      <c r="F13" s="46">
        <v>0.3</v>
      </c>
      <c r="G13" s="46">
        <v>0.3</v>
      </c>
      <c r="H13" s="46">
        <v>0</v>
      </c>
      <c r="I13" s="46">
        <v>0</v>
      </c>
      <c r="J13" s="127"/>
      <c r="K13" s="127"/>
      <c r="L13" s="127"/>
      <c r="M13" s="127">
        <f>M10</f>
        <v>0.3</v>
      </c>
      <c r="N13" s="127">
        <f>N10</f>
        <v>0.3</v>
      </c>
      <c r="O13" s="127">
        <f>O10</f>
        <v>0.3</v>
      </c>
      <c r="P13" s="127">
        <f>P10</f>
        <v>2</v>
      </c>
    </row>
    <row r="14" spans="1:18" ht="33" customHeight="1">
      <c r="A14" s="51"/>
      <c r="B14" s="57" t="s">
        <v>81</v>
      </c>
      <c r="C14" s="58" t="s">
        <v>86</v>
      </c>
      <c r="D14" s="46"/>
      <c r="E14" s="46"/>
      <c r="F14" s="46"/>
      <c r="G14" s="46"/>
      <c r="H14" s="46"/>
      <c r="I14" s="46"/>
      <c r="J14" s="127"/>
      <c r="K14" s="127"/>
      <c r="L14" s="127"/>
      <c r="M14" s="128">
        <v>1.22</v>
      </c>
      <c r="N14" s="128">
        <v>3.05</v>
      </c>
      <c r="O14" s="128">
        <v>3.66</v>
      </c>
      <c r="P14" s="128">
        <f>SUM(M14:O14)</f>
        <v>7.93</v>
      </c>
      <c r="Q14" s="121"/>
      <c r="R14">
        <f>P14*R7</f>
        <v>9557.7911</v>
      </c>
    </row>
    <row r="15" spans="1:16" ht="34.5" customHeight="1">
      <c r="A15" s="161" t="s">
        <v>21</v>
      </c>
      <c r="B15" s="125" t="s">
        <v>22</v>
      </c>
      <c r="C15" s="158" t="s">
        <v>86</v>
      </c>
      <c r="D15" s="46">
        <v>236</v>
      </c>
      <c r="E15" s="46">
        <v>243</v>
      </c>
      <c r="F15" s="46">
        <v>244</v>
      </c>
      <c r="G15" s="46">
        <v>84</v>
      </c>
      <c r="H15" s="46">
        <v>1</v>
      </c>
      <c r="I15" s="46">
        <v>1</v>
      </c>
      <c r="J15" s="127"/>
      <c r="K15" s="127"/>
      <c r="L15" s="127"/>
      <c r="M15" s="127">
        <v>79</v>
      </c>
      <c r="N15" s="127">
        <v>238</v>
      </c>
      <c r="O15" s="127">
        <v>239</v>
      </c>
      <c r="P15" s="127">
        <f t="shared" si="0"/>
        <v>1365</v>
      </c>
    </row>
    <row r="16" spans="1:18" ht="15.75">
      <c r="A16" s="162"/>
      <c r="B16" s="57" t="s">
        <v>81</v>
      </c>
      <c r="C16" s="159"/>
      <c r="D16" s="110">
        <v>210</v>
      </c>
      <c r="E16" s="110">
        <v>220</v>
      </c>
      <c r="F16" s="110">
        <v>225</v>
      </c>
      <c r="G16" s="110">
        <v>75</v>
      </c>
      <c r="H16" s="110"/>
      <c r="I16" s="110"/>
      <c r="J16" s="129"/>
      <c r="K16" s="129"/>
      <c r="L16" s="129"/>
      <c r="M16" s="129">
        <v>58.8</v>
      </c>
      <c r="N16" s="129">
        <v>191.1</v>
      </c>
      <c r="O16" s="130">
        <v>184</v>
      </c>
      <c r="P16" s="131">
        <f t="shared" si="0"/>
        <v>1163.9</v>
      </c>
      <c r="Q16" s="67"/>
      <c r="R16">
        <f>P16*R7</f>
        <v>1402813.753</v>
      </c>
    </row>
    <row r="17" spans="1:16" ht="15.75">
      <c r="A17" s="163"/>
      <c r="B17" s="57" t="s">
        <v>23</v>
      </c>
      <c r="C17" s="160"/>
      <c r="D17" s="112">
        <v>18</v>
      </c>
      <c r="E17" s="112">
        <v>16</v>
      </c>
      <c r="F17" s="112">
        <v>14</v>
      </c>
      <c r="G17" s="112">
        <v>7</v>
      </c>
      <c r="H17" s="112">
        <v>0.5</v>
      </c>
      <c r="I17" s="112">
        <v>0.5</v>
      </c>
      <c r="J17" s="132"/>
      <c r="K17" s="132"/>
      <c r="L17" s="132"/>
      <c r="M17" s="132">
        <v>4</v>
      </c>
      <c r="N17" s="132">
        <v>13</v>
      </c>
      <c r="O17" s="132">
        <v>14</v>
      </c>
      <c r="P17" s="131">
        <f t="shared" si="0"/>
        <v>87</v>
      </c>
    </row>
    <row r="18" spans="1:16" ht="31.5">
      <c r="A18" s="161" t="s">
        <v>24</v>
      </c>
      <c r="B18" s="125" t="s">
        <v>25</v>
      </c>
      <c r="C18" s="158" t="s">
        <v>26</v>
      </c>
      <c r="D18" s="46">
        <v>577</v>
      </c>
      <c r="E18" s="46">
        <v>520</v>
      </c>
      <c r="F18" s="46">
        <v>354</v>
      </c>
      <c r="G18" s="46">
        <v>268</v>
      </c>
      <c r="H18" s="46">
        <v>121</v>
      </c>
      <c r="I18" s="46">
        <v>25</v>
      </c>
      <c r="J18" s="127">
        <v>4</v>
      </c>
      <c r="K18" s="127">
        <v>4</v>
      </c>
      <c r="L18" s="127">
        <v>4</v>
      </c>
      <c r="M18" s="127">
        <v>250</v>
      </c>
      <c r="N18" s="127">
        <v>522</v>
      </c>
      <c r="O18" s="127">
        <v>570</v>
      </c>
      <c r="P18" s="127">
        <f>SUM(D18:O18)</f>
        <v>3219</v>
      </c>
    </row>
    <row r="19" spans="1:17" ht="15.75">
      <c r="A19" s="163"/>
      <c r="B19" s="57" t="s">
        <v>81</v>
      </c>
      <c r="C19" s="159"/>
      <c r="D19" s="46">
        <v>557</v>
      </c>
      <c r="E19" s="46">
        <v>500</v>
      </c>
      <c r="F19" s="46">
        <v>343</v>
      </c>
      <c r="G19" s="46">
        <v>258</v>
      </c>
      <c r="H19" s="46">
        <v>116</v>
      </c>
      <c r="I19" s="46">
        <v>24</v>
      </c>
      <c r="J19" s="127">
        <v>4</v>
      </c>
      <c r="K19" s="127">
        <v>3.9</v>
      </c>
      <c r="L19" s="127">
        <v>3.9</v>
      </c>
      <c r="M19" s="127">
        <v>178.6</v>
      </c>
      <c r="N19" s="127">
        <v>373.6</v>
      </c>
      <c r="O19" s="127">
        <v>418.6</v>
      </c>
      <c r="P19" s="128">
        <f t="shared" si="0"/>
        <v>2780.6</v>
      </c>
      <c r="Q19" s="123">
        <f>P19*Q7</f>
        <v>3949230.568</v>
      </c>
    </row>
    <row r="20" spans="1:16" ht="15.75">
      <c r="A20" s="51"/>
      <c r="B20" s="57" t="s">
        <v>23</v>
      </c>
      <c r="C20" s="160"/>
      <c r="D20" s="46">
        <v>1</v>
      </c>
      <c r="E20" s="46">
        <v>2</v>
      </c>
      <c r="F20" s="46">
        <v>1</v>
      </c>
      <c r="G20" s="46">
        <v>2</v>
      </c>
      <c r="H20" s="46">
        <v>2</v>
      </c>
      <c r="I20" s="46"/>
      <c r="J20" s="127"/>
      <c r="K20" s="127"/>
      <c r="L20" s="127"/>
      <c r="M20" s="127">
        <v>1</v>
      </c>
      <c r="N20" s="127">
        <v>2</v>
      </c>
      <c r="O20" s="127">
        <v>2</v>
      </c>
      <c r="P20" s="127">
        <f t="shared" si="0"/>
        <v>13</v>
      </c>
    </row>
    <row r="21" spans="1:16" ht="47.25">
      <c r="A21" s="50"/>
      <c r="B21" s="136" t="s">
        <v>55</v>
      </c>
      <c r="C21" s="57" t="s">
        <v>27</v>
      </c>
      <c r="D21" s="46">
        <v>485</v>
      </c>
      <c r="E21" s="46">
        <v>401</v>
      </c>
      <c r="F21" s="46">
        <v>378</v>
      </c>
      <c r="G21" s="46">
        <v>310</v>
      </c>
      <c r="H21" s="46">
        <v>25</v>
      </c>
      <c r="I21" s="46">
        <v>5</v>
      </c>
      <c r="J21" s="127">
        <v>5</v>
      </c>
      <c r="K21" s="127">
        <v>5</v>
      </c>
      <c r="L21" s="127">
        <v>10</v>
      </c>
      <c r="M21" s="127">
        <v>100</v>
      </c>
      <c r="N21" s="127">
        <v>467</v>
      </c>
      <c r="O21" s="127">
        <v>540</v>
      </c>
      <c r="P21" s="127">
        <f t="shared" si="0"/>
        <v>2731</v>
      </c>
    </row>
    <row r="22" spans="1:16" ht="15.75">
      <c r="A22" s="51"/>
      <c r="B22" s="57" t="s">
        <v>81</v>
      </c>
      <c r="C22" s="57"/>
      <c r="D22" s="46">
        <f>D23+D24</f>
        <v>460</v>
      </c>
      <c r="E22" s="46">
        <f aca="true" t="shared" si="1" ref="E22:P22">E23+E24</f>
        <v>381</v>
      </c>
      <c r="F22" s="46">
        <f t="shared" si="1"/>
        <v>355</v>
      </c>
      <c r="G22" s="46">
        <f t="shared" si="1"/>
        <v>280</v>
      </c>
      <c r="H22" s="46">
        <f t="shared" si="1"/>
        <v>25</v>
      </c>
      <c r="I22" s="46">
        <f t="shared" si="1"/>
        <v>5</v>
      </c>
      <c r="J22" s="127">
        <f t="shared" si="1"/>
        <v>5</v>
      </c>
      <c r="K22" s="127">
        <f t="shared" si="1"/>
        <v>5</v>
      </c>
      <c r="L22" s="127">
        <f t="shared" si="1"/>
        <v>10</v>
      </c>
      <c r="M22" s="127">
        <f t="shared" si="1"/>
        <v>95.30000000000001</v>
      </c>
      <c r="N22" s="127">
        <f t="shared" si="1"/>
        <v>432.20000000000005</v>
      </c>
      <c r="O22" s="127">
        <f t="shared" si="1"/>
        <v>493.79999999999995</v>
      </c>
      <c r="P22" s="127">
        <f t="shared" si="1"/>
        <v>2547.2999999999997</v>
      </c>
    </row>
    <row r="23" spans="1:17" ht="15.75">
      <c r="A23" s="51"/>
      <c r="B23" s="59"/>
      <c r="C23" s="57" t="s">
        <v>26</v>
      </c>
      <c r="D23" s="46">
        <v>400</v>
      </c>
      <c r="E23" s="46">
        <v>306</v>
      </c>
      <c r="F23" s="46">
        <v>300</v>
      </c>
      <c r="G23" s="46">
        <v>250</v>
      </c>
      <c r="H23" s="46">
        <v>20</v>
      </c>
      <c r="I23" s="46">
        <v>5</v>
      </c>
      <c r="J23" s="127">
        <v>5</v>
      </c>
      <c r="K23" s="127">
        <v>5</v>
      </c>
      <c r="L23" s="128">
        <v>5</v>
      </c>
      <c r="M23" s="127">
        <v>75.4</v>
      </c>
      <c r="N23" s="127">
        <v>367.6</v>
      </c>
      <c r="O23" s="127">
        <v>424.2</v>
      </c>
      <c r="P23" s="127">
        <f>SUM(D23:O23)</f>
        <v>2163.2</v>
      </c>
      <c r="Q23" s="67">
        <f>P23*Q7</f>
        <v>3072349.6959999995</v>
      </c>
    </row>
    <row r="24" spans="1:18" ht="32.25" customHeight="1">
      <c r="A24" s="52" t="s">
        <v>28</v>
      </c>
      <c r="B24" s="60"/>
      <c r="C24" s="57" t="s">
        <v>86</v>
      </c>
      <c r="D24" s="46">
        <v>60</v>
      </c>
      <c r="E24" s="72">
        <v>75</v>
      </c>
      <c r="F24" s="72">
        <v>55</v>
      </c>
      <c r="G24" s="72">
        <v>30</v>
      </c>
      <c r="H24" s="72">
        <v>5</v>
      </c>
      <c r="I24" s="72"/>
      <c r="J24" s="127"/>
      <c r="K24" s="127"/>
      <c r="L24" s="127">
        <v>5</v>
      </c>
      <c r="M24" s="133">
        <v>19.9</v>
      </c>
      <c r="N24" s="133">
        <v>64.6</v>
      </c>
      <c r="O24" s="133">
        <v>69.6</v>
      </c>
      <c r="P24" s="127">
        <f>SUM(D24:O24)</f>
        <v>384.1</v>
      </c>
      <c r="Q24" s="67"/>
      <c r="R24">
        <f>P24*R7</f>
        <v>462944.207</v>
      </c>
    </row>
    <row r="25" spans="1:16" ht="15.75">
      <c r="A25" s="50"/>
      <c r="B25" s="61" t="s">
        <v>29</v>
      </c>
      <c r="C25" s="62" t="s">
        <v>27</v>
      </c>
      <c r="D25" s="45">
        <f aca="true" t="shared" si="2" ref="D25:P25">D8+D15+D18+D21</f>
        <v>1607</v>
      </c>
      <c r="E25" s="45">
        <f t="shared" si="2"/>
        <v>1450</v>
      </c>
      <c r="F25" s="45">
        <f t="shared" si="2"/>
        <v>1203</v>
      </c>
      <c r="G25" s="45">
        <f t="shared" si="2"/>
        <v>800</v>
      </c>
      <c r="H25" s="45">
        <f t="shared" si="2"/>
        <v>154</v>
      </c>
      <c r="I25" s="45">
        <f t="shared" si="2"/>
        <v>38</v>
      </c>
      <c r="J25" s="134">
        <f t="shared" si="2"/>
        <v>16</v>
      </c>
      <c r="K25" s="134">
        <f t="shared" si="2"/>
        <v>16</v>
      </c>
      <c r="L25" s="134">
        <f t="shared" si="2"/>
        <v>21</v>
      </c>
      <c r="M25" s="134">
        <f t="shared" si="2"/>
        <v>517</v>
      </c>
      <c r="N25" s="134">
        <f t="shared" si="2"/>
        <v>1469</v>
      </c>
      <c r="O25" s="134">
        <f t="shared" si="2"/>
        <v>1634</v>
      </c>
      <c r="P25" s="134">
        <f t="shared" si="2"/>
        <v>8925</v>
      </c>
    </row>
    <row r="26" spans="1:18" ht="15.75">
      <c r="A26" s="51"/>
      <c r="B26" s="62" t="s">
        <v>83</v>
      </c>
      <c r="C26" s="62"/>
      <c r="D26" s="45">
        <f>D27+D28</f>
        <v>1527</v>
      </c>
      <c r="E26" s="45">
        <f aca="true" t="shared" si="3" ref="E26:P26">E27+E28</f>
        <v>1378</v>
      </c>
      <c r="F26" s="45">
        <f t="shared" si="3"/>
        <v>1143</v>
      </c>
      <c r="G26" s="45">
        <f t="shared" si="3"/>
        <v>747</v>
      </c>
      <c r="H26" s="45">
        <f t="shared" si="3"/>
        <v>148</v>
      </c>
      <c r="I26" s="45">
        <f t="shared" si="3"/>
        <v>36</v>
      </c>
      <c r="J26" s="134">
        <f t="shared" si="3"/>
        <v>9</v>
      </c>
      <c r="K26" s="134">
        <f t="shared" si="3"/>
        <v>8.9</v>
      </c>
      <c r="L26" s="134">
        <f t="shared" si="3"/>
        <v>13.9</v>
      </c>
      <c r="M26" s="134">
        <f t="shared" si="3"/>
        <v>415.41999999999996</v>
      </c>
      <c r="N26" s="134">
        <f t="shared" si="3"/>
        <v>1225.85</v>
      </c>
      <c r="O26" s="134">
        <f t="shared" si="3"/>
        <v>1364.76</v>
      </c>
      <c r="P26" s="134">
        <f t="shared" si="3"/>
        <v>8016.830000000001</v>
      </c>
      <c r="R26" s="122"/>
    </row>
    <row r="27" spans="1:17" ht="21" customHeight="1">
      <c r="A27" s="37"/>
      <c r="B27" s="62"/>
      <c r="C27" s="62" t="s">
        <v>26</v>
      </c>
      <c r="D27" s="45">
        <f>D12+D19+D23</f>
        <v>1257</v>
      </c>
      <c r="E27" s="45">
        <f aca="true" t="shared" si="4" ref="E27:O27">E12+E19+E23</f>
        <v>1083</v>
      </c>
      <c r="F27" s="45">
        <f t="shared" si="4"/>
        <v>863</v>
      </c>
      <c r="G27" s="45">
        <f t="shared" si="4"/>
        <v>642</v>
      </c>
      <c r="H27" s="45">
        <f t="shared" si="4"/>
        <v>143</v>
      </c>
      <c r="I27" s="45">
        <f t="shared" si="4"/>
        <v>36</v>
      </c>
      <c r="J27" s="45">
        <f t="shared" si="4"/>
        <v>9</v>
      </c>
      <c r="K27" s="45">
        <f t="shared" si="4"/>
        <v>8.9</v>
      </c>
      <c r="L27" s="45">
        <f t="shared" si="4"/>
        <v>8.9</v>
      </c>
      <c r="M27" s="45">
        <f t="shared" si="4"/>
        <v>335.5</v>
      </c>
      <c r="N27" s="45">
        <f t="shared" si="4"/>
        <v>967.1</v>
      </c>
      <c r="O27" s="45">
        <f t="shared" si="4"/>
        <v>1107.5</v>
      </c>
      <c r="P27" s="134">
        <f>SUM(D27:O27)</f>
        <v>6460.900000000001</v>
      </c>
      <c r="Q27" s="137">
        <f>P27*Q7</f>
        <v>9176287.052000001</v>
      </c>
    </row>
    <row r="28" spans="1:18" ht="36" customHeight="1">
      <c r="A28" s="38"/>
      <c r="B28" s="62"/>
      <c r="C28" s="62" t="s">
        <v>86</v>
      </c>
      <c r="D28" s="105">
        <f>D16+D24+D14</f>
        <v>270</v>
      </c>
      <c r="E28" s="105">
        <f aca="true" t="shared" si="5" ref="E28:P28">E16+E24+E14</f>
        <v>295</v>
      </c>
      <c r="F28" s="105">
        <f t="shared" si="5"/>
        <v>280</v>
      </c>
      <c r="G28" s="105">
        <f t="shared" si="5"/>
        <v>105</v>
      </c>
      <c r="H28" s="105">
        <f t="shared" si="5"/>
        <v>5</v>
      </c>
      <c r="I28" s="105">
        <f t="shared" si="5"/>
        <v>0</v>
      </c>
      <c r="J28" s="105">
        <f t="shared" si="5"/>
        <v>0</v>
      </c>
      <c r="K28" s="105">
        <f t="shared" si="5"/>
        <v>0</v>
      </c>
      <c r="L28" s="105">
        <f t="shared" si="5"/>
        <v>5</v>
      </c>
      <c r="M28" s="105">
        <f t="shared" si="5"/>
        <v>79.91999999999999</v>
      </c>
      <c r="N28" s="105">
        <f t="shared" si="5"/>
        <v>258.75</v>
      </c>
      <c r="O28" s="105">
        <f t="shared" si="5"/>
        <v>257.26</v>
      </c>
      <c r="P28" s="105">
        <f t="shared" si="5"/>
        <v>1555.93</v>
      </c>
      <c r="R28" s="138">
        <f>P28*R7</f>
        <v>1875315.7511</v>
      </c>
    </row>
    <row r="29" spans="1:16" ht="15.75">
      <c r="A29" s="37"/>
      <c r="B29" s="62" t="s">
        <v>49</v>
      </c>
      <c r="C29" s="62"/>
      <c r="D29" s="45">
        <f>D10+D17+D20+D13</f>
        <v>19.4</v>
      </c>
      <c r="E29" s="45">
        <f aca="true" t="shared" si="6" ref="E29:P29">E10+E17+E20+E13</f>
        <v>18.6</v>
      </c>
      <c r="F29" s="45">
        <f t="shared" si="6"/>
        <v>15.600000000000001</v>
      </c>
      <c r="G29" s="45">
        <f t="shared" si="6"/>
        <v>9.600000000000001</v>
      </c>
      <c r="H29" s="45">
        <f t="shared" si="6"/>
        <v>2.5</v>
      </c>
      <c r="I29" s="45">
        <f t="shared" si="6"/>
        <v>0.5</v>
      </c>
      <c r="J29" s="45">
        <f t="shared" si="6"/>
        <v>0</v>
      </c>
      <c r="K29" s="45">
        <f t="shared" si="6"/>
        <v>0</v>
      </c>
      <c r="L29" s="45">
        <f t="shared" si="6"/>
        <v>0</v>
      </c>
      <c r="M29" s="45">
        <f t="shared" si="6"/>
        <v>5.6</v>
      </c>
      <c r="N29" s="45">
        <f t="shared" si="6"/>
        <v>15.600000000000001</v>
      </c>
      <c r="O29" s="45">
        <f t="shared" si="6"/>
        <v>16.6</v>
      </c>
      <c r="P29" s="45">
        <f t="shared" si="6"/>
        <v>104</v>
      </c>
    </row>
    <row r="30" spans="1:16" ht="15.75">
      <c r="A30" s="37"/>
      <c r="B30" s="62"/>
      <c r="C30" s="62"/>
      <c r="D30" s="41"/>
      <c r="E30" s="41"/>
      <c r="F30" s="41"/>
      <c r="G30" s="41"/>
      <c r="H30" s="41"/>
      <c r="I30" s="41"/>
      <c r="J30" s="135"/>
      <c r="K30" s="135"/>
      <c r="L30" s="135"/>
      <c r="M30" s="166" t="s">
        <v>50</v>
      </c>
      <c r="N30" s="167"/>
      <c r="O30" s="167"/>
      <c r="P30" s="168"/>
    </row>
    <row r="31" spans="1:16" ht="52.5">
      <c r="A31" s="33" t="s">
        <v>52</v>
      </c>
      <c r="B31" s="57" t="s">
        <v>4</v>
      </c>
      <c r="C31" s="57" t="s">
        <v>5</v>
      </c>
      <c r="D31" s="47" t="s">
        <v>6</v>
      </c>
      <c r="E31" s="47" t="s">
        <v>7</v>
      </c>
      <c r="F31" s="47" t="s">
        <v>8</v>
      </c>
      <c r="G31" s="47" t="s">
        <v>9</v>
      </c>
      <c r="H31" s="47" t="s">
        <v>10</v>
      </c>
      <c r="I31" s="47" t="s">
        <v>11</v>
      </c>
      <c r="J31" s="47" t="s">
        <v>12</v>
      </c>
      <c r="K31" s="47" t="s">
        <v>13</v>
      </c>
      <c r="L31" s="47" t="s">
        <v>14</v>
      </c>
      <c r="M31" s="47" t="s">
        <v>15</v>
      </c>
      <c r="N31" s="47" t="s">
        <v>16</v>
      </c>
      <c r="O31" s="47" t="s">
        <v>17</v>
      </c>
      <c r="P31" s="47" t="s">
        <v>93</v>
      </c>
    </row>
    <row r="32" spans="1:16" ht="46.5" customHeight="1">
      <c r="A32" s="161" t="s">
        <v>30</v>
      </c>
      <c r="B32" s="125" t="s">
        <v>87</v>
      </c>
      <c r="C32" s="57"/>
      <c r="D32" s="46">
        <v>290.3</v>
      </c>
      <c r="E32" s="46">
        <v>261.3</v>
      </c>
      <c r="F32" s="46">
        <v>207.3</v>
      </c>
      <c r="G32" s="46">
        <v>160.3</v>
      </c>
      <c r="H32" s="46">
        <v>31.3</v>
      </c>
      <c r="I32" s="46">
        <v>10.3</v>
      </c>
      <c r="J32" s="46">
        <v>15</v>
      </c>
      <c r="K32" s="46">
        <v>10.2</v>
      </c>
      <c r="L32" s="46">
        <v>13.2</v>
      </c>
      <c r="M32" s="46">
        <v>146.2</v>
      </c>
      <c r="N32" s="46">
        <v>218.3</v>
      </c>
      <c r="O32" s="46">
        <v>287.3</v>
      </c>
      <c r="P32" s="46">
        <f>SUM(D32:O32)</f>
        <v>1651</v>
      </c>
    </row>
    <row r="33" spans="1:16" ht="21" customHeight="1">
      <c r="A33" s="162"/>
      <c r="B33" s="57" t="s">
        <v>81</v>
      </c>
      <c r="C33" s="57"/>
      <c r="D33" s="46">
        <f>D34+D35</f>
        <v>284</v>
      </c>
      <c r="E33" s="46">
        <f aca="true" t="shared" si="7" ref="E33:P33">E34+E35</f>
        <v>254</v>
      </c>
      <c r="F33" s="46">
        <f t="shared" si="7"/>
        <v>199</v>
      </c>
      <c r="G33" s="46">
        <f t="shared" si="7"/>
        <v>152</v>
      </c>
      <c r="H33" s="46">
        <f t="shared" si="7"/>
        <v>31</v>
      </c>
      <c r="I33" s="46">
        <f t="shared" si="7"/>
        <v>11</v>
      </c>
      <c r="J33" s="46">
        <f t="shared" si="7"/>
        <v>16</v>
      </c>
      <c r="K33" s="46">
        <f t="shared" si="7"/>
        <v>11</v>
      </c>
      <c r="L33" s="46">
        <f t="shared" si="7"/>
        <v>14</v>
      </c>
      <c r="M33" s="46">
        <f t="shared" si="7"/>
        <v>151</v>
      </c>
      <c r="N33" s="46">
        <f t="shared" si="7"/>
        <v>215</v>
      </c>
      <c r="O33" s="46">
        <f t="shared" si="7"/>
        <v>278</v>
      </c>
      <c r="P33" s="46">
        <f t="shared" si="7"/>
        <v>1616</v>
      </c>
    </row>
    <row r="34" spans="1:17" ht="15.75">
      <c r="A34" s="162"/>
      <c r="C34" s="57" t="s">
        <v>26</v>
      </c>
      <c r="D34" s="72">
        <v>270</v>
      </c>
      <c r="E34" s="72">
        <v>240</v>
      </c>
      <c r="F34" s="72">
        <v>190</v>
      </c>
      <c r="G34" s="72">
        <v>150</v>
      </c>
      <c r="H34" s="72">
        <v>30</v>
      </c>
      <c r="I34" s="72">
        <v>10</v>
      </c>
      <c r="J34" s="72">
        <v>15</v>
      </c>
      <c r="K34" s="72">
        <v>10</v>
      </c>
      <c r="L34" s="72">
        <v>13</v>
      </c>
      <c r="M34" s="72">
        <v>135</v>
      </c>
      <c r="N34" s="72">
        <v>197</v>
      </c>
      <c r="O34" s="72">
        <v>260</v>
      </c>
      <c r="P34" s="56">
        <f>SUM(D34:O34)</f>
        <v>1520</v>
      </c>
      <c r="Q34" s="67">
        <f>P34*Q7</f>
        <v>2158825.6</v>
      </c>
    </row>
    <row r="35" spans="1:18" ht="31.5">
      <c r="A35" s="162"/>
      <c r="C35" s="57" t="s">
        <v>86</v>
      </c>
      <c r="D35" s="56">
        <v>14</v>
      </c>
      <c r="E35" s="56">
        <v>14</v>
      </c>
      <c r="F35" s="56">
        <v>9</v>
      </c>
      <c r="G35" s="56">
        <v>2</v>
      </c>
      <c r="H35" s="56">
        <v>1</v>
      </c>
      <c r="I35" s="56">
        <v>1</v>
      </c>
      <c r="J35" s="56">
        <v>1</v>
      </c>
      <c r="K35" s="56">
        <v>1</v>
      </c>
      <c r="L35" s="56">
        <v>1</v>
      </c>
      <c r="M35" s="56">
        <v>16</v>
      </c>
      <c r="N35" s="56">
        <v>18</v>
      </c>
      <c r="O35" s="56">
        <v>18</v>
      </c>
      <c r="P35" s="56">
        <f>SUM(D35:O35)</f>
        <v>96</v>
      </c>
      <c r="R35">
        <f>P35*R7</f>
        <v>115705.92</v>
      </c>
    </row>
    <row r="36" spans="1:16" ht="15.75">
      <c r="A36" s="163"/>
      <c r="B36" s="57" t="s">
        <v>23</v>
      </c>
      <c r="C36" s="57"/>
      <c r="D36" s="56">
        <v>0.5</v>
      </c>
      <c r="E36" s="56">
        <v>0.6</v>
      </c>
      <c r="F36" s="56">
        <v>0.3</v>
      </c>
      <c r="G36" s="56">
        <v>0.2</v>
      </c>
      <c r="H36" s="56">
        <v>0.2</v>
      </c>
      <c r="I36" s="56">
        <v>0</v>
      </c>
      <c r="J36" s="56">
        <v>0</v>
      </c>
      <c r="K36" s="56">
        <v>0</v>
      </c>
      <c r="L36" s="56">
        <v>0.3</v>
      </c>
      <c r="M36" s="56">
        <v>0.2</v>
      </c>
      <c r="N36" s="56">
        <v>0.3</v>
      </c>
      <c r="O36" s="56">
        <v>0.4</v>
      </c>
      <c r="P36" s="56">
        <f>SUM(D36:O36)</f>
        <v>3</v>
      </c>
    </row>
    <row r="37" spans="1:16" ht="31.5" customHeight="1">
      <c r="A37" s="51"/>
      <c r="B37" s="125" t="s">
        <v>58</v>
      </c>
      <c r="C37" s="118"/>
      <c r="D37" s="113">
        <v>67</v>
      </c>
      <c r="E37" s="113">
        <v>79</v>
      </c>
      <c r="F37" s="113">
        <v>67</v>
      </c>
      <c r="G37" s="113">
        <v>26</v>
      </c>
      <c r="H37" s="113"/>
      <c r="I37" s="113"/>
      <c r="J37" s="113"/>
      <c r="K37" s="113"/>
      <c r="L37" s="113"/>
      <c r="M37" s="113"/>
      <c r="N37" s="113"/>
      <c r="O37" s="113"/>
      <c r="P37" s="46">
        <f aca="true" t="shared" si="8" ref="P37:P42">SUM(D37:G37)</f>
        <v>239</v>
      </c>
    </row>
    <row r="38" spans="1:16" ht="15.75">
      <c r="A38" s="51"/>
      <c r="B38" s="57" t="s">
        <v>81</v>
      </c>
      <c r="C38" s="118"/>
      <c r="D38" s="113">
        <v>50</v>
      </c>
      <c r="E38" s="113">
        <v>55</v>
      </c>
      <c r="F38" s="113">
        <v>47</v>
      </c>
      <c r="G38" s="113">
        <v>24</v>
      </c>
      <c r="H38" s="113"/>
      <c r="I38" s="113"/>
      <c r="J38" s="113"/>
      <c r="K38" s="113"/>
      <c r="L38" s="113"/>
      <c r="M38" s="113"/>
      <c r="N38" s="113"/>
      <c r="O38" s="113"/>
      <c r="P38" s="124">
        <f t="shared" si="8"/>
        <v>176</v>
      </c>
    </row>
    <row r="39" spans="1:17" ht="15.75">
      <c r="A39" s="51"/>
      <c r="B39" s="57"/>
      <c r="C39" s="57" t="s">
        <v>26</v>
      </c>
      <c r="D39" s="113"/>
      <c r="E39" s="113"/>
      <c r="F39" s="113">
        <v>2</v>
      </c>
      <c r="G39" s="113">
        <v>4</v>
      </c>
      <c r="H39" s="113"/>
      <c r="I39" s="113"/>
      <c r="J39" s="113"/>
      <c r="K39" s="113"/>
      <c r="L39" s="113"/>
      <c r="M39" s="113"/>
      <c r="N39" s="113"/>
      <c r="O39" s="113"/>
      <c r="P39" s="46">
        <f t="shared" si="8"/>
        <v>6</v>
      </c>
      <c r="Q39">
        <f>P39*Q7</f>
        <v>8521.68</v>
      </c>
    </row>
    <row r="40" spans="1:16" ht="15.75" customHeight="1">
      <c r="A40" s="51" t="s">
        <v>80</v>
      </c>
      <c r="B40" s="57"/>
      <c r="C40" s="118" t="s">
        <v>86</v>
      </c>
      <c r="D40" s="113">
        <v>52</v>
      </c>
      <c r="E40" s="113">
        <v>64</v>
      </c>
      <c r="F40" s="113">
        <v>52</v>
      </c>
      <c r="G40" s="113">
        <v>22</v>
      </c>
      <c r="H40" s="113"/>
      <c r="I40" s="113"/>
      <c r="J40" s="113"/>
      <c r="K40" s="113"/>
      <c r="L40" s="113"/>
      <c r="M40" s="113"/>
      <c r="N40" s="113"/>
      <c r="O40" s="113"/>
      <c r="P40" s="46">
        <f t="shared" si="8"/>
        <v>190</v>
      </c>
    </row>
    <row r="41" spans="1:18" ht="15.75">
      <c r="A41" s="51"/>
      <c r="B41" s="57" t="s">
        <v>81</v>
      </c>
      <c r="C41" s="118"/>
      <c r="D41" s="113">
        <v>50</v>
      </c>
      <c r="E41" s="113">
        <v>55</v>
      </c>
      <c r="F41" s="113">
        <v>45</v>
      </c>
      <c r="G41" s="113">
        <v>20</v>
      </c>
      <c r="H41" s="113"/>
      <c r="I41" s="113"/>
      <c r="J41" s="113"/>
      <c r="K41" s="113"/>
      <c r="L41" s="113"/>
      <c r="M41" s="113"/>
      <c r="N41" s="113"/>
      <c r="O41" s="113"/>
      <c r="P41" s="46">
        <f t="shared" si="8"/>
        <v>170</v>
      </c>
      <c r="R41">
        <f>P41*R7</f>
        <v>204895.9</v>
      </c>
    </row>
    <row r="42" spans="1:16" ht="15.75">
      <c r="A42" s="51"/>
      <c r="B42" s="57" t="s">
        <v>23</v>
      </c>
      <c r="C42" s="118"/>
      <c r="D42" s="113">
        <v>1</v>
      </c>
      <c r="E42" s="113">
        <v>1</v>
      </c>
      <c r="F42" s="113">
        <v>1</v>
      </c>
      <c r="G42" s="113"/>
      <c r="H42" s="113"/>
      <c r="I42" s="113"/>
      <c r="J42" s="113"/>
      <c r="K42" s="113"/>
      <c r="L42" s="113"/>
      <c r="M42" s="113"/>
      <c r="N42" s="113"/>
      <c r="O42" s="113"/>
      <c r="P42" s="46">
        <f t="shared" si="8"/>
        <v>3</v>
      </c>
    </row>
    <row r="43" spans="1:16" ht="50.25" customHeight="1">
      <c r="A43" s="164" t="s">
        <v>31</v>
      </c>
      <c r="B43" s="125" t="s">
        <v>101</v>
      </c>
      <c r="C43" s="57"/>
      <c r="D43" s="113"/>
      <c r="E43" s="113"/>
      <c r="F43" s="113"/>
      <c r="G43" s="113"/>
      <c r="H43" s="113"/>
      <c r="I43" s="113"/>
      <c r="J43" s="113"/>
      <c r="K43" s="113"/>
      <c r="L43" s="113"/>
      <c r="M43" s="111">
        <f>M44+7+M48</f>
        <v>39.4</v>
      </c>
      <c r="N43" s="111">
        <f>N44+N48+4.3</f>
        <v>92.8</v>
      </c>
      <c r="O43" s="111">
        <f>O44+O48+7.9</f>
        <v>110.10000000000001</v>
      </c>
      <c r="P43" s="111">
        <f>SUM(M43:O43)</f>
        <v>242.3</v>
      </c>
    </row>
    <row r="44" spans="1:21" ht="15.75">
      <c r="A44" s="164"/>
      <c r="B44" s="57" t="s">
        <v>81</v>
      </c>
      <c r="C44" s="57"/>
      <c r="D44" s="113"/>
      <c r="E44" s="113"/>
      <c r="F44" s="113"/>
      <c r="G44" s="113"/>
      <c r="H44" s="113"/>
      <c r="I44" s="113"/>
      <c r="J44" s="113"/>
      <c r="K44" s="113"/>
      <c r="L44" s="113"/>
      <c r="M44" s="111">
        <f>M45+M47</f>
        <v>32.4</v>
      </c>
      <c r="N44" s="111">
        <f>N45+N47</f>
        <v>88.5</v>
      </c>
      <c r="O44" s="111">
        <f>O45+O47</f>
        <v>102.2</v>
      </c>
      <c r="P44" s="111">
        <f>P45+P47</f>
        <v>223.1</v>
      </c>
      <c r="T44" s="122">
        <f>Q45+R47</f>
        <v>280914.796</v>
      </c>
      <c r="U44" s="122"/>
    </row>
    <row r="45" spans="1:21" ht="15.75">
      <c r="A45" s="164"/>
      <c r="B45" s="57"/>
      <c r="C45" s="57" t="s">
        <v>26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1">
        <v>8.2</v>
      </c>
      <c r="N45" s="111">
        <v>23.5</v>
      </c>
      <c r="O45" s="111">
        <v>24.2</v>
      </c>
      <c r="P45" s="46">
        <f>SUM(M45:O45)</f>
        <v>55.9</v>
      </c>
      <c r="Q45">
        <f>P45*Q7</f>
        <v>79393.652</v>
      </c>
      <c r="T45" s="122"/>
      <c r="U45" s="122"/>
    </row>
    <row r="46" spans="1:21" ht="31.5">
      <c r="A46" s="164"/>
      <c r="B46" s="57"/>
      <c r="C46" s="118" t="s">
        <v>86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1">
        <v>32</v>
      </c>
      <c r="N46" s="111">
        <v>75</v>
      </c>
      <c r="O46" s="111">
        <v>88</v>
      </c>
      <c r="P46" s="46">
        <f>SUM(M46:O46)</f>
        <v>195</v>
      </c>
      <c r="T46" s="122"/>
      <c r="U46" s="122"/>
    </row>
    <row r="47" spans="1:21" ht="15.75">
      <c r="A47" s="164"/>
      <c r="B47" s="57" t="s">
        <v>81</v>
      </c>
      <c r="C47" s="118"/>
      <c r="D47" s="113"/>
      <c r="E47" s="113"/>
      <c r="F47" s="113"/>
      <c r="G47" s="113"/>
      <c r="H47" s="113"/>
      <c r="I47" s="113"/>
      <c r="J47" s="113"/>
      <c r="K47" s="113"/>
      <c r="L47" s="113"/>
      <c r="M47" s="111">
        <v>24.2</v>
      </c>
      <c r="N47" s="111">
        <v>65</v>
      </c>
      <c r="O47" s="111">
        <v>78</v>
      </c>
      <c r="P47" s="157">
        <f>SUM(M47:O47)</f>
        <v>167.2</v>
      </c>
      <c r="Q47" s="155">
        <v>167.2</v>
      </c>
      <c r="R47">
        <f>P47*R7</f>
        <v>201521.14399999997</v>
      </c>
      <c r="T47" s="122"/>
      <c r="U47" s="122"/>
    </row>
    <row r="48" spans="1:21" ht="15.75">
      <c r="A48" s="164"/>
      <c r="B48" s="57"/>
      <c r="C48" s="118"/>
      <c r="D48" s="113"/>
      <c r="E48" s="113"/>
      <c r="F48" s="113"/>
      <c r="G48" s="113"/>
      <c r="H48" s="113"/>
      <c r="I48" s="113"/>
      <c r="J48" s="113"/>
      <c r="K48" s="113"/>
      <c r="L48" s="113"/>
      <c r="M48" s="111"/>
      <c r="N48" s="111"/>
      <c r="O48" s="111"/>
      <c r="P48" s="46"/>
      <c r="T48" s="122"/>
      <c r="U48" s="122"/>
    </row>
    <row r="49" spans="1:21" ht="31.5">
      <c r="A49" s="161" t="s">
        <v>32</v>
      </c>
      <c r="B49" s="125" t="s">
        <v>91</v>
      </c>
      <c r="C49" s="158" t="s">
        <v>26</v>
      </c>
      <c r="D49" s="46">
        <f>D50+D51</f>
        <v>44</v>
      </c>
      <c r="E49" s="46">
        <f>E50+E51</f>
        <v>37</v>
      </c>
      <c r="F49" s="46">
        <f>F50+F51</f>
        <v>17</v>
      </c>
      <c r="G49" s="46">
        <f>G50+G51</f>
        <v>12</v>
      </c>
      <c r="H49" s="46"/>
      <c r="I49" s="46"/>
      <c r="J49" s="46"/>
      <c r="K49" s="46"/>
      <c r="L49" s="46"/>
      <c r="M49" s="46"/>
      <c r="N49" s="46"/>
      <c r="O49" s="46"/>
      <c r="P49" s="46">
        <f>SUM(D49:O49)</f>
        <v>110</v>
      </c>
      <c r="T49" s="122"/>
      <c r="U49" s="122"/>
    </row>
    <row r="50" spans="1:21" ht="15.75">
      <c r="A50" s="162"/>
      <c r="B50" s="57" t="s">
        <v>81</v>
      </c>
      <c r="C50" s="159"/>
      <c r="D50" s="46">
        <v>16</v>
      </c>
      <c r="E50" s="46">
        <v>13</v>
      </c>
      <c r="F50" s="46">
        <v>2</v>
      </c>
      <c r="G50" s="46">
        <v>2</v>
      </c>
      <c r="H50" s="46"/>
      <c r="I50" s="46"/>
      <c r="J50" s="46"/>
      <c r="K50" s="46"/>
      <c r="L50" s="46"/>
      <c r="M50" s="46"/>
      <c r="N50" s="46"/>
      <c r="O50" s="46"/>
      <c r="P50" s="46">
        <f>SUM(D50:O50)</f>
        <v>33</v>
      </c>
      <c r="Q50">
        <f>P50*Q7</f>
        <v>46869.24</v>
      </c>
      <c r="T50" s="122"/>
      <c r="U50" s="122"/>
    </row>
    <row r="51" spans="1:21" ht="15.75">
      <c r="A51" s="163"/>
      <c r="B51" s="57" t="s">
        <v>23</v>
      </c>
      <c r="C51" s="160"/>
      <c r="D51" s="43">
        <v>28</v>
      </c>
      <c r="E51" s="43">
        <v>24</v>
      </c>
      <c r="F51" s="43">
        <v>15</v>
      </c>
      <c r="G51" s="43">
        <v>10</v>
      </c>
      <c r="H51" s="43"/>
      <c r="I51" s="43"/>
      <c r="J51" s="43"/>
      <c r="K51" s="43"/>
      <c r="L51" s="43"/>
      <c r="M51" s="46"/>
      <c r="N51" s="46"/>
      <c r="O51" s="46"/>
      <c r="P51" s="46">
        <f>SUM(D51:O51)</f>
        <v>77</v>
      </c>
      <c r="T51" s="122"/>
      <c r="U51" s="122"/>
    </row>
    <row r="52" spans="1:21" ht="51" customHeight="1">
      <c r="A52" s="161" t="s">
        <v>51</v>
      </c>
      <c r="B52" s="125" t="s">
        <v>102</v>
      </c>
      <c r="C52" s="158" t="s">
        <v>26</v>
      </c>
      <c r="D52" s="43"/>
      <c r="E52" s="43"/>
      <c r="F52" s="43"/>
      <c r="G52" s="43"/>
      <c r="H52" s="43"/>
      <c r="I52" s="43"/>
      <c r="J52" s="43"/>
      <c r="K52" s="43">
        <f aca="true" t="shared" si="9" ref="K52:P52">K53</f>
        <v>0.1</v>
      </c>
      <c r="L52" s="43">
        <f t="shared" si="9"/>
        <v>0.1</v>
      </c>
      <c r="M52" s="43">
        <f t="shared" si="9"/>
        <v>29.1</v>
      </c>
      <c r="N52" s="43">
        <f t="shared" si="9"/>
        <v>82.5</v>
      </c>
      <c r="O52" s="43">
        <f t="shared" si="9"/>
        <v>104.3</v>
      </c>
      <c r="P52" s="43">
        <f t="shared" si="9"/>
        <v>216.1</v>
      </c>
      <c r="T52" s="122"/>
      <c r="U52" s="122"/>
    </row>
    <row r="53" spans="1:21" ht="15.75">
      <c r="A53" s="162"/>
      <c r="B53" s="57" t="s">
        <v>81</v>
      </c>
      <c r="C53" s="159"/>
      <c r="D53" s="43"/>
      <c r="E53" s="43"/>
      <c r="F53" s="43"/>
      <c r="G53" s="43"/>
      <c r="H53" s="43"/>
      <c r="I53" s="43"/>
      <c r="J53" s="43"/>
      <c r="K53" s="133">
        <v>0.1</v>
      </c>
      <c r="L53" s="133">
        <v>0.1</v>
      </c>
      <c r="M53" s="133">
        <v>29.1</v>
      </c>
      <c r="N53" s="133">
        <v>82.5</v>
      </c>
      <c r="O53" s="133">
        <v>104.3</v>
      </c>
      <c r="P53" s="46">
        <f>SUM(K53:O53)</f>
        <v>216.1</v>
      </c>
      <c r="Q53">
        <f>P53*Q7</f>
        <v>306922.508</v>
      </c>
      <c r="T53" s="122">
        <f>Q53+T44</f>
        <v>587837.304</v>
      </c>
      <c r="U53" s="122"/>
    </row>
    <row r="54" spans="1:16" ht="15.75">
      <c r="A54" s="162"/>
      <c r="B54" s="57"/>
      <c r="C54" s="160"/>
      <c r="D54" s="43"/>
      <c r="E54" s="43"/>
      <c r="F54" s="43"/>
      <c r="G54" s="43"/>
      <c r="H54" s="43"/>
      <c r="I54" s="43"/>
      <c r="J54" s="43"/>
      <c r="K54" s="43"/>
      <c r="L54" s="43"/>
      <c r="M54" s="46"/>
      <c r="N54" s="46"/>
      <c r="O54" s="46"/>
      <c r="P54" s="46"/>
    </row>
    <row r="55" spans="1:16" ht="15.75">
      <c r="A55" s="163"/>
      <c r="B55" s="57"/>
      <c r="C55" s="118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6"/>
    </row>
    <row r="56" spans="1:16" ht="31.5">
      <c r="A56" s="161" t="s">
        <v>53</v>
      </c>
      <c r="B56" s="63" t="s">
        <v>68</v>
      </c>
      <c r="C56" s="158" t="s">
        <v>26</v>
      </c>
      <c r="D56" s="72">
        <v>59</v>
      </c>
      <c r="E56" s="72">
        <v>59</v>
      </c>
      <c r="F56" s="72">
        <v>46</v>
      </c>
      <c r="G56" s="72">
        <v>19</v>
      </c>
      <c r="H56" s="72"/>
      <c r="I56" s="72"/>
      <c r="J56" s="72"/>
      <c r="K56" s="72"/>
      <c r="L56" s="72"/>
      <c r="M56" s="72">
        <v>24</v>
      </c>
      <c r="N56" s="72">
        <v>46</v>
      </c>
      <c r="O56" s="72">
        <v>67</v>
      </c>
      <c r="P56" s="72">
        <f aca="true" t="shared" si="10" ref="P56:P61">SUM(D56:O56)</f>
        <v>320</v>
      </c>
    </row>
    <row r="57" spans="1:17" ht="15.75">
      <c r="A57" s="162"/>
      <c r="B57" s="57" t="s">
        <v>81</v>
      </c>
      <c r="C57" s="159"/>
      <c r="D57" s="46">
        <v>40</v>
      </c>
      <c r="E57" s="46">
        <v>40</v>
      </c>
      <c r="F57" s="46">
        <v>30</v>
      </c>
      <c r="G57" s="46">
        <v>8</v>
      </c>
      <c r="H57" s="46"/>
      <c r="I57" s="46"/>
      <c r="J57" s="46"/>
      <c r="K57" s="46"/>
      <c r="L57" s="46"/>
      <c r="M57" s="46">
        <v>10</v>
      </c>
      <c r="N57" s="46">
        <v>28</v>
      </c>
      <c r="O57" s="46">
        <v>44</v>
      </c>
      <c r="P57" s="46">
        <f t="shared" si="10"/>
        <v>200</v>
      </c>
      <c r="Q57" s="67">
        <f>P57*Q7</f>
        <v>284056</v>
      </c>
    </row>
    <row r="58" spans="1:16" ht="15.75">
      <c r="A58" s="163"/>
      <c r="B58" s="57" t="s">
        <v>23</v>
      </c>
      <c r="C58" s="160"/>
      <c r="D58" s="46">
        <v>15</v>
      </c>
      <c r="E58" s="46">
        <v>15</v>
      </c>
      <c r="F58" s="46">
        <v>12</v>
      </c>
      <c r="G58" s="46">
        <v>7</v>
      </c>
      <c r="H58" s="46"/>
      <c r="I58" s="46"/>
      <c r="J58" s="46"/>
      <c r="K58" s="46"/>
      <c r="L58" s="46"/>
      <c r="M58" s="46">
        <v>10</v>
      </c>
      <c r="N58" s="46">
        <v>14</v>
      </c>
      <c r="O58" s="46">
        <v>17</v>
      </c>
      <c r="P58" s="46">
        <f t="shared" si="10"/>
        <v>90</v>
      </c>
    </row>
    <row r="59" spans="1:18" ht="33" customHeight="1">
      <c r="A59" s="53" t="s">
        <v>54</v>
      </c>
      <c r="B59" s="57" t="s">
        <v>35</v>
      </c>
      <c r="C59" s="158" t="s">
        <v>88</v>
      </c>
      <c r="D59" s="43">
        <v>1</v>
      </c>
      <c r="E59" s="43">
        <v>1</v>
      </c>
      <c r="F59" s="43">
        <v>1</v>
      </c>
      <c r="G59" s="43">
        <v>0.2</v>
      </c>
      <c r="H59" s="34"/>
      <c r="I59" s="34"/>
      <c r="J59" s="34"/>
      <c r="K59" s="34"/>
      <c r="L59" s="34"/>
      <c r="M59" s="43">
        <v>0.3</v>
      </c>
      <c r="N59" s="43">
        <v>1</v>
      </c>
      <c r="O59" s="43">
        <v>1.5</v>
      </c>
      <c r="P59" s="43">
        <f t="shared" si="10"/>
        <v>6</v>
      </c>
      <c r="Q59" s="68"/>
      <c r="R59">
        <f>P59*R7</f>
        <v>7231.62</v>
      </c>
    </row>
    <row r="60" spans="1:17" ht="21" customHeight="1">
      <c r="A60" s="50" t="s">
        <v>69</v>
      </c>
      <c r="B60" s="57" t="s">
        <v>33</v>
      </c>
      <c r="C60" s="159"/>
      <c r="D60" s="43">
        <v>1</v>
      </c>
      <c r="E60" s="43">
        <v>1.33</v>
      </c>
      <c r="F60" s="43">
        <v>1</v>
      </c>
      <c r="G60" s="43">
        <v>0.1</v>
      </c>
      <c r="H60" s="34"/>
      <c r="I60" s="34"/>
      <c r="J60" s="34"/>
      <c r="K60" s="34"/>
      <c r="L60" s="34"/>
      <c r="M60" s="43">
        <v>0.1</v>
      </c>
      <c r="N60" s="43">
        <v>1.2</v>
      </c>
      <c r="O60" s="43">
        <v>1</v>
      </c>
      <c r="P60" s="120">
        <f t="shared" si="10"/>
        <v>5.73</v>
      </c>
      <c r="Q60" s="68">
        <f>P60*Q7</f>
        <v>8138.2044000000005</v>
      </c>
    </row>
    <row r="61" spans="1:17" ht="36.75" customHeight="1">
      <c r="A61" s="50" t="s">
        <v>74</v>
      </c>
      <c r="B61" s="57" t="s">
        <v>56</v>
      </c>
      <c r="C61" s="160"/>
      <c r="D61" s="43">
        <v>2</v>
      </c>
      <c r="E61" s="43">
        <v>1.5</v>
      </c>
      <c r="F61" s="43">
        <v>1.5</v>
      </c>
      <c r="G61" s="43">
        <v>1</v>
      </c>
      <c r="H61" s="34"/>
      <c r="I61" s="34"/>
      <c r="J61" s="34"/>
      <c r="K61" s="34"/>
      <c r="L61" s="34"/>
      <c r="M61" s="43">
        <v>1</v>
      </c>
      <c r="N61" s="43">
        <v>2.37</v>
      </c>
      <c r="O61" s="43">
        <v>2.5</v>
      </c>
      <c r="P61" s="120">
        <f t="shared" si="10"/>
        <v>11.870000000000001</v>
      </c>
      <c r="Q61" s="68">
        <f>P61*Q7</f>
        <v>16858.7236</v>
      </c>
    </row>
    <row r="62" spans="1:16" ht="15.75">
      <c r="A62" s="161"/>
      <c r="B62" s="64" t="s">
        <v>34</v>
      </c>
      <c r="C62" s="62" t="s">
        <v>27</v>
      </c>
      <c r="D62" s="45">
        <f>D25+D32+D49+D56+D59+D60+D61+D37+D43+D52</f>
        <v>2071.3</v>
      </c>
      <c r="E62" s="45">
        <f aca="true" t="shared" si="11" ref="E62:P62">E25+E32+E49+E56+E59+E60+E61+E37+E43+E52</f>
        <v>1890.1299999999999</v>
      </c>
      <c r="F62" s="45">
        <f t="shared" si="11"/>
        <v>1543.8</v>
      </c>
      <c r="G62" s="45">
        <f t="shared" si="11"/>
        <v>1018.6</v>
      </c>
      <c r="H62" s="45">
        <f t="shared" si="11"/>
        <v>185.3</v>
      </c>
      <c r="I62" s="45">
        <f t="shared" si="11"/>
        <v>48.3</v>
      </c>
      <c r="J62" s="45">
        <f t="shared" si="11"/>
        <v>31</v>
      </c>
      <c r="K62" s="45">
        <f t="shared" si="11"/>
        <v>26.3</v>
      </c>
      <c r="L62" s="45">
        <f t="shared" si="11"/>
        <v>34.300000000000004</v>
      </c>
      <c r="M62" s="45">
        <f t="shared" si="11"/>
        <v>757.1</v>
      </c>
      <c r="N62" s="45">
        <f t="shared" si="11"/>
        <v>1913.1699999999998</v>
      </c>
      <c r="O62" s="45">
        <f t="shared" si="11"/>
        <v>2207.7000000000003</v>
      </c>
      <c r="P62" s="45">
        <f t="shared" si="11"/>
        <v>11727</v>
      </c>
    </row>
    <row r="63" spans="1:18" ht="15.75">
      <c r="A63" s="162"/>
      <c r="B63" s="62" t="s">
        <v>82</v>
      </c>
      <c r="C63" s="62"/>
      <c r="D63" s="45">
        <f>D64+D65</f>
        <v>1921</v>
      </c>
      <c r="E63" s="45">
        <f aca="true" t="shared" si="12" ref="E63:P63">E64+E65</f>
        <v>1743.83</v>
      </c>
      <c r="F63" s="45">
        <f t="shared" si="12"/>
        <v>1424.5</v>
      </c>
      <c r="G63" s="45">
        <f t="shared" si="12"/>
        <v>934.3000000000001</v>
      </c>
      <c r="H63" s="45">
        <f t="shared" si="12"/>
        <v>179</v>
      </c>
      <c r="I63" s="45">
        <f t="shared" si="12"/>
        <v>47</v>
      </c>
      <c r="J63" s="45">
        <f t="shared" si="12"/>
        <v>25</v>
      </c>
      <c r="K63" s="45">
        <f t="shared" si="12"/>
        <v>20</v>
      </c>
      <c r="L63" s="45">
        <f t="shared" si="12"/>
        <v>28</v>
      </c>
      <c r="M63" s="45">
        <f t="shared" si="12"/>
        <v>639.3199999999999</v>
      </c>
      <c r="N63" s="45">
        <f t="shared" si="12"/>
        <v>1644.4199999999998</v>
      </c>
      <c r="O63" s="45">
        <f t="shared" si="12"/>
        <v>1898.26</v>
      </c>
      <c r="P63" s="45">
        <f t="shared" si="12"/>
        <v>10504.630000000001</v>
      </c>
      <c r="R63" s="122"/>
    </row>
    <row r="64" spans="1:17" ht="19.5" customHeight="1">
      <c r="A64" s="162"/>
      <c r="B64" s="65"/>
      <c r="C64" s="62" t="s">
        <v>26</v>
      </c>
      <c r="D64" s="45">
        <f>D27+D34+D50+D57+D61+D60+D39+D45+D53</f>
        <v>1586</v>
      </c>
      <c r="E64" s="45">
        <f aca="true" t="shared" si="13" ref="E64:P64">E27+E34+E50+E57+E61+E60+E39+E45+E53</f>
        <v>1378.83</v>
      </c>
      <c r="F64" s="45">
        <f t="shared" si="13"/>
        <v>1089.5</v>
      </c>
      <c r="G64" s="45">
        <f t="shared" si="13"/>
        <v>807.1</v>
      </c>
      <c r="H64" s="45">
        <f t="shared" si="13"/>
        <v>173</v>
      </c>
      <c r="I64" s="45">
        <f t="shared" si="13"/>
        <v>46</v>
      </c>
      <c r="J64" s="45">
        <f t="shared" si="13"/>
        <v>24</v>
      </c>
      <c r="K64" s="45">
        <f t="shared" si="13"/>
        <v>19</v>
      </c>
      <c r="L64" s="45">
        <f t="shared" si="13"/>
        <v>22</v>
      </c>
      <c r="M64" s="45">
        <f t="shared" si="13"/>
        <v>518.9</v>
      </c>
      <c r="N64" s="45">
        <f t="shared" si="13"/>
        <v>1301.6699999999998</v>
      </c>
      <c r="O64" s="45">
        <f t="shared" si="13"/>
        <v>1543.5</v>
      </c>
      <c r="P64" s="45">
        <f t="shared" si="13"/>
        <v>8509.500000000002</v>
      </c>
      <c r="Q64" s="137">
        <f>P64*Q7</f>
        <v>12085872.660000002</v>
      </c>
    </row>
    <row r="65" spans="1:17" ht="33.75" customHeight="1">
      <c r="A65" s="163"/>
      <c r="B65" s="65"/>
      <c r="C65" s="62" t="s">
        <v>86</v>
      </c>
      <c r="D65" s="45">
        <f>D28+D35+D59+D41+D47</f>
        <v>335</v>
      </c>
      <c r="E65" s="45">
        <f aca="true" t="shared" si="14" ref="E65:P65">E28+E35+E59+E41+E47</f>
        <v>365</v>
      </c>
      <c r="F65" s="45">
        <f t="shared" si="14"/>
        <v>335</v>
      </c>
      <c r="G65" s="45">
        <f t="shared" si="14"/>
        <v>127.2</v>
      </c>
      <c r="H65" s="45">
        <f t="shared" si="14"/>
        <v>6</v>
      </c>
      <c r="I65" s="45">
        <f t="shared" si="14"/>
        <v>1</v>
      </c>
      <c r="J65" s="45">
        <f t="shared" si="14"/>
        <v>1</v>
      </c>
      <c r="K65" s="45">
        <f t="shared" si="14"/>
        <v>1</v>
      </c>
      <c r="L65" s="45">
        <f t="shared" si="14"/>
        <v>6</v>
      </c>
      <c r="M65" s="45">
        <f t="shared" si="14"/>
        <v>120.41999999999999</v>
      </c>
      <c r="N65" s="45">
        <f t="shared" si="14"/>
        <v>342.75</v>
      </c>
      <c r="O65" s="45">
        <f t="shared" si="14"/>
        <v>354.76</v>
      </c>
      <c r="P65" s="45">
        <f t="shared" si="14"/>
        <v>1995.13</v>
      </c>
      <c r="Q65" s="137">
        <f>P65*R7</f>
        <v>2404670.3351000003</v>
      </c>
    </row>
    <row r="66" spans="1:16" ht="15.75">
      <c r="A66" s="42"/>
      <c r="B66" s="66" t="s">
        <v>48</v>
      </c>
      <c r="C66" s="66"/>
      <c r="D66" s="45">
        <f>D29+D36+D51+D58+D42</f>
        <v>63.9</v>
      </c>
      <c r="E66" s="45">
        <f aca="true" t="shared" si="15" ref="E66:P66">E29+E36+E51+E58+E42</f>
        <v>59.2</v>
      </c>
      <c r="F66" s="45">
        <f t="shared" si="15"/>
        <v>43.900000000000006</v>
      </c>
      <c r="G66" s="45">
        <f t="shared" si="15"/>
        <v>26.8</v>
      </c>
      <c r="H66" s="45">
        <f t="shared" si="15"/>
        <v>2.7</v>
      </c>
      <c r="I66" s="45">
        <f t="shared" si="15"/>
        <v>0.5</v>
      </c>
      <c r="J66" s="45">
        <f t="shared" si="15"/>
        <v>0</v>
      </c>
      <c r="K66" s="45">
        <f t="shared" si="15"/>
        <v>0</v>
      </c>
      <c r="L66" s="45">
        <f t="shared" si="15"/>
        <v>0.3</v>
      </c>
      <c r="M66" s="45">
        <f t="shared" si="15"/>
        <v>15.8</v>
      </c>
      <c r="N66" s="45">
        <f t="shared" si="15"/>
        <v>29.900000000000002</v>
      </c>
      <c r="O66" s="45">
        <f t="shared" si="15"/>
        <v>34</v>
      </c>
      <c r="P66" s="45">
        <f t="shared" si="15"/>
        <v>277</v>
      </c>
    </row>
    <row r="67" spans="1:16" ht="15.75">
      <c r="A67" s="21"/>
      <c r="B67" s="39"/>
      <c r="C67" s="39"/>
      <c r="D67" s="40"/>
      <c r="E67" s="39"/>
      <c r="F67" s="39"/>
      <c r="G67" s="39"/>
      <c r="H67" s="44"/>
      <c r="I67" s="39"/>
      <c r="J67" s="39"/>
      <c r="K67" s="39"/>
      <c r="L67" s="39"/>
      <c r="M67" s="39"/>
      <c r="N67" s="39"/>
      <c r="O67" s="39"/>
      <c r="P67" s="39"/>
    </row>
    <row r="68" spans="1:17" ht="15.75">
      <c r="A68" s="21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139">
        <f>Q64+Q65</f>
        <v>14490542.995100003</v>
      </c>
    </row>
    <row r="69" spans="1:16" ht="15">
      <c r="A69" s="39"/>
      <c r="B69" s="39"/>
      <c r="C69" s="39"/>
      <c r="D69" s="40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</row>
    <row r="70" spans="1:16" ht="1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</row>
    <row r="71" spans="1:16" ht="18.75">
      <c r="A71" s="39"/>
      <c r="B71" s="22" t="s">
        <v>92</v>
      </c>
      <c r="C71" s="22"/>
      <c r="D71" s="16"/>
      <c r="E71" s="16"/>
      <c r="F71" s="16"/>
      <c r="G71" s="16"/>
      <c r="H71" s="16"/>
      <c r="I71" s="16"/>
      <c r="J71" s="16"/>
      <c r="K71" s="16"/>
      <c r="L71" s="55"/>
      <c r="M71" s="55" t="s">
        <v>98</v>
      </c>
      <c r="N71" s="55"/>
      <c r="O71" s="55"/>
      <c r="P71" s="21"/>
    </row>
  </sheetData>
  <sheetProtection/>
  <mergeCells count="20">
    <mergeCell ref="L4:AA4"/>
    <mergeCell ref="B5:P5"/>
    <mergeCell ref="A15:A17"/>
    <mergeCell ref="M30:P30"/>
    <mergeCell ref="A8:A10"/>
    <mergeCell ref="C59:C61"/>
    <mergeCell ref="C8:C10"/>
    <mergeCell ref="C15:C17"/>
    <mergeCell ref="C18:C20"/>
    <mergeCell ref="C49:C51"/>
    <mergeCell ref="C56:C58"/>
    <mergeCell ref="C52:C54"/>
    <mergeCell ref="C11:C13"/>
    <mergeCell ref="A32:A36"/>
    <mergeCell ref="A62:A65"/>
    <mergeCell ref="A56:A58"/>
    <mergeCell ref="A18:A19"/>
    <mergeCell ref="A49:A51"/>
    <mergeCell ref="A43:A48"/>
    <mergeCell ref="A52:A55"/>
  </mergeCells>
  <printOptions/>
  <pageMargins left="0.5905511811023623" right="0.3937007874015748" top="1.1811023622047245" bottom="0.1968503937007874" header="0.5118110236220472" footer="0.5118110236220472"/>
  <pageSetup horizontalDpi="600" verticalDpi="600" orientation="landscape" paperSize="9" scale="69" r:id="rId1"/>
  <rowBreaks count="2" manualBreakCount="2">
    <brk id="29" max="17" man="1"/>
    <brk id="5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89"/>
  <sheetViews>
    <sheetView view="pageBreakPreview" zoomScale="75" zoomScaleNormal="75" zoomScaleSheetLayoutView="75" zoomScalePageLayoutView="0" workbookViewId="0" topLeftCell="B1">
      <selection activeCell="Q56" sqref="Q56"/>
    </sheetView>
  </sheetViews>
  <sheetFormatPr defaultColWidth="9.140625" defaultRowHeight="12.75"/>
  <cols>
    <col min="1" max="1" width="5.140625" style="0" customWidth="1"/>
    <col min="3" max="3" width="32.00390625" style="0" customWidth="1"/>
    <col min="4" max="4" width="22.8515625" style="0" customWidth="1"/>
    <col min="5" max="5" width="9.57421875" style="0" customWidth="1"/>
    <col min="6" max="6" width="8.7109375" style="0" customWidth="1"/>
    <col min="7" max="7" width="9.7109375" style="0" customWidth="1"/>
    <col min="8" max="8" width="8.7109375" style="0" customWidth="1"/>
    <col min="9" max="9" width="9.00390625" style="0" customWidth="1"/>
    <col min="10" max="10" width="8.8515625" style="0" customWidth="1"/>
    <col min="11" max="11" width="8.57421875" style="0" customWidth="1"/>
    <col min="12" max="12" width="9.28125" style="0" bestFit="1" customWidth="1"/>
    <col min="13" max="13" width="9.7109375" style="0" customWidth="1"/>
    <col min="14" max="14" width="9.57421875" style="0" customWidth="1"/>
    <col min="15" max="15" width="10.8515625" style="0" customWidth="1"/>
    <col min="16" max="16" width="9.8515625" style="0" bestFit="1" customWidth="1"/>
    <col min="17" max="17" width="10.28125" style="0" customWidth="1"/>
    <col min="18" max="18" width="11.00390625" style="0" bestFit="1" customWidth="1"/>
    <col min="19" max="19" width="9.28125" style="0" bestFit="1" customWidth="1"/>
  </cols>
  <sheetData>
    <row r="1" spans="12:17" ht="18.75">
      <c r="L1" s="1"/>
      <c r="M1" s="12" t="s">
        <v>37</v>
      </c>
      <c r="N1" s="12"/>
      <c r="O1" s="12"/>
      <c r="P1" s="1"/>
      <c r="Q1" s="1"/>
    </row>
    <row r="2" spans="1:17" ht="18.75">
      <c r="A2" s="23"/>
      <c r="B2" s="24"/>
      <c r="C2" s="24"/>
      <c r="D2" s="24"/>
      <c r="E2" s="25"/>
      <c r="F2" s="25"/>
      <c r="G2" s="25"/>
      <c r="H2" s="25"/>
      <c r="I2" s="25"/>
      <c r="J2" s="26"/>
      <c r="K2" s="5"/>
      <c r="L2" s="7" t="s">
        <v>1</v>
      </c>
      <c r="M2" s="7"/>
      <c r="N2" s="7"/>
      <c r="O2" s="7"/>
      <c r="P2" s="1"/>
      <c r="Q2" s="1"/>
    </row>
    <row r="3" spans="1:17" ht="18.75">
      <c r="A3" s="23"/>
      <c r="B3" s="24"/>
      <c r="C3" s="24"/>
      <c r="D3" s="24"/>
      <c r="E3" s="25"/>
      <c r="F3" s="25"/>
      <c r="G3" s="25"/>
      <c r="H3" s="25"/>
      <c r="I3" s="25"/>
      <c r="J3" s="26"/>
      <c r="K3" s="5"/>
      <c r="L3" s="7" t="s">
        <v>107</v>
      </c>
      <c r="M3" s="12"/>
      <c r="N3" s="12"/>
      <c r="O3" s="7"/>
      <c r="P3" s="9"/>
      <c r="Q3" s="1"/>
    </row>
    <row r="4" spans="1:17" ht="18.75">
      <c r="A4" s="27"/>
      <c r="B4" s="165" t="s">
        <v>2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1:17" ht="18.75">
      <c r="A5" s="27"/>
      <c r="B5" s="165" t="s">
        <v>95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</row>
    <row r="6" spans="1:16" ht="18.75">
      <c r="A6" s="27"/>
      <c r="B6" s="1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28" t="s">
        <v>38</v>
      </c>
    </row>
    <row r="7" spans="1:17" ht="15.75">
      <c r="A7" s="32" t="s">
        <v>52</v>
      </c>
      <c r="B7" s="171" t="s">
        <v>39</v>
      </c>
      <c r="C7" s="172"/>
      <c r="D7" s="70" t="s">
        <v>60</v>
      </c>
      <c r="E7" s="33" t="s">
        <v>6</v>
      </c>
      <c r="F7" s="33" t="s">
        <v>7</v>
      </c>
      <c r="G7" s="33" t="s">
        <v>8</v>
      </c>
      <c r="H7" s="33" t="s">
        <v>9</v>
      </c>
      <c r="I7" s="33" t="s">
        <v>10</v>
      </c>
      <c r="J7" s="33" t="s">
        <v>11</v>
      </c>
      <c r="K7" s="33" t="s">
        <v>12</v>
      </c>
      <c r="L7" s="33" t="s">
        <v>13</v>
      </c>
      <c r="M7" s="33" t="s">
        <v>14</v>
      </c>
      <c r="N7" s="33" t="s">
        <v>15</v>
      </c>
      <c r="O7" s="33" t="s">
        <v>16</v>
      </c>
      <c r="P7" s="33" t="s">
        <v>17</v>
      </c>
      <c r="Q7" s="48" t="s">
        <v>93</v>
      </c>
    </row>
    <row r="8" spans="1:17" ht="15.75">
      <c r="A8" s="74"/>
      <c r="B8" s="171" t="s">
        <v>40</v>
      </c>
      <c r="C8" s="172"/>
      <c r="D8" s="70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8"/>
    </row>
    <row r="9" spans="1:17" ht="16.5" customHeight="1">
      <c r="A9" s="175" t="s">
        <v>18</v>
      </c>
      <c r="B9" s="171" t="s">
        <v>63</v>
      </c>
      <c r="C9" s="172"/>
      <c r="D9" s="70" t="s">
        <v>61</v>
      </c>
      <c r="E9" s="46">
        <f aca="true" t="shared" si="0" ref="E9:J10">E12+E15</f>
        <v>1875</v>
      </c>
      <c r="F9" s="46">
        <f t="shared" si="0"/>
        <v>2024</v>
      </c>
      <c r="G9" s="46">
        <f t="shared" si="0"/>
        <v>1825</v>
      </c>
      <c r="H9" s="46">
        <f t="shared" si="0"/>
        <v>1974</v>
      </c>
      <c r="I9" s="46">
        <f t="shared" si="0"/>
        <v>1775</v>
      </c>
      <c r="J9" s="46">
        <f t="shared" si="0"/>
        <v>1824</v>
      </c>
      <c r="K9" s="46">
        <v>1660</v>
      </c>
      <c r="L9" s="46">
        <v>1710</v>
      </c>
      <c r="M9" s="46">
        <v>1660</v>
      </c>
      <c r="N9" s="46">
        <v>1760</v>
      </c>
      <c r="O9" s="46">
        <v>1860</v>
      </c>
      <c r="P9" s="46">
        <v>1960</v>
      </c>
      <c r="Q9" s="73">
        <f>SUM(P9+O9+N9+M9+L9+K9+J9+I9+H9+G9+F9+E9)</f>
        <v>21907</v>
      </c>
    </row>
    <row r="10" spans="1:17" ht="15.75">
      <c r="A10" s="176"/>
      <c r="B10" s="171" t="s">
        <v>62</v>
      </c>
      <c r="C10" s="172"/>
      <c r="D10" s="70"/>
      <c r="E10" s="46">
        <f t="shared" si="0"/>
        <v>1650</v>
      </c>
      <c r="F10" s="46">
        <f t="shared" si="0"/>
        <v>1800</v>
      </c>
      <c r="G10" s="46">
        <f t="shared" si="0"/>
        <v>1600</v>
      </c>
      <c r="H10" s="46">
        <f t="shared" si="0"/>
        <v>1750</v>
      </c>
      <c r="I10" s="46">
        <f t="shared" si="0"/>
        <v>1550</v>
      </c>
      <c r="J10" s="46">
        <f t="shared" si="0"/>
        <v>1600</v>
      </c>
      <c r="K10" s="127">
        <v>1278</v>
      </c>
      <c r="L10" s="127">
        <v>1320</v>
      </c>
      <c r="M10" s="127">
        <v>1274</v>
      </c>
      <c r="N10" s="127">
        <v>1371</v>
      </c>
      <c r="O10" s="127">
        <v>1474</v>
      </c>
      <c r="P10" s="127">
        <v>1573</v>
      </c>
      <c r="Q10" s="127">
        <f>Q13+Q16</f>
        <v>18240</v>
      </c>
    </row>
    <row r="11" spans="1:17" ht="15.75">
      <c r="A11" s="176"/>
      <c r="B11" s="171" t="s">
        <v>23</v>
      </c>
      <c r="C11" s="172"/>
      <c r="D11" s="70"/>
      <c r="E11" s="46">
        <f>E14+E17</f>
        <v>8</v>
      </c>
      <c r="F11" s="46">
        <f aca="true" t="shared" si="1" ref="F11:P11">F14+F17</f>
        <v>7</v>
      </c>
      <c r="G11" s="46">
        <f t="shared" si="1"/>
        <v>8</v>
      </c>
      <c r="H11" s="46">
        <f t="shared" si="1"/>
        <v>7</v>
      </c>
      <c r="I11" s="46">
        <f t="shared" si="1"/>
        <v>8</v>
      </c>
      <c r="J11" s="46">
        <f t="shared" si="1"/>
        <v>7</v>
      </c>
      <c r="K11" s="127">
        <f t="shared" si="1"/>
        <v>25</v>
      </c>
      <c r="L11" s="127">
        <f t="shared" si="1"/>
        <v>25</v>
      </c>
      <c r="M11" s="127">
        <f t="shared" si="1"/>
        <v>25</v>
      </c>
      <c r="N11" s="127">
        <f t="shared" si="1"/>
        <v>25</v>
      </c>
      <c r="O11" s="127">
        <f t="shared" si="1"/>
        <v>26</v>
      </c>
      <c r="P11" s="127">
        <f t="shared" si="1"/>
        <v>26</v>
      </c>
      <c r="Q11" s="148">
        <f>SUM(P11+O11+N11+M11+L11+K11+J11+I11+H11+G11+F11+E11)</f>
        <v>197</v>
      </c>
    </row>
    <row r="12" spans="1:17" ht="20.25" customHeight="1">
      <c r="A12" s="176"/>
      <c r="B12" s="171" t="s">
        <v>64</v>
      </c>
      <c r="C12" s="172"/>
      <c r="D12" s="70" t="s">
        <v>61</v>
      </c>
      <c r="E12" s="46">
        <v>1205</v>
      </c>
      <c r="F12" s="46">
        <v>1255</v>
      </c>
      <c r="G12" s="46">
        <v>1155</v>
      </c>
      <c r="H12" s="46">
        <v>1255</v>
      </c>
      <c r="I12" s="46">
        <v>1155</v>
      </c>
      <c r="J12" s="46">
        <v>1255</v>
      </c>
      <c r="K12" s="127">
        <v>1155</v>
      </c>
      <c r="L12" s="127">
        <v>1205</v>
      </c>
      <c r="M12" s="127">
        <v>1155</v>
      </c>
      <c r="N12" s="127">
        <v>1255</v>
      </c>
      <c r="O12" s="127">
        <v>1255</v>
      </c>
      <c r="P12" s="127">
        <v>1255</v>
      </c>
      <c r="Q12" s="148">
        <f>SUM(P12+O12+N12+M12+L12+K12+J12+I12+H12+G12+F12+E12)</f>
        <v>14560</v>
      </c>
    </row>
    <row r="13" spans="1:17" ht="15.75">
      <c r="A13" s="176"/>
      <c r="B13" s="171" t="s">
        <v>62</v>
      </c>
      <c r="C13" s="172"/>
      <c r="D13" s="70"/>
      <c r="E13" s="46">
        <v>1050</v>
      </c>
      <c r="F13" s="46">
        <v>1100</v>
      </c>
      <c r="G13" s="46">
        <v>1000</v>
      </c>
      <c r="H13" s="46">
        <v>1100</v>
      </c>
      <c r="I13" s="46">
        <v>1000</v>
      </c>
      <c r="J13" s="46">
        <v>1100</v>
      </c>
      <c r="K13" s="127">
        <v>868</v>
      </c>
      <c r="L13" s="127">
        <v>910</v>
      </c>
      <c r="M13" s="127">
        <v>864</v>
      </c>
      <c r="N13" s="127">
        <v>961</v>
      </c>
      <c r="O13" s="127">
        <v>964</v>
      </c>
      <c r="P13" s="127">
        <v>963</v>
      </c>
      <c r="Q13" s="127">
        <f aca="true" t="shared" si="2" ref="Q13:Q18">SUM(E13:P13)</f>
        <v>11880</v>
      </c>
    </row>
    <row r="14" spans="1:17" ht="15.75">
      <c r="A14" s="176"/>
      <c r="B14" s="171" t="s">
        <v>23</v>
      </c>
      <c r="C14" s="172"/>
      <c r="D14" s="70"/>
      <c r="E14" s="46">
        <v>5</v>
      </c>
      <c r="F14" s="46">
        <v>5</v>
      </c>
      <c r="G14" s="46">
        <v>5</v>
      </c>
      <c r="H14" s="46">
        <v>5</v>
      </c>
      <c r="I14" s="46">
        <v>5</v>
      </c>
      <c r="J14" s="46">
        <v>5</v>
      </c>
      <c r="K14" s="127">
        <v>16</v>
      </c>
      <c r="L14" s="127">
        <v>16</v>
      </c>
      <c r="M14" s="127">
        <v>16</v>
      </c>
      <c r="N14" s="127">
        <v>16</v>
      </c>
      <c r="O14" s="127">
        <v>16</v>
      </c>
      <c r="P14" s="127">
        <v>15</v>
      </c>
      <c r="Q14" s="127">
        <f t="shared" si="2"/>
        <v>125</v>
      </c>
    </row>
    <row r="15" spans="1:17" ht="31.5">
      <c r="A15" s="176"/>
      <c r="B15" s="171" t="s">
        <v>66</v>
      </c>
      <c r="C15" s="172"/>
      <c r="D15" s="57" t="s">
        <v>26</v>
      </c>
      <c r="E15" s="46">
        <v>670</v>
      </c>
      <c r="F15" s="46">
        <v>769</v>
      </c>
      <c r="G15" s="46">
        <v>670</v>
      </c>
      <c r="H15" s="46">
        <v>719</v>
      </c>
      <c r="I15" s="46">
        <v>620</v>
      </c>
      <c r="J15" s="46">
        <v>569</v>
      </c>
      <c r="K15" s="127">
        <v>486</v>
      </c>
      <c r="L15" s="127">
        <v>486</v>
      </c>
      <c r="M15" s="127">
        <v>487</v>
      </c>
      <c r="N15" s="127">
        <v>486</v>
      </c>
      <c r="O15" s="127">
        <v>587</v>
      </c>
      <c r="P15" s="127">
        <v>687</v>
      </c>
      <c r="Q15" s="149">
        <f t="shared" si="2"/>
        <v>7236</v>
      </c>
    </row>
    <row r="16" spans="1:18" ht="15.75">
      <c r="A16" s="176"/>
      <c r="B16" s="171" t="s">
        <v>62</v>
      </c>
      <c r="C16" s="172"/>
      <c r="D16" s="70"/>
      <c r="E16" s="46">
        <v>600</v>
      </c>
      <c r="F16" s="46">
        <v>700</v>
      </c>
      <c r="G16" s="46">
        <v>600</v>
      </c>
      <c r="H16" s="46">
        <v>650</v>
      </c>
      <c r="I16" s="46">
        <v>550</v>
      </c>
      <c r="J16" s="46">
        <v>500</v>
      </c>
      <c r="K16" s="127">
        <v>410</v>
      </c>
      <c r="L16" s="127">
        <v>410</v>
      </c>
      <c r="M16" s="127">
        <v>410</v>
      </c>
      <c r="N16" s="127">
        <v>410</v>
      </c>
      <c r="O16" s="127">
        <v>510</v>
      </c>
      <c r="P16" s="127">
        <v>610</v>
      </c>
      <c r="Q16" s="149">
        <f t="shared" si="2"/>
        <v>6360</v>
      </c>
      <c r="R16" s="122">
        <f>Q15-Q16</f>
        <v>876</v>
      </c>
    </row>
    <row r="17" spans="1:17" ht="15.75">
      <c r="A17" s="177"/>
      <c r="B17" s="171" t="s">
        <v>23</v>
      </c>
      <c r="C17" s="172"/>
      <c r="D17" s="70"/>
      <c r="E17" s="46">
        <v>3</v>
      </c>
      <c r="F17" s="46">
        <v>2</v>
      </c>
      <c r="G17" s="46">
        <v>3</v>
      </c>
      <c r="H17" s="46">
        <v>2</v>
      </c>
      <c r="I17" s="46">
        <v>3</v>
      </c>
      <c r="J17" s="46">
        <v>2</v>
      </c>
      <c r="K17" s="127">
        <v>9</v>
      </c>
      <c r="L17" s="127">
        <v>9</v>
      </c>
      <c r="M17" s="127">
        <v>9</v>
      </c>
      <c r="N17" s="127">
        <v>9</v>
      </c>
      <c r="O17" s="127">
        <v>10</v>
      </c>
      <c r="P17" s="127">
        <v>11</v>
      </c>
      <c r="Q17" s="149">
        <f t="shared" si="2"/>
        <v>72</v>
      </c>
    </row>
    <row r="18" spans="1:18" ht="16.5" customHeight="1">
      <c r="A18" s="161" t="s">
        <v>21</v>
      </c>
      <c r="B18" s="171" t="s">
        <v>42</v>
      </c>
      <c r="C18" s="172"/>
      <c r="D18" s="70" t="s">
        <v>61</v>
      </c>
      <c r="E18" s="33">
        <v>1264</v>
      </c>
      <c r="F18" s="33">
        <v>1264</v>
      </c>
      <c r="G18" s="33">
        <v>1164</v>
      </c>
      <c r="H18" s="33">
        <v>1164</v>
      </c>
      <c r="I18" s="33">
        <v>1164</v>
      </c>
      <c r="J18" s="33">
        <v>1064</v>
      </c>
      <c r="K18" s="126">
        <v>964</v>
      </c>
      <c r="L18" s="126">
        <v>1064</v>
      </c>
      <c r="M18" s="126">
        <v>1064</v>
      </c>
      <c r="N18" s="126">
        <v>1164</v>
      </c>
      <c r="O18" s="126">
        <v>1264</v>
      </c>
      <c r="P18" s="126">
        <v>1264</v>
      </c>
      <c r="Q18" s="148">
        <f t="shared" si="2"/>
        <v>13868</v>
      </c>
      <c r="R18" s="109"/>
    </row>
    <row r="19" spans="1:17" ht="15.75">
      <c r="A19" s="162"/>
      <c r="B19" s="171" t="s">
        <v>62</v>
      </c>
      <c r="C19" s="172"/>
      <c r="D19" s="70"/>
      <c r="E19" s="33">
        <v>1100</v>
      </c>
      <c r="F19" s="33">
        <v>1100</v>
      </c>
      <c r="G19" s="33">
        <v>1000</v>
      </c>
      <c r="H19" s="33">
        <v>1000</v>
      </c>
      <c r="I19" s="33">
        <v>1000</v>
      </c>
      <c r="J19" s="33">
        <v>900</v>
      </c>
      <c r="K19" s="126">
        <v>749</v>
      </c>
      <c r="L19" s="126">
        <v>849</v>
      </c>
      <c r="M19" s="126">
        <v>849</v>
      </c>
      <c r="N19" s="126">
        <v>949</v>
      </c>
      <c r="O19" s="126">
        <v>1049</v>
      </c>
      <c r="P19" s="126">
        <v>1049</v>
      </c>
      <c r="Q19" s="148">
        <f>SUM(P19+O19+N19+M19+L19+K19+J19+I19+H19+G19+F19+E19)</f>
        <v>11594</v>
      </c>
    </row>
    <row r="20" spans="1:17" ht="15.75">
      <c r="A20" s="163"/>
      <c r="B20" s="171" t="s">
        <v>23</v>
      </c>
      <c r="C20" s="172"/>
      <c r="D20" s="70"/>
      <c r="E20" s="33">
        <v>114</v>
      </c>
      <c r="F20" s="33">
        <v>114</v>
      </c>
      <c r="G20" s="33">
        <v>114</v>
      </c>
      <c r="H20" s="33">
        <v>114</v>
      </c>
      <c r="I20" s="33">
        <v>114</v>
      </c>
      <c r="J20" s="33">
        <v>114</v>
      </c>
      <c r="K20" s="126">
        <v>114</v>
      </c>
      <c r="L20" s="126">
        <v>114</v>
      </c>
      <c r="M20" s="126">
        <v>114</v>
      </c>
      <c r="N20" s="126">
        <v>114</v>
      </c>
      <c r="O20" s="126">
        <v>114</v>
      </c>
      <c r="P20" s="126">
        <v>114</v>
      </c>
      <c r="Q20" s="148">
        <f>SUM(E20:P20)</f>
        <v>1368</v>
      </c>
    </row>
    <row r="21" spans="1:17" ht="15.75">
      <c r="A21" s="161" t="s">
        <v>24</v>
      </c>
      <c r="B21" s="171" t="s">
        <v>43</v>
      </c>
      <c r="C21" s="172"/>
      <c r="D21" s="70"/>
      <c r="E21" s="33"/>
      <c r="F21" s="33"/>
      <c r="G21" s="33"/>
      <c r="H21" s="33"/>
      <c r="I21" s="33"/>
      <c r="J21" s="33"/>
      <c r="K21" s="126"/>
      <c r="L21" s="126"/>
      <c r="M21" s="126"/>
      <c r="N21" s="126"/>
      <c r="O21" s="126"/>
      <c r="P21" s="126"/>
      <c r="Q21" s="148"/>
    </row>
    <row r="22" spans="1:17" ht="15.75" customHeight="1">
      <c r="A22" s="162"/>
      <c r="B22" s="171" t="s">
        <v>70</v>
      </c>
      <c r="C22" s="172"/>
      <c r="D22" s="70" t="s">
        <v>61</v>
      </c>
      <c r="E22" s="46">
        <f>E25+E28</f>
        <v>3525</v>
      </c>
      <c r="F22" s="46">
        <f aca="true" t="shared" si="3" ref="F22:Q22">F25+F28</f>
        <v>1942</v>
      </c>
      <c r="G22" s="46">
        <f t="shared" si="3"/>
        <v>2830</v>
      </c>
      <c r="H22" s="46">
        <f t="shared" si="3"/>
        <v>3135</v>
      </c>
      <c r="I22" s="46">
        <f t="shared" si="3"/>
        <v>3051</v>
      </c>
      <c r="J22" s="46">
        <f t="shared" si="3"/>
        <v>2509</v>
      </c>
      <c r="K22" s="127">
        <f t="shared" si="3"/>
        <v>2511</v>
      </c>
      <c r="L22" s="127">
        <f t="shared" si="3"/>
        <v>2810</v>
      </c>
      <c r="M22" s="127">
        <f t="shared" si="3"/>
        <v>2825</v>
      </c>
      <c r="N22" s="127">
        <f t="shared" si="3"/>
        <v>3015</v>
      </c>
      <c r="O22" s="127">
        <f t="shared" si="3"/>
        <v>2955</v>
      </c>
      <c r="P22" s="127">
        <f t="shared" si="3"/>
        <v>3055</v>
      </c>
      <c r="Q22" s="127">
        <f t="shared" si="3"/>
        <v>34163</v>
      </c>
    </row>
    <row r="23" spans="1:17" ht="15.75">
      <c r="A23" s="162"/>
      <c r="B23" s="171" t="s">
        <v>62</v>
      </c>
      <c r="C23" s="172"/>
      <c r="D23" s="70"/>
      <c r="E23" s="72">
        <f>E26+E28</f>
        <v>2670</v>
      </c>
      <c r="F23" s="72">
        <f aca="true" t="shared" si="4" ref="F23:Q23">F26+F28</f>
        <v>1420</v>
      </c>
      <c r="G23" s="72">
        <f t="shared" si="4"/>
        <v>2125</v>
      </c>
      <c r="H23" s="72">
        <f t="shared" si="4"/>
        <v>2425</v>
      </c>
      <c r="I23" s="72">
        <f t="shared" si="4"/>
        <v>2215</v>
      </c>
      <c r="J23" s="72">
        <f t="shared" si="4"/>
        <v>1905</v>
      </c>
      <c r="K23" s="127">
        <f t="shared" si="4"/>
        <v>2115</v>
      </c>
      <c r="L23" s="127">
        <f t="shared" si="4"/>
        <v>2323</v>
      </c>
      <c r="M23" s="127">
        <f t="shared" si="4"/>
        <v>2323</v>
      </c>
      <c r="N23" s="127">
        <f t="shared" si="4"/>
        <v>2430</v>
      </c>
      <c r="O23" s="127">
        <f t="shared" si="4"/>
        <v>2469</v>
      </c>
      <c r="P23" s="127">
        <f t="shared" si="4"/>
        <v>2469</v>
      </c>
      <c r="Q23" s="127">
        <f t="shared" si="4"/>
        <v>26889</v>
      </c>
    </row>
    <row r="24" spans="1:17" ht="15.75">
      <c r="A24" s="162"/>
      <c r="B24" s="171" t="s">
        <v>23</v>
      </c>
      <c r="C24" s="172"/>
      <c r="D24" s="70"/>
      <c r="E24" s="33">
        <v>8</v>
      </c>
      <c r="F24" s="33">
        <v>10</v>
      </c>
      <c r="G24" s="33">
        <v>24</v>
      </c>
      <c r="H24" s="33">
        <v>12</v>
      </c>
      <c r="I24" s="33">
        <v>24</v>
      </c>
      <c r="J24" s="33">
        <v>0</v>
      </c>
      <c r="K24" s="126">
        <v>11</v>
      </c>
      <c r="L24" s="126">
        <v>25</v>
      </c>
      <c r="M24" s="126">
        <v>25</v>
      </c>
      <c r="N24" s="126">
        <v>25</v>
      </c>
      <c r="O24" s="126">
        <v>25</v>
      </c>
      <c r="P24" s="126">
        <v>25</v>
      </c>
      <c r="Q24" s="127">
        <f>SUM(E24:P24)</f>
        <v>214</v>
      </c>
    </row>
    <row r="25" spans="1:17" ht="21" customHeight="1">
      <c r="A25" s="162"/>
      <c r="B25" s="171" t="s">
        <v>64</v>
      </c>
      <c r="C25" s="172"/>
      <c r="D25" s="70" t="s">
        <v>61</v>
      </c>
      <c r="E25" s="116">
        <v>3505</v>
      </c>
      <c r="F25" s="116">
        <v>1922</v>
      </c>
      <c r="G25" s="116">
        <v>2805</v>
      </c>
      <c r="H25" s="116">
        <v>3110</v>
      </c>
      <c r="I25" s="116">
        <v>3036</v>
      </c>
      <c r="J25" s="116">
        <v>2504</v>
      </c>
      <c r="K25" s="126">
        <v>2496</v>
      </c>
      <c r="L25" s="126">
        <v>2810</v>
      </c>
      <c r="M25" s="126">
        <v>2825</v>
      </c>
      <c r="N25" s="126">
        <v>3015</v>
      </c>
      <c r="O25" s="126">
        <v>2955</v>
      </c>
      <c r="P25" s="126">
        <v>3055</v>
      </c>
      <c r="Q25" s="126">
        <f>SUM(E25:P25)</f>
        <v>34038</v>
      </c>
    </row>
    <row r="26" spans="1:17" ht="15.75">
      <c r="A26" s="162"/>
      <c r="B26" s="171" t="s">
        <v>62</v>
      </c>
      <c r="C26" s="172"/>
      <c r="D26" s="70"/>
      <c r="E26" s="117">
        <v>2650</v>
      </c>
      <c r="F26" s="117">
        <v>1400</v>
      </c>
      <c r="G26" s="117">
        <v>2100</v>
      </c>
      <c r="H26" s="117">
        <v>2400</v>
      </c>
      <c r="I26" s="117">
        <v>2200</v>
      </c>
      <c r="J26" s="117">
        <v>1900</v>
      </c>
      <c r="K26" s="150">
        <v>2100</v>
      </c>
      <c r="L26" s="150">
        <v>2323</v>
      </c>
      <c r="M26" s="150">
        <v>2323</v>
      </c>
      <c r="N26" s="150">
        <v>2430</v>
      </c>
      <c r="O26" s="150">
        <v>2469</v>
      </c>
      <c r="P26" s="150">
        <v>2469</v>
      </c>
      <c r="Q26" s="127">
        <f>SUM(E26:P26)</f>
        <v>26764</v>
      </c>
    </row>
    <row r="27" spans="1:17" ht="15.75">
      <c r="A27" s="162"/>
      <c r="B27" s="171" t="s">
        <v>23</v>
      </c>
      <c r="C27" s="172"/>
      <c r="D27" s="70"/>
      <c r="E27" s="33">
        <f>E24</f>
        <v>8</v>
      </c>
      <c r="F27" s="33">
        <f aca="true" t="shared" si="5" ref="F27:Q27">F24</f>
        <v>10</v>
      </c>
      <c r="G27" s="33">
        <f t="shared" si="5"/>
        <v>24</v>
      </c>
      <c r="H27" s="33">
        <f t="shared" si="5"/>
        <v>12</v>
      </c>
      <c r="I27" s="33">
        <f t="shared" si="5"/>
        <v>24</v>
      </c>
      <c r="J27" s="33">
        <f t="shared" si="5"/>
        <v>0</v>
      </c>
      <c r="K27" s="126">
        <f t="shared" si="5"/>
        <v>11</v>
      </c>
      <c r="L27" s="126">
        <f t="shared" si="5"/>
        <v>25</v>
      </c>
      <c r="M27" s="126">
        <f t="shared" si="5"/>
        <v>25</v>
      </c>
      <c r="N27" s="126">
        <f t="shared" si="5"/>
        <v>25</v>
      </c>
      <c r="O27" s="126">
        <f t="shared" si="5"/>
        <v>25</v>
      </c>
      <c r="P27" s="126">
        <f t="shared" si="5"/>
        <v>25</v>
      </c>
      <c r="Q27" s="126">
        <f t="shared" si="5"/>
        <v>214</v>
      </c>
    </row>
    <row r="28" spans="1:17" ht="31.5">
      <c r="A28" s="163"/>
      <c r="B28" s="171" t="s">
        <v>66</v>
      </c>
      <c r="C28" s="172"/>
      <c r="D28" s="57" t="s">
        <v>26</v>
      </c>
      <c r="E28" s="34">
        <v>20</v>
      </c>
      <c r="F28" s="34">
        <v>20</v>
      </c>
      <c r="G28" s="34">
        <v>25</v>
      </c>
      <c r="H28" s="34">
        <v>25</v>
      </c>
      <c r="I28" s="34">
        <v>15</v>
      </c>
      <c r="J28" s="34">
        <v>5</v>
      </c>
      <c r="K28" s="151">
        <v>15</v>
      </c>
      <c r="L28" s="151"/>
      <c r="M28" s="151"/>
      <c r="N28" s="151"/>
      <c r="O28" s="151"/>
      <c r="P28" s="151"/>
      <c r="Q28" s="149">
        <f>SUM(E28:P28)</f>
        <v>125</v>
      </c>
    </row>
    <row r="29" spans="1:17" ht="32.25" customHeight="1">
      <c r="A29" s="161" t="s">
        <v>28</v>
      </c>
      <c r="B29" s="192" t="s">
        <v>47</v>
      </c>
      <c r="C29" s="193"/>
      <c r="D29" s="100"/>
      <c r="E29" s="46"/>
      <c r="F29" s="46"/>
      <c r="G29" s="46"/>
      <c r="H29" s="46"/>
      <c r="I29" s="46"/>
      <c r="J29" s="46"/>
      <c r="K29" s="127"/>
      <c r="L29" s="127"/>
      <c r="M29" s="127"/>
      <c r="N29" s="127"/>
      <c r="O29" s="127"/>
      <c r="P29" s="127"/>
      <c r="Q29" s="149"/>
    </row>
    <row r="30" spans="1:17" ht="18" customHeight="1">
      <c r="A30" s="162"/>
      <c r="B30" s="171" t="s">
        <v>70</v>
      </c>
      <c r="C30" s="172"/>
      <c r="D30" s="70" t="s">
        <v>61</v>
      </c>
      <c r="E30" s="115">
        <v>1814</v>
      </c>
      <c r="F30" s="115">
        <v>2154</v>
      </c>
      <c r="G30" s="115">
        <v>1706</v>
      </c>
      <c r="H30" s="115">
        <v>2105</v>
      </c>
      <c r="I30" s="115">
        <v>1714</v>
      </c>
      <c r="J30" s="115">
        <v>1758</v>
      </c>
      <c r="K30" s="152">
        <v>1405</v>
      </c>
      <c r="L30" s="152">
        <v>1920</v>
      </c>
      <c r="M30" s="152">
        <v>2160</v>
      </c>
      <c r="N30" s="152">
        <v>2310</v>
      </c>
      <c r="O30" s="152">
        <v>2382</v>
      </c>
      <c r="P30" s="152">
        <v>2388</v>
      </c>
      <c r="Q30" s="127">
        <f>SUM(E30:P30)</f>
        <v>23816</v>
      </c>
    </row>
    <row r="31" spans="1:17" ht="17.25" customHeight="1">
      <c r="A31" s="162"/>
      <c r="B31" s="171" t="s">
        <v>62</v>
      </c>
      <c r="C31" s="172"/>
      <c r="D31" s="70"/>
      <c r="E31" s="46">
        <f>E33+E34</f>
        <v>1700</v>
      </c>
      <c r="F31" s="46">
        <f aca="true" t="shared" si="6" ref="F31:Q31">F33+F34</f>
        <v>2040</v>
      </c>
      <c r="G31" s="46">
        <f t="shared" si="6"/>
        <v>1600</v>
      </c>
      <c r="H31" s="46">
        <f t="shared" si="6"/>
        <v>2000</v>
      </c>
      <c r="I31" s="46">
        <f t="shared" si="6"/>
        <v>1600</v>
      </c>
      <c r="J31" s="46">
        <f t="shared" si="6"/>
        <v>1650</v>
      </c>
      <c r="K31" s="127">
        <f t="shared" si="6"/>
        <v>1243</v>
      </c>
      <c r="L31" s="127">
        <f t="shared" si="6"/>
        <v>1619</v>
      </c>
      <c r="M31" s="127">
        <f t="shared" si="6"/>
        <v>1848</v>
      </c>
      <c r="N31" s="127">
        <f t="shared" si="6"/>
        <v>1985</v>
      </c>
      <c r="O31" s="127">
        <f t="shared" si="6"/>
        <v>2054</v>
      </c>
      <c r="P31" s="127">
        <f t="shared" si="6"/>
        <v>2063</v>
      </c>
      <c r="Q31" s="127">
        <f t="shared" si="6"/>
        <v>21402</v>
      </c>
    </row>
    <row r="32" spans="1:17" ht="15" customHeight="1">
      <c r="A32" s="162"/>
      <c r="B32" s="171" t="s">
        <v>64</v>
      </c>
      <c r="C32" s="172"/>
      <c r="D32" s="70" t="s">
        <v>61</v>
      </c>
      <c r="E32" s="46">
        <f>114+E33+E34</f>
        <v>1814</v>
      </c>
      <c r="F32" s="46">
        <f>114+F33+F34</f>
        <v>2154</v>
      </c>
      <c r="G32" s="46">
        <f>106+G33+G34</f>
        <v>1706</v>
      </c>
      <c r="H32" s="46">
        <f>106+H33+H34</f>
        <v>2106</v>
      </c>
      <c r="I32" s="46">
        <f>114+I33+I34</f>
        <v>1714</v>
      </c>
      <c r="J32" s="46">
        <f>106+J33+J34</f>
        <v>1756</v>
      </c>
      <c r="K32" s="127">
        <f>106+K33+K34</f>
        <v>1349</v>
      </c>
      <c r="L32" s="127">
        <f>110+L33+L34</f>
        <v>1729</v>
      </c>
      <c r="M32" s="127">
        <f>110+M33+M34</f>
        <v>1958</v>
      </c>
      <c r="N32" s="127">
        <f>110+N33+N34</f>
        <v>2095</v>
      </c>
      <c r="O32" s="127">
        <f>112+O33+O34</f>
        <v>2166</v>
      </c>
      <c r="P32" s="127">
        <f>112+P33+P34</f>
        <v>2175</v>
      </c>
      <c r="Q32" s="149">
        <f>SUM(E32:P32)</f>
        <v>22722</v>
      </c>
    </row>
    <row r="33" spans="1:17" ht="15" customHeight="1">
      <c r="A33" s="162"/>
      <c r="B33" s="171" t="s">
        <v>62</v>
      </c>
      <c r="C33" s="172"/>
      <c r="D33" s="70"/>
      <c r="E33" s="114">
        <v>1625</v>
      </c>
      <c r="F33" s="114">
        <v>1970</v>
      </c>
      <c r="G33" s="114">
        <v>1530</v>
      </c>
      <c r="H33" s="114">
        <v>1940</v>
      </c>
      <c r="I33" s="114">
        <v>1570</v>
      </c>
      <c r="J33" s="114">
        <v>1620</v>
      </c>
      <c r="K33" s="153">
        <v>1223</v>
      </c>
      <c r="L33" s="153">
        <v>1605</v>
      </c>
      <c r="M33" s="153">
        <v>1814</v>
      </c>
      <c r="N33" s="153">
        <v>1945</v>
      </c>
      <c r="O33" s="153">
        <v>2007</v>
      </c>
      <c r="P33" s="153">
        <v>2016</v>
      </c>
      <c r="Q33" s="149">
        <f>SUM(E33:P33)</f>
        <v>20865</v>
      </c>
    </row>
    <row r="34" spans="1:17" ht="31.5">
      <c r="A34" s="51"/>
      <c r="B34" s="171" t="s">
        <v>66</v>
      </c>
      <c r="C34" s="172"/>
      <c r="D34" s="57" t="s">
        <v>26</v>
      </c>
      <c r="E34" s="69">
        <v>75</v>
      </c>
      <c r="F34" s="69">
        <v>70</v>
      </c>
      <c r="G34" s="69">
        <v>70</v>
      </c>
      <c r="H34" s="69">
        <v>60</v>
      </c>
      <c r="I34" s="69">
        <v>30</v>
      </c>
      <c r="J34" s="69">
        <v>30</v>
      </c>
      <c r="K34" s="154">
        <v>20</v>
      </c>
      <c r="L34" s="154">
        <v>14</v>
      </c>
      <c r="M34" s="154">
        <v>34</v>
      </c>
      <c r="N34" s="154">
        <v>40</v>
      </c>
      <c r="O34" s="154">
        <v>47</v>
      </c>
      <c r="P34" s="154">
        <v>47</v>
      </c>
      <c r="Q34" s="149">
        <f>SUM(E34:P34)</f>
        <v>537</v>
      </c>
    </row>
    <row r="35" spans="1:17" ht="15" customHeight="1">
      <c r="A35" s="161"/>
      <c r="B35" s="173" t="s">
        <v>84</v>
      </c>
      <c r="C35" s="174"/>
      <c r="D35" s="71" t="s">
        <v>61</v>
      </c>
      <c r="E35" s="45">
        <f aca="true" t="shared" si="7" ref="E35:Q35">E38+E43</f>
        <v>8553</v>
      </c>
      <c r="F35" s="45">
        <f t="shared" si="7"/>
        <v>7454</v>
      </c>
      <c r="G35" s="45">
        <f t="shared" si="7"/>
        <v>7595</v>
      </c>
      <c r="H35" s="45">
        <f t="shared" si="7"/>
        <v>8439</v>
      </c>
      <c r="I35" s="45">
        <f t="shared" si="7"/>
        <v>7734</v>
      </c>
      <c r="J35" s="45">
        <f t="shared" si="7"/>
        <v>7183</v>
      </c>
      <c r="K35" s="134">
        <f t="shared" si="7"/>
        <v>6485</v>
      </c>
      <c r="L35" s="134">
        <f t="shared" si="7"/>
        <v>7308</v>
      </c>
      <c r="M35" s="134">
        <f t="shared" si="7"/>
        <v>7523</v>
      </c>
      <c r="N35" s="134">
        <f t="shared" si="7"/>
        <v>8055</v>
      </c>
      <c r="O35" s="134">
        <f t="shared" si="7"/>
        <v>8274</v>
      </c>
      <c r="P35" s="134">
        <f t="shared" si="7"/>
        <v>8483</v>
      </c>
      <c r="Q35" s="134">
        <f t="shared" si="7"/>
        <v>93086</v>
      </c>
    </row>
    <row r="36" spans="1:19" ht="15.75">
      <c r="A36" s="162"/>
      <c r="B36" s="173" t="s">
        <v>41</v>
      </c>
      <c r="C36" s="174"/>
      <c r="D36" s="71"/>
      <c r="E36" s="45">
        <f aca="true" t="shared" si="8" ref="E36:Q36">E39+E44</f>
        <v>7120</v>
      </c>
      <c r="F36" s="45">
        <f t="shared" si="8"/>
        <v>6360</v>
      </c>
      <c r="G36" s="45">
        <f t="shared" si="8"/>
        <v>6325</v>
      </c>
      <c r="H36" s="45">
        <f t="shared" si="8"/>
        <v>7175</v>
      </c>
      <c r="I36" s="45">
        <f t="shared" si="8"/>
        <v>6365</v>
      </c>
      <c r="J36" s="45">
        <f t="shared" si="8"/>
        <v>6055</v>
      </c>
      <c r="K36" s="134">
        <f t="shared" si="8"/>
        <v>5385</v>
      </c>
      <c r="L36" s="134">
        <f t="shared" si="8"/>
        <v>6111</v>
      </c>
      <c r="M36" s="134">
        <f t="shared" si="8"/>
        <v>6294</v>
      </c>
      <c r="N36" s="134">
        <f t="shared" si="8"/>
        <v>6735</v>
      </c>
      <c r="O36" s="134">
        <f t="shared" si="8"/>
        <v>7046</v>
      </c>
      <c r="P36" s="134">
        <f t="shared" si="8"/>
        <v>7154</v>
      </c>
      <c r="Q36" s="134">
        <f t="shared" si="8"/>
        <v>78125</v>
      </c>
      <c r="S36" s="119"/>
    </row>
    <row r="37" spans="1:17" ht="15.75">
      <c r="A37" s="163"/>
      <c r="B37" s="173" t="s">
        <v>23</v>
      </c>
      <c r="C37" s="174"/>
      <c r="D37" s="71"/>
      <c r="E37" s="45">
        <f aca="true" t="shared" si="9" ref="E37:Q37">E40+E45</f>
        <v>130</v>
      </c>
      <c r="F37" s="45">
        <f t="shared" si="9"/>
        <v>131</v>
      </c>
      <c r="G37" s="45">
        <f t="shared" si="9"/>
        <v>146</v>
      </c>
      <c r="H37" s="45">
        <f t="shared" si="9"/>
        <v>133</v>
      </c>
      <c r="I37" s="45">
        <f t="shared" si="9"/>
        <v>146</v>
      </c>
      <c r="J37" s="45">
        <f t="shared" si="9"/>
        <v>121</v>
      </c>
      <c r="K37" s="134">
        <f t="shared" si="9"/>
        <v>150</v>
      </c>
      <c r="L37" s="134">
        <f t="shared" si="9"/>
        <v>164</v>
      </c>
      <c r="M37" s="134">
        <f t="shared" si="9"/>
        <v>164</v>
      </c>
      <c r="N37" s="134">
        <f t="shared" si="9"/>
        <v>164</v>
      </c>
      <c r="O37" s="134">
        <f t="shared" si="9"/>
        <v>165</v>
      </c>
      <c r="P37" s="134">
        <f t="shared" si="9"/>
        <v>165</v>
      </c>
      <c r="Q37" s="134">
        <f t="shared" si="9"/>
        <v>1779</v>
      </c>
    </row>
    <row r="38" spans="1:17" ht="16.5" customHeight="1">
      <c r="A38" s="51"/>
      <c r="B38" s="173" t="s">
        <v>64</v>
      </c>
      <c r="C38" s="174"/>
      <c r="D38" s="71" t="s">
        <v>61</v>
      </c>
      <c r="E38" s="45">
        <f>E12+E18+E25+E32</f>
        <v>7788</v>
      </c>
      <c r="F38" s="45">
        <f aca="true" t="shared" si="10" ref="F38:Q38">F12+F18+F25+F32</f>
        <v>6595</v>
      </c>
      <c r="G38" s="45">
        <f t="shared" si="10"/>
        <v>6830</v>
      </c>
      <c r="H38" s="45">
        <f t="shared" si="10"/>
        <v>7635</v>
      </c>
      <c r="I38" s="45">
        <f t="shared" si="10"/>
        <v>7069</v>
      </c>
      <c r="J38" s="45">
        <f t="shared" si="10"/>
        <v>6579</v>
      </c>
      <c r="K38" s="134">
        <f t="shared" si="10"/>
        <v>5964</v>
      </c>
      <c r="L38" s="134">
        <f t="shared" si="10"/>
        <v>6808</v>
      </c>
      <c r="M38" s="134">
        <f t="shared" si="10"/>
        <v>7002</v>
      </c>
      <c r="N38" s="134">
        <f t="shared" si="10"/>
        <v>7529</v>
      </c>
      <c r="O38" s="134">
        <f t="shared" si="10"/>
        <v>7640</v>
      </c>
      <c r="P38" s="134">
        <f t="shared" si="10"/>
        <v>7749</v>
      </c>
      <c r="Q38" s="134">
        <f t="shared" si="10"/>
        <v>85188</v>
      </c>
    </row>
    <row r="39" spans="1:17" ht="15.75">
      <c r="A39" s="51"/>
      <c r="B39" s="173" t="s">
        <v>62</v>
      </c>
      <c r="C39" s="174"/>
      <c r="D39" s="71"/>
      <c r="E39" s="45">
        <f>E13+E19+E26+E33</f>
        <v>6425</v>
      </c>
      <c r="F39" s="45">
        <f aca="true" t="shared" si="11" ref="F39:Q39">F13+F19+F26+F33</f>
        <v>5570</v>
      </c>
      <c r="G39" s="45">
        <f t="shared" si="11"/>
        <v>5630</v>
      </c>
      <c r="H39" s="45">
        <f t="shared" si="11"/>
        <v>6440</v>
      </c>
      <c r="I39" s="45">
        <f t="shared" si="11"/>
        <v>5770</v>
      </c>
      <c r="J39" s="45">
        <f t="shared" si="11"/>
        <v>5520</v>
      </c>
      <c r="K39" s="134">
        <f t="shared" si="11"/>
        <v>4940</v>
      </c>
      <c r="L39" s="134">
        <f t="shared" si="11"/>
        <v>5687</v>
      </c>
      <c r="M39" s="134">
        <f t="shared" si="11"/>
        <v>5850</v>
      </c>
      <c r="N39" s="134">
        <f t="shared" si="11"/>
        <v>6285</v>
      </c>
      <c r="O39" s="134">
        <f t="shared" si="11"/>
        <v>6489</v>
      </c>
      <c r="P39" s="134">
        <f t="shared" si="11"/>
        <v>6497</v>
      </c>
      <c r="Q39" s="134">
        <f t="shared" si="11"/>
        <v>71103</v>
      </c>
    </row>
    <row r="40" spans="1:17" ht="15.75">
      <c r="A40" s="51"/>
      <c r="B40" s="173" t="s">
        <v>23</v>
      </c>
      <c r="C40" s="174"/>
      <c r="D40" s="71"/>
      <c r="E40" s="45">
        <f>E14+E20+E27</f>
        <v>127</v>
      </c>
      <c r="F40" s="45">
        <f aca="true" t="shared" si="12" ref="F40:Q40">F14+F20+F27</f>
        <v>129</v>
      </c>
      <c r="G40" s="45">
        <f t="shared" si="12"/>
        <v>143</v>
      </c>
      <c r="H40" s="45">
        <f t="shared" si="12"/>
        <v>131</v>
      </c>
      <c r="I40" s="45">
        <f t="shared" si="12"/>
        <v>143</v>
      </c>
      <c r="J40" s="45">
        <f t="shared" si="12"/>
        <v>119</v>
      </c>
      <c r="K40" s="134">
        <f t="shared" si="12"/>
        <v>141</v>
      </c>
      <c r="L40" s="134">
        <f t="shared" si="12"/>
        <v>155</v>
      </c>
      <c r="M40" s="134">
        <f t="shared" si="12"/>
        <v>155</v>
      </c>
      <c r="N40" s="134">
        <f t="shared" si="12"/>
        <v>155</v>
      </c>
      <c r="O40" s="134">
        <f t="shared" si="12"/>
        <v>155</v>
      </c>
      <c r="P40" s="134">
        <f t="shared" si="12"/>
        <v>154</v>
      </c>
      <c r="Q40" s="134">
        <f t="shared" si="12"/>
        <v>1707</v>
      </c>
    </row>
    <row r="41" spans="1:17" ht="15.75">
      <c r="A41" s="51"/>
      <c r="B41" s="86"/>
      <c r="C41" s="71"/>
      <c r="D41" s="71"/>
      <c r="E41" s="45"/>
      <c r="F41" s="45"/>
      <c r="G41" s="45"/>
      <c r="H41" s="45"/>
      <c r="I41" s="45"/>
      <c r="J41" s="45"/>
      <c r="K41" s="45"/>
      <c r="L41" s="45"/>
      <c r="M41" s="45"/>
      <c r="N41" s="169" t="s">
        <v>50</v>
      </c>
      <c r="O41" s="170"/>
      <c r="P41" s="170"/>
      <c r="Q41" s="170"/>
    </row>
    <row r="42" spans="1:17" ht="15.75">
      <c r="A42" s="51" t="s">
        <v>85</v>
      </c>
      <c r="B42" s="171" t="s">
        <v>39</v>
      </c>
      <c r="C42" s="172"/>
      <c r="D42" s="70"/>
      <c r="E42" s="33" t="s">
        <v>6</v>
      </c>
      <c r="F42" s="33" t="s">
        <v>7</v>
      </c>
      <c r="G42" s="33" t="s">
        <v>8</v>
      </c>
      <c r="H42" s="33" t="s">
        <v>9</v>
      </c>
      <c r="I42" s="33" t="s">
        <v>10</v>
      </c>
      <c r="J42" s="33" t="s">
        <v>11</v>
      </c>
      <c r="K42" s="33" t="s">
        <v>12</v>
      </c>
      <c r="L42" s="33" t="s">
        <v>13</v>
      </c>
      <c r="M42" s="33" t="s">
        <v>14</v>
      </c>
      <c r="N42" s="33" t="s">
        <v>15</v>
      </c>
      <c r="O42" s="33" t="s">
        <v>16</v>
      </c>
      <c r="P42" s="33" t="s">
        <v>17</v>
      </c>
      <c r="Q42" s="48" t="s">
        <v>93</v>
      </c>
    </row>
    <row r="43" spans="1:17" ht="31.5">
      <c r="A43" s="51"/>
      <c r="B43" s="173" t="s">
        <v>66</v>
      </c>
      <c r="C43" s="174"/>
      <c r="D43" s="62" t="s">
        <v>26</v>
      </c>
      <c r="E43" s="45">
        <f>E15+E28+E34</f>
        <v>765</v>
      </c>
      <c r="F43" s="45">
        <f aca="true" t="shared" si="13" ref="F43:Q43">F15+F28+F34</f>
        <v>859</v>
      </c>
      <c r="G43" s="45">
        <f t="shared" si="13"/>
        <v>765</v>
      </c>
      <c r="H43" s="45">
        <f t="shared" si="13"/>
        <v>804</v>
      </c>
      <c r="I43" s="45">
        <f t="shared" si="13"/>
        <v>665</v>
      </c>
      <c r="J43" s="45">
        <f t="shared" si="13"/>
        <v>604</v>
      </c>
      <c r="K43" s="45">
        <f t="shared" si="13"/>
        <v>521</v>
      </c>
      <c r="L43" s="45">
        <f t="shared" si="13"/>
        <v>500</v>
      </c>
      <c r="M43" s="45">
        <f t="shared" si="13"/>
        <v>521</v>
      </c>
      <c r="N43" s="45">
        <f t="shared" si="13"/>
        <v>526</v>
      </c>
      <c r="O43" s="45">
        <f t="shared" si="13"/>
        <v>634</v>
      </c>
      <c r="P43" s="45">
        <f t="shared" si="13"/>
        <v>734</v>
      </c>
      <c r="Q43" s="45">
        <f t="shared" si="13"/>
        <v>7898</v>
      </c>
    </row>
    <row r="44" spans="1:17" ht="15.75">
      <c r="A44" s="51"/>
      <c r="B44" s="173" t="s">
        <v>62</v>
      </c>
      <c r="C44" s="174"/>
      <c r="D44" s="71"/>
      <c r="E44" s="45">
        <f>E16+E28+E34</f>
        <v>695</v>
      </c>
      <c r="F44" s="45">
        <f aca="true" t="shared" si="14" ref="F44:Q44">F16+F28+F34</f>
        <v>790</v>
      </c>
      <c r="G44" s="45">
        <f t="shared" si="14"/>
        <v>695</v>
      </c>
      <c r="H44" s="45">
        <f t="shared" si="14"/>
        <v>735</v>
      </c>
      <c r="I44" s="45">
        <f t="shared" si="14"/>
        <v>595</v>
      </c>
      <c r="J44" s="45">
        <f t="shared" si="14"/>
        <v>535</v>
      </c>
      <c r="K44" s="45">
        <f t="shared" si="14"/>
        <v>445</v>
      </c>
      <c r="L44" s="45">
        <f t="shared" si="14"/>
        <v>424</v>
      </c>
      <c r="M44" s="45">
        <f t="shared" si="14"/>
        <v>444</v>
      </c>
      <c r="N44" s="45">
        <f t="shared" si="14"/>
        <v>450</v>
      </c>
      <c r="O44" s="45">
        <f t="shared" si="14"/>
        <v>557</v>
      </c>
      <c r="P44" s="45">
        <f t="shared" si="14"/>
        <v>657</v>
      </c>
      <c r="Q44" s="45">
        <f t="shared" si="14"/>
        <v>7022</v>
      </c>
    </row>
    <row r="45" spans="1:17" ht="15.75">
      <c r="A45" s="51"/>
      <c r="B45" s="173" t="s">
        <v>23</v>
      </c>
      <c r="C45" s="174"/>
      <c r="D45" s="71"/>
      <c r="E45" s="45">
        <f>E17</f>
        <v>3</v>
      </c>
      <c r="F45" s="45">
        <f aca="true" t="shared" si="15" ref="F45:Q45">F17</f>
        <v>2</v>
      </c>
      <c r="G45" s="45">
        <f t="shared" si="15"/>
        <v>3</v>
      </c>
      <c r="H45" s="45">
        <f t="shared" si="15"/>
        <v>2</v>
      </c>
      <c r="I45" s="45">
        <f t="shared" si="15"/>
        <v>3</v>
      </c>
      <c r="J45" s="45">
        <f t="shared" si="15"/>
        <v>2</v>
      </c>
      <c r="K45" s="45">
        <f t="shared" si="15"/>
        <v>9</v>
      </c>
      <c r="L45" s="45">
        <f t="shared" si="15"/>
        <v>9</v>
      </c>
      <c r="M45" s="45">
        <f t="shared" si="15"/>
        <v>9</v>
      </c>
      <c r="N45" s="45">
        <f t="shared" si="15"/>
        <v>9</v>
      </c>
      <c r="O45" s="45">
        <f t="shared" si="15"/>
        <v>10</v>
      </c>
      <c r="P45" s="45">
        <f t="shared" si="15"/>
        <v>11</v>
      </c>
      <c r="Q45" s="45">
        <f t="shared" si="15"/>
        <v>72</v>
      </c>
    </row>
    <row r="46" spans="1:17" ht="49.5" customHeight="1">
      <c r="A46" s="161" t="s">
        <v>30</v>
      </c>
      <c r="B46" s="189" t="s">
        <v>89</v>
      </c>
      <c r="C46" s="190"/>
      <c r="D46" s="70" t="s">
        <v>61</v>
      </c>
      <c r="E46" s="46">
        <v>1223</v>
      </c>
      <c r="F46" s="46">
        <v>1223</v>
      </c>
      <c r="G46" s="46">
        <v>1226</v>
      </c>
      <c r="H46" s="46">
        <v>1223</v>
      </c>
      <c r="I46" s="46">
        <v>1123</v>
      </c>
      <c r="J46" s="46">
        <v>1127</v>
      </c>
      <c r="K46" s="46">
        <v>1123</v>
      </c>
      <c r="L46" s="46">
        <v>1123</v>
      </c>
      <c r="M46" s="46">
        <v>1227</v>
      </c>
      <c r="N46" s="46">
        <v>1223</v>
      </c>
      <c r="O46" s="46">
        <v>1223</v>
      </c>
      <c r="P46" s="46">
        <v>1227</v>
      </c>
      <c r="Q46" s="73">
        <f aca="true" t="shared" si="16" ref="Q46:Q51">SUM(P46+O46+N46+M46+L46+K46+J46+I46+H46+G46+F46+E46)</f>
        <v>14291</v>
      </c>
    </row>
    <row r="47" spans="1:17" ht="15.75">
      <c r="A47" s="162"/>
      <c r="B47" s="171" t="s">
        <v>62</v>
      </c>
      <c r="C47" s="172"/>
      <c r="D47" s="70"/>
      <c r="E47" s="72">
        <v>1200</v>
      </c>
      <c r="F47" s="72">
        <v>1200</v>
      </c>
      <c r="G47" s="72">
        <v>1200</v>
      </c>
      <c r="H47" s="72">
        <v>1200</v>
      </c>
      <c r="I47" s="72">
        <v>1100</v>
      </c>
      <c r="J47" s="72">
        <v>1100</v>
      </c>
      <c r="K47" s="72">
        <v>1100</v>
      </c>
      <c r="L47" s="72">
        <v>1100</v>
      </c>
      <c r="M47" s="72">
        <v>1200</v>
      </c>
      <c r="N47" s="72">
        <v>1200</v>
      </c>
      <c r="O47" s="72">
        <v>1200</v>
      </c>
      <c r="P47" s="72">
        <v>1200</v>
      </c>
      <c r="Q47" s="73">
        <f t="shared" si="16"/>
        <v>14000</v>
      </c>
    </row>
    <row r="48" spans="1:17" ht="15.75">
      <c r="A48" s="163"/>
      <c r="B48" s="171" t="s">
        <v>23</v>
      </c>
      <c r="C48" s="172"/>
      <c r="D48" s="103"/>
      <c r="E48" s="56"/>
      <c r="F48" s="56"/>
      <c r="G48" s="56">
        <v>3</v>
      </c>
      <c r="H48" s="56"/>
      <c r="I48" s="56"/>
      <c r="J48" s="56"/>
      <c r="K48" s="56">
        <v>4</v>
      </c>
      <c r="L48" s="56"/>
      <c r="M48" s="56">
        <v>4</v>
      </c>
      <c r="N48" s="56"/>
      <c r="O48" s="56"/>
      <c r="P48" s="56">
        <v>4</v>
      </c>
      <c r="Q48" s="73">
        <f t="shared" si="16"/>
        <v>15</v>
      </c>
    </row>
    <row r="49" spans="1:17" ht="30" customHeight="1">
      <c r="A49" s="164" t="s">
        <v>31</v>
      </c>
      <c r="B49" s="194" t="s">
        <v>59</v>
      </c>
      <c r="C49" s="195"/>
      <c r="D49" s="70" t="s">
        <v>61</v>
      </c>
      <c r="E49" s="46">
        <v>201</v>
      </c>
      <c r="F49" s="46">
        <v>202</v>
      </c>
      <c r="G49" s="46">
        <v>134</v>
      </c>
      <c r="H49" s="46">
        <v>215</v>
      </c>
      <c r="I49" s="46">
        <v>203</v>
      </c>
      <c r="J49" s="46">
        <v>175</v>
      </c>
      <c r="K49" s="46"/>
      <c r="L49" s="46"/>
      <c r="M49" s="46"/>
      <c r="N49" s="46"/>
      <c r="O49" s="46"/>
      <c r="P49" s="46"/>
      <c r="Q49" s="80">
        <f t="shared" si="16"/>
        <v>1130</v>
      </c>
    </row>
    <row r="50" spans="1:17" ht="15.75">
      <c r="A50" s="164"/>
      <c r="B50" s="171" t="s">
        <v>62</v>
      </c>
      <c r="C50" s="172"/>
      <c r="D50" s="70"/>
      <c r="E50" s="69">
        <v>172</v>
      </c>
      <c r="F50" s="69">
        <v>173</v>
      </c>
      <c r="G50" s="69">
        <v>105</v>
      </c>
      <c r="H50" s="69">
        <v>186</v>
      </c>
      <c r="I50" s="69">
        <v>174</v>
      </c>
      <c r="J50" s="69">
        <v>146</v>
      </c>
      <c r="K50" s="69"/>
      <c r="L50" s="69"/>
      <c r="M50" s="69"/>
      <c r="N50" s="69"/>
      <c r="O50" s="69"/>
      <c r="P50" s="69"/>
      <c r="Q50" s="80">
        <f t="shared" si="16"/>
        <v>956</v>
      </c>
    </row>
    <row r="51" spans="1:17" ht="15.75">
      <c r="A51" s="164"/>
      <c r="B51" s="171" t="s">
        <v>23</v>
      </c>
      <c r="C51" s="172"/>
      <c r="D51" s="70"/>
      <c r="E51" s="46">
        <v>6</v>
      </c>
      <c r="F51" s="46">
        <v>6</v>
      </c>
      <c r="G51" s="46">
        <v>6</v>
      </c>
      <c r="H51" s="46">
        <v>6</v>
      </c>
      <c r="I51" s="46">
        <v>6</v>
      </c>
      <c r="J51" s="46">
        <v>6</v>
      </c>
      <c r="K51" s="46"/>
      <c r="L51" s="46"/>
      <c r="M51" s="46"/>
      <c r="N51" s="46"/>
      <c r="O51" s="46"/>
      <c r="P51" s="46"/>
      <c r="Q51" s="80">
        <f t="shared" si="16"/>
        <v>36</v>
      </c>
    </row>
    <row r="52" spans="1:17" ht="34.5" customHeight="1">
      <c r="A52" s="50"/>
      <c r="B52" s="189" t="s">
        <v>99</v>
      </c>
      <c r="C52" s="190"/>
      <c r="D52" s="70" t="s">
        <v>61</v>
      </c>
      <c r="E52" s="46"/>
      <c r="F52" s="46"/>
      <c r="G52" s="46"/>
      <c r="H52" s="46"/>
      <c r="I52" s="46"/>
      <c r="J52" s="46"/>
      <c r="K52" s="127">
        <f>K53+35</f>
        <v>497</v>
      </c>
      <c r="L52" s="127">
        <f aca="true" t="shared" si="17" ref="L52:Q52">L53+35</f>
        <v>528</v>
      </c>
      <c r="M52" s="127">
        <f t="shared" si="17"/>
        <v>521</v>
      </c>
      <c r="N52" s="127">
        <f t="shared" si="17"/>
        <v>543</v>
      </c>
      <c r="O52" s="127">
        <f t="shared" si="17"/>
        <v>542</v>
      </c>
      <c r="P52" s="127">
        <f t="shared" si="17"/>
        <v>545</v>
      </c>
      <c r="Q52" s="127">
        <f t="shared" si="17"/>
        <v>3001</v>
      </c>
    </row>
    <row r="53" spans="1:17" ht="15.75">
      <c r="A53" s="50"/>
      <c r="B53" s="171" t="s">
        <v>62</v>
      </c>
      <c r="C53" s="172"/>
      <c r="D53" s="70"/>
      <c r="E53" s="46"/>
      <c r="F53" s="46"/>
      <c r="G53" s="46"/>
      <c r="H53" s="46"/>
      <c r="I53" s="46"/>
      <c r="J53" s="46"/>
      <c r="K53" s="127">
        <f aca="true" t="shared" si="18" ref="K53:P53">K54+K56</f>
        <v>462</v>
      </c>
      <c r="L53" s="127">
        <f t="shared" si="18"/>
        <v>493</v>
      </c>
      <c r="M53" s="127">
        <f t="shared" si="18"/>
        <v>486</v>
      </c>
      <c r="N53" s="127">
        <f t="shared" si="18"/>
        <v>508</v>
      </c>
      <c r="O53" s="127">
        <f t="shared" si="18"/>
        <v>507</v>
      </c>
      <c r="P53" s="127">
        <f t="shared" si="18"/>
        <v>510</v>
      </c>
      <c r="Q53" s="147">
        <f>SUM(K53:P53)</f>
        <v>2966</v>
      </c>
    </row>
    <row r="54" spans="1:17" ht="15.75">
      <c r="A54" s="50"/>
      <c r="B54" s="171" t="s">
        <v>64</v>
      </c>
      <c r="C54" s="172"/>
      <c r="D54" s="70"/>
      <c r="E54" s="46"/>
      <c r="F54" s="46"/>
      <c r="G54" s="46"/>
      <c r="H54" s="46"/>
      <c r="I54" s="46"/>
      <c r="J54" s="46"/>
      <c r="K54" s="127">
        <f aca="true" t="shared" si="19" ref="K54:P54">K55</f>
        <v>372</v>
      </c>
      <c r="L54" s="127">
        <f t="shared" si="19"/>
        <v>403</v>
      </c>
      <c r="M54" s="127">
        <f t="shared" si="19"/>
        <v>396</v>
      </c>
      <c r="N54" s="127">
        <f t="shared" si="19"/>
        <v>418</v>
      </c>
      <c r="O54" s="127">
        <f t="shared" si="19"/>
        <v>417</v>
      </c>
      <c r="P54" s="127">
        <f t="shared" si="19"/>
        <v>420</v>
      </c>
      <c r="Q54" s="147">
        <f>SUM(K54:P54)</f>
        <v>2426</v>
      </c>
    </row>
    <row r="55" spans="1:18" ht="15.75">
      <c r="A55" s="50"/>
      <c r="B55" s="171" t="s">
        <v>62</v>
      </c>
      <c r="C55" s="172"/>
      <c r="D55" s="70"/>
      <c r="E55" s="46"/>
      <c r="F55" s="46"/>
      <c r="G55" s="46"/>
      <c r="H55" s="46"/>
      <c r="I55" s="46"/>
      <c r="J55" s="46"/>
      <c r="K55" s="127">
        <v>372</v>
      </c>
      <c r="L55" s="127">
        <v>403</v>
      </c>
      <c r="M55" s="127">
        <v>396</v>
      </c>
      <c r="N55" s="127">
        <v>418</v>
      </c>
      <c r="O55" s="127">
        <v>417</v>
      </c>
      <c r="P55" s="127">
        <v>420</v>
      </c>
      <c r="Q55" s="147">
        <f>SUM(K55:P55)</f>
        <v>2426</v>
      </c>
      <c r="R55" s="144">
        <f>Q55*7.51+Q55*5.98</f>
        <v>32726.739999999998</v>
      </c>
    </row>
    <row r="56" spans="1:17" ht="15.75">
      <c r="A56" s="50"/>
      <c r="B56" s="171" t="s">
        <v>66</v>
      </c>
      <c r="C56" s="172"/>
      <c r="D56" s="70"/>
      <c r="E56" s="46"/>
      <c r="F56" s="46"/>
      <c r="G56" s="46"/>
      <c r="H56" s="46"/>
      <c r="I56" s="46"/>
      <c r="J56" s="46"/>
      <c r="K56" s="127">
        <v>90</v>
      </c>
      <c r="L56" s="127">
        <v>90</v>
      </c>
      <c r="M56" s="127">
        <v>90</v>
      </c>
      <c r="N56" s="127">
        <v>90</v>
      </c>
      <c r="O56" s="127">
        <v>90</v>
      </c>
      <c r="P56" s="127">
        <v>90</v>
      </c>
      <c r="Q56" s="147">
        <f>SUM(K56:P56)</f>
        <v>540</v>
      </c>
    </row>
    <row r="57" spans="1:18" ht="15.75">
      <c r="A57" s="50"/>
      <c r="B57" s="171" t="s">
        <v>62</v>
      </c>
      <c r="C57" s="172"/>
      <c r="D57" s="70"/>
      <c r="E57" s="46"/>
      <c r="F57" s="46"/>
      <c r="G57" s="46"/>
      <c r="H57" s="46"/>
      <c r="I57" s="46"/>
      <c r="J57" s="46"/>
      <c r="K57" s="127">
        <f aca="true" t="shared" si="20" ref="K57:P57">K56</f>
        <v>90</v>
      </c>
      <c r="L57" s="127">
        <f t="shared" si="20"/>
        <v>90</v>
      </c>
      <c r="M57" s="127">
        <f t="shared" si="20"/>
        <v>90</v>
      </c>
      <c r="N57" s="127">
        <f t="shared" si="20"/>
        <v>90</v>
      </c>
      <c r="O57" s="127">
        <f t="shared" si="20"/>
        <v>90</v>
      </c>
      <c r="P57" s="127">
        <f t="shared" si="20"/>
        <v>90</v>
      </c>
      <c r="Q57" s="147">
        <f>SUM(K57:P57)</f>
        <v>540</v>
      </c>
      <c r="R57" s="144">
        <f>Q57*75.04+Q57*5.98</f>
        <v>43750.8</v>
      </c>
    </row>
    <row r="58" spans="1:17" ht="32.25" customHeight="1">
      <c r="A58" s="161" t="s">
        <v>32</v>
      </c>
      <c r="B58" s="180" t="s">
        <v>91</v>
      </c>
      <c r="C58" s="181"/>
      <c r="D58" s="70" t="s">
        <v>61</v>
      </c>
      <c r="E58" s="46">
        <f>SUM(E59:E60)</f>
        <v>75</v>
      </c>
      <c r="F58" s="46">
        <f aca="true" t="shared" si="21" ref="F58:Q58">SUM(F59:F60)</f>
        <v>65</v>
      </c>
      <c r="G58" s="46">
        <f t="shared" si="21"/>
        <v>70</v>
      </c>
      <c r="H58" s="46">
        <f t="shared" si="21"/>
        <v>75</v>
      </c>
      <c r="I58" s="46">
        <f t="shared" si="21"/>
        <v>72</v>
      </c>
      <c r="J58" s="46">
        <f t="shared" si="21"/>
        <v>55</v>
      </c>
      <c r="K58" s="127">
        <f t="shared" si="21"/>
        <v>55</v>
      </c>
      <c r="L58" s="127"/>
      <c r="M58" s="127"/>
      <c r="N58" s="127"/>
      <c r="O58" s="127"/>
      <c r="P58" s="127"/>
      <c r="Q58" s="127">
        <f t="shared" si="21"/>
        <v>467</v>
      </c>
    </row>
    <row r="59" spans="1:17" ht="15" customHeight="1">
      <c r="A59" s="162"/>
      <c r="B59" s="187" t="s">
        <v>20</v>
      </c>
      <c r="C59" s="188"/>
      <c r="D59" s="102"/>
      <c r="E59" s="46">
        <v>35</v>
      </c>
      <c r="F59" s="46">
        <v>30</v>
      </c>
      <c r="G59" s="46">
        <v>30</v>
      </c>
      <c r="H59" s="46">
        <v>30</v>
      </c>
      <c r="I59" s="46">
        <v>31</v>
      </c>
      <c r="J59" s="46">
        <v>20</v>
      </c>
      <c r="K59" s="127">
        <v>20</v>
      </c>
      <c r="L59" s="127"/>
      <c r="M59" s="127"/>
      <c r="N59" s="127"/>
      <c r="O59" s="127"/>
      <c r="P59" s="127"/>
      <c r="Q59" s="147">
        <f>SUM(E59:P59)</f>
        <v>196</v>
      </c>
    </row>
    <row r="60" spans="1:17" ht="15" customHeight="1">
      <c r="A60" s="163"/>
      <c r="B60" s="187" t="s">
        <v>23</v>
      </c>
      <c r="C60" s="188"/>
      <c r="D60" s="102"/>
      <c r="E60" s="46">
        <v>40</v>
      </c>
      <c r="F60" s="46">
        <v>35</v>
      </c>
      <c r="G60" s="46">
        <v>40</v>
      </c>
      <c r="H60" s="46">
        <v>45</v>
      </c>
      <c r="I60" s="46">
        <v>41</v>
      </c>
      <c r="J60" s="46">
        <v>35</v>
      </c>
      <c r="K60" s="127">
        <v>35</v>
      </c>
      <c r="L60" s="127"/>
      <c r="M60" s="127"/>
      <c r="N60" s="127"/>
      <c r="O60" s="127"/>
      <c r="P60" s="127"/>
      <c r="Q60" s="147">
        <f>SUM(P60+O60+N60+M60+L60+K60+J60+I60+H60+G60+F60+E60)</f>
        <v>271</v>
      </c>
    </row>
    <row r="61" spans="1:17" ht="36" customHeight="1">
      <c r="A61" s="52"/>
      <c r="B61" s="189" t="s">
        <v>100</v>
      </c>
      <c r="C61" s="190"/>
      <c r="D61" s="102"/>
      <c r="E61" s="46"/>
      <c r="F61" s="46"/>
      <c r="G61" s="46"/>
      <c r="H61" s="46"/>
      <c r="I61" s="46"/>
      <c r="J61" s="46"/>
      <c r="K61" s="127"/>
      <c r="L61" s="127">
        <f aca="true" t="shared" si="22" ref="L61:Q61">L62</f>
        <v>298</v>
      </c>
      <c r="M61" s="127">
        <f t="shared" si="22"/>
        <v>319</v>
      </c>
      <c r="N61" s="127">
        <f t="shared" si="22"/>
        <v>346</v>
      </c>
      <c r="O61" s="127">
        <f t="shared" si="22"/>
        <v>350</v>
      </c>
      <c r="P61" s="127">
        <f t="shared" si="22"/>
        <v>342</v>
      </c>
      <c r="Q61" s="127">
        <f t="shared" si="22"/>
        <v>1655</v>
      </c>
    </row>
    <row r="62" spans="1:17" ht="20.25" customHeight="1">
      <c r="A62" s="52"/>
      <c r="B62" s="171" t="s">
        <v>62</v>
      </c>
      <c r="C62" s="172"/>
      <c r="D62" s="102"/>
      <c r="E62" s="46"/>
      <c r="F62" s="46"/>
      <c r="G62" s="46"/>
      <c r="H62" s="46"/>
      <c r="I62" s="46"/>
      <c r="J62" s="46"/>
      <c r="K62" s="127"/>
      <c r="L62" s="127">
        <f aca="true" t="shared" si="23" ref="L62:Q62">L64+L66</f>
        <v>298</v>
      </c>
      <c r="M62" s="127">
        <f t="shared" si="23"/>
        <v>319</v>
      </c>
      <c r="N62" s="127">
        <f t="shared" si="23"/>
        <v>346</v>
      </c>
      <c r="O62" s="127">
        <f t="shared" si="23"/>
        <v>350</v>
      </c>
      <c r="P62" s="127">
        <f t="shared" si="23"/>
        <v>342</v>
      </c>
      <c r="Q62" s="127">
        <f t="shared" si="23"/>
        <v>1655</v>
      </c>
    </row>
    <row r="63" spans="1:17" ht="18" customHeight="1">
      <c r="A63" s="52"/>
      <c r="B63" s="171" t="s">
        <v>64</v>
      </c>
      <c r="C63" s="172"/>
      <c r="D63" s="102"/>
      <c r="E63" s="46"/>
      <c r="F63" s="46"/>
      <c r="G63" s="46"/>
      <c r="H63" s="46"/>
      <c r="I63" s="46"/>
      <c r="J63" s="46"/>
      <c r="K63" s="127"/>
      <c r="L63" s="127">
        <f aca="true" t="shared" si="24" ref="L63:Q63">L64</f>
        <v>277</v>
      </c>
      <c r="M63" s="127">
        <f t="shared" si="24"/>
        <v>278</v>
      </c>
      <c r="N63" s="127">
        <f t="shared" si="24"/>
        <v>301</v>
      </c>
      <c r="O63" s="127">
        <f t="shared" si="24"/>
        <v>302</v>
      </c>
      <c r="P63" s="127">
        <f t="shared" si="24"/>
        <v>294</v>
      </c>
      <c r="Q63" s="127">
        <f t="shared" si="24"/>
        <v>1452</v>
      </c>
    </row>
    <row r="64" spans="1:18" ht="14.25" customHeight="1">
      <c r="A64" s="52"/>
      <c r="B64" s="171" t="s">
        <v>62</v>
      </c>
      <c r="C64" s="172"/>
      <c r="D64" s="102"/>
      <c r="E64" s="46"/>
      <c r="F64" s="46"/>
      <c r="G64" s="46"/>
      <c r="H64" s="46"/>
      <c r="I64" s="46"/>
      <c r="J64" s="46"/>
      <c r="K64" s="127"/>
      <c r="L64" s="127">
        <v>277</v>
      </c>
      <c r="M64" s="127">
        <v>278</v>
      </c>
      <c r="N64" s="127">
        <v>301</v>
      </c>
      <c r="O64" s="127">
        <v>302</v>
      </c>
      <c r="P64" s="127">
        <v>294</v>
      </c>
      <c r="Q64" s="147">
        <f>SUM(L64:P64)</f>
        <v>1452</v>
      </c>
      <c r="R64" s="144">
        <f>Q64*7.51+Q64*5.98</f>
        <v>19587.480000000003</v>
      </c>
    </row>
    <row r="65" spans="1:17" ht="20.25" customHeight="1">
      <c r="A65" s="52"/>
      <c r="B65" s="171" t="s">
        <v>66</v>
      </c>
      <c r="C65" s="172"/>
      <c r="D65" s="102"/>
      <c r="E65" s="46"/>
      <c r="F65" s="46"/>
      <c r="G65" s="46"/>
      <c r="H65" s="46"/>
      <c r="I65" s="46"/>
      <c r="J65" s="46"/>
      <c r="K65" s="127"/>
      <c r="L65" s="127">
        <f aca="true" t="shared" si="25" ref="L65:Q65">L66</f>
        <v>21</v>
      </c>
      <c r="M65" s="127">
        <f t="shared" si="25"/>
        <v>41</v>
      </c>
      <c r="N65" s="127">
        <f t="shared" si="25"/>
        <v>45</v>
      </c>
      <c r="O65" s="127">
        <f t="shared" si="25"/>
        <v>48</v>
      </c>
      <c r="P65" s="127">
        <f t="shared" si="25"/>
        <v>48</v>
      </c>
      <c r="Q65" s="127">
        <f t="shared" si="25"/>
        <v>203</v>
      </c>
    </row>
    <row r="66" spans="1:18" ht="15" customHeight="1">
      <c r="A66" s="52"/>
      <c r="B66" s="171" t="s">
        <v>62</v>
      </c>
      <c r="C66" s="172"/>
      <c r="D66" s="102"/>
      <c r="E66" s="46"/>
      <c r="F66" s="46"/>
      <c r="G66" s="46"/>
      <c r="H66" s="46"/>
      <c r="I66" s="46"/>
      <c r="J66" s="46"/>
      <c r="K66" s="46"/>
      <c r="L66" s="143">
        <v>21</v>
      </c>
      <c r="M66" s="143">
        <v>41</v>
      </c>
      <c r="N66" s="143">
        <v>45</v>
      </c>
      <c r="O66" s="143">
        <v>48</v>
      </c>
      <c r="P66" s="143">
        <v>48</v>
      </c>
      <c r="Q66" s="143">
        <f>SUM(L66:P66)</f>
        <v>203</v>
      </c>
      <c r="R66" s="144">
        <f>Q66*75.04+Q66*5.98</f>
        <v>16447.06</v>
      </c>
    </row>
    <row r="67" spans="1:17" ht="32.25" customHeight="1">
      <c r="A67" s="164" t="s">
        <v>53</v>
      </c>
      <c r="B67" s="182" t="s">
        <v>71</v>
      </c>
      <c r="C67" s="183"/>
      <c r="D67" s="70" t="s">
        <v>61</v>
      </c>
      <c r="E67" s="33">
        <v>160</v>
      </c>
      <c r="F67" s="33">
        <v>183</v>
      </c>
      <c r="G67" s="33">
        <v>170</v>
      </c>
      <c r="H67" s="33">
        <v>173</v>
      </c>
      <c r="I67" s="33">
        <v>167</v>
      </c>
      <c r="J67" s="33">
        <v>131</v>
      </c>
      <c r="K67" s="33">
        <v>166</v>
      </c>
      <c r="L67" s="33">
        <v>170</v>
      </c>
      <c r="M67" s="33">
        <v>167</v>
      </c>
      <c r="N67" s="33">
        <v>180</v>
      </c>
      <c r="O67" s="33">
        <v>180</v>
      </c>
      <c r="P67" s="33">
        <v>180</v>
      </c>
      <c r="Q67" s="48">
        <f>SUM(E67:P67)</f>
        <v>2027</v>
      </c>
    </row>
    <row r="68" spans="1:17" ht="15.75">
      <c r="A68" s="164"/>
      <c r="B68" s="184" t="s">
        <v>62</v>
      </c>
      <c r="C68" s="185"/>
      <c r="D68" s="101"/>
      <c r="E68" s="33">
        <v>120</v>
      </c>
      <c r="F68" s="33">
        <v>130</v>
      </c>
      <c r="G68" s="33">
        <v>120</v>
      </c>
      <c r="H68" s="33">
        <v>120</v>
      </c>
      <c r="I68" s="33">
        <v>120</v>
      </c>
      <c r="J68" s="33">
        <v>90</v>
      </c>
      <c r="K68" s="33">
        <v>120</v>
      </c>
      <c r="L68" s="33">
        <v>120</v>
      </c>
      <c r="M68" s="33">
        <v>120</v>
      </c>
      <c r="N68" s="33">
        <v>130</v>
      </c>
      <c r="O68" s="33">
        <v>130</v>
      </c>
      <c r="P68" s="33">
        <v>130</v>
      </c>
      <c r="Q68" s="49">
        <f>SUM(P68+O68+N68+M68+L68+K68+J68+I68+H68+G68+F68+E68)</f>
        <v>1450</v>
      </c>
    </row>
    <row r="69" spans="1:17" ht="15.75">
      <c r="A69" s="164"/>
      <c r="B69" s="184" t="s">
        <v>23</v>
      </c>
      <c r="C69" s="185"/>
      <c r="D69" s="101"/>
      <c r="E69" s="33">
        <v>40</v>
      </c>
      <c r="F69" s="33">
        <v>40</v>
      </c>
      <c r="G69" s="33">
        <v>40</v>
      </c>
      <c r="H69" s="33">
        <v>40</v>
      </c>
      <c r="I69" s="33">
        <v>35</v>
      </c>
      <c r="J69" s="33">
        <v>35</v>
      </c>
      <c r="K69" s="33">
        <v>40</v>
      </c>
      <c r="L69" s="33">
        <v>40</v>
      </c>
      <c r="M69" s="33">
        <v>40</v>
      </c>
      <c r="N69" s="33">
        <v>40</v>
      </c>
      <c r="O69" s="33">
        <v>40</v>
      </c>
      <c r="P69" s="33">
        <v>40</v>
      </c>
      <c r="Q69" s="49">
        <f>SUM(P69+O69+N69+M69+L69+K69+J69+I69+H69+G69+F69+E69)</f>
        <v>470</v>
      </c>
    </row>
    <row r="70" spans="1:17" ht="31.5" customHeight="1">
      <c r="A70" s="53" t="s">
        <v>54</v>
      </c>
      <c r="B70" s="189" t="s">
        <v>35</v>
      </c>
      <c r="C70" s="191"/>
      <c r="D70" s="70" t="s">
        <v>61</v>
      </c>
      <c r="E70" s="33">
        <v>4</v>
      </c>
      <c r="F70" s="33">
        <v>4</v>
      </c>
      <c r="G70" s="33">
        <v>4</v>
      </c>
      <c r="H70" s="33">
        <v>4</v>
      </c>
      <c r="I70" s="33">
        <v>4</v>
      </c>
      <c r="J70" s="33">
        <v>3</v>
      </c>
      <c r="K70" s="33">
        <v>3</v>
      </c>
      <c r="L70" s="33">
        <v>3</v>
      </c>
      <c r="M70" s="33">
        <v>3</v>
      </c>
      <c r="N70" s="33">
        <v>4</v>
      </c>
      <c r="O70" s="33">
        <v>4</v>
      </c>
      <c r="P70" s="33">
        <v>4</v>
      </c>
      <c r="Q70" s="80">
        <f>SUM(E70:P70)</f>
        <v>44</v>
      </c>
    </row>
    <row r="71" spans="1:17" ht="21.75" customHeight="1">
      <c r="A71" s="53" t="s">
        <v>69</v>
      </c>
      <c r="B71" s="178" t="s">
        <v>33</v>
      </c>
      <c r="C71" s="179"/>
      <c r="D71" s="70" t="s">
        <v>61</v>
      </c>
      <c r="E71" s="46">
        <v>4</v>
      </c>
      <c r="F71" s="46">
        <v>4</v>
      </c>
      <c r="G71" s="46">
        <v>4</v>
      </c>
      <c r="H71" s="46">
        <v>4</v>
      </c>
      <c r="I71" s="46">
        <v>4</v>
      </c>
      <c r="J71" s="46">
        <v>4</v>
      </c>
      <c r="K71" s="46">
        <v>3.6</v>
      </c>
      <c r="L71" s="46">
        <v>4</v>
      </c>
      <c r="M71" s="46">
        <v>4</v>
      </c>
      <c r="N71" s="46">
        <v>4</v>
      </c>
      <c r="O71" s="46">
        <v>4.5</v>
      </c>
      <c r="P71" s="46">
        <v>4.5</v>
      </c>
      <c r="Q71" s="80">
        <f>SUM(E71:P71)</f>
        <v>48.6</v>
      </c>
    </row>
    <row r="72" spans="1:17" ht="18.75" customHeight="1">
      <c r="A72" s="53" t="s">
        <v>74</v>
      </c>
      <c r="B72" s="178" t="s">
        <v>36</v>
      </c>
      <c r="C72" s="179"/>
      <c r="D72" s="70" t="s">
        <v>61</v>
      </c>
      <c r="E72" s="33">
        <v>5</v>
      </c>
      <c r="F72" s="33">
        <v>6</v>
      </c>
      <c r="G72" s="33">
        <v>6</v>
      </c>
      <c r="H72" s="33">
        <v>6</v>
      </c>
      <c r="I72" s="33">
        <v>7</v>
      </c>
      <c r="J72" s="33">
        <v>5</v>
      </c>
      <c r="K72" s="33">
        <v>5</v>
      </c>
      <c r="L72" s="33">
        <v>5</v>
      </c>
      <c r="M72" s="33">
        <v>6</v>
      </c>
      <c r="N72" s="33">
        <v>6</v>
      </c>
      <c r="O72" s="33">
        <v>5</v>
      </c>
      <c r="P72" s="33">
        <v>7</v>
      </c>
      <c r="Q72" s="49">
        <f>SUM(P72+O72+N72+M72+L72+K72+J72+I72+H72+G72+F72+E72)</f>
        <v>69</v>
      </c>
    </row>
    <row r="73" spans="1:19" ht="15.75">
      <c r="A73" s="186"/>
      <c r="B73" s="173" t="s">
        <v>67</v>
      </c>
      <c r="C73" s="174"/>
      <c r="D73" s="71" t="s">
        <v>61</v>
      </c>
      <c r="E73" s="45">
        <f>E76+E79</f>
        <v>10225</v>
      </c>
      <c r="F73" s="45">
        <f aca="true" t="shared" si="26" ref="F73:Q73">F76+F79</f>
        <v>9141</v>
      </c>
      <c r="G73" s="45">
        <f t="shared" si="26"/>
        <v>9209</v>
      </c>
      <c r="H73" s="45">
        <f t="shared" si="26"/>
        <v>10139</v>
      </c>
      <c r="I73" s="45">
        <f t="shared" si="26"/>
        <v>9314</v>
      </c>
      <c r="J73" s="45">
        <f t="shared" si="26"/>
        <v>8683</v>
      </c>
      <c r="K73" s="45">
        <f t="shared" si="26"/>
        <v>8302.6</v>
      </c>
      <c r="L73" s="45">
        <f t="shared" si="26"/>
        <v>9404</v>
      </c>
      <c r="M73" s="45">
        <f t="shared" si="26"/>
        <v>9735</v>
      </c>
      <c r="N73" s="45">
        <f t="shared" si="26"/>
        <v>10326</v>
      </c>
      <c r="O73" s="45">
        <f t="shared" si="26"/>
        <v>10547.5</v>
      </c>
      <c r="P73" s="45">
        <f t="shared" si="26"/>
        <v>10757.5</v>
      </c>
      <c r="Q73" s="45">
        <f t="shared" si="26"/>
        <v>115783.6</v>
      </c>
      <c r="R73" s="122"/>
      <c r="S73" s="122"/>
    </row>
    <row r="74" spans="1:20" ht="15.75">
      <c r="A74" s="186"/>
      <c r="B74" s="173" t="s">
        <v>62</v>
      </c>
      <c r="C74" s="174"/>
      <c r="D74" s="71"/>
      <c r="E74" s="54">
        <f>E77+E80</f>
        <v>8660</v>
      </c>
      <c r="F74" s="54">
        <f aca="true" t="shared" si="27" ref="F74:Q74">F77+F80</f>
        <v>7907</v>
      </c>
      <c r="G74" s="54">
        <f t="shared" si="27"/>
        <v>7794</v>
      </c>
      <c r="H74" s="54">
        <f t="shared" si="27"/>
        <v>8725</v>
      </c>
      <c r="I74" s="54">
        <f t="shared" si="27"/>
        <v>7805</v>
      </c>
      <c r="J74" s="54">
        <f t="shared" si="27"/>
        <v>7423</v>
      </c>
      <c r="K74" s="54">
        <f t="shared" si="27"/>
        <v>7098.6</v>
      </c>
      <c r="L74" s="54">
        <f t="shared" si="27"/>
        <v>8134</v>
      </c>
      <c r="M74" s="54">
        <f t="shared" si="27"/>
        <v>8432</v>
      </c>
      <c r="N74" s="54">
        <f t="shared" si="27"/>
        <v>8933</v>
      </c>
      <c r="O74" s="54">
        <f t="shared" si="27"/>
        <v>9246.5</v>
      </c>
      <c r="P74" s="54">
        <f t="shared" si="27"/>
        <v>9351.5</v>
      </c>
      <c r="Q74" s="54">
        <f t="shared" si="27"/>
        <v>99509.6</v>
      </c>
      <c r="R74" s="122"/>
      <c r="T74" s="122"/>
    </row>
    <row r="75" spans="1:17" ht="15.75">
      <c r="A75" s="186"/>
      <c r="B75" s="173" t="s">
        <v>23</v>
      </c>
      <c r="C75" s="174"/>
      <c r="D75" s="71"/>
      <c r="E75" s="54">
        <f>E78+E81</f>
        <v>216</v>
      </c>
      <c r="F75" s="54">
        <f aca="true" t="shared" si="28" ref="F75:Q75">F78+F81</f>
        <v>212</v>
      </c>
      <c r="G75" s="54">
        <f t="shared" si="28"/>
        <v>235</v>
      </c>
      <c r="H75" s="54">
        <f t="shared" si="28"/>
        <v>224</v>
      </c>
      <c r="I75" s="54">
        <f t="shared" si="28"/>
        <v>228</v>
      </c>
      <c r="J75" s="54">
        <f t="shared" si="28"/>
        <v>197</v>
      </c>
      <c r="K75" s="54">
        <f t="shared" si="28"/>
        <v>229</v>
      </c>
      <c r="L75" s="54">
        <f t="shared" si="28"/>
        <v>204</v>
      </c>
      <c r="M75" s="54">
        <f t="shared" si="28"/>
        <v>208</v>
      </c>
      <c r="N75" s="54">
        <f t="shared" si="28"/>
        <v>204</v>
      </c>
      <c r="O75" s="54">
        <f t="shared" si="28"/>
        <v>205</v>
      </c>
      <c r="P75" s="54">
        <f t="shared" si="28"/>
        <v>209</v>
      </c>
      <c r="Q75" s="54">
        <f t="shared" si="28"/>
        <v>2571</v>
      </c>
    </row>
    <row r="76" spans="1:17" ht="15.75">
      <c r="A76" s="76"/>
      <c r="B76" s="173" t="s">
        <v>64</v>
      </c>
      <c r="C76" s="174"/>
      <c r="D76" s="71" t="s">
        <v>61</v>
      </c>
      <c r="E76" s="54">
        <f>E38+E46+E49+E54+E63+E58+E67+E70+E71+E72</f>
        <v>9460</v>
      </c>
      <c r="F76" s="54">
        <f aca="true" t="shared" si="29" ref="F76:Q76">F38+F46+F49+F54+F63+F58+F67+F70+F71+F72</f>
        <v>8282</v>
      </c>
      <c r="G76" s="54">
        <f t="shared" si="29"/>
        <v>8444</v>
      </c>
      <c r="H76" s="54">
        <f t="shared" si="29"/>
        <v>9335</v>
      </c>
      <c r="I76" s="54">
        <f t="shared" si="29"/>
        <v>8649</v>
      </c>
      <c r="J76" s="54">
        <f t="shared" si="29"/>
        <v>8079</v>
      </c>
      <c r="K76" s="54">
        <f t="shared" si="29"/>
        <v>7691.6</v>
      </c>
      <c r="L76" s="54">
        <f t="shared" si="29"/>
        <v>8793</v>
      </c>
      <c r="M76" s="54">
        <f t="shared" si="29"/>
        <v>9083</v>
      </c>
      <c r="N76" s="54">
        <f t="shared" si="29"/>
        <v>9665</v>
      </c>
      <c r="O76" s="54">
        <f t="shared" si="29"/>
        <v>9775.5</v>
      </c>
      <c r="P76" s="54">
        <f t="shared" si="29"/>
        <v>9885.5</v>
      </c>
      <c r="Q76" s="54">
        <f t="shared" si="29"/>
        <v>107142.6</v>
      </c>
    </row>
    <row r="77" spans="1:18" ht="15.75">
      <c r="A77" s="76"/>
      <c r="B77" s="173" t="s">
        <v>62</v>
      </c>
      <c r="C77" s="174"/>
      <c r="D77" s="71"/>
      <c r="E77" s="54">
        <f>E39+E47+E50+E54+E64+E68+E70+E71+E72+E59</f>
        <v>7965</v>
      </c>
      <c r="F77" s="54">
        <f aca="true" t="shared" si="30" ref="F77:Q77">F39+F47+F50+F54+F64+F68+F70+F71+F72+F59</f>
        <v>7117</v>
      </c>
      <c r="G77" s="54">
        <f t="shared" si="30"/>
        <v>7099</v>
      </c>
      <c r="H77" s="54">
        <f t="shared" si="30"/>
        <v>7990</v>
      </c>
      <c r="I77" s="54">
        <f t="shared" si="30"/>
        <v>7210</v>
      </c>
      <c r="J77" s="54">
        <f t="shared" si="30"/>
        <v>6888</v>
      </c>
      <c r="K77" s="54">
        <f t="shared" si="30"/>
        <v>6563.6</v>
      </c>
      <c r="L77" s="54">
        <f t="shared" si="30"/>
        <v>7599</v>
      </c>
      <c r="M77" s="54">
        <f t="shared" si="30"/>
        <v>7857</v>
      </c>
      <c r="N77" s="54">
        <f t="shared" si="30"/>
        <v>8348</v>
      </c>
      <c r="O77" s="54">
        <f t="shared" si="30"/>
        <v>8551.5</v>
      </c>
      <c r="P77" s="54">
        <f t="shared" si="30"/>
        <v>8556.5</v>
      </c>
      <c r="Q77" s="54">
        <f t="shared" si="30"/>
        <v>91744.6</v>
      </c>
      <c r="R77" s="144">
        <f>Q77*7.51+Q77*5.98</f>
        <v>1237634.654</v>
      </c>
    </row>
    <row r="78" spans="1:20" ht="15.75">
      <c r="A78" s="76"/>
      <c r="B78" s="173" t="s">
        <v>23</v>
      </c>
      <c r="C78" s="174"/>
      <c r="D78" s="71"/>
      <c r="E78" s="54">
        <f aca="true" t="shared" si="31" ref="E78:Q78">E40+E48+E51+E69+E60</f>
        <v>213</v>
      </c>
      <c r="F78" s="54">
        <f t="shared" si="31"/>
        <v>210</v>
      </c>
      <c r="G78" s="54">
        <f t="shared" si="31"/>
        <v>232</v>
      </c>
      <c r="H78" s="54">
        <f t="shared" si="31"/>
        <v>222</v>
      </c>
      <c r="I78" s="54">
        <f t="shared" si="31"/>
        <v>225</v>
      </c>
      <c r="J78" s="54">
        <f t="shared" si="31"/>
        <v>195</v>
      </c>
      <c r="K78" s="54">
        <f t="shared" si="31"/>
        <v>220</v>
      </c>
      <c r="L78" s="54">
        <f t="shared" si="31"/>
        <v>195</v>
      </c>
      <c r="M78" s="54">
        <f t="shared" si="31"/>
        <v>199</v>
      </c>
      <c r="N78" s="54">
        <f t="shared" si="31"/>
        <v>195</v>
      </c>
      <c r="O78" s="54">
        <f t="shared" si="31"/>
        <v>195</v>
      </c>
      <c r="P78" s="54">
        <f t="shared" si="31"/>
        <v>198</v>
      </c>
      <c r="Q78" s="54">
        <f t="shared" si="31"/>
        <v>2499</v>
      </c>
      <c r="T78" s="122"/>
    </row>
    <row r="79" spans="1:19" ht="31.5">
      <c r="A79" s="76"/>
      <c r="B79" s="173" t="s">
        <v>65</v>
      </c>
      <c r="C79" s="174"/>
      <c r="D79" s="62" t="s">
        <v>26</v>
      </c>
      <c r="E79" s="54">
        <f>E43+E56+E65</f>
        <v>765</v>
      </c>
      <c r="F79" s="54">
        <f aca="true" t="shared" si="32" ref="F79:Q79">F43+F56+F65</f>
        <v>859</v>
      </c>
      <c r="G79" s="54">
        <f t="shared" si="32"/>
        <v>765</v>
      </c>
      <c r="H79" s="54">
        <f t="shared" si="32"/>
        <v>804</v>
      </c>
      <c r="I79" s="54">
        <f t="shared" si="32"/>
        <v>665</v>
      </c>
      <c r="J79" s="54">
        <f t="shared" si="32"/>
        <v>604</v>
      </c>
      <c r="K79" s="54">
        <f t="shared" si="32"/>
        <v>611</v>
      </c>
      <c r="L79" s="54">
        <f t="shared" si="32"/>
        <v>611</v>
      </c>
      <c r="M79" s="54">
        <f t="shared" si="32"/>
        <v>652</v>
      </c>
      <c r="N79" s="54">
        <f t="shared" si="32"/>
        <v>661</v>
      </c>
      <c r="O79" s="54">
        <f t="shared" si="32"/>
        <v>772</v>
      </c>
      <c r="P79" s="54">
        <f t="shared" si="32"/>
        <v>872</v>
      </c>
      <c r="Q79" s="54">
        <f t="shared" si="32"/>
        <v>8641</v>
      </c>
      <c r="S79" s="122"/>
    </row>
    <row r="80" spans="1:18" ht="15.75">
      <c r="A80" s="76"/>
      <c r="B80" s="173" t="s">
        <v>62</v>
      </c>
      <c r="C80" s="174"/>
      <c r="D80" s="71"/>
      <c r="E80" s="54">
        <f>E44+E66+E57</f>
        <v>695</v>
      </c>
      <c r="F80" s="54">
        <f aca="true" t="shared" si="33" ref="F80:Q80">F44+F66+F57</f>
        <v>790</v>
      </c>
      <c r="G80" s="54">
        <f t="shared" si="33"/>
        <v>695</v>
      </c>
      <c r="H80" s="54">
        <f t="shared" si="33"/>
        <v>735</v>
      </c>
      <c r="I80" s="54">
        <f t="shared" si="33"/>
        <v>595</v>
      </c>
      <c r="J80" s="54">
        <f t="shared" si="33"/>
        <v>535</v>
      </c>
      <c r="K80" s="54">
        <f t="shared" si="33"/>
        <v>535</v>
      </c>
      <c r="L80" s="54">
        <f t="shared" si="33"/>
        <v>535</v>
      </c>
      <c r="M80" s="54">
        <f t="shared" si="33"/>
        <v>575</v>
      </c>
      <c r="N80" s="54">
        <f t="shared" si="33"/>
        <v>585</v>
      </c>
      <c r="O80" s="54">
        <f t="shared" si="33"/>
        <v>695</v>
      </c>
      <c r="P80" s="54">
        <f t="shared" si="33"/>
        <v>795</v>
      </c>
      <c r="Q80" s="54">
        <f t="shared" si="33"/>
        <v>7765</v>
      </c>
      <c r="R80" s="144">
        <f>Q80*75.04+Q80*5.98</f>
        <v>629120.3</v>
      </c>
    </row>
    <row r="81" spans="1:17" ht="15.75">
      <c r="A81" s="76"/>
      <c r="B81" s="173" t="s">
        <v>23</v>
      </c>
      <c r="C81" s="174"/>
      <c r="D81" s="71"/>
      <c r="E81" s="54">
        <f aca="true" t="shared" si="34" ref="E81:Q81">E45</f>
        <v>3</v>
      </c>
      <c r="F81" s="54">
        <f t="shared" si="34"/>
        <v>2</v>
      </c>
      <c r="G81" s="54">
        <f t="shared" si="34"/>
        <v>3</v>
      </c>
      <c r="H81" s="54">
        <f t="shared" si="34"/>
        <v>2</v>
      </c>
      <c r="I81" s="54">
        <f t="shared" si="34"/>
        <v>3</v>
      </c>
      <c r="J81" s="54">
        <f t="shared" si="34"/>
        <v>2</v>
      </c>
      <c r="K81" s="54">
        <f t="shared" si="34"/>
        <v>9</v>
      </c>
      <c r="L81" s="54">
        <f t="shared" si="34"/>
        <v>9</v>
      </c>
      <c r="M81" s="54">
        <f t="shared" si="34"/>
        <v>9</v>
      </c>
      <c r="N81" s="54">
        <f t="shared" si="34"/>
        <v>9</v>
      </c>
      <c r="O81" s="54">
        <f t="shared" si="34"/>
        <v>10</v>
      </c>
      <c r="P81" s="54">
        <f t="shared" si="34"/>
        <v>11</v>
      </c>
      <c r="Q81" s="54">
        <f t="shared" si="34"/>
        <v>72</v>
      </c>
    </row>
    <row r="82" spans="5:20" ht="15.75"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122">
        <f>R77+R80</f>
        <v>1866754.9540000001</v>
      </c>
      <c r="S82">
        <v>1863205</v>
      </c>
      <c r="T82" s="122">
        <f>R82-S82</f>
        <v>3549.9540000001434</v>
      </c>
    </row>
    <row r="83" spans="7:17" ht="15.75">
      <c r="G83" t="s">
        <v>72</v>
      </c>
      <c r="Q83" s="75"/>
    </row>
    <row r="84" spans="5:17" ht="15.75"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</row>
    <row r="85" spans="2:17" ht="18.75">
      <c r="B85" s="39"/>
      <c r="C85" s="22" t="s">
        <v>92</v>
      </c>
      <c r="D85" s="22"/>
      <c r="E85" s="16"/>
      <c r="F85" s="16"/>
      <c r="G85" s="16"/>
      <c r="H85" s="16"/>
      <c r="I85" s="16"/>
      <c r="J85" s="16"/>
      <c r="K85" s="16"/>
      <c r="L85" s="16"/>
      <c r="M85" s="55"/>
      <c r="N85" s="55" t="s">
        <v>98</v>
      </c>
      <c r="O85" s="55"/>
      <c r="P85" s="55"/>
      <c r="Q85" s="21"/>
    </row>
    <row r="86" spans="16:17" ht="15.75">
      <c r="P86" s="75"/>
      <c r="Q86" s="75"/>
    </row>
    <row r="87" spans="5:17" ht="15.75"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</row>
    <row r="88" spans="5:17" ht="15.75"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</row>
    <row r="89" spans="5:17" ht="15.75"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</row>
  </sheetData>
  <sheetProtection/>
  <mergeCells count="87">
    <mergeCell ref="B63:C63"/>
    <mergeCell ref="B64:C64"/>
    <mergeCell ref="B65:C65"/>
    <mergeCell ref="B66:C66"/>
    <mergeCell ref="B54:C54"/>
    <mergeCell ref="B55:C55"/>
    <mergeCell ref="B56:C56"/>
    <mergeCell ref="B57:C57"/>
    <mergeCell ref="B29:C29"/>
    <mergeCell ref="B80:C80"/>
    <mergeCell ref="B69:C69"/>
    <mergeCell ref="B59:C59"/>
    <mergeCell ref="B61:C61"/>
    <mergeCell ref="B46:C46"/>
    <mergeCell ref="B76:C76"/>
    <mergeCell ref="B79:C79"/>
    <mergeCell ref="B51:C51"/>
    <mergeCell ref="B49:C49"/>
    <mergeCell ref="B44:C44"/>
    <mergeCell ref="B43:C43"/>
    <mergeCell ref="B20:C20"/>
    <mergeCell ref="B47:C47"/>
    <mergeCell ref="B81:C81"/>
    <mergeCell ref="B45:C45"/>
    <mergeCell ref="B77:C77"/>
    <mergeCell ref="B78:C78"/>
    <mergeCell ref="B70:C70"/>
    <mergeCell ref="B71:C71"/>
    <mergeCell ref="A73:A75"/>
    <mergeCell ref="B73:C73"/>
    <mergeCell ref="B74:C74"/>
    <mergeCell ref="B75:C75"/>
    <mergeCell ref="B60:C60"/>
    <mergeCell ref="A49:A51"/>
    <mergeCell ref="B50:C50"/>
    <mergeCell ref="B52:C52"/>
    <mergeCell ref="B53:C53"/>
    <mergeCell ref="B62:C62"/>
    <mergeCell ref="A46:A48"/>
    <mergeCell ref="B48:C48"/>
    <mergeCell ref="B72:C72"/>
    <mergeCell ref="A29:A33"/>
    <mergeCell ref="B58:C58"/>
    <mergeCell ref="B40:C40"/>
    <mergeCell ref="A67:A69"/>
    <mergeCell ref="B67:C67"/>
    <mergeCell ref="B68:C68"/>
    <mergeCell ref="A58:A60"/>
    <mergeCell ref="A9:A17"/>
    <mergeCell ref="B16:C16"/>
    <mergeCell ref="B17:C17"/>
    <mergeCell ref="A35:A37"/>
    <mergeCell ref="B36:C36"/>
    <mergeCell ref="B37:C37"/>
    <mergeCell ref="A18:A20"/>
    <mergeCell ref="B19:C19"/>
    <mergeCell ref="B12:C12"/>
    <mergeCell ref="B10:C10"/>
    <mergeCell ref="B11:C11"/>
    <mergeCell ref="B18:C18"/>
    <mergeCell ref="B4:Q4"/>
    <mergeCell ref="B5:Q5"/>
    <mergeCell ref="B7:C7"/>
    <mergeCell ref="B9:C9"/>
    <mergeCell ref="B8:C8"/>
    <mergeCell ref="B13:C13"/>
    <mergeCell ref="B14:C14"/>
    <mergeCell ref="B15:C15"/>
    <mergeCell ref="A21:A28"/>
    <mergeCell ref="B22:C22"/>
    <mergeCell ref="B23:C23"/>
    <mergeCell ref="B25:C25"/>
    <mergeCell ref="B28:C28"/>
    <mergeCell ref="B24:C24"/>
    <mergeCell ref="B26:C26"/>
    <mergeCell ref="B27:C27"/>
    <mergeCell ref="B21:C21"/>
    <mergeCell ref="N41:Q41"/>
    <mergeCell ref="B42:C42"/>
    <mergeCell ref="B30:C30"/>
    <mergeCell ref="B31:C31"/>
    <mergeCell ref="B32:C32"/>
    <mergeCell ref="B33:C33"/>
    <mergeCell ref="B34:C34"/>
    <mergeCell ref="B35:C35"/>
    <mergeCell ref="B38:C38"/>
    <mergeCell ref="B39:C39"/>
  </mergeCells>
  <printOptions/>
  <pageMargins left="0.3937007874015748" right="0.3937007874015748" top="0.7874015748031497" bottom="0" header="0.5118110236220472" footer="0.5118110236220472"/>
  <pageSetup horizontalDpi="600" verticalDpi="600" orientation="landscape" paperSize="9" scale="74" r:id="rId1"/>
  <rowBreaks count="1" manualBreakCount="1">
    <brk id="4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S47"/>
  <sheetViews>
    <sheetView view="pageBreakPreview" zoomScale="75" zoomScaleNormal="75" zoomScaleSheetLayoutView="75" zoomScalePageLayoutView="0" workbookViewId="0" topLeftCell="A22">
      <selection activeCell="P29" sqref="P29"/>
    </sheetView>
  </sheetViews>
  <sheetFormatPr defaultColWidth="9.140625" defaultRowHeight="12.75"/>
  <cols>
    <col min="1" max="1" width="5.28125" style="0" customWidth="1"/>
    <col min="3" max="3" width="59.00390625" style="0" customWidth="1"/>
    <col min="4" max="4" width="8.7109375" style="0" customWidth="1"/>
    <col min="5" max="5" width="10.00390625" style="0" customWidth="1"/>
    <col min="6" max="6" width="9.8515625" style="0" customWidth="1"/>
    <col min="7" max="7" width="9.421875" style="0" customWidth="1"/>
    <col min="8" max="8" width="9.28125" style="0" customWidth="1"/>
    <col min="9" max="10" width="9.7109375" style="0" customWidth="1"/>
    <col min="11" max="15" width="11.00390625" style="0" bestFit="1" customWidth="1"/>
    <col min="16" max="16" width="10.8515625" style="0" customWidth="1"/>
    <col min="17" max="17" width="9.28125" style="0" bestFit="1" customWidth="1"/>
  </cols>
  <sheetData>
    <row r="1" spans="12:15" ht="18.75">
      <c r="L1" s="1"/>
      <c r="M1" s="1"/>
      <c r="N1" s="12" t="s">
        <v>73</v>
      </c>
      <c r="O1" s="12"/>
    </row>
    <row r="2" spans="1:15" ht="18.75">
      <c r="A2" s="29"/>
      <c r="B2" s="31"/>
      <c r="C2" s="29"/>
      <c r="D2" s="30"/>
      <c r="E2" s="30"/>
      <c r="F2" s="30"/>
      <c r="G2" s="30"/>
      <c r="H2" s="30"/>
      <c r="L2" s="7" t="s">
        <v>1</v>
      </c>
      <c r="M2" s="7"/>
      <c r="N2" s="7"/>
      <c r="O2" s="7"/>
    </row>
    <row r="3" spans="1:16" ht="18.75">
      <c r="A3" s="29"/>
      <c r="B3" s="31"/>
      <c r="C3" s="29"/>
      <c r="D3" s="30"/>
      <c r="E3" s="30"/>
      <c r="F3" s="30"/>
      <c r="G3" s="30"/>
      <c r="H3" s="30"/>
      <c r="L3" s="7" t="s">
        <v>107</v>
      </c>
      <c r="M3" s="12"/>
      <c r="N3" s="12"/>
      <c r="O3" s="7"/>
      <c r="P3" s="9"/>
    </row>
    <row r="4" spans="1:16" ht="18.75">
      <c r="A4" s="27"/>
      <c r="B4" s="165" t="s">
        <v>2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5" spans="1:16" ht="18.75">
      <c r="A5" s="27"/>
      <c r="B5" s="165" t="s">
        <v>96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 ht="18.75">
      <c r="A6" s="27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0"/>
      <c r="O6" s="28" t="s">
        <v>46</v>
      </c>
      <c r="P6" s="29"/>
    </row>
    <row r="7" spans="1:16" ht="15.75">
      <c r="A7" s="32" t="s">
        <v>52</v>
      </c>
      <c r="B7" s="77" t="s">
        <v>39</v>
      </c>
      <c r="C7" s="77"/>
      <c r="D7" s="77" t="s">
        <v>6</v>
      </c>
      <c r="E7" s="77" t="s">
        <v>7</v>
      </c>
      <c r="F7" s="77" t="s">
        <v>8</v>
      </c>
      <c r="G7" s="77" t="s">
        <v>9</v>
      </c>
      <c r="H7" s="77" t="s">
        <v>10</v>
      </c>
      <c r="I7" s="77" t="s">
        <v>11</v>
      </c>
      <c r="J7" s="77" t="s">
        <v>12</v>
      </c>
      <c r="K7" s="77" t="s">
        <v>13</v>
      </c>
      <c r="L7" s="77" t="s">
        <v>14</v>
      </c>
      <c r="M7" s="77" t="s">
        <v>15</v>
      </c>
      <c r="N7" s="77" t="s">
        <v>16</v>
      </c>
      <c r="O7" s="77" t="s">
        <v>17</v>
      </c>
      <c r="P7" s="77" t="s">
        <v>93</v>
      </c>
    </row>
    <row r="8" spans="1:16" ht="18.75" customHeight="1">
      <c r="A8" s="175" t="s">
        <v>18</v>
      </c>
      <c r="B8" s="77" t="s">
        <v>40</v>
      </c>
      <c r="C8" s="77"/>
      <c r="D8" s="81">
        <v>41400</v>
      </c>
      <c r="E8" s="81">
        <v>42400</v>
      </c>
      <c r="F8" s="81">
        <v>38400</v>
      </c>
      <c r="G8" s="81">
        <v>35400</v>
      </c>
      <c r="H8" s="81">
        <v>34500</v>
      </c>
      <c r="I8" s="81">
        <v>33500</v>
      </c>
      <c r="J8" s="81">
        <v>33650</v>
      </c>
      <c r="K8" s="81">
        <v>32650</v>
      </c>
      <c r="L8" s="81">
        <v>33750</v>
      </c>
      <c r="M8" s="81">
        <v>39650</v>
      </c>
      <c r="N8" s="81">
        <v>41650</v>
      </c>
      <c r="O8" s="81">
        <v>38750</v>
      </c>
      <c r="P8" s="81">
        <f>SUM(D8:O8)</f>
        <v>445700</v>
      </c>
    </row>
    <row r="9" spans="1:16" ht="15.75">
      <c r="A9" s="176"/>
      <c r="B9" s="77" t="s">
        <v>62</v>
      </c>
      <c r="C9" s="77"/>
      <c r="D9" s="81">
        <v>33000</v>
      </c>
      <c r="E9" s="81">
        <v>34000</v>
      </c>
      <c r="F9" s="81">
        <v>30000</v>
      </c>
      <c r="G9" s="81">
        <v>27000</v>
      </c>
      <c r="H9" s="81">
        <v>26000</v>
      </c>
      <c r="I9" s="81">
        <v>25000</v>
      </c>
      <c r="J9" s="81">
        <v>24573</v>
      </c>
      <c r="K9" s="81">
        <v>23518</v>
      </c>
      <c r="L9" s="81">
        <v>24491</v>
      </c>
      <c r="M9" s="81">
        <v>30452</v>
      </c>
      <c r="N9" s="81">
        <v>32609</v>
      </c>
      <c r="O9" s="81">
        <v>29581</v>
      </c>
      <c r="P9" s="82">
        <f>SUM(D9:O9)</f>
        <v>340224</v>
      </c>
    </row>
    <row r="10" spans="1:16" ht="15.75">
      <c r="A10" s="177"/>
      <c r="B10" s="77" t="s">
        <v>23</v>
      </c>
      <c r="C10" s="77"/>
      <c r="D10" s="81">
        <v>100</v>
      </c>
      <c r="E10" s="81">
        <v>100</v>
      </c>
      <c r="F10" s="81">
        <v>100</v>
      </c>
      <c r="G10" s="81">
        <v>100</v>
      </c>
      <c r="H10" s="81">
        <v>100</v>
      </c>
      <c r="I10" s="81">
        <v>100</v>
      </c>
      <c r="J10" s="81">
        <v>350</v>
      </c>
      <c r="K10" s="81">
        <v>350</v>
      </c>
      <c r="L10" s="81">
        <v>350</v>
      </c>
      <c r="M10" s="81">
        <v>350</v>
      </c>
      <c r="N10" s="81">
        <v>350</v>
      </c>
      <c r="O10" s="81">
        <v>350</v>
      </c>
      <c r="P10" s="82">
        <f aca="true" t="shared" si="0" ref="P10:P40">SUM(D10:O10)</f>
        <v>2700</v>
      </c>
    </row>
    <row r="11" spans="1:16" ht="15.75">
      <c r="A11" s="161" t="s">
        <v>21</v>
      </c>
      <c r="B11" s="77" t="s">
        <v>42</v>
      </c>
      <c r="C11" s="77"/>
      <c r="D11" s="81">
        <v>46800</v>
      </c>
      <c r="E11" s="81">
        <v>48700</v>
      </c>
      <c r="F11" s="81">
        <v>46700</v>
      </c>
      <c r="G11" s="81">
        <v>43700</v>
      </c>
      <c r="H11" s="81">
        <v>39700</v>
      </c>
      <c r="I11" s="81">
        <v>29300</v>
      </c>
      <c r="J11" s="81">
        <v>32500</v>
      </c>
      <c r="K11" s="81">
        <v>28000</v>
      </c>
      <c r="L11" s="81">
        <v>22800</v>
      </c>
      <c r="M11" s="81">
        <v>32757</v>
      </c>
      <c r="N11" s="81">
        <v>38600</v>
      </c>
      <c r="O11" s="81">
        <v>44300</v>
      </c>
      <c r="P11" s="82">
        <f t="shared" si="0"/>
        <v>453857</v>
      </c>
    </row>
    <row r="12" spans="1:17" ht="15.75">
      <c r="A12" s="162"/>
      <c r="B12" s="77" t="s">
        <v>62</v>
      </c>
      <c r="C12" s="77"/>
      <c r="D12" s="81">
        <v>42000</v>
      </c>
      <c r="E12" s="81">
        <v>44000</v>
      </c>
      <c r="F12" s="81">
        <v>42000</v>
      </c>
      <c r="G12" s="81">
        <v>39000</v>
      </c>
      <c r="H12" s="81">
        <v>35500</v>
      </c>
      <c r="I12" s="81">
        <v>26000</v>
      </c>
      <c r="J12" s="81">
        <v>28860</v>
      </c>
      <c r="K12" s="81">
        <v>24377</v>
      </c>
      <c r="L12" s="81">
        <v>19242</v>
      </c>
      <c r="M12" s="81">
        <v>27972</v>
      </c>
      <c r="N12" s="81">
        <v>32874</v>
      </c>
      <c r="O12" s="81">
        <v>38826</v>
      </c>
      <c r="P12" s="82">
        <f t="shared" si="0"/>
        <v>400651</v>
      </c>
      <c r="Q12" s="38"/>
    </row>
    <row r="13" spans="1:16" ht="15.75">
      <c r="A13" s="163"/>
      <c r="B13" s="77" t="s">
        <v>23</v>
      </c>
      <c r="C13" s="77"/>
      <c r="D13" s="81">
        <v>1500</v>
      </c>
      <c r="E13" s="81">
        <v>1500</v>
      </c>
      <c r="F13" s="81">
        <v>1500</v>
      </c>
      <c r="G13" s="81">
        <v>1600</v>
      </c>
      <c r="H13" s="81">
        <v>1300</v>
      </c>
      <c r="I13" s="81">
        <v>1600</v>
      </c>
      <c r="J13" s="81">
        <v>1200</v>
      </c>
      <c r="K13" s="81">
        <v>1200</v>
      </c>
      <c r="L13" s="81">
        <v>1300</v>
      </c>
      <c r="M13" s="81">
        <v>1457</v>
      </c>
      <c r="N13" s="81">
        <v>1500</v>
      </c>
      <c r="O13" s="81">
        <v>1600</v>
      </c>
      <c r="P13" s="82">
        <f t="shared" si="0"/>
        <v>17257</v>
      </c>
    </row>
    <row r="14" spans="1:16" ht="15.75">
      <c r="A14" s="161" t="s">
        <v>24</v>
      </c>
      <c r="B14" s="77" t="s">
        <v>43</v>
      </c>
      <c r="C14" s="77"/>
      <c r="D14" s="81">
        <v>81420</v>
      </c>
      <c r="E14" s="81">
        <v>86080</v>
      </c>
      <c r="F14" s="81">
        <v>65930</v>
      </c>
      <c r="G14" s="81">
        <v>65780</v>
      </c>
      <c r="H14" s="81">
        <v>61845</v>
      </c>
      <c r="I14" s="81">
        <v>61620</v>
      </c>
      <c r="J14" s="81">
        <v>56000</v>
      </c>
      <c r="K14" s="81">
        <v>57820</v>
      </c>
      <c r="L14" s="81">
        <v>57870</v>
      </c>
      <c r="M14" s="81">
        <v>69498</v>
      </c>
      <c r="N14" s="81">
        <v>73540</v>
      </c>
      <c r="O14" s="81">
        <v>73190</v>
      </c>
      <c r="P14" s="82">
        <f t="shared" si="0"/>
        <v>810593</v>
      </c>
    </row>
    <row r="15" spans="1:17" ht="15.75">
      <c r="A15" s="162"/>
      <c r="B15" s="77" t="s">
        <v>62</v>
      </c>
      <c r="C15" s="77"/>
      <c r="D15" s="81">
        <v>49100</v>
      </c>
      <c r="E15" s="81">
        <v>52500</v>
      </c>
      <c r="F15" s="81">
        <v>41500</v>
      </c>
      <c r="G15" s="81">
        <v>40200</v>
      </c>
      <c r="H15" s="81">
        <v>38100</v>
      </c>
      <c r="I15" s="81">
        <v>37000</v>
      </c>
      <c r="J15" s="81">
        <v>36500</v>
      </c>
      <c r="K15" s="81">
        <v>29473</v>
      </c>
      <c r="L15" s="81">
        <v>31020</v>
      </c>
      <c r="M15" s="81">
        <v>30211</v>
      </c>
      <c r="N15" s="81">
        <v>33894</v>
      </c>
      <c r="O15" s="81">
        <v>33895</v>
      </c>
      <c r="P15" s="82">
        <f t="shared" si="0"/>
        <v>453393</v>
      </c>
      <c r="Q15" s="38"/>
    </row>
    <row r="16" spans="1:16" ht="15.75">
      <c r="A16" s="163"/>
      <c r="B16" s="77" t="s">
        <v>23</v>
      </c>
      <c r="C16" s="77"/>
      <c r="D16" s="81">
        <v>120</v>
      </c>
      <c r="E16" s="81">
        <v>80</v>
      </c>
      <c r="F16" s="81">
        <v>330</v>
      </c>
      <c r="G16" s="81">
        <v>80</v>
      </c>
      <c r="H16" s="81">
        <v>45</v>
      </c>
      <c r="I16" s="81">
        <v>320</v>
      </c>
      <c r="J16" s="81">
        <v>300</v>
      </c>
      <c r="K16" s="81">
        <v>60</v>
      </c>
      <c r="L16" s="81">
        <v>85</v>
      </c>
      <c r="M16" s="81">
        <v>49</v>
      </c>
      <c r="N16" s="81">
        <v>70</v>
      </c>
      <c r="O16" s="81">
        <v>145</v>
      </c>
      <c r="P16" s="82">
        <f t="shared" si="0"/>
        <v>1684</v>
      </c>
    </row>
    <row r="17" spans="1:16" ht="18" customHeight="1">
      <c r="A17" s="161" t="s">
        <v>28</v>
      </c>
      <c r="B17" s="199" t="s">
        <v>57</v>
      </c>
      <c r="C17" s="200"/>
      <c r="D17" s="81">
        <v>53500</v>
      </c>
      <c r="E17" s="81">
        <v>53490</v>
      </c>
      <c r="F17" s="81">
        <v>53316</v>
      </c>
      <c r="G17" s="81">
        <v>43557</v>
      </c>
      <c r="H17" s="81">
        <v>45424</v>
      </c>
      <c r="I17" s="81">
        <v>46635</v>
      </c>
      <c r="J17" s="81">
        <v>33131</v>
      </c>
      <c r="K17" s="81">
        <v>38110</v>
      </c>
      <c r="L17" s="81">
        <v>40109</v>
      </c>
      <c r="M17" s="81">
        <v>51305</v>
      </c>
      <c r="N17" s="81">
        <v>53384</v>
      </c>
      <c r="O17" s="81">
        <v>57562</v>
      </c>
      <c r="P17" s="82">
        <f t="shared" si="0"/>
        <v>569523</v>
      </c>
    </row>
    <row r="18" spans="1:17" ht="15.75">
      <c r="A18" s="163"/>
      <c r="B18" s="77" t="s">
        <v>62</v>
      </c>
      <c r="C18" s="77"/>
      <c r="D18" s="81">
        <v>50300</v>
      </c>
      <c r="E18" s="81">
        <v>50000</v>
      </c>
      <c r="F18" s="81">
        <v>50000</v>
      </c>
      <c r="G18" s="81">
        <v>40000</v>
      </c>
      <c r="H18" s="81">
        <v>42200</v>
      </c>
      <c r="I18" s="81">
        <v>43500</v>
      </c>
      <c r="J18" s="81">
        <v>29218</v>
      </c>
      <c r="K18" s="81">
        <v>32891</v>
      </c>
      <c r="L18" s="81">
        <v>34829</v>
      </c>
      <c r="M18" s="81">
        <v>45486</v>
      </c>
      <c r="N18" s="81">
        <v>47398</v>
      </c>
      <c r="O18" s="81">
        <v>51261</v>
      </c>
      <c r="P18" s="82">
        <f>SUM(D18:O18)</f>
        <v>517083</v>
      </c>
      <c r="Q18" s="38"/>
    </row>
    <row r="19" spans="1:16" ht="15.75">
      <c r="A19" s="161"/>
      <c r="B19" s="78" t="s">
        <v>44</v>
      </c>
      <c r="C19" s="78"/>
      <c r="D19" s="83">
        <f>D8+D11+D14+D17</f>
        <v>223120</v>
      </c>
      <c r="E19" s="83">
        <f aca="true" t="shared" si="1" ref="E19:P19">E8+E11+E14+E17</f>
        <v>230670</v>
      </c>
      <c r="F19" s="83">
        <f t="shared" si="1"/>
        <v>204346</v>
      </c>
      <c r="G19" s="83">
        <f t="shared" si="1"/>
        <v>188437</v>
      </c>
      <c r="H19" s="83">
        <f t="shared" si="1"/>
        <v>181469</v>
      </c>
      <c r="I19" s="83">
        <f t="shared" si="1"/>
        <v>171055</v>
      </c>
      <c r="J19" s="83">
        <f t="shared" si="1"/>
        <v>155281</v>
      </c>
      <c r="K19" s="83">
        <f t="shared" si="1"/>
        <v>156580</v>
      </c>
      <c r="L19" s="83">
        <f t="shared" si="1"/>
        <v>154529</v>
      </c>
      <c r="M19" s="83">
        <f t="shared" si="1"/>
        <v>193210</v>
      </c>
      <c r="N19" s="83">
        <f t="shared" si="1"/>
        <v>207174</v>
      </c>
      <c r="O19" s="83">
        <f t="shared" si="1"/>
        <v>213802</v>
      </c>
      <c r="P19" s="83">
        <f t="shared" si="1"/>
        <v>2279673</v>
      </c>
    </row>
    <row r="20" spans="1:18" ht="15.75">
      <c r="A20" s="162"/>
      <c r="B20" s="78" t="s">
        <v>62</v>
      </c>
      <c r="C20" s="78"/>
      <c r="D20" s="83">
        <f>D9+D12+D15+D18</f>
        <v>174400</v>
      </c>
      <c r="E20" s="83">
        <f aca="true" t="shared" si="2" ref="E20:P20">E9+E12+E15+E18</f>
        <v>180500</v>
      </c>
      <c r="F20" s="83">
        <f t="shared" si="2"/>
        <v>163500</v>
      </c>
      <c r="G20" s="83">
        <f t="shared" si="2"/>
        <v>146200</v>
      </c>
      <c r="H20" s="83">
        <f t="shared" si="2"/>
        <v>141800</v>
      </c>
      <c r="I20" s="83">
        <f t="shared" si="2"/>
        <v>131500</v>
      </c>
      <c r="J20" s="83">
        <f t="shared" si="2"/>
        <v>119151</v>
      </c>
      <c r="K20" s="83">
        <f t="shared" si="2"/>
        <v>110259</v>
      </c>
      <c r="L20" s="83">
        <f t="shared" si="2"/>
        <v>109582</v>
      </c>
      <c r="M20" s="83">
        <f t="shared" si="2"/>
        <v>134121</v>
      </c>
      <c r="N20" s="83">
        <f t="shared" si="2"/>
        <v>146775</v>
      </c>
      <c r="O20" s="83">
        <f t="shared" si="2"/>
        <v>153563</v>
      </c>
      <c r="P20" s="83">
        <f t="shared" si="2"/>
        <v>1711351</v>
      </c>
      <c r="R20" s="145"/>
    </row>
    <row r="21" spans="1:16" ht="15.75">
      <c r="A21" s="163"/>
      <c r="B21" s="78" t="s">
        <v>23</v>
      </c>
      <c r="C21" s="78"/>
      <c r="D21" s="83">
        <f>D10+D13+D16</f>
        <v>1720</v>
      </c>
      <c r="E21" s="83">
        <f aca="true" t="shared" si="3" ref="E21:O21">E10+E13+E16</f>
        <v>1680</v>
      </c>
      <c r="F21" s="83">
        <f t="shared" si="3"/>
        <v>1930</v>
      </c>
      <c r="G21" s="83">
        <f t="shared" si="3"/>
        <v>1780</v>
      </c>
      <c r="H21" s="83">
        <f t="shared" si="3"/>
        <v>1445</v>
      </c>
      <c r="I21" s="83">
        <f t="shared" si="3"/>
        <v>2020</v>
      </c>
      <c r="J21" s="83">
        <f t="shared" si="3"/>
        <v>1850</v>
      </c>
      <c r="K21" s="83">
        <f t="shared" si="3"/>
        <v>1610</v>
      </c>
      <c r="L21" s="83">
        <f t="shared" si="3"/>
        <v>1735</v>
      </c>
      <c r="M21" s="83">
        <f t="shared" si="3"/>
        <v>1856</v>
      </c>
      <c r="N21" s="83">
        <f t="shared" si="3"/>
        <v>1920</v>
      </c>
      <c r="O21" s="83">
        <f t="shared" si="3"/>
        <v>2095</v>
      </c>
      <c r="P21" s="84">
        <f t="shared" si="0"/>
        <v>21641</v>
      </c>
    </row>
    <row r="22" spans="1:16" ht="36" customHeight="1">
      <c r="A22" s="161" t="s">
        <v>30</v>
      </c>
      <c r="B22" s="192" t="s">
        <v>89</v>
      </c>
      <c r="C22" s="193"/>
      <c r="D22" s="81">
        <v>39700</v>
      </c>
      <c r="E22" s="81">
        <v>39755</v>
      </c>
      <c r="F22" s="81">
        <v>31555</v>
      </c>
      <c r="G22" s="81">
        <v>31250</v>
      </c>
      <c r="H22" s="81">
        <v>29755</v>
      </c>
      <c r="I22" s="81">
        <v>28855</v>
      </c>
      <c r="J22" s="81">
        <v>23800</v>
      </c>
      <c r="K22" s="81">
        <v>23855</v>
      </c>
      <c r="L22" s="81">
        <v>26255</v>
      </c>
      <c r="M22" s="81">
        <v>34355</v>
      </c>
      <c r="N22" s="81">
        <v>37555</v>
      </c>
      <c r="O22" s="81">
        <v>39560</v>
      </c>
      <c r="P22" s="82">
        <f t="shared" si="0"/>
        <v>386250</v>
      </c>
    </row>
    <row r="23" spans="1:17" ht="15.75">
      <c r="A23" s="162"/>
      <c r="B23" s="77" t="s">
        <v>62</v>
      </c>
      <c r="C23" s="77"/>
      <c r="D23" s="81">
        <v>38000</v>
      </c>
      <c r="E23" s="81">
        <v>38000</v>
      </c>
      <c r="F23" s="81">
        <v>30000</v>
      </c>
      <c r="G23" s="81">
        <v>30000</v>
      </c>
      <c r="H23" s="81">
        <v>28700</v>
      </c>
      <c r="I23" s="81">
        <v>28000</v>
      </c>
      <c r="J23" s="81">
        <v>23000</v>
      </c>
      <c r="K23" s="81">
        <v>23000</v>
      </c>
      <c r="L23" s="81">
        <v>25000</v>
      </c>
      <c r="M23" s="81">
        <v>33000</v>
      </c>
      <c r="N23" s="81">
        <v>36000</v>
      </c>
      <c r="O23" s="81">
        <v>37800</v>
      </c>
      <c r="P23" s="82">
        <f t="shared" si="0"/>
        <v>370500</v>
      </c>
      <c r="Q23" s="38"/>
    </row>
    <row r="24" spans="1:16" ht="15.75">
      <c r="A24" s="163"/>
      <c r="B24" s="77" t="s">
        <v>23</v>
      </c>
      <c r="C24" s="77"/>
      <c r="D24" s="81"/>
      <c r="E24" s="81">
        <v>55</v>
      </c>
      <c r="F24" s="81">
        <v>55</v>
      </c>
      <c r="G24" s="81">
        <v>55</v>
      </c>
      <c r="H24" s="81">
        <v>55</v>
      </c>
      <c r="I24" s="81"/>
      <c r="J24" s="81">
        <v>55</v>
      </c>
      <c r="K24" s="81">
        <v>55</v>
      </c>
      <c r="L24" s="81">
        <v>55</v>
      </c>
      <c r="M24" s="81">
        <v>55</v>
      </c>
      <c r="N24" s="81">
        <v>55</v>
      </c>
      <c r="O24" s="81">
        <v>55</v>
      </c>
      <c r="P24" s="82">
        <f t="shared" si="0"/>
        <v>550</v>
      </c>
    </row>
    <row r="25" spans="1:16" ht="23.25" customHeight="1">
      <c r="A25" s="161" t="s">
        <v>80</v>
      </c>
      <c r="B25" s="201" t="s">
        <v>59</v>
      </c>
      <c r="C25" s="202"/>
      <c r="D25" s="81">
        <f>117+D26+D27</f>
        <v>6902</v>
      </c>
      <c r="E25" s="81">
        <f>155+E26+E27</f>
        <v>6622</v>
      </c>
      <c r="F25" s="81">
        <f>102+F26+F27</f>
        <v>5594</v>
      </c>
      <c r="G25" s="81">
        <f>158+G26+G27</f>
        <v>4545</v>
      </c>
      <c r="H25" s="81">
        <f>143+H26+H27</f>
        <v>3724</v>
      </c>
      <c r="I25" s="81">
        <f>108+I26+I27</f>
        <v>2886</v>
      </c>
      <c r="J25" s="81"/>
      <c r="K25" s="81"/>
      <c r="L25" s="81"/>
      <c r="M25" s="81"/>
      <c r="N25" s="81"/>
      <c r="O25" s="81"/>
      <c r="P25" s="82">
        <f t="shared" si="0"/>
        <v>30273</v>
      </c>
    </row>
    <row r="26" spans="1:17" ht="15.75">
      <c r="A26" s="162"/>
      <c r="B26" s="77" t="s">
        <v>62</v>
      </c>
      <c r="C26" s="77"/>
      <c r="D26" s="81">
        <v>6500</v>
      </c>
      <c r="E26" s="81">
        <v>6200</v>
      </c>
      <c r="F26" s="81">
        <v>5200</v>
      </c>
      <c r="G26" s="81">
        <v>4100</v>
      </c>
      <c r="H26" s="81">
        <v>3300</v>
      </c>
      <c r="I26" s="81">
        <v>2500</v>
      </c>
      <c r="J26" s="81"/>
      <c r="K26" s="81"/>
      <c r="L26" s="81"/>
      <c r="M26" s="81"/>
      <c r="N26" s="81"/>
      <c r="O26" s="81"/>
      <c r="P26" s="82">
        <f t="shared" si="0"/>
        <v>27800</v>
      </c>
      <c r="Q26" s="38"/>
    </row>
    <row r="27" spans="1:16" ht="15.75">
      <c r="A27" s="163"/>
      <c r="B27" s="77" t="s">
        <v>23</v>
      </c>
      <c r="C27" s="77"/>
      <c r="D27" s="81">
        <v>285</v>
      </c>
      <c r="E27" s="81">
        <v>267</v>
      </c>
      <c r="F27" s="81">
        <v>292</v>
      </c>
      <c r="G27" s="81">
        <v>287</v>
      </c>
      <c r="H27" s="81">
        <v>281</v>
      </c>
      <c r="I27" s="81">
        <v>278</v>
      </c>
      <c r="J27" s="81"/>
      <c r="K27" s="81"/>
      <c r="L27" s="81"/>
      <c r="M27" s="81"/>
      <c r="N27" s="81"/>
      <c r="O27" s="81"/>
      <c r="P27" s="82">
        <f t="shared" si="0"/>
        <v>1690</v>
      </c>
    </row>
    <row r="28" spans="1:16" ht="19.5" customHeight="1">
      <c r="A28" s="161" t="s">
        <v>31</v>
      </c>
      <c r="B28" s="201" t="s">
        <v>101</v>
      </c>
      <c r="C28" s="202"/>
      <c r="D28" s="81"/>
      <c r="E28" s="81"/>
      <c r="F28" s="81"/>
      <c r="G28" s="81"/>
      <c r="H28" s="81"/>
      <c r="I28" s="81"/>
      <c r="J28" s="81">
        <f>J29+110+108</f>
        <v>4583</v>
      </c>
      <c r="K28" s="81">
        <f>K29+145+108</f>
        <v>5422</v>
      </c>
      <c r="L28" s="81">
        <f>L29+198+108</f>
        <v>6786</v>
      </c>
      <c r="M28" s="81">
        <f>M29+229+108</f>
        <v>7797</v>
      </c>
      <c r="N28" s="81">
        <f>N29+356+108</f>
        <v>10955</v>
      </c>
      <c r="O28" s="81">
        <f>O29+378+108</f>
        <v>11568</v>
      </c>
      <c r="P28" s="82">
        <f>SUM(J28:O28)</f>
        <v>47111</v>
      </c>
    </row>
    <row r="29" spans="1:17" ht="15.75">
      <c r="A29" s="162"/>
      <c r="B29" s="77" t="s">
        <v>62</v>
      </c>
      <c r="C29" s="77"/>
      <c r="D29" s="81"/>
      <c r="E29" s="81"/>
      <c r="F29" s="81"/>
      <c r="G29" s="81"/>
      <c r="H29" s="81"/>
      <c r="I29" s="81"/>
      <c r="J29" s="81">
        <v>4365</v>
      </c>
      <c r="K29" s="81">
        <v>5169</v>
      </c>
      <c r="L29" s="81">
        <v>6480</v>
      </c>
      <c r="M29" s="81">
        <v>7460</v>
      </c>
      <c r="N29" s="81">
        <v>10491</v>
      </c>
      <c r="O29" s="81">
        <v>11082</v>
      </c>
      <c r="P29" s="82">
        <f>SUM(J29:O29)</f>
        <v>45047</v>
      </c>
      <c r="Q29" s="156">
        <v>45047</v>
      </c>
    </row>
    <row r="30" spans="1:16" ht="15.75">
      <c r="A30" s="161" t="s">
        <v>32</v>
      </c>
      <c r="B30" s="204" t="s">
        <v>90</v>
      </c>
      <c r="C30" s="205"/>
      <c r="D30" s="81">
        <f>D31+D32</f>
        <v>2800</v>
      </c>
      <c r="E30" s="81">
        <f aca="true" t="shared" si="4" ref="E30:P30">E31+E32</f>
        <v>3400</v>
      </c>
      <c r="F30" s="81">
        <f t="shared" si="4"/>
        <v>3300</v>
      </c>
      <c r="G30" s="81">
        <f t="shared" si="4"/>
        <v>3000</v>
      </c>
      <c r="H30" s="81">
        <f t="shared" si="4"/>
        <v>2800</v>
      </c>
      <c r="I30" s="81">
        <f t="shared" si="4"/>
        <v>2200</v>
      </c>
      <c r="J30" s="81">
        <f t="shared" si="4"/>
        <v>2200</v>
      </c>
      <c r="K30" s="81"/>
      <c r="L30" s="81"/>
      <c r="M30" s="81"/>
      <c r="N30" s="81"/>
      <c r="O30" s="81"/>
      <c r="P30" s="81">
        <f t="shared" si="4"/>
        <v>19700</v>
      </c>
    </row>
    <row r="31" spans="1:16" ht="15.75">
      <c r="A31" s="162"/>
      <c r="B31" s="204" t="s">
        <v>62</v>
      </c>
      <c r="C31" s="205"/>
      <c r="D31" s="81">
        <v>1200</v>
      </c>
      <c r="E31" s="81">
        <v>1100</v>
      </c>
      <c r="F31" s="81">
        <v>1000</v>
      </c>
      <c r="G31" s="81">
        <v>900</v>
      </c>
      <c r="H31" s="81">
        <v>900</v>
      </c>
      <c r="I31" s="81">
        <v>800</v>
      </c>
      <c r="J31" s="81">
        <v>800</v>
      </c>
      <c r="K31" s="81"/>
      <c r="L31" s="81"/>
      <c r="M31" s="81"/>
      <c r="N31" s="81"/>
      <c r="O31" s="81"/>
      <c r="P31" s="82">
        <f>SUM(D31:O31)</f>
        <v>6700</v>
      </c>
    </row>
    <row r="32" spans="1:16" ht="15.75">
      <c r="A32" s="163"/>
      <c r="B32" s="204" t="s">
        <v>23</v>
      </c>
      <c r="C32" s="205"/>
      <c r="D32" s="81">
        <v>1600</v>
      </c>
      <c r="E32" s="81">
        <v>2300</v>
      </c>
      <c r="F32" s="81">
        <v>2300</v>
      </c>
      <c r="G32" s="81">
        <v>2100</v>
      </c>
      <c r="H32" s="81">
        <v>1900</v>
      </c>
      <c r="I32" s="81">
        <v>1400</v>
      </c>
      <c r="J32" s="81">
        <v>1400</v>
      </c>
      <c r="K32" s="81"/>
      <c r="L32" s="81"/>
      <c r="M32" s="81"/>
      <c r="N32" s="81"/>
      <c r="O32" s="81"/>
      <c r="P32" s="82">
        <f>SUM(D32:O32)</f>
        <v>13000</v>
      </c>
    </row>
    <row r="33" spans="1:16" ht="19.5" customHeight="1">
      <c r="A33" s="161" t="s">
        <v>51</v>
      </c>
      <c r="B33" s="201" t="s">
        <v>102</v>
      </c>
      <c r="C33" s="202"/>
      <c r="D33" s="81"/>
      <c r="E33" s="81"/>
      <c r="F33" s="81"/>
      <c r="G33" s="81"/>
      <c r="H33" s="81"/>
      <c r="I33" s="81"/>
      <c r="J33" s="81"/>
      <c r="K33" s="81">
        <f aca="true" t="shared" si="5" ref="K33:P33">K34</f>
        <v>14282</v>
      </c>
      <c r="L33" s="81">
        <f t="shared" si="5"/>
        <v>15152</v>
      </c>
      <c r="M33" s="81">
        <f t="shared" si="5"/>
        <v>15618</v>
      </c>
      <c r="N33" s="81">
        <f t="shared" si="5"/>
        <v>17148</v>
      </c>
      <c r="O33" s="81">
        <f t="shared" si="5"/>
        <v>17369</v>
      </c>
      <c r="P33" s="81">
        <f t="shared" si="5"/>
        <v>79569</v>
      </c>
    </row>
    <row r="34" spans="1:16" ht="18.75" customHeight="1">
      <c r="A34" s="163"/>
      <c r="B34" s="77" t="s">
        <v>62</v>
      </c>
      <c r="C34" s="77"/>
      <c r="D34" s="81"/>
      <c r="E34" s="81"/>
      <c r="F34" s="81"/>
      <c r="G34" s="81"/>
      <c r="H34" s="81"/>
      <c r="I34" s="81"/>
      <c r="J34" s="81"/>
      <c r="K34" s="81">
        <v>14282</v>
      </c>
      <c r="L34" s="81">
        <v>15152</v>
      </c>
      <c r="M34" s="81">
        <v>15618</v>
      </c>
      <c r="N34" s="81">
        <v>17148</v>
      </c>
      <c r="O34" s="81">
        <v>17369</v>
      </c>
      <c r="P34" s="82">
        <f>SUM(K34:O34)</f>
        <v>79569</v>
      </c>
    </row>
    <row r="35" spans="1:16" ht="18.75" customHeight="1">
      <c r="A35" s="175" t="s">
        <v>53</v>
      </c>
      <c r="B35" s="206" t="s">
        <v>71</v>
      </c>
      <c r="C35" s="207"/>
      <c r="D35" s="81">
        <v>9350</v>
      </c>
      <c r="E35" s="81">
        <v>8900</v>
      </c>
      <c r="F35" s="81">
        <v>7040</v>
      </c>
      <c r="G35" s="81">
        <v>7000</v>
      </c>
      <c r="H35" s="81">
        <v>6380</v>
      </c>
      <c r="I35" s="81">
        <v>7560</v>
      </c>
      <c r="J35" s="81">
        <v>7560</v>
      </c>
      <c r="K35" s="81">
        <v>6650</v>
      </c>
      <c r="L35" s="81">
        <v>7660</v>
      </c>
      <c r="M35" s="81">
        <v>8260</v>
      </c>
      <c r="N35" s="81">
        <v>9750</v>
      </c>
      <c r="O35" s="81">
        <v>9740</v>
      </c>
      <c r="P35" s="82">
        <f>SUM(D35:O35)</f>
        <v>95850</v>
      </c>
    </row>
    <row r="36" spans="1:17" ht="15.75">
      <c r="A36" s="176"/>
      <c r="B36" s="77" t="s">
        <v>62</v>
      </c>
      <c r="C36" s="77"/>
      <c r="D36" s="81">
        <v>5750</v>
      </c>
      <c r="E36" s="81">
        <v>6000</v>
      </c>
      <c r="F36" s="81">
        <v>3500</v>
      </c>
      <c r="G36" s="81">
        <v>4000</v>
      </c>
      <c r="H36" s="81">
        <v>3750</v>
      </c>
      <c r="I36" s="81">
        <v>4000</v>
      </c>
      <c r="J36" s="81">
        <v>4000</v>
      </c>
      <c r="K36" s="81">
        <v>3500</v>
      </c>
      <c r="L36" s="81">
        <v>4000</v>
      </c>
      <c r="M36" s="81">
        <v>4500</v>
      </c>
      <c r="N36" s="81">
        <v>5000</v>
      </c>
      <c r="O36" s="81">
        <v>5000</v>
      </c>
      <c r="P36" s="82">
        <f t="shared" si="0"/>
        <v>53000</v>
      </c>
      <c r="Q36" s="38"/>
    </row>
    <row r="37" spans="1:16" ht="15.75">
      <c r="A37" s="177"/>
      <c r="B37" s="77" t="s">
        <v>23</v>
      </c>
      <c r="C37" s="77"/>
      <c r="D37" s="81">
        <v>3200</v>
      </c>
      <c r="E37" s="81">
        <v>2500</v>
      </c>
      <c r="F37" s="81">
        <v>3140</v>
      </c>
      <c r="G37" s="81">
        <v>2600</v>
      </c>
      <c r="H37" s="81">
        <v>2230</v>
      </c>
      <c r="I37" s="81">
        <v>3160</v>
      </c>
      <c r="J37" s="81">
        <v>3160</v>
      </c>
      <c r="K37" s="81">
        <v>2750</v>
      </c>
      <c r="L37" s="81">
        <v>3260</v>
      </c>
      <c r="M37" s="81">
        <v>3360</v>
      </c>
      <c r="N37" s="81">
        <v>4350</v>
      </c>
      <c r="O37" s="81">
        <v>4340</v>
      </c>
      <c r="P37" s="82">
        <f t="shared" si="0"/>
        <v>38050</v>
      </c>
    </row>
    <row r="38" spans="1:17" ht="18.75" customHeight="1">
      <c r="A38" s="36" t="s">
        <v>54</v>
      </c>
      <c r="B38" s="192" t="s">
        <v>35</v>
      </c>
      <c r="C38" s="203"/>
      <c r="D38" s="81">
        <v>120</v>
      </c>
      <c r="E38" s="81">
        <v>120</v>
      </c>
      <c r="F38" s="81">
        <v>120</v>
      </c>
      <c r="G38" s="81">
        <v>100</v>
      </c>
      <c r="H38" s="81">
        <v>100</v>
      </c>
      <c r="I38" s="81">
        <v>90</v>
      </c>
      <c r="J38" s="81">
        <v>90</v>
      </c>
      <c r="K38" s="81">
        <v>90</v>
      </c>
      <c r="L38" s="81">
        <v>90</v>
      </c>
      <c r="M38" s="81">
        <v>100</v>
      </c>
      <c r="N38" s="81">
        <v>120</v>
      </c>
      <c r="O38" s="81">
        <v>120</v>
      </c>
      <c r="P38" s="82">
        <f t="shared" si="0"/>
        <v>1260</v>
      </c>
      <c r="Q38" s="38"/>
    </row>
    <row r="39" spans="1:16" ht="15.75">
      <c r="A39" s="36" t="s">
        <v>69</v>
      </c>
      <c r="B39" s="77" t="s">
        <v>33</v>
      </c>
      <c r="C39" s="77"/>
      <c r="D39" s="106">
        <v>800</v>
      </c>
      <c r="E39" s="106">
        <v>700</v>
      </c>
      <c r="F39" s="106">
        <v>700</v>
      </c>
      <c r="G39" s="106">
        <v>600</v>
      </c>
      <c r="H39" s="106">
        <v>500</v>
      </c>
      <c r="I39" s="106">
        <v>500</v>
      </c>
      <c r="J39" s="106">
        <v>400</v>
      </c>
      <c r="K39" s="106">
        <v>400</v>
      </c>
      <c r="L39" s="106">
        <v>400</v>
      </c>
      <c r="M39" s="106">
        <v>500</v>
      </c>
      <c r="N39" s="106">
        <v>700</v>
      </c>
      <c r="O39" s="107">
        <v>800</v>
      </c>
      <c r="P39" s="104">
        <f t="shared" si="0"/>
        <v>7000</v>
      </c>
    </row>
    <row r="40" spans="1:16" ht="15.75">
      <c r="A40" s="36" t="s">
        <v>74</v>
      </c>
      <c r="B40" s="77" t="s">
        <v>36</v>
      </c>
      <c r="C40" s="77"/>
      <c r="D40" s="85">
        <v>400</v>
      </c>
      <c r="E40" s="85">
        <v>380</v>
      </c>
      <c r="F40" s="85">
        <v>330</v>
      </c>
      <c r="G40" s="85">
        <v>300</v>
      </c>
      <c r="H40" s="85">
        <v>250</v>
      </c>
      <c r="I40" s="85">
        <v>200</v>
      </c>
      <c r="J40" s="85">
        <v>150</v>
      </c>
      <c r="K40" s="85">
        <v>180</v>
      </c>
      <c r="L40" s="85">
        <v>160</v>
      </c>
      <c r="M40" s="85">
        <v>300</v>
      </c>
      <c r="N40" s="85">
        <v>350</v>
      </c>
      <c r="O40" s="79">
        <v>400</v>
      </c>
      <c r="P40" s="82">
        <f t="shared" si="0"/>
        <v>3400</v>
      </c>
    </row>
    <row r="41" spans="1:16" ht="15.75">
      <c r="A41" s="196"/>
      <c r="B41" s="78" t="s">
        <v>45</v>
      </c>
      <c r="C41" s="78"/>
      <c r="D41" s="108">
        <f>D19+D22+D25+D28+D33+D35+D38+D39+D40+D30</f>
        <v>283192</v>
      </c>
      <c r="E41" s="108">
        <f aca="true" t="shared" si="6" ref="E41:P41">E19+E22+E25+E28+E33+E35+E38+E39+E40+E30</f>
        <v>290547</v>
      </c>
      <c r="F41" s="108">
        <f t="shared" si="6"/>
        <v>252985</v>
      </c>
      <c r="G41" s="108">
        <f t="shared" si="6"/>
        <v>235232</v>
      </c>
      <c r="H41" s="108">
        <f t="shared" si="6"/>
        <v>224978</v>
      </c>
      <c r="I41" s="108">
        <f t="shared" si="6"/>
        <v>213346</v>
      </c>
      <c r="J41" s="108">
        <f t="shared" si="6"/>
        <v>194064</v>
      </c>
      <c r="K41" s="108">
        <f t="shared" si="6"/>
        <v>207459</v>
      </c>
      <c r="L41" s="108">
        <f t="shared" si="6"/>
        <v>211032</v>
      </c>
      <c r="M41" s="108">
        <f t="shared" si="6"/>
        <v>260140</v>
      </c>
      <c r="N41" s="108">
        <f t="shared" si="6"/>
        <v>283752</v>
      </c>
      <c r="O41" s="108">
        <f t="shared" si="6"/>
        <v>293359</v>
      </c>
      <c r="P41" s="108">
        <f t="shared" si="6"/>
        <v>2950086</v>
      </c>
    </row>
    <row r="42" spans="1:18" ht="15.75">
      <c r="A42" s="197"/>
      <c r="B42" s="78" t="s">
        <v>62</v>
      </c>
      <c r="C42" s="78"/>
      <c r="D42" s="108">
        <f>D20+D23+D26+D29+D34+D36+D38+D39+D40+D31</f>
        <v>227170</v>
      </c>
      <c r="E42" s="108">
        <f aca="true" t="shared" si="7" ref="E42:P42">E20+E23+E26+E29+E34+E36+E38+E39+E40+E31</f>
        <v>233000</v>
      </c>
      <c r="F42" s="108">
        <f t="shared" si="7"/>
        <v>204350</v>
      </c>
      <c r="G42" s="108">
        <f t="shared" si="7"/>
        <v>186200</v>
      </c>
      <c r="H42" s="108">
        <f t="shared" si="7"/>
        <v>179300</v>
      </c>
      <c r="I42" s="108">
        <f t="shared" si="7"/>
        <v>167590</v>
      </c>
      <c r="J42" s="108">
        <f t="shared" si="7"/>
        <v>151956</v>
      </c>
      <c r="K42" s="108">
        <f t="shared" si="7"/>
        <v>156880</v>
      </c>
      <c r="L42" s="108">
        <f t="shared" si="7"/>
        <v>160864</v>
      </c>
      <c r="M42" s="108">
        <f t="shared" si="7"/>
        <v>195599</v>
      </c>
      <c r="N42" s="108">
        <f t="shared" si="7"/>
        <v>216584</v>
      </c>
      <c r="O42" s="108">
        <f t="shared" si="7"/>
        <v>226134</v>
      </c>
      <c r="P42" s="108">
        <f t="shared" si="7"/>
        <v>2305627</v>
      </c>
      <c r="R42" s="146"/>
    </row>
    <row r="43" spans="1:18" ht="15.75">
      <c r="A43" s="198"/>
      <c r="B43" s="78" t="s">
        <v>23</v>
      </c>
      <c r="C43" s="78"/>
      <c r="D43" s="108">
        <f>D21+D24+D27+D37+D32</f>
        <v>6805</v>
      </c>
      <c r="E43" s="108">
        <f aca="true" t="shared" si="8" ref="E43:P43">E21+E24+E27+E37+E32</f>
        <v>6802</v>
      </c>
      <c r="F43" s="108">
        <f t="shared" si="8"/>
        <v>7717</v>
      </c>
      <c r="G43" s="108">
        <f t="shared" si="8"/>
        <v>6822</v>
      </c>
      <c r="H43" s="108">
        <f t="shared" si="8"/>
        <v>5911</v>
      </c>
      <c r="I43" s="108">
        <f t="shared" si="8"/>
        <v>6858</v>
      </c>
      <c r="J43" s="108">
        <f t="shared" si="8"/>
        <v>6465</v>
      </c>
      <c r="K43" s="108">
        <f t="shared" si="8"/>
        <v>4415</v>
      </c>
      <c r="L43" s="108">
        <f t="shared" si="8"/>
        <v>5050</v>
      </c>
      <c r="M43" s="108">
        <f t="shared" si="8"/>
        <v>5271</v>
      </c>
      <c r="N43" s="108">
        <f t="shared" si="8"/>
        <v>6325</v>
      </c>
      <c r="O43" s="108">
        <f t="shared" si="8"/>
        <v>6490</v>
      </c>
      <c r="P43" s="108">
        <f t="shared" si="8"/>
        <v>74931</v>
      </c>
      <c r="R43" s="146"/>
    </row>
    <row r="44" spans="1:19" ht="15.75">
      <c r="A44" s="35"/>
      <c r="Q44">
        <v>5593602</v>
      </c>
      <c r="R44">
        <f>P44-Q44</f>
        <v>-5593602</v>
      </c>
      <c r="S44">
        <v>23912</v>
      </c>
    </row>
    <row r="45" ht="15.75">
      <c r="A45" s="20"/>
    </row>
    <row r="46" spans="1:17" ht="18.75">
      <c r="A46" s="39"/>
      <c r="B46" s="22" t="s">
        <v>92</v>
      </c>
      <c r="C46" s="22"/>
      <c r="D46" s="16"/>
      <c r="E46" s="16"/>
      <c r="F46" s="16"/>
      <c r="G46" s="16"/>
      <c r="H46" s="16"/>
      <c r="I46" s="16"/>
      <c r="J46" s="16"/>
      <c r="K46" s="16"/>
      <c r="L46" s="55"/>
      <c r="M46" s="55" t="s">
        <v>98</v>
      </c>
      <c r="N46" s="55"/>
      <c r="O46" s="55"/>
      <c r="P46" s="21"/>
      <c r="Q46" s="21"/>
    </row>
    <row r="47" spans="2:15" ht="18.75">
      <c r="B47" s="22"/>
      <c r="C47" s="22"/>
      <c r="D47" s="16"/>
      <c r="E47" s="16"/>
      <c r="F47" s="16"/>
      <c r="G47" s="16"/>
      <c r="H47" s="16"/>
      <c r="I47" s="16"/>
      <c r="J47" s="16"/>
      <c r="K47" s="16"/>
      <c r="L47" s="55"/>
      <c r="M47" s="55"/>
      <c r="N47" s="55"/>
      <c r="O47" s="55"/>
    </row>
  </sheetData>
  <sheetProtection/>
  <mergeCells count="24">
    <mergeCell ref="B38:C38"/>
    <mergeCell ref="B30:C30"/>
    <mergeCell ref="B31:C31"/>
    <mergeCell ref="B32:C32"/>
    <mergeCell ref="B25:C25"/>
    <mergeCell ref="B35:C35"/>
    <mergeCell ref="A8:A10"/>
    <mergeCell ref="A11:A13"/>
    <mergeCell ref="A35:A37"/>
    <mergeCell ref="B4:P4"/>
    <mergeCell ref="B5:P5"/>
    <mergeCell ref="B22:C22"/>
    <mergeCell ref="B17:C17"/>
    <mergeCell ref="B28:C28"/>
    <mergeCell ref="B33:C33"/>
    <mergeCell ref="A41:A43"/>
    <mergeCell ref="A17:A18"/>
    <mergeCell ref="A14:A16"/>
    <mergeCell ref="A19:A21"/>
    <mergeCell ref="A25:A27"/>
    <mergeCell ref="A22:A24"/>
    <mergeCell ref="A30:A32"/>
    <mergeCell ref="A28:A29"/>
    <mergeCell ref="A33:A34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P31"/>
  <sheetViews>
    <sheetView view="pageBreakPreview" zoomScale="75" zoomScaleNormal="75" zoomScaleSheetLayoutView="75" zoomScalePageLayoutView="0" workbookViewId="0" topLeftCell="A10">
      <selection activeCell="K24" sqref="K24"/>
    </sheetView>
  </sheetViews>
  <sheetFormatPr defaultColWidth="9.140625" defaultRowHeight="12.75"/>
  <cols>
    <col min="1" max="1" width="6.8515625" style="0" customWidth="1"/>
    <col min="2" max="2" width="42.8515625" style="0" customWidth="1"/>
    <col min="15" max="15" width="11.421875" style="0" customWidth="1"/>
  </cols>
  <sheetData>
    <row r="5" spans="1:15" ht="18.75">
      <c r="A5" s="87"/>
      <c r="B5" s="88"/>
      <c r="C5" s="87"/>
      <c r="D5" s="87"/>
      <c r="E5" s="87"/>
      <c r="F5" s="87"/>
      <c r="G5" s="87"/>
      <c r="K5" s="1"/>
      <c r="L5" s="12" t="s">
        <v>75</v>
      </c>
      <c r="M5" s="12"/>
      <c r="N5" s="12"/>
      <c r="O5" s="1"/>
    </row>
    <row r="6" spans="1:15" ht="18.75">
      <c r="A6" s="87"/>
      <c r="B6" s="88"/>
      <c r="C6" s="87"/>
      <c r="D6" s="87"/>
      <c r="E6" s="87"/>
      <c r="F6" s="87"/>
      <c r="G6" s="87"/>
      <c r="K6" s="7" t="s">
        <v>1</v>
      </c>
      <c r="L6" s="7"/>
      <c r="M6" s="7"/>
      <c r="N6" s="7"/>
      <c r="O6" s="1"/>
    </row>
    <row r="7" spans="1:15" ht="18.75">
      <c r="A7" s="87"/>
      <c r="B7" s="31"/>
      <c r="C7" s="87"/>
      <c r="D7" s="87"/>
      <c r="E7" s="87"/>
      <c r="F7" s="87"/>
      <c r="G7" s="87"/>
      <c r="K7" s="12" t="s">
        <v>106</v>
      </c>
      <c r="L7" s="12"/>
      <c r="M7" s="12"/>
      <c r="N7" s="7"/>
      <c r="O7" s="9"/>
    </row>
    <row r="8" spans="1:15" ht="18.75">
      <c r="A8" s="87"/>
      <c r="B8" s="31"/>
      <c r="C8" s="87"/>
      <c r="D8" s="87"/>
      <c r="E8" s="87"/>
      <c r="F8" s="87"/>
      <c r="G8" s="87"/>
      <c r="H8" s="87"/>
      <c r="I8" s="87"/>
      <c r="J8" s="22"/>
      <c r="K8" s="12"/>
      <c r="L8" s="12"/>
      <c r="M8" s="12"/>
      <c r="N8" s="7"/>
      <c r="O8" s="9"/>
    </row>
    <row r="9" spans="1:15" ht="20.25">
      <c r="A9" s="87"/>
      <c r="B9" s="31"/>
      <c r="C9" s="87"/>
      <c r="D9" s="87"/>
      <c r="E9" s="87"/>
      <c r="F9" s="87"/>
      <c r="G9" s="87"/>
      <c r="H9" s="87"/>
      <c r="I9" s="87"/>
      <c r="J9" s="87"/>
      <c r="K9" s="11"/>
      <c r="L9" s="11"/>
      <c r="M9" s="11"/>
      <c r="N9" s="6"/>
      <c r="O9" s="89"/>
    </row>
    <row r="10" spans="1:15" ht="18.75">
      <c r="A10" s="16"/>
      <c r="B10" s="165" t="s">
        <v>2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</row>
    <row r="11" spans="1:15" ht="18.75">
      <c r="A11" s="165" t="s">
        <v>97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</row>
    <row r="12" spans="3:15" ht="15.75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90"/>
      <c r="N12" s="91" t="s">
        <v>76</v>
      </c>
      <c r="O12" s="88"/>
    </row>
    <row r="13" spans="1:15" ht="18.75">
      <c r="A13" s="92" t="s">
        <v>52</v>
      </c>
      <c r="B13" s="93" t="s">
        <v>39</v>
      </c>
      <c r="C13" s="92" t="s">
        <v>6</v>
      </c>
      <c r="D13" s="92" t="s">
        <v>7</v>
      </c>
      <c r="E13" s="92" t="s">
        <v>8</v>
      </c>
      <c r="F13" s="92" t="s">
        <v>9</v>
      </c>
      <c r="G13" s="92" t="s">
        <v>10</v>
      </c>
      <c r="H13" s="92" t="s">
        <v>11</v>
      </c>
      <c r="I13" s="92" t="s">
        <v>12</v>
      </c>
      <c r="J13" s="92" t="s">
        <v>13</v>
      </c>
      <c r="K13" s="92" t="s">
        <v>14</v>
      </c>
      <c r="L13" s="92" t="s">
        <v>15</v>
      </c>
      <c r="M13" s="92" t="s">
        <v>77</v>
      </c>
      <c r="N13" s="92" t="s">
        <v>17</v>
      </c>
      <c r="O13" s="92" t="s">
        <v>93</v>
      </c>
    </row>
    <row r="14" spans="1:15" ht="45" customHeight="1">
      <c r="A14" s="92" t="s">
        <v>18</v>
      </c>
      <c r="B14" s="94" t="s">
        <v>78</v>
      </c>
      <c r="C14" s="95">
        <f>C15</f>
        <v>1.5</v>
      </c>
      <c r="D14" s="95">
        <f>D15</f>
        <v>1</v>
      </c>
      <c r="E14" s="95">
        <f>E15</f>
        <v>1</v>
      </c>
      <c r="F14" s="95">
        <v>0.2</v>
      </c>
      <c r="G14" s="95"/>
      <c r="H14" s="95"/>
      <c r="I14" s="95"/>
      <c r="J14" s="95"/>
      <c r="K14" s="95"/>
      <c r="L14" s="95"/>
      <c r="M14" s="95"/>
      <c r="N14" s="95"/>
      <c r="O14" s="95">
        <f>SUM(C14:N14)</f>
        <v>3.7</v>
      </c>
    </row>
    <row r="15" spans="1:15" ht="18.75">
      <c r="A15" s="92"/>
      <c r="B15" s="93" t="s">
        <v>62</v>
      </c>
      <c r="C15" s="95">
        <v>1.5</v>
      </c>
      <c r="D15" s="95">
        <v>1</v>
      </c>
      <c r="E15" s="95">
        <v>1</v>
      </c>
      <c r="F15" s="95">
        <v>0.2</v>
      </c>
      <c r="G15" s="95"/>
      <c r="H15" s="95"/>
      <c r="I15" s="95"/>
      <c r="J15" s="95"/>
      <c r="K15" s="95"/>
      <c r="L15" s="95"/>
      <c r="M15" s="95"/>
      <c r="N15" s="95"/>
      <c r="O15" s="95">
        <f>SUM(C15:N15)</f>
        <v>3.7</v>
      </c>
    </row>
    <row r="16" spans="1:15" ht="42.75" customHeight="1">
      <c r="A16" s="92" t="s">
        <v>21</v>
      </c>
      <c r="B16" s="94" t="s">
        <v>79</v>
      </c>
      <c r="C16" s="95">
        <v>25</v>
      </c>
      <c r="D16" s="95">
        <v>25</v>
      </c>
      <c r="E16" s="95">
        <v>16.5</v>
      </c>
      <c r="F16" s="95">
        <v>9</v>
      </c>
      <c r="G16" s="95"/>
      <c r="H16" s="95"/>
      <c r="I16" s="95"/>
      <c r="J16" s="95"/>
      <c r="K16" s="95"/>
      <c r="L16" s="95">
        <v>9</v>
      </c>
      <c r="M16" s="95">
        <v>18</v>
      </c>
      <c r="N16" s="95">
        <v>22</v>
      </c>
      <c r="O16" s="95">
        <f>SUM(C16:N16)</f>
        <v>124.5</v>
      </c>
    </row>
    <row r="17" spans="1:15" ht="18.75">
      <c r="A17" s="92"/>
      <c r="B17" s="93" t="s">
        <v>62</v>
      </c>
      <c r="C17" s="96">
        <v>25</v>
      </c>
      <c r="D17" s="96">
        <v>25</v>
      </c>
      <c r="E17" s="96">
        <v>16.5</v>
      </c>
      <c r="F17" s="96">
        <v>9</v>
      </c>
      <c r="G17" s="96"/>
      <c r="H17" s="96"/>
      <c r="I17" s="96"/>
      <c r="J17" s="96"/>
      <c r="K17" s="96"/>
      <c r="L17" s="96">
        <v>9</v>
      </c>
      <c r="M17" s="96">
        <v>18</v>
      </c>
      <c r="N17" s="96">
        <v>22</v>
      </c>
      <c r="O17" s="95">
        <f>SUM(C17:N17)</f>
        <v>124.5</v>
      </c>
    </row>
    <row r="18" spans="1:15" ht="18.75">
      <c r="A18" s="97"/>
      <c r="B18" s="98" t="s">
        <v>104</v>
      </c>
      <c r="C18" s="99">
        <f>C14+C16</f>
        <v>26.5</v>
      </c>
      <c r="D18" s="99">
        <v>26</v>
      </c>
      <c r="E18" s="99">
        <f>E14+E16</f>
        <v>17.5</v>
      </c>
      <c r="F18" s="99">
        <f>F14+F16</f>
        <v>9.2</v>
      </c>
      <c r="G18" s="99"/>
      <c r="H18" s="99"/>
      <c r="I18" s="99"/>
      <c r="J18" s="99"/>
      <c r="K18" s="99"/>
      <c r="L18" s="99">
        <v>9</v>
      </c>
      <c r="M18" s="99">
        <v>18</v>
      </c>
      <c r="N18" s="99">
        <v>22</v>
      </c>
      <c r="O18" s="99">
        <f>SUM(C18:N18)</f>
        <v>128.2</v>
      </c>
    </row>
    <row r="19" spans="1:15" ht="18.75">
      <c r="A19" s="97"/>
      <c r="B19" s="98" t="s">
        <v>41</v>
      </c>
      <c r="C19" s="99">
        <f>C15+C17</f>
        <v>26.5</v>
      </c>
      <c r="D19" s="99">
        <f aca="true" t="shared" si="0" ref="D19:O19">D15+D17</f>
        <v>26</v>
      </c>
      <c r="E19" s="99">
        <f t="shared" si="0"/>
        <v>17.5</v>
      </c>
      <c r="F19" s="99">
        <f t="shared" si="0"/>
        <v>9.2</v>
      </c>
      <c r="G19" s="99">
        <f t="shared" si="0"/>
        <v>0</v>
      </c>
      <c r="H19" s="99">
        <f t="shared" si="0"/>
        <v>0</v>
      </c>
      <c r="I19" s="99">
        <f t="shared" si="0"/>
        <v>0</v>
      </c>
      <c r="J19" s="99">
        <f t="shared" si="0"/>
        <v>0</v>
      </c>
      <c r="K19" s="99">
        <f t="shared" si="0"/>
        <v>0</v>
      </c>
      <c r="L19" s="99">
        <f t="shared" si="0"/>
        <v>9</v>
      </c>
      <c r="M19" s="99">
        <f t="shared" si="0"/>
        <v>18</v>
      </c>
      <c r="N19" s="99">
        <f t="shared" si="0"/>
        <v>22</v>
      </c>
      <c r="O19" s="99">
        <f t="shared" si="0"/>
        <v>128.2</v>
      </c>
    </row>
    <row r="20" spans="1:15" ht="37.5">
      <c r="A20" s="92" t="s">
        <v>24</v>
      </c>
      <c r="B20" s="94" t="s">
        <v>100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1">
        <f>L21</f>
        <v>0.3</v>
      </c>
      <c r="M20" s="141">
        <f>M21</f>
        <v>1</v>
      </c>
      <c r="N20" s="141">
        <f>N21</f>
        <v>1.4</v>
      </c>
      <c r="O20" s="141">
        <f>SUM(L20:N20)</f>
        <v>2.7</v>
      </c>
    </row>
    <row r="21" spans="1:15" ht="18.75">
      <c r="A21" s="92"/>
      <c r="B21" s="93" t="s">
        <v>62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1">
        <v>0.3</v>
      </c>
      <c r="M21" s="141">
        <v>1</v>
      </c>
      <c r="N21" s="141">
        <v>1.4</v>
      </c>
      <c r="O21" s="141">
        <f>SUM(L21:N21)</f>
        <v>2.7</v>
      </c>
    </row>
    <row r="22" spans="1:15" ht="18.75">
      <c r="A22" s="142"/>
      <c r="B22" s="98" t="s">
        <v>105</v>
      </c>
      <c r="C22" s="99">
        <f>C23</f>
        <v>26.5</v>
      </c>
      <c r="D22" s="99">
        <f aca="true" t="shared" si="1" ref="D22:O22">D23</f>
        <v>26</v>
      </c>
      <c r="E22" s="99">
        <f t="shared" si="1"/>
        <v>17.5</v>
      </c>
      <c r="F22" s="99">
        <f t="shared" si="1"/>
        <v>9.2</v>
      </c>
      <c r="G22" s="99">
        <f t="shared" si="1"/>
        <v>0</v>
      </c>
      <c r="H22" s="99">
        <f t="shared" si="1"/>
        <v>0</v>
      </c>
      <c r="I22" s="99">
        <f t="shared" si="1"/>
        <v>0</v>
      </c>
      <c r="J22" s="99">
        <f t="shared" si="1"/>
        <v>0</v>
      </c>
      <c r="K22" s="99">
        <f t="shared" si="1"/>
        <v>0</v>
      </c>
      <c r="L22" s="99">
        <f t="shared" si="1"/>
        <v>9.3</v>
      </c>
      <c r="M22" s="99">
        <f t="shared" si="1"/>
        <v>19</v>
      </c>
      <c r="N22" s="99">
        <f t="shared" si="1"/>
        <v>23.4</v>
      </c>
      <c r="O22" s="99">
        <f t="shared" si="1"/>
        <v>130.89999999999998</v>
      </c>
    </row>
    <row r="23" spans="1:15" ht="18.75">
      <c r="A23" s="142"/>
      <c r="B23" s="98" t="s">
        <v>41</v>
      </c>
      <c r="C23" s="99">
        <f>C19+C21</f>
        <v>26.5</v>
      </c>
      <c r="D23" s="99">
        <f aca="true" t="shared" si="2" ref="D23:O23">D19+D21</f>
        <v>26</v>
      </c>
      <c r="E23" s="99">
        <f t="shared" si="2"/>
        <v>17.5</v>
      </c>
      <c r="F23" s="99">
        <f t="shared" si="2"/>
        <v>9.2</v>
      </c>
      <c r="G23" s="99">
        <f t="shared" si="2"/>
        <v>0</v>
      </c>
      <c r="H23" s="99">
        <f t="shared" si="2"/>
        <v>0</v>
      </c>
      <c r="I23" s="99">
        <f t="shared" si="2"/>
        <v>0</v>
      </c>
      <c r="J23" s="99">
        <f t="shared" si="2"/>
        <v>0</v>
      </c>
      <c r="K23" s="99">
        <f t="shared" si="2"/>
        <v>0</v>
      </c>
      <c r="L23" s="99">
        <f t="shared" si="2"/>
        <v>9.3</v>
      </c>
      <c r="M23" s="99">
        <f t="shared" si="2"/>
        <v>19</v>
      </c>
      <c r="N23" s="99">
        <f t="shared" si="2"/>
        <v>23.4</v>
      </c>
      <c r="O23" s="99">
        <f t="shared" si="2"/>
        <v>130.89999999999998</v>
      </c>
    </row>
    <row r="27" spans="1:16" ht="15.75">
      <c r="A27" s="39"/>
      <c r="P27" s="21"/>
    </row>
    <row r="31" spans="2:15" ht="18.75">
      <c r="B31" s="22" t="s">
        <v>92</v>
      </c>
      <c r="C31" s="22"/>
      <c r="D31" s="16"/>
      <c r="E31" s="16"/>
      <c r="F31" s="16"/>
      <c r="G31" s="16"/>
      <c r="H31" s="16"/>
      <c r="I31" s="16"/>
      <c r="J31" s="16"/>
      <c r="K31" s="16"/>
      <c r="L31" s="55"/>
      <c r="M31" s="55" t="s">
        <v>98</v>
      </c>
      <c r="N31" s="55"/>
      <c r="O31" s="55"/>
    </row>
  </sheetData>
  <sheetProtection/>
  <mergeCells count="2">
    <mergeCell ref="B10:O10"/>
    <mergeCell ref="A11:O11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2018-06-27T06:37:57Z</cp:lastPrinted>
  <dcterms:created xsi:type="dcterms:W3CDTF">1996-10-08T23:32:33Z</dcterms:created>
  <dcterms:modified xsi:type="dcterms:W3CDTF">2018-06-27T06:38:59Z</dcterms:modified>
  <cp:category/>
  <cp:version/>
  <cp:contentType/>
  <cp:contentStatus/>
</cp:coreProperties>
</file>